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 activeTab="5"/>
  </bookViews>
  <sheets>
    <sheet name="Table" sheetId="1" r:id="rId1"/>
    <sheet name="Sheet1" sheetId="2" r:id="rId2"/>
    <sheet name="industry" sheetId="4" r:id="rId3"/>
    <sheet name="current" sheetId="7" r:id="rId4"/>
    <sheet name="constant additions" sheetId="8" r:id="rId5"/>
    <sheet name="selected names" sheetId="6" r:id="rId6"/>
    <sheet name="output" sheetId="5" r:id="rId7"/>
  </sheets>
  <definedNames>
    <definedName name="_xlnm._FilterDatabase" localSheetId="3" hidden="1">current!$A$1:$E$982</definedName>
    <definedName name="_xlnm._FilterDatabase" localSheetId="5" hidden="1">'selected names'!$D$1004:$D$1063</definedName>
    <definedName name="_xlnm._FilterDatabase" localSheetId="1" hidden="1">Sheet1!$A$1:$A$3449</definedName>
    <definedName name="_xlnm._FilterDatabase" localSheetId="0" hidden="1">Table!$A$1:$AL$3519</definedName>
  </definedNames>
  <calcPr calcId="0"/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H780" i="6" s="1"/>
  <c r="N780" i="6" s="1"/>
  <c r="F781" i="6"/>
  <c r="F782" i="6"/>
  <c r="F783" i="6"/>
  <c r="F784" i="6"/>
  <c r="H784" i="6" s="1"/>
  <c r="N784" i="6" s="1"/>
  <c r="F785" i="6"/>
  <c r="F786" i="6"/>
  <c r="F787" i="6"/>
  <c r="F788" i="6"/>
  <c r="H788" i="6" s="1"/>
  <c r="N788" i="6" s="1"/>
  <c r="F789" i="6"/>
  <c r="F790" i="6"/>
  <c r="F791" i="6"/>
  <c r="F792" i="6"/>
  <c r="H792" i="6" s="1"/>
  <c r="N792" i="6" s="1"/>
  <c r="F793" i="6"/>
  <c r="F794" i="6"/>
  <c r="F795" i="6"/>
  <c r="F796" i="6"/>
  <c r="H796" i="6" s="1"/>
  <c r="N796" i="6" s="1"/>
  <c r="F797" i="6"/>
  <c r="F798" i="6"/>
  <c r="F799" i="6"/>
  <c r="F800" i="6"/>
  <c r="H800" i="6" s="1"/>
  <c r="N800" i="6" s="1"/>
  <c r="F801" i="6"/>
  <c r="F802" i="6"/>
  <c r="F803" i="6"/>
  <c r="F804" i="6"/>
  <c r="H804" i="6" s="1"/>
  <c r="N804" i="6" s="1"/>
  <c r="F805" i="6"/>
  <c r="F806" i="6"/>
  <c r="F807" i="6"/>
  <c r="F808" i="6"/>
  <c r="H808" i="6" s="1"/>
  <c r="N808" i="6" s="1"/>
  <c r="F809" i="6"/>
  <c r="F810" i="6"/>
  <c r="F811" i="6"/>
  <c r="F812" i="6"/>
  <c r="H812" i="6" s="1"/>
  <c r="N812" i="6" s="1"/>
  <c r="F813" i="6"/>
  <c r="F814" i="6"/>
  <c r="F815" i="6"/>
  <c r="F816" i="6"/>
  <c r="H816" i="6" s="1"/>
  <c r="N816" i="6" s="1"/>
  <c r="F817" i="6"/>
  <c r="F818" i="6"/>
  <c r="F819" i="6"/>
  <c r="F820" i="6"/>
  <c r="H820" i="6" s="1"/>
  <c r="N820" i="6" s="1"/>
  <c r="F821" i="6"/>
  <c r="F822" i="6"/>
  <c r="F823" i="6"/>
  <c r="F824" i="6"/>
  <c r="H824" i="6" s="1"/>
  <c r="N824" i="6" s="1"/>
  <c r="F825" i="6"/>
  <c r="F826" i="6"/>
  <c r="F827" i="6"/>
  <c r="F828" i="6"/>
  <c r="H828" i="6" s="1"/>
  <c r="N828" i="6" s="1"/>
  <c r="F829" i="6"/>
  <c r="F830" i="6"/>
  <c r="F831" i="6"/>
  <c r="F832" i="6"/>
  <c r="H832" i="6" s="1"/>
  <c r="N832" i="6" s="1"/>
  <c r="F833" i="6"/>
  <c r="F834" i="6"/>
  <c r="F835" i="6"/>
  <c r="F836" i="6"/>
  <c r="H836" i="6" s="1"/>
  <c r="N836" i="6" s="1"/>
  <c r="F837" i="6"/>
  <c r="F838" i="6"/>
  <c r="F839" i="6"/>
  <c r="F840" i="6"/>
  <c r="H840" i="6" s="1"/>
  <c r="N840" i="6" s="1"/>
  <c r="F841" i="6"/>
  <c r="F842" i="6"/>
  <c r="F843" i="6"/>
  <c r="F844" i="6"/>
  <c r="H844" i="6" s="1"/>
  <c r="N844" i="6" s="1"/>
  <c r="F845" i="6"/>
  <c r="F846" i="6"/>
  <c r="F847" i="6"/>
  <c r="F848" i="6"/>
  <c r="H848" i="6" s="1"/>
  <c r="N848" i="6" s="1"/>
  <c r="F849" i="6"/>
  <c r="F850" i="6"/>
  <c r="F851" i="6"/>
  <c r="F852" i="6"/>
  <c r="H852" i="6" s="1"/>
  <c r="N852" i="6" s="1"/>
  <c r="F853" i="6"/>
  <c r="F854" i="6"/>
  <c r="F855" i="6"/>
  <c r="F856" i="6"/>
  <c r="H856" i="6" s="1"/>
  <c r="N856" i="6" s="1"/>
  <c r="F857" i="6"/>
  <c r="F858" i="6"/>
  <c r="F859" i="6"/>
  <c r="F860" i="6"/>
  <c r="H860" i="6" s="1"/>
  <c r="N860" i="6" s="1"/>
  <c r="F861" i="6"/>
  <c r="F862" i="6"/>
  <c r="F863" i="6"/>
  <c r="F864" i="6"/>
  <c r="H864" i="6" s="1"/>
  <c r="N864" i="6" s="1"/>
  <c r="F865" i="6"/>
  <c r="F866" i="6"/>
  <c r="F867" i="6"/>
  <c r="F868" i="6"/>
  <c r="H868" i="6" s="1"/>
  <c r="N868" i="6" s="1"/>
  <c r="F869" i="6"/>
  <c r="F870" i="6"/>
  <c r="F871" i="6"/>
  <c r="F872" i="6"/>
  <c r="H872" i="6" s="1"/>
  <c r="N872" i="6" s="1"/>
  <c r="F873" i="6"/>
  <c r="F874" i="6"/>
  <c r="F875" i="6"/>
  <c r="F876" i="6"/>
  <c r="H876" i="6" s="1"/>
  <c r="N876" i="6" s="1"/>
  <c r="F877" i="6"/>
  <c r="F878" i="6"/>
  <c r="F879" i="6"/>
  <c r="F880" i="6"/>
  <c r="H880" i="6" s="1"/>
  <c r="N880" i="6" s="1"/>
  <c r="F881" i="6"/>
  <c r="F882" i="6"/>
  <c r="F883" i="6"/>
  <c r="F884" i="6"/>
  <c r="H884" i="6" s="1"/>
  <c r="N884" i="6" s="1"/>
  <c r="F885" i="6"/>
  <c r="F886" i="6"/>
  <c r="F887" i="6"/>
  <c r="F888" i="6"/>
  <c r="H888" i="6" s="1"/>
  <c r="N888" i="6" s="1"/>
  <c r="F889" i="6"/>
  <c r="F890" i="6"/>
  <c r="F891" i="6"/>
  <c r="F892" i="6"/>
  <c r="H892" i="6" s="1"/>
  <c r="N892" i="6" s="1"/>
  <c r="F893" i="6"/>
  <c r="F894" i="6"/>
  <c r="F895" i="6"/>
  <c r="F896" i="6"/>
  <c r="H896" i="6" s="1"/>
  <c r="N896" i="6" s="1"/>
  <c r="F897" i="6"/>
  <c r="F898" i="6"/>
  <c r="F899" i="6"/>
  <c r="F900" i="6"/>
  <c r="H900" i="6" s="1"/>
  <c r="N900" i="6" s="1"/>
  <c r="F901" i="6"/>
  <c r="F902" i="6"/>
  <c r="F903" i="6"/>
  <c r="F904" i="6"/>
  <c r="H904" i="6" s="1"/>
  <c r="N904" i="6" s="1"/>
  <c r="F905" i="6"/>
  <c r="F906" i="6"/>
  <c r="F907" i="6"/>
  <c r="F908" i="6"/>
  <c r="H908" i="6" s="1"/>
  <c r="N908" i="6" s="1"/>
  <c r="F909" i="6"/>
  <c r="F910" i="6"/>
  <c r="F911" i="6"/>
  <c r="F912" i="6"/>
  <c r="H912" i="6" s="1"/>
  <c r="N912" i="6" s="1"/>
  <c r="F913" i="6"/>
  <c r="F914" i="6"/>
  <c r="F915" i="6"/>
  <c r="F916" i="6"/>
  <c r="H916" i="6" s="1"/>
  <c r="N916" i="6" s="1"/>
  <c r="F917" i="6"/>
  <c r="F918" i="6"/>
  <c r="F919" i="6"/>
  <c r="F920" i="6"/>
  <c r="H920" i="6" s="1"/>
  <c r="N920" i="6" s="1"/>
  <c r="F921" i="6"/>
  <c r="F922" i="6"/>
  <c r="F923" i="6"/>
  <c r="F924" i="6"/>
  <c r="H924" i="6" s="1"/>
  <c r="N924" i="6" s="1"/>
  <c r="F925" i="6"/>
  <c r="F926" i="6"/>
  <c r="F927" i="6"/>
  <c r="F928" i="6"/>
  <c r="H928" i="6" s="1"/>
  <c r="N928" i="6" s="1"/>
  <c r="F929" i="6"/>
  <c r="F930" i="6"/>
  <c r="F931" i="6"/>
  <c r="F932" i="6"/>
  <c r="H932" i="6" s="1"/>
  <c r="N932" i="6" s="1"/>
  <c r="F933" i="6"/>
  <c r="F934" i="6"/>
  <c r="F935" i="6"/>
  <c r="F936" i="6"/>
  <c r="H936" i="6" s="1"/>
  <c r="N936" i="6" s="1"/>
  <c r="F937" i="6"/>
  <c r="F938" i="6"/>
  <c r="F939" i="6"/>
  <c r="F940" i="6"/>
  <c r="H940" i="6" s="1"/>
  <c r="N940" i="6" s="1"/>
  <c r="F941" i="6"/>
  <c r="F942" i="6"/>
  <c r="F943" i="6"/>
  <c r="F944" i="6"/>
  <c r="H944" i="6" s="1"/>
  <c r="N944" i="6" s="1"/>
  <c r="F945" i="6"/>
  <c r="F946" i="6"/>
  <c r="F947" i="6"/>
  <c r="F948" i="6"/>
  <c r="H948" i="6" s="1"/>
  <c r="N948" i="6" s="1"/>
  <c r="F949" i="6"/>
  <c r="F950" i="6"/>
  <c r="F951" i="6"/>
  <c r="F952" i="6"/>
  <c r="H952" i="6" s="1"/>
  <c r="N952" i="6" s="1"/>
  <c r="F953" i="6"/>
  <c r="F954" i="6"/>
  <c r="F955" i="6"/>
  <c r="F956" i="6"/>
  <c r="H956" i="6" s="1"/>
  <c r="N956" i="6" s="1"/>
  <c r="F957" i="6"/>
  <c r="F958" i="6"/>
  <c r="F959" i="6"/>
  <c r="F960" i="6"/>
  <c r="H960" i="6" s="1"/>
  <c r="N960" i="6" s="1"/>
  <c r="F961" i="6"/>
  <c r="F962" i="6"/>
  <c r="F963" i="6"/>
  <c r="F964" i="6"/>
  <c r="H964" i="6" s="1"/>
  <c r="N964" i="6" s="1"/>
  <c r="F965" i="6"/>
  <c r="F966" i="6"/>
  <c r="F967" i="6"/>
  <c r="F968" i="6"/>
  <c r="H968" i="6" s="1"/>
  <c r="N968" i="6" s="1"/>
  <c r="F969" i="6"/>
  <c r="F970" i="6"/>
  <c r="F971" i="6"/>
  <c r="F972" i="6"/>
  <c r="H972" i="6" s="1"/>
  <c r="N972" i="6" s="1"/>
  <c r="F973" i="6"/>
  <c r="F974" i="6"/>
  <c r="F975" i="6"/>
  <c r="F976" i="6"/>
  <c r="H976" i="6" s="1"/>
  <c r="N976" i="6" s="1"/>
  <c r="F977" i="6"/>
  <c r="F978" i="6"/>
  <c r="F979" i="6"/>
  <c r="F980" i="6"/>
  <c r="H980" i="6" s="1"/>
  <c r="N980" i="6" s="1"/>
  <c r="F981" i="6"/>
  <c r="F982" i="6"/>
  <c r="F983" i="6"/>
  <c r="F984" i="6"/>
  <c r="H984" i="6" s="1"/>
  <c r="N984" i="6" s="1"/>
  <c r="F985" i="6"/>
  <c r="F986" i="6"/>
  <c r="F987" i="6"/>
  <c r="F988" i="6"/>
  <c r="H988" i="6" s="1"/>
  <c r="N988" i="6" s="1"/>
  <c r="F989" i="6"/>
  <c r="F990" i="6"/>
  <c r="F991" i="6"/>
  <c r="F992" i="6"/>
  <c r="H992" i="6" s="1"/>
  <c r="N992" i="6" s="1"/>
  <c r="F993" i="6"/>
  <c r="F994" i="6"/>
  <c r="F995" i="6"/>
  <c r="F996" i="6"/>
  <c r="H996" i="6" s="1"/>
  <c r="N996" i="6" s="1"/>
  <c r="F997" i="6"/>
  <c r="F998" i="6"/>
  <c r="F999" i="6"/>
  <c r="F1000" i="6"/>
  <c r="H1000" i="6" s="1"/>
  <c r="N1000" i="6" s="1"/>
  <c r="F1001" i="6"/>
  <c r="F2" i="6"/>
  <c r="E3" i="6"/>
  <c r="L3" i="6" s="1"/>
  <c r="E4" i="6"/>
  <c r="L4" i="6" s="1"/>
  <c r="E5" i="6"/>
  <c r="L5" i="6" s="1"/>
  <c r="E6" i="6"/>
  <c r="L6" i="6" s="1"/>
  <c r="E7" i="6"/>
  <c r="L7" i="6" s="1"/>
  <c r="E8" i="6"/>
  <c r="L8" i="6" s="1"/>
  <c r="E9" i="6"/>
  <c r="L9" i="6" s="1"/>
  <c r="E10" i="6"/>
  <c r="L10" i="6" s="1"/>
  <c r="E11" i="6"/>
  <c r="L11" i="6" s="1"/>
  <c r="E12" i="6"/>
  <c r="L12" i="6" s="1"/>
  <c r="E13" i="6"/>
  <c r="L13" i="6" s="1"/>
  <c r="E14" i="6"/>
  <c r="L14" i="6" s="1"/>
  <c r="E15" i="6"/>
  <c r="L15" i="6" s="1"/>
  <c r="E16" i="6"/>
  <c r="L16" i="6" s="1"/>
  <c r="E17" i="6"/>
  <c r="L17" i="6" s="1"/>
  <c r="E18" i="6"/>
  <c r="L18" i="6" s="1"/>
  <c r="E19" i="6"/>
  <c r="L19" i="6" s="1"/>
  <c r="E20" i="6"/>
  <c r="L20" i="6" s="1"/>
  <c r="E21" i="6"/>
  <c r="L21" i="6" s="1"/>
  <c r="E22" i="6"/>
  <c r="L22" i="6" s="1"/>
  <c r="E23" i="6"/>
  <c r="L23" i="6" s="1"/>
  <c r="E24" i="6"/>
  <c r="L24" i="6" s="1"/>
  <c r="E25" i="6"/>
  <c r="L25" i="6" s="1"/>
  <c r="E26" i="6"/>
  <c r="L26" i="6" s="1"/>
  <c r="E27" i="6"/>
  <c r="L27" i="6" s="1"/>
  <c r="E28" i="6"/>
  <c r="L28" i="6" s="1"/>
  <c r="E29" i="6"/>
  <c r="L29" i="6" s="1"/>
  <c r="E30" i="6"/>
  <c r="L30" i="6" s="1"/>
  <c r="E31" i="6"/>
  <c r="L31" i="6" s="1"/>
  <c r="E32" i="6"/>
  <c r="L32" i="6" s="1"/>
  <c r="E33" i="6"/>
  <c r="L33" i="6" s="1"/>
  <c r="E34" i="6"/>
  <c r="L34" i="6" s="1"/>
  <c r="E35" i="6"/>
  <c r="L35" i="6" s="1"/>
  <c r="E36" i="6"/>
  <c r="L36" i="6" s="1"/>
  <c r="E37" i="6"/>
  <c r="L37" i="6" s="1"/>
  <c r="E38" i="6"/>
  <c r="L38" i="6" s="1"/>
  <c r="E39" i="6"/>
  <c r="L39" i="6" s="1"/>
  <c r="E40" i="6"/>
  <c r="L40" i="6" s="1"/>
  <c r="E41" i="6"/>
  <c r="L41" i="6" s="1"/>
  <c r="E42" i="6"/>
  <c r="L42" i="6" s="1"/>
  <c r="E43" i="6"/>
  <c r="L43" i="6" s="1"/>
  <c r="E44" i="6"/>
  <c r="L44" i="6" s="1"/>
  <c r="E45" i="6"/>
  <c r="L45" i="6" s="1"/>
  <c r="E46" i="6"/>
  <c r="L46" i="6" s="1"/>
  <c r="E47" i="6"/>
  <c r="L47" i="6" s="1"/>
  <c r="E48" i="6"/>
  <c r="L48" i="6" s="1"/>
  <c r="E49" i="6"/>
  <c r="L49" i="6" s="1"/>
  <c r="E50" i="6"/>
  <c r="L50" i="6" s="1"/>
  <c r="E51" i="6"/>
  <c r="L51" i="6" s="1"/>
  <c r="E52" i="6"/>
  <c r="L52" i="6" s="1"/>
  <c r="E53" i="6"/>
  <c r="L53" i="6" s="1"/>
  <c r="E54" i="6"/>
  <c r="L54" i="6" s="1"/>
  <c r="E55" i="6"/>
  <c r="L55" i="6" s="1"/>
  <c r="E56" i="6"/>
  <c r="L56" i="6" s="1"/>
  <c r="E57" i="6"/>
  <c r="L57" i="6" s="1"/>
  <c r="E58" i="6"/>
  <c r="L58" i="6" s="1"/>
  <c r="E59" i="6"/>
  <c r="L59" i="6" s="1"/>
  <c r="E60" i="6"/>
  <c r="L60" i="6" s="1"/>
  <c r="E61" i="6"/>
  <c r="L61" i="6" s="1"/>
  <c r="E62" i="6"/>
  <c r="L62" i="6" s="1"/>
  <c r="E63" i="6"/>
  <c r="L63" i="6" s="1"/>
  <c r="E64" i="6"/>
  <c r="L64" i="6" s="1"/>
  <c r="E65" i="6"/>
  <c r="L65" i="6" s="1"/>
  <c r="E66" i="6"/>
  <c r="L66" i="6" s="1"/>
  <c r="E67" i="6"/>
  <c r="L67" i="6" s="1"/>
  <c r="E68" i="6"/>
  <c r="L68" i="6" s="1"/>
  <c r="E69" i="6"/>
  <c r="L69" i="6" s="1"/>
  <c r="E70" i="6"/>
  <c r="L70" i="6" s="1"/>
  <c r="E71" i="6"/>
  <c r="L71" i="6" s="1"/>
  <c r="E72" i="6"/>
  <c r="L72" i="6" s="1"/>
  <c r="E73" i="6"/>
  <c r="L73" i="6" s="1"/>
  <c r="E74" i="6"/>
  <c r="L74" i="6" s="1"/>
  <c r="E75" i="6"/>
  <c r="L75" i="6" s="1"/>
  <c r="E76" i="6"/>
  <c r="L76" i="6" s="1"/>
  <c r="E77" i="6"/>
  <c r="L77" i="6" s="1"/>
  <c r="E78" i="6"/>
  <c r="L78" i="6" s="1"/>
  <c r="E79" i="6"/>
  <c r="L79" i="6" s="1"/>
  <c r="E80" i="6"/>
  <c r="L80" i="6" s="1"/>
  <c r="E81" i="6"/>
  <c r="L81" i="6" s="1"/>
  <c r="E82" i="6"/>
  <c r="L82" i="6" s="1"/>
  <c r="E83" i="6"/>
  <c r="L83" i="6" s="1"/>
  <c r="E84" i="6"/>
  <c r="L84" i="6" s="1"/>
  <c r="E85" i="6"/>
  <c r="L85" i="6" s="1"/>
  <c r="E86" i="6"/>
  <c r="L86" i="6" s="1"/>
  <c r="E87" i="6"/>
  <c r="L87" i="6" s="1"/>
  <c r="E88" i="6"/>
  <c r="L88" i="6" s="1"/>
  <c r="E89" i="6"/>
  <c r="L89" i="6" s="1"/>
  <c r="E90" i="6"/>
  <c r="L90" i="6" s="1"/>
  <c r="E91" i="6"/>
  <c r="L91" i="6" s="1"/>
  <c r="E92" i="6"/>
  <c r="L92" i="6" s="1"/>
  <c r="E93" i="6"/>
  <c r="L93" i="6" s="1"/>
  <c r="E94" i="6"/>
  <c r="L94" i="6" s="1"/>
  <c r="E95" i="6"/>
  <c r="L95" i="6" s="1"/>
  <c r="E96" i="6"/>
  <c r="L96" i="6" s="1"/>
  <c r="E97" i="6"/>
  <c r="L97" i="6" s="1"/>
  <c r="E98" i="6"/>
  <c r="L98" i="6" s="1"/>
  <c r="E99" i="6"/>
  <c r="L99" i="6" s="1"/>
  <c r="E100" i="6"/>
  <c r="L100" i="6" s="1"/>
  <c r="E101" i="6"/>
  <c r="L101" i="6" s="1"/>
  <c r="E102" i="6"/>
  <c r="L102" i="6" s="1"/>
  <c r="E103" i="6"/>
  <c r="L103" i="6" s="1"/>
  <c r="E104" i="6"/>
  <c r="L104" i="6" s="1"/>
  <c r="E105" i="6"/>
  <c r="L105" i="6" s="1"/>
  <c r="E106" i="6"/>
  <c r="L106" i="6" s="1"/>
  <c r="E107" i="6"/>
  <c r="L107" i="6" s="1"/>
  <c r="E108" i="6"/>
  <c r="L108" i="6" s="1"/>
  <c r="E109" i="6"/>
  <c r="L109" i="6" s="1"/>
  <c r="E110" i="6"/>
  <c r="L110" i="6" s="1"/>
  <c r="E111" i="6"/>
  <c r="L111" i="6" s="1"/>
  <c r="E112" i="6"/>
  <c r="L112" i="6" s="1"/>
  <c r="E113" i="6"/>
  <c r="L113" i="6" s="1"/>
  <c r="E114" i="6"/>
  <c r="L114" i="6" s="1"/>
  <c r="E115" i="6"/>
  <c r="L115" i="6" s="1"/>
  <c r="E116" i="6"/>
  <c r="L116" i="6" s="1"/>
  <c r="E117" i="6"/>
  <c r="L117" i="6" s="1"/>
  <c r="E118" i="6"/>
  <c r="L118" i="6" s="1"/>
  <c r="E119" i="6"/>
  <c r="L119" i="6" s="1"/>
  <c r="E120" i="6"/>
  <c r="L120" i="6" s="1"/>
  <c r="E121" i="6"/>
  <c r="L121" i="6" s="1"/>
  <c r="E122" i="6"/>
  <c r="L122" i="6" s="1"/>
  <c r="E123" i="6"/>
  <c r="L123" i="6" s="1"/>
  <c r="E124" i="6"/>
  <c r="L124" i="6" s="1"/>
  <c r="E125" i="6"/>
  <c r="L125" i="6" s="1"/>
  <c r="E126" i="6"/>
  <c r="L126" i="6" s="1"/>
  <c r="E127" i="6"/>
  <c r="L127" i="6" s="1"/>
  <c r="E128" i="6"/>
  <c r="L128" i="6" s="1"/>
  <c r="E129" i="6"/>
  <c r="L129" i="6" s="1"/>
  <c r="E130" i="6"/>
  <c r="L130" i="6" s="1"/>
  <c r="E131" i="6"/>
  <c r="L131" i="6" s="1"/>
  <c r="E132" i="6"/>
  <c r="L132" i="6" s="1"/>
  <c r="E133" i="6"/>
  <c r="L133" i="6" s="1"/>
  <c r="E134" i="6"/>
  <c r="L134" i="6" s="1"/>
  <c r="E135" i="6"/>
  <c r="L135" i="6" s="1"/>
  <c r="E136" i="6"/>
  <c r="L136" i="6" s="1"/>
  <c r="E137" i="6"/>
  <c r="L137" i="6" s="1"/>
  <c r="E138" i="6"/>
  <c r="L138" i="6" s="1"/>
  <c r="E139" i="6"/>
  <c r="L139" i="6" s="1"/>
  <c r="E140" i="6"/>
  <c r="L140" i="6" s="1"/>
  <c r="E141" i="6"/>
  <c r="L141" i="6" s="1"/>
  <c r="E142" i="6"/>
  <c r="L142" i="6" s="1"/>
  <c r="E143" i="6"/>
  <c r="L143" i="6" s="1"/>
  <c r="E144" i="6"/>
  <c r="L144" i="6" s="1"/>
  <c r="E145" i="6"/>
  <c r="L145" i="6" s="1"/>
  <c r="E146" i="6"/>
  <c r="L146" i="6" s="1"/>
  <c r="E147" i="6"/>
  <c r="L147" i="6" s="1"/>
  <c r="E148" i="6"/>
  <c r="L148" i="6" s="1"/>
  <c r="E149" i="6"/>
  <c r="L149" i="6" s="1"/>
  <c r="E150" i="6"/>
  <c r="L150" i="6" s="1"/>
  <c r="E151" i="6"/>
  <c r="L151" i="6" s="1"/>
  <c r="E152" i="6"/>
  <c r="L152" i="6" s="1"/>
  <c r="E153" i="6"/>
  <c r="L153" i="6" s="1"/>
  <c r="E154" i="6"/>
  <c r="L154" i="6" s="1"/>
  <c r="E155" i="6"/>
  <c r="L155" i="6" s="1"/>
  <c r="E156" i="6"/>
  <c r="L156" i="6" s="1"/>
  <c r="E157" i="6"/>
  <c r="L157" i="6" s="1"/>
  <c r="E158" i="6"/>
  <c r="L158" i="6" s="1"/>
  <c r="E159" i="6"/>
  <c r="L159" i="6" s="1"/>
  <c r="E160" i="6"/>
  <c r="L160" i="6" s="1"/>
  <c r="E161" i="6"/>
  <c r="L161" i="6" s="1"/>
  <c r="E162" i="6"/>
  <c r="L162" i="6" s="1"/>
  <c r="E163" i="6"/>
  <c r="L163" i="6" s="1"/>
  <c r="E164" i="6"/>
  <c r="L164" i="6" s="1"/>
  <c r="E165" i="6"/>
  <c r="L165" i="6" s="1"/>
  <c r="E166" i="6"/>
  <c r="L166" i="6" s="1"/>
  <c r="E167" i="6"/>
  <c r="L167" i="6" s="1"/>
  <c r="E168" i="6"/>
  <c r="L168" i="6" s="1"/>
  <c r="E169" i="6"/>
  <c r="L169" i="6" s="1"/>
  <c r="E170" i="6"/>
  <c r="L170" i="6" s="1"/>
  <c r="E171" i="6"/>
  <c r="L171" i="6" s="1"/>
  <c r="E172" i="6"/>
  <c r="L172" i="6" s="1"/>
  <c r="E173" i="6"/>
  <c r="L173" i="6" s="1"/>
  <c r="E174" i="6"/>
  <c r="L174" i="6" s="1"/>
  <c r="E175" i="6"/>
  <c r="L175" i="6" s="1"/>
  <c r="E176" i="6"/>
  <c r="L176" i="6" s="1"/>
  <c r="E177" i="6"/>
  <c r="L177" i="6" s="1"/>
  <c r="E178" i="6"/>
  <c r="L178" i="6" s="1"/>
  <c r="E179" i="6"/>
  <c r="L179" i="6" s="1"/>
  <c r="E180" i="6"/>
  <c r="L180" i="6" s="1"/>
  <c r="E181" i="6"/>
  <c r="L181" i="6" s="1"/>
  <c r="E182" i="6"/>
  <c r="L182" i="6" s="1"/>
  <c r="E183" i="6"/>
  <c r="L183" i="6" s="1"/>
  <c r="E184" i="6"/>
  <c r="L184" i="6" s="1"/>
  <c r="E185" i="6"/>
  <c r="L185" i="6" s="1"/>
  <c r="E186" i="6"/>
  <c r="L186" i="6" s="1"/>
  <c r="E187" i="6"/>
  <c r="L187" i="6" s="1"/>
  <c r="E188" i="6"/>
  <c r="L188" i="6" s="1"/>
  <c r="E189" i="6"/>
  <c r="L189" i="6" s="1"/>
  <c r="E190" i="6"/>
  <c r="L190" i="6" s="1"/>
  <c r="E191" i="6"/>
  <c r="L191" i="6" s="1"/>
  <c r="E192" i="6"/>
  <c r="L192" i="6" s="1"/>
  <c r="E193" i="6"/>
  <c r="L193" i="6" s="1"/>
  <c r="E194" i="6"/>
  <c r="L194" i="6" s="1"/>
  <c r="E195" i="6"/>
  <c r="L195" i="6" s="1"/>
  <c r="E196" i="6"/>
  <c r="L196" i="6" s="1"/>
  <c r="E197" i="6"/>
  <c r="L197" i="6" s="1"/>
  <c r="E198" i="6"/>
  <c r="L198" i="6" s="1"/>
  <c r="E199" i="6"/>
  <c r="L199" i="6" s="1"/>
  <c r="E200" i="6"/>
  <c r="L200" i="6" s="1"/>
  <c r="E201" i="6"/>
  <c r="L201" i="6" s="1"/>
  <c r="E202" i="6"/>
  <c r="L202" i="6" s="1"/>
  <c r="E203" i="6"/>
  <c r="L203" i="6" s="1"/>
  <c r="E204" i="6"/>
  <c r="L204" i="6" s="1"/>
  <c r="E205" i="6"/>
  <c r="L205" i="6" s="1"/>
  <c r="E206" i="6"/>
  <c r="L206" i="6" s="1"/>
  <c r="E207" i="6"/>
  <c r="L207" i="6" s="1"/>
  <c r="E208" i="6"/>
  <c r="L208" i="6" s="1"/>
  <c r="E209" i="6"/>
  <c r="L209" i="6" s="1"/>
  <c r="E210" i="6"/>
  <c r="L210" i="6" s="1"/>
  <c r="E211" i="6"/>
  <c r="L211" i="6" s="1"/>
  <c r="E212" i="6"/>
  <c r="L212" i="6" s="1"/>
  <c r="E213" i="6"/>
  <c r="L213" i="6" s="1"/>
  <c r="E214" i="6"/>
  <c r="L214" i="6" s="1"/>
  <c r="E215" i="6"/>
  <c r="L215" i="6" s="1"/>
  <c r="E216" i="6"/>
  <c r="L216" i="6" s="1"/>
  <c r="E217" i="6"/>
  <c r="L217" i="6" s="1"/>
  <c r="E218" i="6"/>
  <c r="L218" i="6" s="1"/>
  <c r="E219" i="6"/>
  <c r="L219" i="6" s="1"/>
  <c r="E220" i="6"/>
  <c r="L220" i="6" s="1"/>
  <c r="E221" i="6"/>
  <c r="L221" i="6" s="1"/>
  <c r="E222" i="6"/>
  <c r="L222" i="6" s="1"/>
  <c r="E223" i="6"/>
  <c r="L223" i="6" s="1"/>
  <c r="E224" i="6"/>
  <c r="L224" i="6" s="1"/>
  <c r="E225" i="6"/>
  <c r="L225" i="6" s="1"/>
  <c r="E226" i="6"/>
  <c r="L226" i="6" s="1"/>
  <c r="E227" i="6"/>
  <c r="L227" i="6" s="1"/>
  <c r="E228" i="6"/>
  <c r="L228" i="6" s="1"/>
  <c r="E229" i="6"/>
  <c r="L229" i="6" s="1"/>
  <c r="E230" i="6"/>
  <c r="L230" i="6" s="1"/>
  <c r="E231" i="6"/>
  <c r="L231" i="6" s="1"/>
  <c r="E232" i="6"/>
  <c r="L232" i="6" s="1"/>
  <c r="E233" i="6"/>
  <c r="L233" i="6" s="1"/>
  <c r="E234" i="6"/>
  <c r="L234" i="6" s="1"/>
  <c r="E235" i="6"/>
  <c r="L235" i="6" s="1"/>
  <c r="E236" i="6"/>
  <c r="L236" i="6" s="1"/>
  <c r="E237" i="6"/>
  <c r="L237" i="6" s="1"/>
  <c r="E238" i="6"/>
  <c r="L238" i="6" s="1"/>
  <c r="E239" i="6"/>
  <c r="L239" i="6" s="1"/>
  <c r="E240" i="6"/>
  <c r="L240" i="6" s="1"/>
  <c r="E241" i="6"/>
  <c r="L241" i="6" s="1"/>
  <c r="E242" i="6"/>
  <c r="L242" i="6" s="1"/>
  <c r="E243" i="6"/>
  <c r="L243" i="6" s="1"/>
  <c r="E244" i="6"/>
  <c r="L244" i="6" s="1"/>
  <c r="E245" i="6"/>
  <c r="L245" i="6" s="1"/>
  <c r="E246" i="6"/>
  <c r="L246" i="6" s="1"/>
  <c r="E247" i="6"/>
  <c r="L247" i="6" s="1"/>
  <c r="E248" i="6"/>
  <c r="L248" i="6" s="1"/>
  <c r="E249" i="6"/>
  <c r="L249" i="6" s="1"/>
  <c r="E250" i="6"/>
  <c r="L250" i="6" s="1"/>
  <c r="E251" i="6"/>
  <c r="L251" i="6" s="1"/>
  <c r="E252" i="6"/>
  <c r="L252" i="6" s="1"/>
  <c r="E253" i="6"/>
  <c r="L253" i="6" s="1"/>
  <c r="E254" i="6"/>
  <c r="L254" i="6" s="1"/>
  <c r="E255" i="6"/>
  <c r="L255" i="6" s="1"/>
  <c r="E256" i="6"/>
  <c r="L256" i="6" s="1"/>
  <c r="E257" i="6"/>
  <c r="L257" i="6" s="1"/>
  <c r="E258" i="6"/>
  <c r="L258" i="6" s="1"/>
  <c r="E259" i="6"/>
  <c r="L259" i="6" s="1"/>
  <c r="E260" i="6"/>
  <c r="L260" i="6" s="1"/>
  <c r="E261" i="6"/>
  <c r="L261" i="6" s="1"/>
  <c r="E262" i="6"/>
  <c r="L262" i="6" s="1"/>
  <c r="E263" i="6"/>
  <c r="L263" i="6" s="1"/>
  <c r="E264" i="6"/>
  <c r="L264" i="6" s="1"/>
  <c r="E265" i="6"/>
  <c r="L265" i="6" s="1"/>
  <c r="E266" i="6"/>
  <c r="L266" i="6" s="1"/>
  <c r="E267" i="6"/>
  <c r="L267" i="6" s="1"/>
  <c r="E268" i="6"/>
  <c r="L268" i="6" s="1"/>
  <c r="E269" i="6"/>
  <c r="L269" i="6" s="1"/>
  <c r="E270" i="6"/>
  <c r="L270" i="6" s="1"/>
  <c r="E271" i="6"/>
  <c r="L271" i="6" s="1"/>
  <c r="E272" i="6"/>
  <c r="L272" i="6" s="1"/>
  <c r="E273" i="6"/>
  <c r="L273" i="6" s="1"/>
  <c r="E274" i="6"/>
  <c r="L274" i="6" s="1"/>
  <c r="E275" i="6"/>
  <c r="L275" i="6" s="1"/>
  <c r="E276" i="6"/>
  <c r="L276" i="6" s="1"/>
  <c r="E277" i="6"/>
  <c r="L277" i="6" s="1"/>
  <c r="E278" i="6"/>
  <c r="L278" i="6" s="1"/>
  <c r="E279" i="6"/>
  <c r="L279" i="6" s="1"/>
  <c r="E280" i="6"/>
  <c r="L280" i="6" s="1"/>
  <c r="E281" i="6"/>
  <c r="L281" i="6" s="1"/>
  <c r="E282" i="6"/>
  <c r="L282" i="6" s="1"/>
  <c r="E283" i="6"/>
  <c r="L283" i="6" s="1"/>
  <c r="E284" i="6"/>
  <c r="L284" i="6" s="1"/>
  <c r="E285" i="6"/>
  <c r="L285" i="6" s="1"/>
  <c r="E286" i="6"/>
  <c r="L286" i="6" s="1"/>
  <c r="E287" i="6"/>
  <c r="L287" i="6" s="1"/>
  <c r="E288" i="6"/>
  <c r="L288" i="6" s="1"/>
  <c r="E289" i="6"/>
  <c r="L289" i="6" s="1"/>
  <c r="E290" i="6"/>
  <c r="L290" i="6" s="1"/>
  <c r="E291" i="6"/>
  <c r="L291" i="6" s="1"/>
  <c r="E292" i="6"/>
  <c r="L292" i="6" s="1"/>
  <c r="E293" i="6"/>
  <c r="L293" i="6" s="1"/>
  <c r="E294" i="6"/>
  <c r="L294" i="6" s="1"/>
  <c r="E295" i="6"/>
  <c r="L295" i="6" s="1"/>
  <c r="E296" i="6"/>
  <c r="L296" i="6" s="1"/>
  <c r="E297" i="6"/>
  <c r="L297" i="6" s="1"/>
  <c r="E298" i="6"/>
  <c r="L298" i="6" s="1"/>
  <c r="E299" i="6"/>
  <c r="L299" i="6" s="1"/>
  <c r="E300" i="6"/>
  <c r="L300" i="6" s="1"/>
  <c r="E301" i="6"/>
  <c r="L301" i="6" s="1"/>
  <c r="E302" i="6"/>
  <c r="L302" i="6" s="1"/>
  <c r="E303" i="6"/>
  <c r="L303" i="6" s="1"/>
  <c r="E304" i="6"/>
  <c r="L304" i="6" s="1"/>
  <c r="E305" i="6"/>
  <c r="L305" i="6" s="1"/>
  <c r="E306" i="6"/>
  <c r="L306" i="6" s="1"/>
  <c r="E307" i="6"/>
  <c r="L307" i="6" s="1"/>
  <c r="E308" i="6"/>
  <c r="L308" i="6" s="1"/>
  <c r="E309" i="6"/>
  <c r="L309" i="6" s="1"/>
  <c r="E310" i="6"/>
  <c r="L310" i="6" s="1"/>
  <c r="E311" i="6"/>
  <c r="L311" i="6" s="1"/>
  <c r="E312" i="6"/>
  <c r="L312" i="6" s="1"/>
  <c r="E313" i="6"/>
  <c r="L313" i="6" s="1"/>
  <c r="E314" i="6"/>
  <c r="L314" i="6" s="1"/>
  <c r="E315" i="6"/>
  <c r="L315" i="6" s="1"/>
  <c r="E316" i="6"/>
  <c r="L316" i="6" s="1"/>
  <c r="E317" i="6"/>
  <c r="L317" i="6" s="1"/>
  <c r="E318" i="6"/>
  <c r="L318" i="6" s="1"/>
  <c r="E319" i="6"/>
  <c r="L319" i="6" s="1"/>
  <c r="E320" i="6"/>
  <c r="L320" i="6" s="1"/>
  <c r="E321" i="6"/>
  <c r="L321" i="6" s="1"/>
  <c r="E322" i="6"/>
  <c r="L322" i="6" s="1"/>
  <c r="E323" i="6"/>
  <c r="L323" i="6" s="1"/>
  <c r="E324" i="6"/>
  <c r="L324" i="6" s="1"/>
  <c r="E325" i="6"/>
  <c r="L325" i="6" s="1"/>
  <c r="E326" i="6"/>
  <c r="L326" i="6" s="1"/>
  <c r="E327" i="6"/>
  <c r="L327" i="6" s="1"/>
  <c r="E328" i="6"/>
  <c r="L328" i="6" s="1"/>
  <c r="E329" i="6"/>
  <c r="L329" i="6" s="1"/>
  <c r="E330" i="6"/>
  <c r="L330" i="6" s="1"/>
  <c r="E331" i="6"/>
  <c r="L331" i="6" s="1"/>
  <c r="E332" i="6"/>
  <c r="L332" i="6" s="1"/>
  <c r="E333" i="6"/>
  <c r="L333" i="6" s="1"/>
  <c r="E334" i="6"/>
  <c r="L334" i="6" s="1"/>
  <c r="E335" i="6"/>
  <c r="L335" i="6" s="1"/>
  <c r="E336" i="6"/>
  <c r="L336" i="6" s="1"/>
  <c r="E337" i="6"/>
  <c r="L337" i="6" s="1"/>
  <c r="E338" i="6"/>
  <c r="L338" i="6" s="1"/>
  <c r="E339" i="6"/>
  <c r="L339" i="6" s="1"/>
  <c r="E340" i="6"/>
  <c r="L340" i="6" s="1"/>
  <c r="E341" i="6"/>
  <c r="L341" i="6" s="1"/>
  <c r="E342" i="6"/>
  <c r="L342" i="6" s="1"/>
  <c r="E343" i="6"/>
  <c r="L343" i="6" s="1"/>
  <c r="E344" i="6"/>
  <c r="L344" i="6" s="1"/>
  <c r="E345" i="6"/>
  <c r="L345" i="6" s="1"/>
  <c r="E346" i="6"/>
  <c r="L346" i="6" s="1"/>
  <c r="E347" i="6"/>
  <c r="L347" i="6" s="1"/>
  <c r="E348" i="6"/>
  <c r="L348" i="6" s="1"/>
  <c r="E349" i="6"/>
  <c r="L349" i="6" s="1"/>
  <c r="E350" i="6"/>
  <c r="L350" i="6" s="1"/>
  <c r="E351" i="6"/>
  <c r="L351" i="6" s="1"/>
  <c r="E352" i="6"/>
  <c r="L352" i="6" s="1"/>
  <c r="E353" i="6"/>
  <c r="L353" i="6" s="1"/>
  <c r="E354" i="6"/>
  <c r="L354" i="6" s="1"/>
  <c r="E355" i="6"/>
  <c r="L355" i="6" s="1"/>
  <c r="E356" i="6"/>
  <c r="L356" i="6" s="1"/>
  <c r="E357" i="6"/>
  <c r="L357" i="6" s="1"/>
  <c r="E358" i="6"/>
  <c r="L358" i="6" s="1"/>
  <c r="E359" i="6"/>
  <c r="L359" i="6" s="1"/>
  <c r="E360" i="6"/>
  <c r="L360" i="6" s="1"/>
  <c r="E361" i="6"/>
  <c r="L361" i="6" s="1"/>
  <c r="E362" i="6"/>
  <c r="L362" i="6" s="1"/>
  <c r="E363" i="6"/>
  <c r="L363" i="6" s="1"/>
  <c r="E364" i="6"/>
  <c r="L364" i="6" s="1"/>
  <c r="E365" i="6"/>
  <c r="L365" i="6" s="1"/>
  <c r="E366" i="6"/>
  <c r="L366" i="6" s="1"/>
  <c r="E367" i="6"/>
  <c r="L367" i="6" s="1"/>
  <c r="E368" i="6"/>
  <c r="L368" i="6" s="1"/>
  <c r="E369" i="6"/>
  <c r="L369" i="6" s="1"/>
  <c r="E370" i="6"/>
  <c r="L370" i="6" s="1"/>
  <c r="E371" i="6"/>
  <c r="L371" i="6" s="1"/>
  <c r="E372" i="6"/>
  <c r="L372" i="6" s="1"/>
  <c r="E373" i="6"/>
  <c r="L373" i="6" s="1"/>
  <c r="E374" i="6"/>
  <c r="L374" i="6" s="1"/>
  <c r="E375" i="6"/>
  <c r="L375" i="6" s="1"/>
  <c r="E376" i="6"/>
  <c r="L376" i="6" s="1"/>
  <c r="E377" i="6"/>
  <c r="L377" i="6" s="1"/>
  <c r="E378" i="6"/>
  <c r="L378" i="6" s="1"/>
  <c r="E379" i="6"/>
  <c r="L379" i="6" s="1"/>
  <c r="E380" i="6"/>
  <c r="L380" i="6" s="1"/>
  <c r="E381" i="6"/>
  <c r="L381" i="6" s="1"/>
  <c r="E382" i="6"/>
  <c r="L382" i="6" s="1"/>
  <c r="E383" i="6"/>
  <c r="L383" i="6" s="1"/>
  <c r="E384" i="6"/>
  <c r="L384" i="6" s="1"/>
  <c r="E385" i="6"/>
  <c r="L385" i="6" s="1"/>
  <c r="E386" i="6"/>
  <c r="L386" i="6" s="1"/>
  <c r="E387" i="6"/>
  <c r="L387" i="6" s="1"/>
  <c r="E388" i="6"/>
  <c r="L388" i="6" s="1"/>
  <c r="E389" i="6"/>
  <c r="L389" i="6" s="1"/>
  <c r="E390" i="6"/>
  <c r="L390" i="6" s="1"/>
  <c r="E391" i="6"/>
  <c r="L391" i="6" s="1"/>
  <c r="E392" i="6"/>
  <c r="L392" i="6" s="1"/>
  <c r="E393" i="6"/>
  <c r="L393" i="6" s="1"/>
  <c r="E394" i="6"/>
  <c r="L394" i="6" s="1"/>
  <c r="E395" i="6"/>
  <c r="L395" i="6" s="1"/>
  <c r="E396" i="6"/>
  <c r="L396" i="6" s="1"/>
  <c r="E397" i="6"/>
  <c r="L397" i="6" s="1"/>
  <c r="E398" i="6"/>
  <c r="L398" i="6" s="1"/>
  <c r="E399" i="6"/>
  <c r="L399" i="6" s="1"/>
  <c r="E400" i="6"/>
  <c r="L400" i="6" s="1"/>
  <c r="E401" i="6"/>
  <c r="L401" i="6" s="1"/>
  <c r="E402" i="6"/>
  <c r="L402" i="6" s="1"/>
  <c r="E403" i="6"/>
  <c r="L403" i="6" s="1"/>
  <c r="E404" i="6"/>
  <c r="L404" i="6" s="1"/>
  <c r="E405" i="6"/>
  <c r="L405" i="6" s="1"/>
  <c r="E406" i="6"/>
  <c r="L406" i="6" s="1"/>
  <c r="E407" i="6"/>
  <c r="L407" i="6" s="1"/>
  <c r="E408" i="6"/>
  <c r="L408" i="6" s="1"/>
  <c r="E409" i="6"/>
  <c r="L409" i="6" s="1"/>
  <c r="E410" i="6"/>
  <c r="L410" i="6" s="1"/>
  <c r="E411" i="6"/>
  <c r="L411" i="6" s="1"/>
  <c r="E412" i="6"/>
  <c r="L412" i="6" s="1"/>
  <c r="E413" i="6"/>
  <c r="L413" i="6" s="1"/>
  <c r="E414" i="6"/>
  <c r="L414" i="6" s="1"/>
  <c r="E415" i="6"/>
  <c r="L415" i="6" s="1"/>
  <c r="E416" i="6"/>
  <c r="L416" i="6" s="1"/>
  <c r="E417" i="6"/>
  <c r="L417" i="6" s="1"/>
  <c r="E418" i="6"/>
  <c r="L418" i="6" s="1"/>
  <c r="E419" i="6"/>
  <c r="L419" i="6" s="1"/>
  <c r="E420" i="6"/>
  <c r="L420" i="6" s="1"/>
  <c r="E421" i="6"/>
  <c r="L421" i="6" s="1"/>
  <c r="E422" i="6"/>
  <c r="L422" i="6" s="1"/>
  <c r="E423" i="6"/>
  <c r="L423" i="6" s="1"/>
  <c r="E424" i="6"/>
  <c r="L424" i="6" s="1"/>
  <c r="E425" i="6"/>
  <c r="L425" i="6" s="1"/>
  <c r="E426" i="6"/>
  <c r="L426" i="6" s="1"/>
  <c r="E427" i="6"/>
  <c r="L427" i="6" s="1"/>
  <c r="E428" i="6"/>
  <c r="L428" i="6" s="1"/>
  <c r="E429" i="6"/>
  <c r="L429" i="6" s="1"/>
  <c r="E430" i="6"/>
  <c r="L430" i="6" s="1"/>
  <c r="E431" i="6"/>
  <c r="L431" i="6" s="1"/>
  <c r="E432" i="6"/>
  <c r="L432" i="6" s="1"/>
  <c r="E433" i="6"/>
  <c r="L433" i="6" s="1"/>
  <c r="E434" i="6"/>
  <c r="L434" i="6" s="1"/>
  <c r="E435" i="6"/>
  <c r="L435" i="6" s="1"/>
  <c r="E436" i="6"/>
  <c r="L436" i="6" s="1"/>
  <c r="E437" i="6"/>
  <c r="L437" i="6" s="1"/>
  <c r="E438" i="6"/>
  <c r="L438" i="6" s="1"/>
  <c r="E439" i="6"/>
  <c r="L439" i="6" s="1"/>
  <c r="E440" i="6"/>
  <c r="L440" i="6" s="1"/>
  <c r="E441" i="6"/>
  <c r="L441" i="6" s="1"/>
  <c r="E442" i="6"/>
  <c r="L442" i="6" s="1"/>
  <c r="E443" i="6"/>
  <c r="L443" i="6" s="1"/>
  <c r="E444" i="6"/>
  <c r="L444" i="6" s="1"/>
  <c r="E445" i="6"/>
  <c r="L445" i="6" s="1"/>
  <c r="E446" i="6"/>
  <c r="L446" i="6" s="1"/>
  <c r="E447" i="6"/>
  <c r="L447" i="6" s="1"/>
  <c r="E448" i="6"/>
  <c r="L448" i="6" s="1"/>
  <c r="E449" i="6"/>
  <c r="L449" i="6" s="1"/>
  <c r="E450" i="6"/>
  <c r="L450" i="6" s="1"/>
  <c r="E451" i="6"/>
  <c r="L451" i="6" s="1"/>
  <c r="E452" i="6"/>
  <c r="L452" i="6" s="1"/>
  <c r="E453" i="6"/>
  <c r="L453" i="6" s="1"/>
  <c r="E454" i="6"/>
  <c r="L454" i="6" s="1"/>
  <c r="E455" i="6"/>
  <c r="L455" i="6" s="1"/>
  <c r="E456" i="6"/>
  <c r="L456" i="6" s="1"/>
  <c r="E457" i="6"/>
  <c r="L457" i="6" s="1"/>
  <c r="E458" i="6"/>
  <c r="L458" i="6" s="1"/>
  <c r="E459" i="6"/>
  <c r="L459" i="6" s="1"/>
  <c r="E460" i="6"/>
  <c r="L460" i="6" s="1"/>
  <c r="E461" i="6"/>
  <c r="L461" i="6" s="1"/>
  <c r="E462" i="6"/>
  <c r="L462" i="6" s="1"/>
  <c r="E463" i="6"/>
  <c r="L463" i="6" s="1"/>
  <c r="E464" i="6"/>
  <c r="L464" i="6" s="1"/>
  <c r="E465" i="6"/>
  <c r="L465" i="6" s="1"/>
  <c r="E466" i="6"/>
  <c r="L466" i="6" s="1"/>
  <c r="E467" i="6"/>
  <c r="L467" i="6" s="1"/>
  <c r="E468" i="6"/>
  <c r="L468" i="6" s="1"/>
  <c r="E469" i="6"/>
  <c r="L469" i="6" s="1"/>
  <c r="E470" i="6"/>
  <c r="L470" i="6" s="1"/>
  <c r="E471" i="6"/>
  <c r="L471" i="6" s="1"/>
  <c r="E472" i="6"/>
  <c r="L472" i="6" s="1"/>
  <c r="E473" i="6"/>
  <c r="L473" i="6" s="1"/>
  <c r="E474" i="6"/>
  <c r="L474" i="6" s="1"/>
  <c r="E475" i="6"/>
  <c r="L475" i="6" s="1"/>
  <c r="E476" i="6"/>
  <c r="L476" i="6" s="1"/>
  <c r="E477" i="6"/>
  <c r="L477" i="6" s="1"/>
  <c r="E478" i="6"/>
  <c r="L478" i="6" s="1"/>
  <c r="E479" i="6"/>
  <c r="L479" i="6" s="1"/>
  <c r="E480" i="6"/>
  <c r="L480" i="6" s="1"/>
  <c r="E481" i="6"/>
  <c r="L481" i="6" s="1"/>
  <c r="E482" i="6"/>
  <c r="L482" i="6" s="1"/>
  <c r="E483" i="6"/>
  <c r="L483" i="6" s="1"/>
  <c r="E484" i="6"/>
  <c r="L484" i="6" s="1"/>
  <c r="E485" i="6"/>
  <c r="L485" i="6" s="1"/>
  <c r="E486" i="6"/>
  <c r="L486" i="6" s="1"/>
  <c r="E487" i="6"/>
  <c r="L487" i="6" s="1"/>
  <c r="E488" i="6"/>
  <c r="L488" i="6" s="1"/>
  <c r="E489" i="6"/>
  <c r="L489" i="6" s="1"/>
  <c r="E490" i="6"/>
  <c r="L490" i="6" s="1"/>
  <c r="E491" i="6"/>
  <c r="L491" i="6" s="1"/>
  <c r="E492" i="6"/>
  <c r="L492" i="6" s="1"/>
  <c r="E493" i="6"/>
  <c r="L493" i="6" s="1"/>
  <c r="E494" i="6"/>
  <c r="L494" i="6" s="1"/>
  <c r="E495" i="6"/>
  <c r="L495" i="6" s="1"/>
  <c r="E496" i="6"/>
  <c r="L496" i="6" s="1"/>
  <c r="E497" i="6"/>
  <c r="L497" i="6" s="1"/>
  <c r="E498" i="6"/>
  <c r="L498" i="6" s="1"/>
  <c r="E499" i="6"/>
  <c r="L499" i="6" s="1"/>
  <c r="E500" i="6"/>
  <c r="L500" i="6" s="1"/>
  <c r="E501" i="6"/>
  <c r="L501" i="6" s="1"/>
  <c r="E502" i="6"/>
  <c r="L502" i="6" s="1"/>
  <c r="E503" i="6"/>
  <c r="L503" i="6" s="1"/>
  <c r="E504" i="6"/>
  <c r="L504" i="6" s="1"/>
  <c r="E505" i="6"/>
  <c r="L505" i="6" s="1"/>
  <c r="E506" i="6"/>
  <c r="L506" i="6" s="1"/>
  <c r="E507" i="6"/>
  <c r="L507" i="6" s="1"/>
  <c r="E508" i="6"/>
  <c r="L508" i="6" s="1"/>
  <c r="E509" i="6"/>
  <c r="L509" i="6" s="1"/>
  <c r="E510" i="6"/>
  <c r="L510" i="6" s="1"/>
  <c r="E511" i="6"/>
  <c r="L511" i="6" s="1"/>
  <c r="E512" i="6"/>
  <c r="L512" i="6" s="1"/>
  <c r="E513" i="6"/>
  <c r="L513" i="6" s="1"/>
  <c r="E514" i="6"/>
  <c r="L514" i="6" s="1"/>
  <c r="E515" i="6"/>
  <c r="L515" i="6" s="1"/>
  <c r="E516" i="6"/>
  <c r="L516" i="6" s="1"/>
  <c r="E517" i="6"/>
  <c r="L517" i="6" s="1"/>
  <c r="E518" i="6"/>
  <c r="L518" i="6" s="1"/>
  <c r="E519" i="6"/>
  <c r="L519" i="6" s="1"/>
  <c r="E520" i="6"/>
  <c r="L520" i="6" s="1"/>
  <c r="E521" i="6"/>
  <c r="L521" i="6" s="1"/>
  <c r="E522" i="6"/>
  <c r="L522" i="6" s="1"/>
  <c r="E523" i="6"/>
  <c r="L523" i="6" s="1"/>
  <c r="E524" i="6"/>
  <c r="L524" i="6" s="1"/>
  <c r="E525" i="6"/>
  <c r="L525" i="6" s="1"/>
  <c r="E526" i="6"/>
  <c r="L526" i="6" s="1"/>
  <c r="E527" i="6"/>
  <c r="L527" i="6" s="1"/>
  <c r="E528" i="6"/>
  <c r="L528" i="6" s="1"/>
  <c r="E529" i="6"/>
  <c r="L529" i="6" s="1"/>
  <c r="E530" i="6"/>
  <c r="L530" i="6" s="1"/>
  <c r="E531" i="6"/>
  <c r="L531" i="6" s="1"/>
  <c r="E532" i="6"/>
  <c r="L532" i="6" s="1"/>
  <c r="E533" i="6"/>
  <c r="L533" i="6" s="1"/>
  <c r="E534" i="6"/>
  <c r="L534" i="6" s="1"/>
  <c r="E535" i="6"/>
  <c r="L535" i="6" s="1"/>
  <c r="E536" i="6"/>
  <c r="L536" i="6" s="1"/>
  <c r="E537" i="6"/>
  <c r="L537" i="6" s="1"/>
  <c r="E538" i="6"/>
  <c r="L538" i="6" s="1"/>
  <c r="E539" i="6"/>
  <c r="L539" i="6" s="1"/>
  <c r="E540" i="6"/>
  <c r="L540" i="6" s="1"/>
  <c r="E541" i="6"/>
  <c r="L541" i="6" s="1"/>
  <c r="E542" i="6"/>
  <c r="L542" i="6" s="1"/>
  <c r="E543" i="6"/>
  <c r="L543" i="6" s="1"/>
  <c r="E544" i="6"/>
  <c r="L544" i="6" s="1"/>
  <c r="E545" i="6"/>
  <c r="L545" i="6" s="1"/>
  <c r="E546" i="6"/>
  <c r="L546" i="6" s="1"/>
  <c r="E547" i="6"/>
  <c r="L547" i="6" s="1"/>
  <c r="E548" i="6"/>
  <c r="L548" i="6" s="1"/>
  <c r="E549" i="6"/>
  <c r="L549" i="6" s="1"/>
  <c r="E550" i="6"/>
  <c r="L550" i="6" s="1"/>
  <c r="E551" i="6"/>
  <c r="L551" i="6" s="1"/>
  <c r="E552" i="6"/>
  <c r="L552" i="6" s="1"/>
  <c r="E553" i="6"/>
  <c r="L553" i="6" s="1"/>
  <c r="E554" i="6"/>
  <c r="L554" i="6" s="1"/>
  <c r="E555" i="6"/>
  <c r="L555" i="6" s="1"/>
  <c r="E556" i="6"/>
  <c r="L556" i="6" s="1"/>
  <c r="E557" i="6"/>
  <c r="L557" i="6" s="1"/>
  <c r="E558" i="6"/>
  <c r="L558" i="6" s="1"/>
  <c r="E559" i="6"/>
  <c r="L559" i="6" s="1"/>
  <c r="E560" i="6"/>
  <c r="L560" i="6" s="1"/>
  <c r="E561" i="6"/>
  <c r="L561" i="6" s="1"/>
  <c r="E562" i="6"/>
  <c r="L562" i="6" s="1"/>
  <c r="E563" i="6"/>
  <c r="L563" i="6" s="1"/>
  <c r="E564" i="6"/>
  <c r="L564" i="6" s="1"/>
  <c r="E565" i="6"/>
  <c r="L565" i="6" s="1"/>
  <c r="E566" i="6"/>
  <c r="L566" i="6" s="1"/>
  <c r="E567" i="6"/>
  <c r="L567" i="6" s="1"/>
  <c r="E568" i="6"/>
  <c r="L568" i="6" s="1"/>
  <c r="E569" i="6"/>
  <c r="L569" i="6" s="1"/>
  <c r="E570" i="6"/>
  <c r="L570" i="6" s="1"/>
  <c r="E571" i="6"/>
  <c r="L571" i="6" s="1"/>
  <c r="E572" i="6"/>
  <c r="L572" i="6" s="1"/>
  <c r="E573" i="6"/>
  <c r="L573" i="6" s="1"/>
  <c r="E574" i="6"/>
  <c r="L574" i="6" s="1"/>
  <c r="E575" i="6"/>
  <c r="L575" i="6" s="1"/>
  <c r="E576" i="6"/>
  <c r="L576" i="6" s="1"/>
  <c r="E577" i="6"/>
  <c r="L577" i="6" s="1"/>
  <c r="E578" i="6"/>
  <c r="L578" i="6" s="1"/>
  <c r="E579" i="6"/>
  <c r="L579" i="6" s="1"/>
  <c r="E580" i="6"/>
  <c r="L580" i="6" s="1"/>
  <c r="E581" i="6"/>
  <c r="L581" i="6" s="1"/>
  <c r="E582" i="6"/>
  <c r="L582" i="6" s="1"/>
  <c r="E583" i="6"/>
  <c r="L583" i="6" s="1"/>
  <c r="E584" i="6"/>
  <c r="L584" i="6" s="1"/>
  <c r="E585" i="6"/>
  <c r="L585" i="6" s="1"/>
  <c r="E586" i="6"/>
  <c r="L586" i="6" s="1"/>
  <c r="E587" i="6"/>
  <c r="L587" i="6" s="1"/>
  <c r="E588" i="6"/>
  <c r="L588" i="6" s="1"/>
  <c r="E589" i="6"/>
  <c r="L589" i="6" s="1"/>
  <c r="E590" i="6"/>
  <c r="L590" i="6" s="1"/>
  <c r="E591" i="6"/>
  <c r="L591" i="6" s="1"/>
  <c r="E592" i="6"/>
  <c r="L592" i="6" s="1"/>
  <c r="E593" i="6"/>
  <c r="L593" i="6" s="1"/>
  <c r="E594" i="6"/>
  <c r="L594" i="6" s="1"/>
  <c r="E595" i="6"/>
  <c r="L595" i="6" s="1"/>
  <c r="E596" i="6"/>
  <c r="L596" i="6" s="1"/>
  <c r="E597" i="6"/>
  <c r="L597" i="6" s="1"/>
  <c r="E598" i="6"/>
  <c r="L598" i="6" s="1"/>
  <c r="E599" i="6"/>
  <c r="L599" i="6" s="1"/>
  <c r="E600" i="6"/>
  <c r="L600" i="6" s="1"/>
  <c r="E601" i="6"/>
  <c r="L601" i="6" s="1"/>
  <c r="E602" i="6"/>
  <c r="L602" i="6" s="1"/>
  <c r="E603" i="6"/>
  <c r="L603" i="6" s="1"/>
  <c r="E604" i="6"/>
  <c r="L604" i="6" s="1"/>
  <c r="E605" i="6"/>
  <c r="L605" i="6" s="1"/>
  <c r="E606" i="6"/>
  <c r="L606" i="6" s="1"/>
  <c r="E607" i="6"/>
  <c r="L607" i="6" s="1"/>
  <c r="E608" i="6"/>
  <c r="L608" i="6" s="1"/>
  <c r="E609" i="6"/>
  <c r="L609" i="6" s="1"/>
  <c r="E610" i="6"/>
  <c r="L610" i="6" s="1"/>
  <c r="E611" i="6"/>
  <c r="L611" i="6" s="1"/>
  <c r="E612" i="6"/>
  <c r="L612" i="6" s="1"/>
  <c r="E613" i="6"/>
  <c r="L613" i="6" s="1"/>
  <c r="E614" i="6"/>
  <c r="L614" i="6" s="1"/>
  <c r="E615" i="6"/>
  <c r="L615" i="6" s="1"/>
  <c r="E616" i="6"/>
  <c r="L616" i="6" s="1"/>
  <c r="E617" i="6"/>
  <c r="L617" i="6" s="1"/>
  <c r="E618" i="6"/>
  <c r="L618" i="6" s="1"/>
  <c r="E619" i="6"/>
  <c r="L619" i="6" s="1"/>
  <c r="E620" i="6"/>
  <c r="L620" i="6" s="1"/>
  <c r="E621" i="6"/>
  <c r="L621" i="6" s="1"/>
  <c r="E622" i="6"/>
  <c r="L622" i="6" s="1"/>
  <c r="E623" i="6"/>
  <c r="L623" i="6" s="1"/>
  <c r="E624" i="6"/>
  <c r="L624" i="6" s="1"/>
  <c r="E625" i="6"/>
  <c r="L625" i="6" s="1"/>
  <c r="E626" i="6"/>
  <c r="L626" i="6" s="1"/>
  <c r="E627" i="6"/>
  <c r="L627" i="6" s="1"/>
  <c r="E628" i="6"/>
  <c r="L628" i="6" s="1"/>
  <c r="E629" i="6"/>
  <c r="L629" i="6" s="1"/>
  <c r="E630" i="6"/>
  <c r="L630" i="6" s="1"/>
  <c r="E631" i="6"/>
  <c r="L631" i="6" s="1"/>
  <c r="E632" i="6"/>
  <c r="L632" i="6" s="1"/>
  <c r="E633" i="6"/>
  <c r="L633" i="6" s="1"/>
  <c r="E634" i="6"/>
  <c r="L634" i="6" s="1"/>
  <c r="E635" i="6"/>
  <c r="L635" i="6" s="1"/>
  <c r="E636" i="6"/>
  <c r="L636" i="6" s="1"/>
  <c r="E637" i="6"/>
  <c r="L637" i="6" s="1"/>
  <c r="E638" i="6"/>
  <c r="L638" i="6" s="1"/>
  <c r="E639" i="6"/>
  <c r="L639" i="6" s="1"/>
  <c r="E640" i="6"/>
  <c r="L640" i="6" s="1"/>
  <c r="E641" i="6"/>
  <c r="L641" i="6" s="1"/>
  <c r="E642" i="6"/>
  <c r="L642" i="6" s="1"/>
  <c r="E643" i="6"/>
  <c r="L643" i="6" s="1"/>
  <c r="E644" i="6"/>
  <c r="L644" i="6" s="1"/>
  <c r="E645" i="6"/>
  <c r="L645" i="6" s="1"/>
  <c r="E646" i="6"/>
  <c r="L646" i="6" s="1"/>
  <c r="E647" i="6"/>
  <c r="L647" i="6" s="1"/>
  <c r="E648" i="6"/>
  <c r="L648" i="6" s="1"/>
  <c r="E649" i="6"/>
  <c r="L649" i="6" s="1"/>
  <c r="E650" i="6"/>
  <c r="L650" i="6" s="1"/>
  <c r="E651" i="6"/>
  <c r="L651" i="6" s="1"/>
  <c r="E652" i="6"/>
  <c r="L652" i="6" s="1"/>
  <c r="E653" i="6"/>
  <c r="L653" i="6" s="1"/>
  <c r="E654" i="6"/>
  <c r="L654" i="6" s="1"/>
  <c r="E655" i="6"/>
  <c r="L655" i="6" s="1"/>
  <c r="E656" i="6"/>
  <c r="L656" i="6" s="1"/>
  <c r="E657" i="6"/>
  <c r="L657" i="6" s="1"/>
  <c r="E658" i="6"/>
  <c r="L658" i="6" s="1"/>
  <c r="E659" i="6"/>
  <c r="L659" i="6" s="1"/>
  <c r="E660" i="6"/>
  <c r="L660" i="6" s="1"/>
  <c r="E661" i="6"/>
  <c r="L661" i="6" s="1"/>
  <c r="E662" i="6"/>
  <c r="L662" i="6" s="1"/>
  <c r="E663" i="6"/>
  <c r="L663" i="6" s="1"/>
  <c r="E664" i="6"/>
  <c r="L664" i="6" s="1"/>
  <c r="E665" i="6"/>
  <c r="L665" i="6" s="1"/>
  <c r="E666" i="6"/>
  <c r="L666" i="6" s="1"/>
  <c r="E667" i="6"/>
  <c r="L667" i="6" s="1"/>
  <c r="E668" i="6"/>
  <c r="L668" i="6" s="1"/>
  <c r="E669" i="6"/>
  <c r="L669" i="6" s="1"/>
  <c r="E670" i="6"/>
  <c r="L670" i="6" s="1"/>
  <c r="E671" i="6"/>
  <c r="L671" i="6" s="1"/>
  <c r="E672" i="6"/>
  <c r="L672" i="6" s="1"/>
  <c r="E673" i="6"/>
  <c r="L673" i="6" s="1"/>
  <c r="E674" i="6"/>
  <c r="L674" i="6" s="1"/>
  <c r="E675" i="6"/>
  <c r="L675" i="6" s="1"/>
  <c r="E676" i="6"/>
  <c r="L676" i="6" s="1"/>
  <c r="E677" i="6"/>
  <c r="L677" i="6" s="1"/>
  <c r="E678" i="6"/>
  <c r="L678" i="6" s="1"/>
  <c r="E679" i="6"/>
  <c r="L679" i="6" s="1"/>
  <c r="E680" i="6"/>
  <c r="L680" i="6" s="1"/>
  <c r="E681" i="6"/>
  <c r="L681" i="6" s="1"/>
  <c r="E682" i="6"/>
  <c r="L682" i="6" s="1"/>
  <c r="E683" i="6"/>
  <c r="L683" i="6" s="1"/>
  <c r="E684" i="6"/>
  <c r="L684" i="6" s="1"/>
  <c r="E685" i="6"/>
  <c r="L685" i="6" s="1"/>
  <c r="E686" i="6"/>
  <c r="L686" i="6" s="1"/>
  <c r="E687" i="6"/>
  <c r="L687" i="6" s="1"/>
  <c r="E688" i="6"/>
  <c r="L688" i="6" s="1"/>
  <c r="E689" i="6"/>
  <c r="L689" i="6" s="1"/>
  <c r="E690" i="6"/>
  <c r="L690" i="6" s="1"/>
  <c r="E691" i="6"/>
  <c r="L691" i="6" s="1"/>
  <c r="E692" i="6"/>
  <c r="L692" i="6" s="1"/>
  <c r="E693" i="6"/>
  <c r="L693" i="6" s="1"/>
  <c r="E694" i="6"/>
  <c r="L694" i="6" s="1"/>
  <c r="E695" i="6"/>
  <c r="L695" i="6" s="1"/>
  <c r="E696" i="6"/>
  <c r="L696" i="6" s="1"/>
  <c r="E697" i="6"/>
  <c r="L697" i="6" s="1"/>
  <c r="E698" i="6"/>
  <c r="L698" i="6" s="1"/>
  <c r="E699" i="6"/>
  <c r="L699" i="6" s="1"/>
  <c r="E700" i="6"/>
  <c r="L700" i="6" s="1"/>
  <c r="E701" i="6"/>
  <c r="L701" i="6" s="1"/>
  <c r="E702" i="6"/>
  <c r="L702" i="6" s="1"/>
  <c r="E703" i="6"/>
  <c r="L703" i="6" s="1"/>
  <c r="E704" i="6"/>
  <c r="L704" i="6" s="1"/>
  <c r="E705" i="6"/>
  <c r="L705" i="6" s="1"/>
  <c r="E706" i="6"/>
  <c r="L706" i="6" s="1"/>
  <c r="E707" i="6"/>
  <c r="L707" i="6" s="1"/>
  <c r="E708" i="6"/>
  <c r="L708" i="6" s="1"/>
  <c r="E709" i="6"/>
  <c r="L709" i="6" s="1"/>
  <c r="E710" i="6"/>
  <c r="L710" i="6" s="1"/>
  <c r="E711" i="6"/>
  <c r="L711" i="6" s="1"/>
  <c r="E712" i="6"/>
  <c r="L712" i="6" s="1"/>
  <c r="E713" i="6"/>
  <c r="L713" i="6" s="1"/>
  <c r="E714" i="6"/>
  <c r="L714" i="6" s="1"/>
  <c r="E715" i="6"/>
  <c r="L715" i="6" s="1"/>
  <c r="E716" i="6"/>
  <c r="L716" i="6" s="1"/>
  <c r="E717" i="6"/>
  <c r="L717" i="6" s="1"/>
  <c r="E718" i="6"/>
  <c r="L718" i="6" s="1"/>
  <c r="E719" i="6"/>
  <c r="L719" i="6" s="1"/>
  <c r="E720" i="6"/>
  <c r="L720" i="6" s="1"/>
  <c r="E721" i="6"/>
  <c r="L721" i="6" s="1"/>
  <c r="E722" i="6"/>
  <c r="L722" i="6" s="1"/>
  <c r="E723" i="6"/>
  <c r="L723" i="6" s="1"/>
  <c r="E724" i="6"/>
  <c r="L724" i="6" s="1"/>
  <c r="E725" i="6"/>
  <c r="L725" i="6" s="1"/>
  <c r="E726" i="6"/>
  <c r="L726" i="6" s="1"/>
  <c r="E727" i="6"/>
  <c r="L727" i="6" s="1"/>
  <c r="E728" i="6"/>
  <c r="L728" i="6" s="1"/>
  <c r="E729" i="6"/>
  <c r="L729" i="6" s="1"/>
  <c r="E730" i="6"/>
  <c r="L730" i="6" s="1"/>
  <c r="E731" i="6"/>
  <c r="L731" i="6" s="1"/>
  <c r="E732" i="6"/>
  <c r="L732" i="6" s="1"/>
  <c r="E733" i="6"/>
  <c r="L733" i="6" s="1"/>
  <c r="E734" i="6"/>
  <c r="L734" i="6" s="1"/>
  <c r="E735" i="6"/>
  <c r="L735" i="6" s="1"/>
  <c r="E736" i="6"/>
  <c r="L736" i="6" s="1"/>
  <c r="E737" i="6"/>
  <c r="L737" i="6" s="1"/>
  <c r="E738" i="6"/>
  <c r="L738" i="6" s="1"/>
  <c r="E739" i="6"/>
  <c r="L739" i="6" s="1"/>
  <c r="E740" i="6"/>
  <c r="L740" i="6" s="1"/>
  <c r="E741" i="6"/>
  <c r="L741" i="6" s="1"/>
  <c r="E742" i="6"/>
  <c r="L742" i="6" s="1"/>
  <c r="E743" i="6"/>
  <c r="L743" i="6" s="1"/>
  <c r="E744" i="6"/>
  <c r="L744" i="6" s="1"/>
  <c r="E745" i="6"/>
  <c r="L745" i="6" s="1"/>
  <c r="E746" i="6"/>
  <c r="L746" i="6" s="1"/>
  <c r="E747" i="6"/>
  <c r="L747" i="6" s="1"/>
  <c r="E748" i="6"/>
  <c r="L748" i="6" s="1"/>
  <c r="E749" i="6"/>
  <c r="L749" i="6" s="1"/>
  <c r="E750" i="6"/>
  <c r="L750" i="6" s="1"/>
  <c r="E751" i="6"/>
  <c r="L751" i="6" s="1"/>
  <c r="E752" i="6"/>
  <c r="L752" i="6" s="1"/>
  <c r="E753" i="6"/>
  <c r="L753" i="6" s="1"/>
  <c r="E754" i="6"/>
  <c r="L754" i="6" s="1"/>
  <c r="E755" i="6"/>
  <c r="L755" i="6" s="1"/>
  <c r="E756" i="6"/>
  <c r="L756" i="6" s="1"/>
  <c r="E757" i="6"/>
  <c r="L757" i="6" s="1"/>
  <c r="E758" i="6"/>
  <c r="L758" i="6" s="1"/>
  <c r="E759" i="6"/>
  <c r="L759" i="6" s="1"/>
  <c r="E760" i="6"/>
  <c r="L760" i="6" s="1"/>
  <c r="E761" i="6"/>
  <c r="L761" i="6" s="1"/>
  <c r="E762" i="6"/>
  <c r="L762" i="6" s="1"/>
  <c r="E763" i="6"/>
  <c r="L763" i="6" s="1"/>
  <c r="E764" i="6"/>
  <c r="L764" i="6" s="1"/>
  <c r="E765" i="6"/>
  <c r="L765" i="6" s="1"/>
  <c r="E766" i="6"/>
  <c r="L766" i="6" s="1"/>
  <c r="E767" i="6"/>
  <c r="L767" i="6" s="1"/>
  <c r="E768" i="6"/>
  <c r="L768" i="6" s="1"/>
  <c r="E769" i="6"/>
  <c r="L769" i="6" s="1"/>
  <c r="E770" i="6"/>
  <c r="L770" i="6" s="1"/>
  <c r="E771" i="6"/>
  <c r="L771" i="6" s="1"/>
  <c r="E772" i="6"/>
  <c r="L772" i="6" s="1"/>
  <c r="E773" i="6"/>
  <c r="L773" i="6" s="1"/>
  <c r="E774" i="6"/>
  <c r="L774" i="6" s="1"/>
  <c r="E775" i="6"/>
  <c r="L775" i="6" s="1"/>
  <c r="E776" i="6"/>
  <c r="L776" i="6" s="1"/>
  <c r="E777" i="6"/>
  <c r="L777" i="6" s="1"/>
  <c r="E778" i="6"/>
  <c r="L778" i="6" s="1"/>
  <c r="E779" i="6"/>
  <c r="L779" i="6" s="1"/>
  <c r="E780" i="6"/>
  <c r="L780" i="6" s="1"/>
  <c r="E781" i="6"/>
  <c r="L781" i="6" s="1"/>
  <c r="E782" i="6"/>
  <c r="L782" i="6" s="1"/>
  <c r="E783" i="6"/>
  <c r="L783" i="6" s="1"/>
  <c r="E784" i="6"/>
  <c r="L784" i="6" s="1"/>
  <c r="E785" i="6"/>
  <c r="L785" i="6" s="1"/>
  <c r="E786" i="6"/>
  <c r="L786" i="6" s="1"/>
  <c r="E787" i="6"/>
  <c r="L787" i="6" s="1"/>
  <c r="E788" i="6"/>
  <c r="L788" i="6" s="1"/>
  <c r="E789" i="6"/>
  <c r="L789" i="6" s="1"/>
  <c r="E790" i="6"/>
  <c r="L790" i="6" s="1"/>
  <c r="E791" i="6"/>
  <c r="L791" i="6" s="1"/>
  <c r="E792" i="6"/>
  <c r="L792" i="6" s="1"/>
  <c r="E793" i="6"/>
  <c r="L793" i="6" s="1"/>
  <c r="E794" i="6"/>
  <c r="L794" i="6" s="1"/>
  <c r="E795" i="6"/>
  <c r="L795" i="6" s="1"/>
  <c r="E796" i="6"/>
  <c r="L796" i="6" s="1"/>
  <c r="E797" i="6"/>
  <c r="L797" i="6" s="1"/>
  <c r="E798" i="6"/>
  <c r="L798" i="6" s="1"/>
  <c r="E799" i="6"/>
  <c r="L799" i="6" s="1"/>
  <c r="E800" i="6"/>
  <c r="L800" i="6" s="1"/>
  <c r="E801" i="6"/>
  <c r="L801" i="6" s="1"/>
  <c r="E802" i="6"/>
  <c r="L802" i="6" s="1"/>
  <c r="E803" i="6"/>
  <c r="L803" i="6" s="1"/>
  <c r="E804" i="6"/>
  <c r="L804" i="6" s="1"/>
  <c r="E805" i="6"/>
  <c r="L805" i="6" s="1"/>
  <c r="E806" i="6"/>
  <c r="L806" i="6" s="1"/>
  <c r="E807" i="6"/>
  <c r="L807" i="6" s="1"/>
  <c r="E808" i="6"/>
  <c r="L808" i="6" s="1"/>
  <c r="E809" i="6"/>
  <c r="L809" i="6" s="1"/>
  <c r="E810" i="6"/>
  <c r="L810" i="6" s="1"/>
  <c r="E811" i="6"/>
  <c r="L811" i="6" s="1"/>
  <c r="E812" i="6"/>
  <c r="L812" i="6" s="1"/>
  <c r="E813" i="6"/>
  <c r="L813" i="6" s="1"/>
  <c r="E814" i="6"/>
  <c r="L814" i="6" s="1"/>
  <c r="E815" i="6"/>
  <c r="L815" i="6" s="1"/>
  <c r="E816" i="6"/>
  <c r="L816" i="6" s="1"/>
  <c r="E817" i="6"/>
  <c r="L817" i="6" s="1"/>
  <c r="E818" i="6"/>
  <c r="L818" i="6" s="1"/>
  <c r="E819" i="6"/>
  <c r="L819" i="6" s="1"/>
  <c r="E820" i="6"/>
  <c r="L820" i="6" s="1"/>
  <c r="E821" i="6"/>
  <c r="L821" i="6" s="1"/>
  <c r="E822" i="6"/>
  <c r="L822" i="6" s="1"/>
  <c r="E823" i="6"/>
  <c r="L823" i="6" s="1"/>
  <c r="E824" i="6"/>
  <c r="L824" i="6" s="1"/>
  <c r="E825" i="6"/>
  <c r="L825" i="6" s="1"/>
  <c r="E826" i="6"/>
  <c r="L826" i="6" s="1"/>
  <c r="E827" i="6"/>
  <c r="L827" i="6" s="1"/>
  <c r="E828" i="6"/>
  <c r="L828" i="6" s="1"/>
  <c r="E829" i="6"/>
  <c r="L829" i="6" s="1"/>
  <c r="E830" i="6"/>
  <c r="L830" i="6" s="1"/>
  <c r="E831" i="6"/>
  <c r="L831" i="6" s="1"/>
  <c r="E832" i="6"/>
  <c r="L832" i="6" s="1"/>
  <c r="E833" i="6"/>
  <c r="L833" i="6" s="1"/>
  <c r="E834" i="6"/>
  <c r="L834" i="6" s="1"/>
  <c r="E835" i="6"/>
  <c r="L835" i="6" s="1"/>
  <c r="E836" i="6"/>
  <c r="L836" i="6" s="1"/>
  <c r="E837" i="6"/>
  <c r="L837" i="6" s="1"/>
  <c r="E838" i="6"/>
  <c r="L838" i="6" s="1"/>
  <c r="E839" i="6"/>
  <c r="L839" i="6" s="1"/>
  <c r="E840" i="6"/>
  <c r="L840" i="6" s="1"/>
  <c r="E841" i="6"/>
  <c r="L841" i="6" s="1"/>
  <c r="E842" i="6"/>
  <c r="L842" i="6" s="1"/>
  <c r="E843" i="6"/>
  <c r="L843" i="6" s="1"/>
  <c r="E844" i="6"/>
  <c r="L844" i="6" s="1"/>
  <c r="E845" i="6"/>
  <c r="L845" i="6" s="1"/>
  <c r="E846" i="6"/>
  <c r="L846" i="6" s="1"/>
  <c r="E847" i="6"/>
  <c r="L847" i="6" s="1"/>
  <c r="E848" i="6"/>
  <c r="L848" i="6" s="1"/>
  <c r="E849" i="6"/>
  <c r="L849" i="6" s="1"/>
  <c r="E850" i="6"/>
  <c r="L850" i="6" s="1"/>
  <c r="E851" i="6"/>
  <c r="L851" i="6" s="1"/>
  <c r="E852" i="6"/>
  <c r="L852" i="6" s="1"/>
  <c r="E853" i="6"/>
  <c r="L853" i="6" s="1"/>
  <c r="E854" i="6"/>
  <c r="L854" i="6" s="1"/>
  <c r="E855" i="6"/>
  <c r="L855" i="6" s="1"/>
  <c r="E856" i="6"/>
  <c r="L856" i="6" s="1"/>
  <c r="E857" i="6"/>
  <c r="L857" i="6" s="1"/>
  <c r="E858" i="6"/>
  <c r="L858" i="6" s="1"/>
  <c r="E859" i="6"/>
  <c r="L859" i="6" s="1"/>
  <c r="E860" i="6"/>
  <c r="L860" i="6" s="1"/>
  <c r="E861" i="6"/>
  <c r="L861" i="6" s="1"/>
  <c r="E862" i="6"/>
  <c r="L862" i="6" s="1"/>
  <c r="E863" i="6"/>
  <c r="L863" i="6" s="1"/>
  <c r="E864" i="6"/>
  <c r="L864" i="6" s="1"/>
  <c r="E865" i="6"/>
  <c r="L865" i="6" s="1"/>
  <c r="E866" i="6"/>
  <c r="L866" i="6" s="1"/>
  <c r="E867" i="6"/>
  <c r="L867" i="6" s="1"/>
  <c r="E868" i="6"/>
  <c r="L868" i="6" s="1"/>
  <c r="E869" i="6"/>
  <c r="L869" i="6" s="1"/>
  <c r="E870" i="6"/>
  <c r="L870" i="6" s="1"/>
  <c r="E871" i="6"/>
  <c r="L871" i="6" s="1"/>
  <c r="E872" i="6"/>
  <c r="L872" i="6" s="1"/>
  <c r="E873" i="6"/>
  <c r="L873" i="6" s="1"/>
  <c r="E874" i="6"/>
  <c r="L874" i="6" s="1"/>
  <c r="E875" i="6"/>
  <c r="L875" i="6" s="1"/>
  <c r="E876" i="6"/>
  <c r="L876" i="6" s="1"/>
  <c r="E877" i="6"/>
  <c r="L877" i="6" s="1"/>
  <c r="E878" i="6"/>
  <c r="L878" i="6" s="1"/>
  <c r="E879" i="6"/>
  <c r="L879" i="6" s="1"/>
  <c r="E880" i="6"/>
  <c r="L880" i="6" s="1"/>
  <c r="E881" i="6"/>
  <c r="L881" i="6" s="1"/>
  <c r="E882" i="6"/>
  <c r="L882" i="6" s="1"/>
  <c r="E883" i="6"/>
  <c r="L883" i="6" s="1"/>
  <c r="E884" i="6"/>
  <c r="L884" i="6" s="1"/>
  <c r="E885" i="6"/>
  <c r="L885" i="6" s="1"/>
  <c r="E886" i="6"/>
  <c r="L886" i="6" s="1"/>
  <c r="E887" i="6"/>
  <c r="L887" i="6" s="1"/>
  <c r="E888" i="6"/>
  <c r="L888" i="6" s="1"/>
  <c r="E889" i="6"/>
  <c r="L889" i="6" s="1"/>
  <c r="E890" i="6"/>
  <c r="L890" i="6" s="1"/>
  <c r="E891" i="6"/>
  <c r="L891" i="6" s="1"/>
  <c r="E892" i="6"/>
  <c r="L892" i="6" s="1"/>
  <c r="E893" i="6"/>
  <c r="L893" i="6" s="1"/>
  <c r="E894" i="6"/>
  <c r="L894" i="6" s="1"/>
  <c r="E895" i="6"/>
  <c r="L895" i="6" s="1"/>
  <c r="E896" i="6"/>
  <c r="L896" i="6" s="1"/>
  <c r="E897" i="6"/>
  <c r="L897" i="6" s="1"/>
  <c r="E898" i="6"/>
  <c r="L898" i="6" s="1"/>
  <c r="E899" i="6"/>
  <c r="L899" i="6" s="1"/>
  <c r="E900" i="6"/>
  <c r="L900" i="6" s="1"/>
  <c r="E901" i="6"/>
  <c r="L901" i="6" s="1"/>
  <c r="E902" i="6"/>
  <c r="L902" i="6" s="1"/>
  <c r="E903" i="6"/>
  <c r="L903" i="6" s="1"/>
  <c r="E904" i="6"/>
  <c r="L904" i="6" s="1"/>
  <c r="E905" i="6"/>
  <c r="L905" i="6" s="1"/>
  <c r="E906" i="6"/>
  <c r="L906" i="6" s="1"/>
  <c r="E907" i="6"/>
  <c r="L907" i="6" s="1"/>
  <c r="E908" i="6"/>
  <c r="L908" i="6" s="1"/>
  <c r="E909" i="6"/>
  <c r="L909" i="6" s="1"/>
  <c r="E910" i="6"/>
  <c r="L910" i="6" s="1"/>
  <c r="E911" i="6"/>
  <c r="L911" i="6" s="1"/>
  <c r="E912" i="6"/>
  <c r="L912" i="6" s="1"/>
  <c r="E913" i="6"/>
  <c r="L913" i="6" s="1"/>
  <c r="E914" i="6"/>
  <c r="L914" i="6" s="1"/>
  <c r="E915" i="6"/>
  <c r="L915" i="6" s="1"/>
  <c r="E916" i="6"/>
  <c r="L916" i="6" s="1"/>
  <c r="E917" i="6"/>
  <c r="L917" i="6" s="1"/>
  <c r="E918" i="6"/>
  <c r="L918" i="6" s="1"/>
  <c r="E919" i="6"/>
  <c r="L919" i="6" s="1"/>
  <c r="E920" i="6"/>
  <c r="L920" i="6" s="1"/>
  <c r="E921" i="6"/>
  <c r="L921" i="6" s="1"/>
  <c r="E922" i="6"/>
  <c r="L922" i="6" s="1"/>
  <c r="E923" i="6"/>
  <c r="L923" i="6" s="1"/>
  <c r="E924" i="6"/>
  <c r="L924" i="6" s="1"/>
  <c r="E925" i="6"/>
  <c r="L925" i="6" s="1"/>
  <c r="E926" i="6"/>
  <c r="L926" i="6" s="1"/>
  <c r="E927" i="6"/>
  <c r="L927" i="6" s="1"/>
  <c r="E928" i="6"/>
  <c r="L928" i="6" s="1"/>
  <c r="E929" i="6"/>
  <c r="L929" i="6" s="1"/>
  <c r="E930" i="6"/>
  <c r="L930" i="6" s="1"/>
  <c r="E931" i="6"/>
  <c r="L931" i="6" s="1"/>
  <c r="E932" i="6"/>
  <c r="L932" i="6" s="1"/>
  <c r="E933" i="6"/>
  <c r="L933" i="6" s="1"/>
  <c r="E934" i="6"/>
  <c r="L934" i="6" s="1"/>
  <c r="E935" i="6"/>
  <c r="L935" i="6" s="1"/>
  <c r="E936" i="6"/>
  <c r="L936" i="6" s="1"/>
  <c r="E937" i="6"/>
  <c r="L937" i="6" s="1"/>
  <c r="E938" i="6"/>
  <c r="L938" i="6" s="1"/>
  <c r="E939" i="6"/>
  <c r="L939" i="6" s="1"/>
  <c r="E940" i="6"/>
  <c r="L940" i="6" s="1"/>
  <c r="E941" i="6"/>
  <c r="L941" i="6" s="1"/>
  <c r="E942" i="6"/>
  <c r="L942" i="6" s="1"/>
  <c r="E943" i="6"/>
  <c r="L943" i="6" s="1"/>
  <c r="E944" i="6"/>
  <c r="L944" i="6" s="1"/>
  <c r="E945" i="6"/>
  <c r="L945" i="6" s="1"/>
  <c r="E946" i="6"/>
  <c r="L946" i="6" s="1"/>
  <c r="E947" i="6"/>
  <c r="L947" i="6" s="1"/>
  <c r="E948" i="6"/>
  <c r="L948" i="6" s="1"/>
  <c r="E949" i="6"/>
  <c r="L949" i="6" s="1"/>
  <c r="E950" i="6"/>
  <c r="L950" i="6" s="1"/>
  <c r="E951" i="6"/>
  <c r="L951" i="6" s="1"/>
  <c r="E952" i="6"/>
  <c r="L952" i="6" s="1"/>
  <c r="E953" i="6"/>
  <c r="L953" i="6" s="1"/>
  <c r="E954" i="6"/>
  <c r="L954" i="6" s="1"/>
  <c r="E955" i="6"/>
  <c r="L955" i="6" s="1"/>
  <c r="E956" i="6"/>
  <c r="L956" i="6" s="1"/>
  <c r="E957" i="6"/>
  <c r="L957" i="6" s="1"/>
  <c r="E958" i="6"/>
  <c r="L958" i="6" s="1"/>
  <c r="E959" i="6"/>
  <c r="L959" i="6" s="1"/>
  <c r="E960" i="6"/>
  <c r="L960" i="6" s="1"/>
  <c r="E961" i="6"/>
  <c r="L961" i="6" s="1"/>
  <c r="E962" i="6"/>
  <c r="L962" i="6" s="1"/>
  <c r="E963" i="6"/>
  <c r="L963" i="6" s="1"/>
  <c r="E964" i="6"/>
  <c r="L964" i="6" s="1"/>
  <c r="E965" i="6"/>
  <c r="L965" i="6" s="1"/>
  <c r="E966" i="6"/>
  <c r="L966" i="6" s="1"/>
  <c r="E967" i="6"/>
  <c r="L967" i="6" s="1"/>
  <c r="E968" i="6"/>
  <c r="L968" i="6" s="1"/>
  <c r="E969" i="6"/>
  <c r="L969" i="6" s="1"/>
  <c r="E970" i="6"/>
  <c r="L970" i="6" s="1"/>
  <c r="E971" i="6"/>
  <c r="L971" i="6" s="1"/>
  <c r="E972" i="6"/>
  <c r="L972" i="6" s="1"/>
  <c r="E973" i="6"/>
  <c r="L973" i="6" s="1"/>
  <c r="E974" i="6"/>
  <c r="L974" i="6" s="1"/>
  <c r="E975" i="6"/>
  <c r="L975" i="6" s="1"/>
  <c r="E976" i="6"/>
  <c r="L976" i="6" s="1"/>
  <c r="E977" i="6"/>
  <c r="L977" i="6" s="1"/>
  <c r="E978" i="6"/>
  <c r="L978" i="6" s="1"/>
  <c r="E979" i="6"/>
  <c r="L979" i="6" s="1"/>
  <c r="E980" i="6"/>
  <c r="L980" i="6" s="1"/>
  <c r="E981" i="6"/>
  <c r="L981" i="6" s="1"/>
  <c r="E982" i="6"/>
  <c r="L982" i="6" s="1"/>
  <c r="E983" i="6"/>
  <c r="L983" i="6" s="1"/>
  <c r="E984" i="6"/>
  <c r="L984" i="6" s="1"/>
  <c r="E985" i="6"/>
  <c r="L985" i="6" s="1"/>
  <c r="E986" i="6"/>
  <c r="L986" i="6" s="1"/>
  <c r="E987" i="6"/>
  <c r="L987" i="6" s="1"/>
  <c r="E988" i="6"/>
  <c r="L988" i="6" s="1"/>
  <c r="E989" i="6"/>
  <c r="L989" i="6" s="1"/>
  <c r="E990" i="6"/>
  <c r="L990" i="6" s="1"/>
  <c r="E991" i="6"/>
  <c r="L991" i="6" s="1"/>
  <c r="E992" i="6"/>
  <c r="L992" i="6" s="1"/>
  <c r="E993" i="6"/>
  <c r="L993" i="6" s="1"/>
  <c r="E994" i="6"/>
  <c r="L994" i="6" s="1"/>
  <c r="E995" i="6"/>
  <c r="L995" i="6" s="1"/>
  <c r="E996" i="6"/>
  <c r="L996" i="6" s="1"/>
  <c r="E997" i="6"/>
  <c r="L997" i="6" s="1"/>
  <c r="E998" i="6"/>
  <c r="L998" i="6" s="1"/>
  <c r="E999" i="6"/>
  <c r="L999" i="6" s="1"/>
  <c r="E1000" i="6"/>
  <c r="L1000" i="6" s="1"/>
  <c r="E1001" i="6"/>
  <c r="L1001" i="6" s="1"/>
  <c r="E2" i="6"/>
  <c r="L2" i="6" s="1"/>
  <c r="D3" i="6"/>
  <c r="D6" i="6"/>
  <c r="D8" i="6"/>
  <c r="D19" i="6"/>
  <c r="D21" i="6"/>
  <c r="D24" i="6"/>
  <c r="D27" i="6"/>
  <c r="D30" i="6"/>
  <c r="D36" i="6"/>
  <c r="D37" i="6"/>
  <c r="D43" i="6"/>
  <c r="D45" i="6"/>
  <c r="D46" i="6"/>
  <c r="D48" i="6"/>
  <c r="D52" i="6"/>
  <c r="D54" i="6"/>
  <c r="D61" i="6"/>
  <c r="D63" i="6"/>
  <c r="D64" i="6"/>
  <c r="D67" i="6"/>
  <c r="D70" i="6"/>
  <c r="D72" i="6"/>
  <c r="D83" i="6"/>
  <c r="D85" i="6"/>
  <c r="D88" i="6"/>
  <c r="D91" i="6"/>
  <c r="D94" i="6"/>
  <c r="D100" i="6"/>
  <c r="D101" i="6"/>
  <c r="D107" i="6"/>
  <c r="D109" i="6"/>
  <c r="D110" i="6"/>
  <c r="D112" i="6"/>
  <c r="D116" i="6"/>
  <c r="D118" i="6"/>
  <c r="D125" i="6"/>
  <c r="D127" i="6"/>
  <c r="D128" i="6"/>
  <c r="D131" i="6"/>
  <c r="D134" i="6"/>
  <c r="D136" i="6"/>
  <c r="D147" i="6"/>
  <c r="D149" i="6"/>
  <c r="D152" i="6"/>
  <c r="D155" i="6"/>
  <c r="D158" i="6"/>
  <c r="D164" i="6"/>
  <c r="D165" i="6"/>
  <c r="D171" i="6"/>
  <c r="D173" i="6"/>
  <c r="D174" i="6"/>
  <c r="D176" i="6"/>
  <c r="D180" i="6"/>
  <c r="D182" i="6"/>
  <c r="D189" i="6"/>
  <c r="D191" i="6"/>
  <c r="D192" i="6"/>
  <c r="D195" i="6"/>
  <c r="D198" i="6"/>
  <c r="D200" i="6"/>
  <c r="D211" i="6"/>
  <c r="D213" i="6"/>
  <c r="D216" i="6"/>
  <c r="D219" i="6"/>
  <c r="D222" i="6"/>
  <c r="D228" i="6"/>
  <c r="D229" i="6"/>
  <c r="D235" i="6"/>
  <c r="D237" i="6"/>
  <c r="D238" i="6"/>
  <c r="D240" i="6"/>
  <c r="D244" i="6"/>
  <c r="D246" i="6"/>
  <c r="D253" i="6"/>
  <c r="D255" i="6"/>
  <c r="D256" i="6"/>
  <c r="D259" i="6"/>
  <c r="D262" i="6"/>
  <c r="D264" i="6"/>
  <c r="D275" i="6"/>
  <c r="D277" i="6"/>
  <c r="D280" i="6"/>
  <c r="D283" i="6"/>
  <c r="D286" i="6"/>
  <c r="D292" i="6"/>
  <c r="D293" i="6"/>
  <c r="D299" i="6"/>
  <c r="D301" i="6"/>
  <c r="D302" i="6"/>
  <c r="D304" i="6"/>
  <c r="D308" i="6"/>
  <c r="D310" i="6"/>
  <c r="D317" i="6"/>
  <c r="D319" i="6"/>
  <c r="D320" i="6"/>
  <c r="D323" i="6"/>
  <c r="D326" i="6"/>
  <c r="D328" i="6"/>
  <c r="D339" i="6"/>
  <c r="D341" i="6"/>
  <c r="D344" i="6"/>
  <c r="D347" i="6"/>
  <c r="D350" i="6"/>
  <c r="D356" i="6"/>
  <c r="D357" i="6"/>
  <c r="D363" i="6"/>
  <c r="D365" i="6"/>
  <c r="D366" i="6"/>
  <c r="D368" i="6"/>
  <c r="D372" i="6"/>
  <c r="D374" i="6"/>
  <c r="D381" i="6"/>
  <c r="D383" i="6"/>
  <c r="D384" i="6"/>
  <c r="D387" i="6"/>
  <c r="D390" i="6"/>
  <c r="D392" i="6"/>
  <c r="D403" i="6"/>
  <c r="D405" i="6"/>
  <c r="D408" i="6"/>
  <c r="D411" i="6"/>
  <c r="D414" i="6"/>
  <c r="D420" i="6"/>
  <c r="D421" i="6"/>
  <c r="D427" i="6"/>
  <c r="D429" i="6"/>
  <c r="D430" i="6"/>
  <c r="D432" i="6"/>
  <c r="D436" i="6"/>
  <c r="D438" i="6"/>
  <c r="D445" i="6"/>
  <c r="D447" i="6"/>
  <c r="D448" i="6"/>
  <c r="D451" i="6"/>
  <c r="D454" i="6"/>
  <c r="D456" i="6"/>
  <c r="D467" i="6"/>
  <c r="D469" i="6"/>
  <c r="D472" i="6"/>
  <c r="D475" i="6"/>
  <c r="D478" i="6"/>
  <c r="D484" i="6"/>
  <c r="D485" i="6"/>
  <c r="D491" i="6"/>
  <c r="D493" i="6"/>
  <c r="D494" i="6"/>
  <c r="D496" i="6"/>
  <c r="D500" i="6"/>
  <c r="D502" i="6"/>
  <c r="D509" i="6"/>
  <c r="D511" i="6"/>
  <c r="D512" i="6"/>
  <c r="D515" i="6"/>
  <c r="D518" i="6"/>
  <c r="D520" i="6"/>
  <c r="D531" i="6"/>
  <c r="D533" i="6"/>
  <c r="D536" i="6"/>
  <c r="D539" i="6"/>
  <c r="D542" i="6"/>
  <c r="D548" i="6"/>
  <c r="D549" i="6"/>
  <c r="D555" i="6"/>
  <c r="D557" i="6"/>
  <c r="D558" i="6"/>
  <c r="D560" i="6"/>
  <c r="D564" i="6"/>
  <c r="D566" i="6"/>
  <c r="D573" i="6"/>
  <c r="D575" i="6"/>
  <c r="D576" i="6"/>
  <c r="D579" i="6"/>
  <c r="D582" i="6"/>
  <c r="D584" i="6"/>
  <c r="D595" i="6"/>
  <c r="D597" i="6"/>
  <c r="D600" i="6"/>
  <c r="D603" i="6"/>
  <c r="D606" i="6"/>
  <c r="D612" i="6"/>
  <c r="D613" i="6"/>
  <c r="D619" i="6"/>
  <c r="D621" i="6"/>
  <c r="D622" i="6"/>
  <c r="D624" i="6"/>
  <c r="D628" i="6"/>
  <c r="D630" i="6"/>
  <c r="D637" i="6"/>
  <c r="D639" i="6"/>
  <c r="D640" i="6"/>
  <c r="D643" i="6"/>
  <c r="D646" i="6"/>
  <c r="D648" i="6"/>
  <c r="D659" i="6"/>
  <c r="D661" i="6"/>
  <c r="D664" i="6"/>
  <c r="D667" i="6"/>
  <c r="D670" i="6"/>
  <c r="D676" i="6"/>
  <c r="D677" i="6"/>
  <c r="D683" i="6"/>
  <c r="D685" i="6"/>
  <c r="D686" i="6"/>
  <c r="D688" i="6"/>
  <c r="D692" i="6"/>
  <c r="D694" i="6"/>
  <c r="D701" i="6"/>
  <c r="D703" i="6"/>
  <c r="D704" i="6"/>
  <c r="D707" i="6"/>
  <c r="D710" i="6"/>
  <c r="D712" i="6"/>
  <c r="D723" i="6"/>
  <c r="D725" i="6"/>
  <c r="D728" i="6"/>
  <c r="D731" i="6"/>
  <c r="D734" i="6"/>
  <c r="D740" i="6"/>
  <c r="D741" i="6"/>
  <c r="D747" i="6"/>
  <c r="D749" i="6"/>
  <c r="D750" i="6"/>
  <c r="D752" i="6"/>
  <c r="D756" i="6"/>
  <c r="D758" i="6"/>
  <c r="D765" i="6"/>
  <c r="D767" i="6"/>
  <c r="D768" i="6"/>
  <c r="D771" i="6"/>
  <c r="D774" i="6"/>
  <c r="D776" i="6"/>
  <c r="D787" i="6"/>
  <c r="D789" i="6"/>
  <c r="D792" i="6"/>
  <c r="D795" i="6"/>
  <c r="D798" i="6"/>
  <c r="D804" i="6"/>
  <c r="D805" i="6"/>
  <c r="D811" i="6"/>
  <c r="D813" i="6"/>
  <c r="D814" i="6"/>
  <c r="D816" i="6"/>
  <c r="D820" i="6"/>
  <c r="D822" i="6"/>
  <c r="D829" i="6"/>
  <c r="D831" i="6"/>
  <c r="D832" i="6"/>
  <c r="D835" i="6"/>
  <c r="D838" i="6"/>
  <c r="D840" i="6"/>
  <c r="D851" i="6"/>
  <c r="D853" i="6"/>
  <c r="D856" i="6"/>
  <c r="D859" i="6"/>
  <c r="D862" i="6"/>
  <c r="D868" i="6"/>
  <c r="D869" i="6"/>
  <c r="D875" i="6"/>
  <c r="D877" i="6"/>
  <c r="D878" i="6"/>
  <c r="D880" i="6"/>
  <c r="D884" i="6"/>
  <c r="D886" i="6"/>
  <c r="D893" i="6"/>
  <c r="D895" i="6"/>
  <c r="D896" i="6"/>
  <c r="D899" i="6"/>
  <c r="D902" i="6"/>
  <c r="D904" i="6"/>
  <c r="D915" i="6"/>
  <c r="D917" i="6"/>
  <c r="D920" i="6"/>
  <c r="D923" i="6"/>
  <c r="D926" i="6"/>
  <c r="D932" i="6"/>
  <c r="D933" i="6"/>
  <c r="D939" i="6"/>
  <c r="D941" i="6"/>
  <c r="D942" i="6"/>
  <c r="D944" i="6"/>
  <c r="D948" i="6"/>
  <c r="D950" i="6"/>
  <c r="D957" i="6"/>
  <c r="D959" i="6"/>
  <c r="D960" i="6"/>
  <c r="D963" i="6"/>
  <c r="D966" i="6"/>
  <c r="D968" i="6"/>
  <c r="D979" i="6"/>
  <c r="D981" i="6"/>
  <c r="D984" i="6"/>
  <c r="D986" i="6"/>
  <c r="D987" i="6"/>
  <c r="D989" i="6"/>
  <c r="D992" i="6"/>
  <c r="D994" i="6"/>
  <c r="D995" i="6"/>
  <c r="D997" i="6"/>
  <c r="D1000" i="6"/>
  <c r="D2" i="6"/>
  <c r="C3" i="6"/>
  <c r="C4" i="6"/>
  <c r="D4" i="6" s="1"/>
  <c r="C5" i="6"/>
  <c r="D5" i="6" s="1"/>
  <c r="C6" i="6"/>
  <c r="C7" i="6"/>
  <c r="D7" i="6" s="1"/>
  <c r="C8" i="6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C20" i="6"/>
  <c r="D20" i="6" s="1"/>
  <c r="C21" i="6"/>
  <c r="C22" i="6"/>
  <c r="D22" i="6" s="1"/>
  <c r="C23" i="6"/>
  <c r="D23" i="6" s="1"/>
  <c r="C24" i="6"/>
  <c r="C25" i="6"/>
  <c r="D25" i="6" s="1"/>
  <c r="C26" i="6"/>
  <c r="D26" i="6" s="1"/>
  <c r="C27" i="6"/>
  <c r="C28" i="6"/>
  <c r="D28" i="6" s="1"/>
  <c r="C29" i="6"/>
  <c r="D29" i="6" s="1"/>
  <c r="C30" i="6"/>
  <c r="C31" i="6"/>
  <c r="D31" i="6" s="1"/>
  <c r="C32" i="6"/>
  <c r="D32" i="6" s="1"/>
  <c r="C33" i="6"/>
  <c r="D33" i="6" s="1"/>
  <c r="C34" i="6"/>
  <c r="D34" i="6" s="1"/>
  <c r="C35" i="6"/>
  <c r="D35" i="6" s="1"/>
  <c r="C36" i="6"/>
  <c r="C37" i="6"/>
  <c r="C38" i="6"/>
  <c r="D38" i="6" s="1"/>
  <c r="C39" i="6"/>
  <c r="D39" i="6" s="1"/>
  <c r="C40" i="6"/>
  <c r="D40" i="6" s="1"/>
  <c r="C41" i="6"/>
  <c r="D41" i="6" s="1"/>
  <c r="C42" i="6"/>
  <c r="D42" i="6" s="1"/>
  <c r="C43" i="6"/>
  <c r="C44" i="6"/>
  <c r="D44" i="6" s="1"/>
  <c r="C45" i="6"/>
  <c r="C46" i="6"/>
  <c r="C47" i="6"/>
  <c r="D47" i="6" s="1"/>
  <c r="C48" i="6"/>
  <c r="C49" i="6"/>
  <c r="D49" i="6" s="1"/>
  <c r="C50" i="6"/>
  <c r="D50" i="6" s="1"/>
  <c r="C51" i="6"/>
  <c r="D51" i="6" s="1"/>
  <c r="C52" i="6"/>
  <c r="C53" i="6"/>
  <c r="D53" i="6" s="1"/>
  <c r="C54" i="6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C62" i="6"/>
  <c r="D62" i="6" s="1"/>
  <c r="C63" i="6"/>
  <c r="C64" i="6"/>
  <c r="C65" i="6"/>
  <c r="D65" i="6" s="1"/>
  <c r="C66" i="6"/>
  <c r="D66" i="6" s="1"/>
  <c r="C67" i="6"/>
  <c r="C68" i="6"/>
  <c r="D68" i="6" s="1"/>
  <c r="C69" i="6"/>
  <c r="D69" i="6" s="1"/>
  <c r="C70" i="6"/>
  <c r="C71" i="6"/>
  <c r="D71" i="6" s="1"/>
  <c r="C72" i="6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C84" i="6"/>
  <c r="D84" i="6" s="1"/>
  <c r="C85" i="6"/>
  <c r="C86" i="6"/>
  <c r="D86" i="6" s="1"/>
  <c r="C87" i="6"/>
  <c r="D87" i="6" s="1"/>
  <c r="C88" i="6"/>
  <c r="C89" i="6"/>
  <c r="D89" i="6" s="1"/>
  <c r="C90" i="6"/>
  <c r="D90" i="6" s="1"/>
  <c r="C91" i="6"/>
  <c r="C92" i="6"/>
  <c r="D92" i="6" s="1"/>
  <c r="C93" i="6"/>
  <c r="D93" i="6" s="1"/>
  <c r="C94" i="6"/>
  <c r="C95" i="6"/>
  <c r="D95" i="6" s="1"/>
  <c r="C96" i="6"/>
  <c r="D96" i="6" s="1"/>
  <c r="C97" i="6"/>
  <c r="D97" i="6" s="1"/>
  <c r="C98" i="6"/>
  <c r="D98" i="6" s="1"/>
  <c r="C99" i="6"/>
  <c r="D99" i="6" s="1"/>
  <c r="C100" i="6"/>
  <c r="C101" i="6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C108" i="6"/>
  <c r="D108" i="6" s="1"/>
  <c r="C109" i="6"/>
  <c r="C110" i="6"/>
  <c r="C111" i="6"/>
  <c r="D111" i="6" s="1"/>
  <c r="C112" i="6"/>
  <c r="C113" i="6"/>
  <c r="D113" i="6" s="1"/>
  <c r="C114" i="6"/>
  <c r="D114" i="6" s="1"/>
  <c r="C115" i="6"/>
  <c r="D115" i="6" s="1"/>
  <c r="C116" i="6"/>
  <c r="C117" i="6"/>
  <c r="D117" i="6" s="1"/>
  <c r="C118" i="6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C126" i="6"/>
  <c r="D126" i="6" s="1"/>
  <c r="C127" i="6"/>
  <c r="C128" i="6"/>
  <c r="C129" i="6"/>
  <c r="D129" i="6" s="1"/>
  <c r="C130" i="6"/>
  <c r="D130" i="6" s="1"/>
  <c r="C131" i="6"/>
  <c r="C132" i="6"/>
  <c r="D132" i="6" s="1"/>
  <c r="C133" i="6"/>
  <c r="D133" i="6" s="1"/>
  <c r="C134" i="6"/>
  <c r="C135" i="6"/>
  <c r="D135" i="6" s="1"/>
  <c r="C136" i="6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C148" i="6"/>
  <c r="D148" i="6" s="1"/>
  <c r="C149" i="6"/>
  <c r="C150" i="6"/>
  <c r="D150" i="6" s="1"/>
  <c r="C151" i="6"/>
  <c r="D151" i="6" s="1"/>
  <c r="C152" i="6"/>
  <c r="C153" i="6"/>
  <c r="D153" i="6" s="1"/>
  <c r="C154" i="6"/>
  <c r="D154" i="6" s="1"/>
  <c r="C155" i="6"/>
  <c r="C156" i="6"/>
  <c r="D156" i="6" s="1"/>
  <c r="C157" i="6"/>
  <c r="D157" i="6" s="1"/>
  <c r="C158" i="6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C165" i="6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C172" i="6"/>
  <c r="D172" i="6" s="1"/>
  <c r="C173" i="6"/>
  <c r="C174" i="6"/>
  <c r="C175" i="6"/>
  <c r="D175" i="6" s="1"/>
  <c r="C176" i="6"/>
  <c r="C177" i="6"/>
  <c r="D177" i="6" s="1"/>
  <c r="C178" i="6"/>
  <c r="D178" i="6" s="1"/>
  <c r="C179" i="6"/>
  <c r="D179" i="6" s="1"/>
  <c r="C180" i="6"/>
  <c r="C181" i="6"/>
  <c r="D181" i="6" s="1"/>
  <c r="C182" i="6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C190" i="6"/>
  <c r="D190" i="6" s="1"/>
  <c r="C191" i="6"/>
  <c r="C192" i="6"/>
  <c r="C193" i="6"/>
  <c r="D193" i="6" s="1"/>
  <c r="C194" i="6"/>
  <c r="D194" i="6" s="1"/>
  <c r="C195" i="6"/>
  <c r="C196" i="6"/>
  <c r="D196" i="6" s="1"/>
  <c r="C197" i="6"/>
  <c r="D197" i="6" s="1"/>
  <c r="C198" i="6"/>
  <c r="C199" i="6"/>
  <c r="D199" i="6" s="1"/>
  <c r="C200" i="6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C212" i="6"/>
  <c r="D212" i="6" s="1"/>
  <c r="C213" i="6"/>
  <c r="C214" i="6"/>
  <c r="D214" i="6" s="1"/>
  <c r="C215" i="6"/>
  <c r="D215" i="6" s="1"/>
  <c r="C216" i="6"/>
  <c r="C217" i="6"/>
  <c r="D217" i="6" s="1"/>
  <c r="C218" i="6"/>
  <c r="D218" i="6" s="1"/>
  <c r="C219" i="6"/>
  <c r="C220" i="6"/>
  <c r="D220" i="6" s="1"/>
  <c r="C221" i="6"/>
  <c r="D221" i="6" s="1"/>
  <c r="C222" i="6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C229" i="6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C236" i="6"/>
  <c r="D236" i="6" s="1"/>
  <c r="C237" i="6"/>
  <c r="C238" i="6"/>
  <c r="C239" i="6"/>
  <c r="D239" i="6" s="1"/>
  <c r="C240" i="6"/>
  <c r="C241" i="6"/>
  <c r="D241" i="6" s="1"/>
  <c r="C242" i="6"/>
  <c r="D242" i="6" s="1"/>
  <c r="C243" i="6"/>
  <c r="D243" i="6" s="1"/>
  <c r="C244" i="6"/>
  <c r="C245" i="6"/>
  <c r="D245" i="6" s="1"/>
  <c r="C246" i="6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C254" i="6"/>
  <c r="D254" i="6" s="1"/>
  <c r="C255" i="6"/>
  <c r="C256" i="6"/>
  <c r="C257" i="6"/>
  <c r="D257" i="6" s="1"/>
  <c r="C258" i="6"/>
  <c r="D258" i="6" s="1"/>
  <c r="C259" i="6"/>
  <c r="C260" i="6"/>
  <c r="D260" i="6" s="1"/>
  <c r="C261" i="6"/>
  <c r="D261" i="6" s="1"/>
  <c r="C262" i="6"/>
  <c r="C263" i="6"/>
  <c r="D263" i="6" s="1"/>
  <c r="C264" i="6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C276" i="6"/>
  <c r="D276" i="6" s="1"/>
  <c r="C277" i="6"/>
  <c r="C278" i="6"/>
  <c r="D278" i="6" s="1"/>
  <c r="C279" i="6"/>
  <c r="D279" i="6" s="1"/>
  <c r="C280" i="6"/>
  <c r="C281" i="6"/>
  <c r="D281" i="6" s="1"/>
  <c r="C282" i="6"/>
  <c r="D282" i="6" s="1"/>
  <c r="C283" i="6"/>
  <c r="C284" i="6"/>
  <c r="D284" i="6" s="1"/>
  <c r="C285" i="6"/>
  <c r="D285" i="6" s="1"/>
  <c r="C286" i="6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C293" i="6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C300" i="6"/>
  <c r="D300" i="6" s="1"/>
  <c r="C301" i="6"/>
  <c r="C302" i="6"/>
  <c r="C303" i="6"/>
  <c r="D303" i="6" s="1"/>
  <c r="C304" i="6"/>
  <c r="C305" i="6"/>
  <c r="D305" i="6" s="1"/>
  <c r="C306" i="6"/>
  <c r="D306" i="6" s="1"/>
  <c r="C307" i="6"/>
  <c r="D307" i="6" s="1"/>
  <c r="C308" i="6"/>
  <c r="C309" i="6"/>
  <c r="D309" i="6" s="1"/>
  <c r="C310" i="6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C318" i="6"/>
  <c r="D318" i="6" s="1"/>
  <c r="C319" i="6"/>
  <c r="C320" i="6"/>
  <c r="C321" i="6"/>
  <c r="D321" i="6" s="1"/>
  <c r="C322" i="6"/>
  <c r="D322" i="6" s="1"/>
  <c r="C323" i="6"/>
  <c r="C324" i="6"/>
  <c r="D324" i="6" s="1"/>
  <c r="C325" i="6"/>
  <c r="D325" i="6" s="1"/>
  <c r="C326" i="6"/>
  <c r="C327" i="6"/>
  <c r="D327" i="6" s="1"/>
  <c r="C328" i="6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D335" i="6" s="1"/>
  <c r="C336" i="6"/>
  <c r="D336" i="6" s="1"/>
  <c r="C337" i="6"/>
  <c r="D337" i="6" s="1"/>
  <c r="C338" i="6"/>
  <c r="D338" i="6" s="1"/>
  <c r="C339" i="6"/>
  <c r="C340" i="6"/>
  <c r="D340" i="6" s="1"/>
  <c r="C341" i="6"/>
  <c r="C342" i="6"/>
  <c r="D342" i="6" s="1"/>
  <c r="C343" i="6"/>
  <c r="D343" i="6" s="1"/>
  <c r="C344" i="6"/>
  <c r="C345" i="6"/>
  <c r="D345" i="6" s="1"/>
  <c r="C346" i="6"/>
  <c r="D346" i="6" s="1"/>
  <c r="C347" i="6"/>
  <c r="C348" i="6"/>
  <c r="D348" i="6" s="1"/>
  <c r="C349" i="6"/>
  <c r="D349" i="6" s="1"/>
  <c r="C350" i="6"/>
  <c r="C351" i="6"/>
  <c r="D351" i="6" s="1"/>
  <c r="C352" i="6"/>
  <c r="D352" i="6" s="1"/>
  <c r="C353" i="6"/>
  <c r="D353" i="6" s="1"/>
  <c r="C354" i="6"/>
  <c r="D354" i="6" s="1"/>
  <c r="C355" i="6"/>
  <c r="D355" i="6" s="1"/>
  <c r="C356" i="6"/>
  <c r="C357" i="6"/>
  <c r="C358" i="6"/>
  <c r="D358" i="6" s="1"/>
  <c r="C359" i="6"/>
  <c r="D359" i="6" s="1"/>
  <c r="C360" i="6"/>
  <c r="D360" i="6" s="1"/>
  <c r="C361" i="6"/>
  <c r="D361" i="6" s="1"/>
  <c r="C362" i="6"/>
  <c r="D362" i="6" s="1"/>
  <c r="C363" i="6"/>
  <c r="C364" i="6"/>
  <c r="D364" i="6" s="1"/>
  <c r="C365" i="6"/>
  <c r="C366" i="6"/>
  <c r="C367" i="6"/>
  <c r="D367" i="6" s="1"/>
  <c r="C368" i="6"/>
  <c r="C369" i="6"/>
  <c r="D369" i="6" s="1"/>
  <c r="C370" i="6"/>
  <c r="D370" i="6" s="1"/>
  <c r="C371" i="6"/>
  <c r="D371" i="6" s="1"/>
  <c r="C372" i="6"/>
  <c r="C373" i="6"/>
  <c r="D373" i="6" s="1"/>
  <c r="C374" i="6"/>
  <c r="C375" i="6"/>
  <c r="D375" i="6" s="1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C382" i="6"/>
  <c r="D382" i="6" s="1"/>
  <c r="C383" i="6"/>
  <c r="C384" i="6"/>
  <c r="C385" i="6"/>
  <c r="D385" i="6" s="1"/>
  <c r="C386" i="6"/>
  <c r="D386" i="6" s="1"/>
  <c r="C387" i="6"/>
  <c r="C388" i="6"/>
  <c r="D388" i="6" s="1"/>
  <c r="C389" i="6"/>
  <c r="D389" i="6" s="1"/>
  <c r="C390" i="6"/>
  <c r="C391" i="6"/>
  <c r="D391" i="6" s="1"/>
  <c r="C392" i="6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D398" i="6" s="1"/>
  <c r="C399" i="6"/>
  <c r="D399" i="6" s="1"/>
  <c r="C400" i="6"/>
  <c r="D400" i="6" s="1"/>
  <c r="C401" i="6"/>
  <c r="D401" i="6" s="1"/>
  <c r="C402" i="6"/>
  <c r="D402" i="6" s="1"/>
  <c r="C403" i="6"/>
  <c r="C404" i="6"/>
  <c r="D404" i="6" s="1"/>
  <c r="C405" i="6"/>
  <c r="C406" i="6"/>
  <c r="D406" i="6" s="1"/>
  <c r="C407" i="6"/>
  <c r="D407" i="6" s="1"/>
  <c r="C408" i="6"/>
  <c r="C409" i="6"/>
  <c r="D409" i="6" s="1"/>
  <c r="C410" i="6"/>
  <c r="D410" i="6" s="1"/>
  <c r="C411" i="6"/>
  <c r="C412" i="6"/>
  <c r="D412" i="6" s="1"/>
  <c r="C413" i="6"/>
  <c r="D413" i="6" s="1"/>
  <c r="C414" i="6"/>
  <c r="C415" i="6"/>
  <c r="D415" i="6" s="1"/>
  <c r="C416" i="6"/>
  <c r="D416" i="6" s="1"/>
  <c r="C417" i="6"/>
  <c r="D417" i="6" s="1"/>
  <c r="C418" i="6"/>
  <c r="D418" i="6" s="1"/>
  <c r="C419" i="6"/>
  <c r="D419" i="6" s="1"/>
  <c r="C420" i="6"/>
  <c r="C421" i="6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C428" i="6"/>
  <c r="D428" i="6" s="1"/>
  <c r="C429" i="6"/>
  <c r="C430" i="6"/>
  <c r="C431" i="6"/>
  <c r="D431" i="6" s="1"/>
  <c r="C432" i="6"/>
  <c r="C433" i="6"/>
  <c r="D433" i="6" s="1"/>
  <c r="C434" i="6"/>
  <c r="D434" i="6" s="1"/>
  <c r="C435" i="6"/>
  <c r="D435" i="6" s="1"/>
  <c r="C436" i="6"/>
  <c r="C437" i="6"/>
  <c r="D437" i="6" s="1"/>
  <c r="C438" i="6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C446" i="6"/>
  <c r="D446" i="6" s="1"/>
  <c r="C447" i="6"/>
  <c r="C448" i="6"/>
  <c r="C449" i="6"/>
  <c r="D449" i="6" s="1"/>
  <c r="C450" i="6"/>
  <c r="D450" i="6" s="1"/>
  <c r="C451" i="6"/>
  <c r="C452" i="6"/>
  <c r="D452" i="6" s="1"/>
  <c r="C453" i="6"/>
  <c r="D453" i="6" s="1"/>
  <c r="C454" i="6"/>
  <c r="C455" i="6"/>
  <c r="D455" i="6" s="1"/>
  <c r="C456" i="6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D462" i="6" s="1"/>
  <c r="C463" i="6"/>
  <c r="D463" i="6" s="1"/>
  <c r="C464" i="6"/>
  <c r="D464" i="6" s="1"/>
  <c r="C465" i="6"/>
  <c r="D465" i="6" s="1"/>
  <c r="C466" i="6"/>
  <c r="D466" i="6" s="1"/>
  <c r="C467" i="6"/>
  <c r="C468" i="6"/>
  <c r="D468" i="6" s="1"/>
  <c r="C469" i="6"/>
  <c r="C470" i="6"/>
  <c r="D470" i="6" s="1"/>
  <c r="C471" i="6"/>
  <c r="D471" i="6" s="1"/>
  <c r="C472" i="6"/>
  <c r="C473" i="6"/>
  <c r="D473" i="6" s="1"/>
  <c r="C474" i="6"/>
  <c r="D474" i="6" s="1"/>
  <c r="C475" i="6"/>
  <c r="C476" i="6"/>
  <c r="D476" i="6" s="1"/>
  <c r="C477" i="6"/>
  <c r="D477" i="6" s="1"/>
  <c r="C478" i="6"/>
  <c r="C479" i="6"/>
  <c r="D479" i="6" s="1"/>
  <c r="C480" i="6"/>
  <c r="D480" i="6" s="1"/>
  <c r="C481" i="6"/>
  <c r="D481" i="6" s="1"/>
  <c r="C482" i="6"/>
  <c r="D482" i="6" s="1"/>
  <c r="C483" i="6"/>
  <c r="D483" i="6" s="1"/>
  <c r="C484" i="6"/>
  <c r="C485" i="6"/>
  <c r="C486" i="6"/>
  <c r="D486" i="6" s="1"/>
  <c r="C487" i="6"/>
  <c r="D487" i="6" s="1"/>
  <c r="C488" i="6"/>
  <c r="D488" i="6" s="1"/>
  <c r="C489" i="6"/>
  <c r="D489" i="6" s="1"/>
  <c r="C490" i="6"/>
  <c r="D490" i="6" s="1"/>
  <c r="C491" i="6"/>
  <c r="C492" i="6"/>
  <c r="D492" i="6" s="1"/>
  <c r="C493" i="6"/>
  <c r="C494" i="6"/>
  <c r="C495" i="6"/>
  <c r="D495" i="6" s="1"/>
  <c r="C496" i="6"/>
  <c r="C497" i="6"/>
  <c r="D497" i="6" s="1"/>
  <c r="C498" i="6"/>
  <c r="D498" i="6" s="1"/>
  <c r="C499" i="6"/>
  <c r="D499" i="6" s="1"/>
  <c r="C500" i="6"/>
  <c r="C501" i="6"/>
  <c r="D501" i="6" s="1"/>
  <c r="C502" i="6"/>
  <c r="C503" i="6"/>
  <c r="D503" i="6" s="1"/>
  <c r="C504" i="6"/>
  <c r="D504" i="6" s="1"/>
  <c r="C505" i="6"/>
  <c r="D505" i="6" s="1"/>
  <c r="C506" i="6"/>
  <c r="D506" i="6" s="1"/>
  <c r="C507" i="6"/>
  <c r="D507" i="6" s="1"/>
  <c r="C508" i="6"/>
  <c r="D508" i="6" s="1"/>
  <c r="C509" i="6"/>
  <c r="C510" i="6"/>
  <c r="D510" i="6" s="1"/>
  <c r="C511" i="6"/>
  <c r="C512" i="6"/>
  <c r="C513" i="6"/>
  <c r="D513" i="6" s="1"/>
  <c r="C514" i="6"/>
  <c r="D514" i="6" s="1"/>
  <c r="C515" i="6"/>
  <c r="C516" i="6"/>
  <c r="D516" i="6" s="1"/>
  <c r="C517" i="6"/>
  <c r="D517" i="6" s="1"/>
  <c r="C518" i="6"/>
  <c r="C519" i="6"/>
  <c r="D519" i="6" s="1"/>
  <c r="C520" i="6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D526" i="6" s="1"/>
  <c r="C527" i="6"/>
  <c r="D527" i="6" s="1"/>
  <c r="C528" i="6"/>
  <c r="D528" i="6" s="1"/>
  <c r="C529" i="6"/>
  <c r="D529" i="6" s="1"/>
  <c r="C530" i="6"/>
  <c r="D530" i="6" s="1"/>
  <c r="C531" i="6"/>
  <c r="C532" i="6"/>
  <c r="D532" i="6" s="1"/>
  <c r="C533" i="6"/>
  <c r="C534" i="6"/>
  <c r="D534" i="6" s="1"/>
  <c r="C535" i="6"/>
  <c r="D535" i="6" s="1"/>
  <c r="C536" i="6"/>
  <c r="C537" i="6"/>
  <c r="D537" i="6" s="1"/>
  <c r="C538" i="6"/>
  <c r="D538" i="6" s="1"/>
  <c r="C539" i="6"/>
  <c r="C540" i="6"/>
  <c r="D540" i="6" s="1"/>
  <c r="C541" i="6"/>
  <c r="D541" i="6" s="1"/>
  <c r="C542" i="6"/>
  <c r="C543" i="6"/>
  <c r="D543" i="6" s="1"/>
  <c r="C544" i="6"/>
  <c r="D544" i="6" s="1"/>
  <c r="C545" i="6"/>
  <c r="D545" i="6" s="1"/>
  <c r="C546" i="6"/>
  <c r="D546" i="6" s="1"/>
  <c r="C547" i="6"/>
  <c r="D547" i="6" s="1"/>
  <c r="C548" i="6"/>
  <c r="C549" i="6"/>
  <c r="C550" i="6"/>
  <c r="D550" i="6" s="1"/>
  <c r="C551" i="6"/>
  <c r="D551" i="6" s="1"/>
  <c r="C552" i="6"/>
  <c r="D552" i="6" s="1"/>
  <c r="C553" i="6"/>
  <c r="D553" i="6" s="1"/>
  <c r="C554" i="6"/>
  <c r="D554" i="6" s="1"/>
  <c r="C555" i="6"/>
  <c r="C556" i="6"/>
  <c r="D556" i="6" s="1"/>
  <c r="C557" i="6"/>
  <c r="C558" i="6"/>
  <c r="C559" i="6"/>
  <c r="D559" i="6" s="1"/>
  <c r="C560" i="6"/>
  <c r="C561" i="6"/>
  <c r="D561" i="6" s="1"/>
  <c r="C562" i="6"/>
  <c r="D562" i="6" s="1"/>
  <c r="C563" i="6"/>
  <c r="D563" i="6" s="1"/>
  <c r="C564" i="6"/>
  <c r="C565" i="6"/>
  <c r="D565" i="6" s="1"/>
  <c r="C566" i="6"/>
  <c r="C567" i="6"/>
  <c r="D567" i="6" s="1"/>
  <c r="C568" i="6"/>
  <c r="D568" i="6" s="1"/>
  <c r="C569" i="6"/>
  <c r="D569" i="6" s="1"/>
  <c r="C570" i="6"/>
  <c r="D570" i="6" s="1"/>
  <c r="C571" i="6"/>
  <c r="D571" i="6" s="1"/>
  <c r="C572" i="6"/>
  <c r="D572" i="6" s="1"/>
  <c r="C573" i="6"/>
  <c r="C574" i="6"/>
  <c r="D574" i="6" s="1"/>
  <c r="C575" i="6"/>
  <c r="C576" i="6"/>
  <c r="C577" i="6"/>
  <c r="D577" i="6" s="1"/>
  <c r="C578" i="6"/>
  <c r="D578" i="6" s="1"/>
  <c r="C579" i="6"/>
  <c r="C580" i="6"/>
  <c r="D580" i="6" s="1"/>
  <c r="C581" i="6"/>
  <c r="D581" i="6" s="1"/>
  <c r="C582" i="6"/>
  <c r="C583" i="6"/>
  <c r="D583" i="6" s="1"/>
  <c r="C584" i="6"/>
  <c r="C585" i="6"/>
  <c r="D585" i="6" s="1"/>
  <c r="C586" i="6"/>
  <c r="D586" i="6" s="1"/>
  <c r="C587" i="6"/>
  <c r="D587" i="6" s="1"/>
  <c r="C588" i="6"/>
  <c r="D588" i="6" s="1"/>
  <c r="C589" i="6"/>
  <c r="D589" i="6" s="1"/>
  <c r="C590" i="6"/>
  <c r="D590" i="6" s="1"/>
  <c r="C591" i="6"/>
  <c r="D591" i="6" s="1"/>
  <c r="C592" i="6"/>
  <c r="D592" i="6" s="1"/>
  <c r="C593" i="6"/>
  <c r="D593" i="6" s="1"/>
  <c r="C594" i="6"/>
  <c r="D594" i="6" s="1"/>
  <c r="C595" i="6"/>
  <c r="C596" i="6"/>
  <c r="D596" i="6" s="1"/>
  <c r="C597" i="6"/>
  <c r="C598" i="6"/>
  <c r="D598" i="6" s="1"/>
  <c r="C599" i="6"/>
  <c r="D599" i="6" s="1"/>
  <c r="C600" i="6"/>
  <c r="C601" i="6"/>
  <c r="D601" i="6" s="1"/>
  <c r="C602" i="6"/>
  <c r="D602" i="6" s="1"/>
  <c r="C603" i="6"/>
  <c r="C604" i="6"/>
  <c r="D604" i="6" s="1"/>
  <c r="C605" i="6"/>
  <c r="D605" i="6" s="1"/>
  <c r="C606" i="6"/>
  <c r="C607" i="6"/>
  <c r="D607" i="6" s="1"/>
  <c r="C608" i="6"/>
  <c r="D608" i="6" s="1"/>
  <c r="C609" i="6"/>
  <c r="D609" i="6" s="1"/>
  <c r="C610" i="6"/>
  <c r="D610" i="6" s="1"/>
  <c r="C611" i="6"/>
  <c r="D611" i="6" s="1"/>
  <c r="C612" i="6"/>
  <c r="C613" i="6"/>
  <c r="C614" i="6"/>
  <c r="D614" i="6" s="1"/>
  <c r="C615" i="6"/>
  <c r="D615" i="6" s="1"/>
  <c r="C616" i="6"/>
  <c r="D616" i="6" s="1"/>
  <c r="C617" i="6"/>
  <c r="D617" i="6" s="1"/>
  <c r="C618" i="6"/>
  <c r="D618" i="6" s="1"/>
  <c r="C619" i="6"/>
  <c r="C620" i="6"/>
  <c r="D620" i="6" s="1"/>
  <c r="C621" i="6"/>
  <c r="C622" i="6"/>
  <c r="C623" i="6"/>
  <c r="D623" i="6" s="1"/>
  <c r="C624" i="6"/>
  <c r="C625" i="6"/>
  <c r="D625" i="6" s="1"/>
  <c r="C626" i="6"/>
  <c r="D626" i="6" s="1"/>
  <c r="C627" i="6"/>
  <c r="D627" i="6" s="1"/>
  <c r="C628" i="6"/>
  <c r="C629" i="6"/>
  <c r="D629" i="6" s="1"/>
  <c r="C630" i="6"/>
  <c r="C631" i="6"/>
  <c r="D631" i="6" s="1"/>
  <c r="C632" i="6"/>
  <c r="D632" i="6" s="1"/>
  <c r="C633" i="6"/>
  <c r="D633" i="6" s="1"/>
  <c r="C634" i="6"/>
  <c r="D634" i="6" s="1"/>
  <c r="C635" i="6"/>
  <c r="D635" i="6" s="1"/>
  <c r="C636" i="6"/>
  <c r="D636" i="6" s="1"/>
  <c r="C637" i="6"/>
  <c r="C638" i="6"/>
  <c r="D638" i="6" s="1"/>
  <c r="C639" i="6"/>
  <c r="C640" i="6"/>
  <c r="C641" i="6"/>
  <c r="D641" i="6" s="1"/>
  <c r="C642" i="6"/>
  <c r="D642" i="6" s="1"/>
  <c r="C643" i="6"/>
  <c r="C644" i="6"/>
  <c r="D644" i="6" s="1"/>
  <c r="C645" i="6"/>
  <c r="D645" i="6" s="1"/>
  <c r="C646" i="6"/>
  <c r="C647" i="6"/>
  <c r="D647" i="6" s="1"/>
  <c r="C648" i="6"/>
  <c r="C649" i="6"/>
  <c r="D649" i="6" s="1"/>
  <c r="C650" i="6"/>
  <c r="D650" i="6" s="1"/>
  <c r="C651" i="6"/>
  <c r="D651" i="6" s="1"/>
  <c r="C652" i="6"/>
  <c r="D652" i="6" s="1"/>
  <c r="C653" i="6"/>
  <c r="D653" i="6" s="1"/>
  <c r="C654" i="6"/>
  <c r="D654" i="6" s="1"/>
  <c r="C655" i="6"/>
  <c r="D655" i="6" s="1"/>
  <c r="C656" i="6"/>
  <c r="D656" i="6" s="1"/>
  <c r="C657" i="6"/>
  <c r="D657" i="6" s="1"/>
  <c r="C658" i="6"/>
  <c r="D658" i="6" s="1"/>
  <c r="C659" i="6"/>
  <c r="C660" i="6"/>
  <c r="D660" i="6" s="1"/>
  <c r="C661" i="6"/>
  <c r="C662" i="6"/>
  <c r="D662" i="6" s="1"/>
  <c r="C663" i="6"/>
  <c r="D663" i="6" s="1"/>
  <c r="C664" i="6"/>
  <c r="C665" i="6"/>
  <c r="D665" i="6" s="1"/>
  <c r="C666" i="6"/>
  <c r="D666" i="6" s="1"/>
  <c r="C667" i="6"/>
  <c r="C668" i="6"/>
  <c r="D668" i="6" s="1"/>
  <c r="C669" i="6"/>
  <c r="D669" i="6" s="1"/>
  <c r="C670" i="6"/>
  <c r="C671" i="6"/>
  <c r="D671" i="6" s="1"/>
  <c r="C672" i="6"/>
  <c r="D672" i="6" s="1"/>
  <c r="C673" i="6"/>
  <c r="D673" i="6" s="1"/>
  <c r="C674" i="6"/>
  <c r="D674" i="6" s="1"/>
  <c r="C675" i="6"/>
  <c r="D675" i="6" s="1"/>
  <c r="C676" i="6"/>
  <c r="C677" i="6"/>
  <c r="C678" i="6"/>
  <c r="D678" i="6" s="1"/>
  <c r="C679" i="6"/>
  <c r="D679" i="6" s="1"/>
  <c r="C680" i="6"/>
  <c r="D680" i="6" s="1"/>
  <c r="C681" i="6"/>
  <c r="D681" i="6" s="1"/>
  <c r="C682" i="6"/>
  <c r="D682" i="6" s="1"/>
  <c r="C683" i="6"/>
  <c r="C684" i="6"/>
  <c r="D684" i="6" s="1"/>
  <c r="C685" i="6"/>
  <c r="C686" i="6"/>
  <c r="C687" i="6"/>
  <c r="D687" i="6" s="1"/>
  <c r="C688" i="6"/>
  <c r="C689" i="6"/>
  <c r="D689" i="6" s="1"/>
  <c r="C690" i="6"/>
  <c r="D690" i="6" s="1"/>
  <c r="C691" i="6"/>
  <c r="D691" i="6" s="1"/>
  <c r="C692" i="6"/>
  <c r="C693" i="6"/>
  <c r="D693" i="6" s="1"/>
  <c r="C694" i="6"/>
  <c r="C695" i="6"/>
  <c r="D695" i="6" s="1"/>
  <c r="C696" i="6"/>
  <c r="D696" i="6" s="1"/>
  <c r="C697" i="6"/>
  <c r="D697" i="6" s="1"/>
  <c r="C698" i="6"/>
  <c r="D698" i="6" s="1"/>
  <c r="C699" i="6"/>
  <c r="D699" i="6" s="1"/>
  <c r="C700" i="6"/>
  <c r="D700" i="6" s="1"/>
  <c r="C701" i="6"/>
  <c r="C702" i="6"/>
  <c r="D702" i="6" s="1"/>
  <c r="C703" i="6"/>
  <c r="C704" i="6"/>
  <c r="C705" i="6"/>
  <c r="D705" i="6" s="1"/>
  <c r="C706" i="6"/>
  <c r="D706" i="6" s="1"/>
  <c r="C707" i="6"/>
  <c r="C708" i="6"/>
  <c r="D708" i="6" s="1"/>
  <c r="C709" i="6"/>
  <c r="D709" i="6" s="1"/>
  <c r="C710" i="6"/>
  <c r="C711" i="6"/>
  <c r="D711" i="6" s="1"/>
  <c r="C712" i="6"/>
  <c r="C713" i="6"/>
  <c r="D713" i="6" s="1"/>
  <c r="C714" i="6"/>
  <c r="D714" i="6" s="1"/>
  <c r="C715" i="6"/>
  <c r="D715" i="6" s="1"/>
  <c r="C716" i="6"/>
  <c r="D716" i="6" s="1"/>
  <c r="C717" i="6"/>
  <c r="D717" i="6" s="1"/>
  <c r="C718" i="6"/>
  <c r="D718" i="6" s="1"/>
  <c r="C719" i="6"/>
  <c r="D719" i="6" s="1"/>
  <c r="C720" i="6"/>
  <c r="D720" i="6" s="1"/>
  <c r="C721" i="6"/>
  <c r="D721" i="6" s="1"/>
  <c r="C722" i="6"/>
  <c r="D722" i="6" s="1"/>
  <c r="C723" i="6"/>
  <c r="C724" i="6"/>
  <c r="D724" i="6" s="1"/>
  <c r="C725" i="6"/>
  <c r="C726" i="6"/>
  <c r="D726" i="6" s="1"/>
  <c r="C727" i="6"/>
  <c r="D727" i="6" s="1"/>
  <c r="C728" i="6"/>
  <c r="C729" i="6"/>
  <c r="D729" i="6" s="1"/>
  <c r="C730" i="6"/>
  <c r="D730" i="6" s="1"/>
  <c r="C731" i="6"/>
  <c r="C732" i="6"/>
  <c r="D732" i="6" s="1"/>
  <c r="C733" i="6"/>
  <c r="D733" i="6" s="1"/>
  <c r="C734" i="6"/>
  <c r="C735" i="6"/>
  <c r="D735" i="6" s="1"/>
  <c r="C736" i="6"/>
  <c r="D736" i="6" s="1"/>
  <c r="C737" i="6"/>
  <c r="D737" i="6" s="1"/>
  <c r="C738" i="6"/>
  <c r="D738" i="6" s="1"/>
  <c r="C739" i="6"/>
  <c r="D739" i="6" s="1"/>
  <c r="C740" i="6"/>
  <c r="C741" i="6"/>
  <c r="C742" i="6"/>
  <c r="D742" i="6" s="1"/>
  <c r="C743" i="6"/>
  <c r="D743" i="6" s="1"/>
  <c r="C744" i="6"/>
  <c r="D744" i="6" s="1"/>
  <c r="C745" i="6"/>
  <c r="D745" i="6" s="1"/>
  <c r="C746" i="6"/>
  <c r="D746" i="6" s="1"/>
  <c r="C747" i="6"/>
  <c r="C748" i="6"/>
  <c r="D748" i="6" s="1"/>
  <c r="C749" i="6"/>
  <c r="C750" i="6"/>
  <c r="C751" i="6"/>
  <c r="D751" i="6" s="1"/>
  <c r="C752" i="6"/>
  <c r="C753" i="6"/>
  <c r="D753" i="6" s="1"/>
  <c r="C754" i="6"/>
  <c r="D754" i="6" s="1"/>
  <c r="C755" i="6"/>
  <c r="D755" i="6" s="1"/>
  <c r="C756" i="6"/>
  <c r="C757" i="6"/>
  <c r="D757" i="6" s="1"/>
  <c r="C758" i="6"/>
  <c r="C759" i="6"/>
  <c r="D759" i="6" s="1"/>
  <c r="C760" i="6"/>
  <c r="D760" i="6" s="1"/>
  <c r="C761" i="6"/>
  <c r="D761" i="6" s="1"/>
  <c r="C762" i="6"/>
  <c r="D762" i="6" s="1"/>
  <c r="C763" i="6"/>
  <c r="D763" i="6" s="1"/>
  <c r="C764" i="6"/>
  <c r="D764" i="6" s="1"/>
  <c r="C765" i="6"/>
  <c r="C766" i="6"/>
  <c r="D766" i="6" s="1"/>
  <c r="C767" i="6"/>
  <c r="C768" i="6"/>
  <c r="C769" i="6"/>
  <c r="D769" i="6" s="1"/>
  <c r="C770" i="6"/>
  <c r="D770" i="6" s="1"/>
  <c r="C771" i="6"/>
  <c r="C772" i="6"/>
  <c r="D772" i="6" s="1"/>
  <c r="C773" i="6"/>
  <c r="D773" i="6" s="1"/>
  <c r="C774" i="6"/>
  <c r="C775" i="6"/>
  <c r="D775" i="6" s="1"/>
  <c r="C776" i="6"/>
  <c r="C777" i="6"/>
  <c r="D777" i="6" s="1"/>
  <c r="C778" i="6"/>
  <c r="D778" i="6" s="1"/>
  <c r="C779" i="6"/>
  <c r="D779" i="6" s="1"/>
  <c r="C780" i="6"/>
  <c r="D780" i="6" s="1"/>
  <c r="C781" i="6"/>
  <c r="D781" i="6" s="1"/>
  <c r="C782" i="6"/>
  <c r="D782" i="6" s="1"/>
  <c r="C783" i="6"/>
  <c r="D783" i="6" s="1"/>
  <c r="C784" i="6"/>
  <c r="D784" i="6" s="1"/>
  <c r="C785" i="6"/>
  <c r="D785" i="6" s="1"/>
  <c r="C786" i="6"/>
  <c r="D786" i="6" s="1"/>
  <c r="C787" i="6"/>
  <c r="C788" i="6"/>
  <c r="D788" i="6" s="1"/>
  <c r="C789" i="6"/>
  <c r="C790" i="6"/>
  <c r="D790" i="6" s="1"/>
  <c r="C791" i="6"/>
  <c r="D791" i="6" s="1"/>
  <c r="C792" i="6"/>
  <c r="C793" i="6"/>
  <c r="D793" i="6" s="1"/>
  <c r="C794" i="6"/>
  <c r="D794" i="6" s="1"/>
  <c r="C795" i="6"/>
  <c r="C796" i="6"/>
  <c r="D796" i="6" s="1"/>
  <c r="C797" i="6"/>
  <c r="D797" i="6" s="1"/>
  <c r="C798" i="6"/>
  <c r="C799" i="6"/>
  <c r="D799" i="6" s="1"/>
  <c r="C800" i="6"/>
  <c r="D800" i="6" s="1"/>
  <c r="C801" i="6"/>
  <c r="D801" i="6" s="1"/>
  <c r="C802" i="6"/>
  <c r="D802" i="6" s="1"/>
  <c r="C803" i="6"/>
  <c r="D803" i="6" s="1"/>
  <c r="C804" i="6"/>
  <c r="C805" i="6"/>
  <c r="C806" i="6"/>
  <c r="D806" i="6" s="1"/>
  <c r="C807" i="6"/>
  <c r="D807" i="6" s="1"/>
  <c r="C808" i="6"/>
  <c r="D808" i="6" s="1"/>
  <c r="C809" i="6"/>
  <c r="D809" i="6" s="1"/>
  <c r="C810" i="6"/>
  <c r="D810" i="6" s="1"/>
  <c r="C811" i="6"/>
  <c r="C812" i="6"/>
  <c r="D812" i="6" s="1"/>
  <c r="C813" i="6"/>
  <c r="C814" i="6"/>
  <c r="C815" i="6"/>
  <c r="D815" i="6" s="1"/>
  <c r="C816" i="6"/>
  <c r="C817" i="6"/>
  <c r="D817" i="6" s="1"/>
  <c r="C818" i="6"/>
  <c r="D818" i="6" s="1"/>
  <c r="C819" i="6"/>
  <c r="D819" i="6" s="1"/>
  <c r="C820" i="6"/>
  <c r="C821" i="6"/>
  <c r="D821" i="6" s="1"/>
  <c r="C822" i="6"/>
  <c r="C823" i="6"/>
  <c r="D823" i="6" s="1"/>
  <c r="C824" i="6"/>
  <c r="D824" i="6" s="1"/>
  <c r="C825" i="6"/>
  <c r="D825" i="6" s="1"/>
  <c r="C826" i="6"/>
  <c r="D826" i="6" s="1"/>
  <c r="C827" i="6"/>
  <c r="D827" i="6" s="1"/>
  <c r="C828" i="6"/>
  <c r="D828" i="6" s="1"/>
  <c r="C829" i="6"/>
  <c r="C830" i="6"/>
  <c r="D830" i="6" s="1"/>
  <c r="C831" i="6"/>
  <c r="C832" i="6"/>
  <c r="C833" i="6"/>
  <c r="D833" i="6" s="1"/>
  <c r="C834" i="6"/>
  <c r="D834" i="6" s="1"/>
  <c r="C835" i="6"/>
  <c r="C836" i="6"/>
  <c r="D836" i="6" s="1"/>
  <c r="C837" i="6"/>
  <c r="D837" i="6" s="1"/>
  <c r="C838" i="6"/>
  <c r="C839" i="6"/>
  <c r="D839" i="6" s="1"/>
  <c r="C840" i="6"/>
  <c r="C841" i="6"/>
  <c r="D841" i="6" s="1"/>
  <c r="C842" i="6"/>
  <c r="D842" i="6" s="1"/>
  <c r="C843" i="6"/>
  <c r="D843" i="6" s="1"/>
  <c r="C844" i="6"/>
  <c r="D844" i="6" s="1"/>
  <c r="C845" i="6"/>
  <c r="D845" i="6" s="1"/>
  <c r="C846" i="6"/>
  <c r="D846" i="6" s="1"/>
  <c r="C847" i="6"/>
  <c r="D847" i="6" s="1"/>
  <c r="C848" i="6"/>
  <c r="D848" i="6" s="1"/>
  <c r="C849" i="6"/>
  <c r="D849" i="6" s="1"/>
  <c r="C850" i="6"/>
  <c r="D850" i="6" s="1"/>
  <c r="C851" i="6"/>
  <c r="C852" i="6"/>
  <c r="D852" i="6" s="1"/>
  <c r="C853" i="6"/>
  <c r="C854" i="6"/>
  <c r="D854" i="6" s="1"/>
  <c r="C855" i="6"/>
  <c r="D855" i="6" s="1"/>
  <c r="C856" i="6"/>
  <c r="C857" i="6"/>
  <c r="D857" i="6" s="1"/>
  <c r="C858" i="6"/>
  <c r="D858" i="6" s="1"/>
  <c r="C859" i="6"/>
  <c r="C860" i="6"/>
  <c r="D860" i="6" s="1"/>
  <c r="C861" i="6"/>
  <c r="D861" i="6" s="1"/>
  <c r="C862" i="6"/>
  <c r="C863" i="6"/>
  <c r="D863" i="6" s="1"/>
  <c r="C864" i="6"/>
  <c r="D864" i="6" s="1"/>
  <c r="C865" i="6"/>
  <c r="D865" i="6" s="1"/>
  <c r="C866" i="6"/>
  <c r="D866" i="6" s="1"/>
  <c r="C867" i="6"/>
  <c r="D867" i="6" s="1"/>
  <c r="C868" i="6"/>
  <c r="C869" i="6"/>
  <c r="C870" i="6"/>
  <c r="D870" i="6" s="1"/>
  <c r="C871" i="6"/>
  <c r="D871" i="6" s="1"/>
  <c r="C872" i="6"/>
  <c r="D872" i="6" s="1"/>
  <c r="C873" i="6"/>
  <c r="D873" i="6" s="1"/>
  <c r="C874" i="6"/>
  <c r="D874" i="6" s="1"/>
  <c r="C875" i="6"/>
  <c r="C876" i="6"/>
  <c r="D876" i="6" s="1"/>
  <c r="C877" i="6"/>
  <c r="C878" i="6"/>
  <c r="C879" i="6"/>
  <c r="D879" i="6" s="1"/>
  <c r="C880" i="6"/>
  <c r="C881" i="6"/>
  <c r="D881" i="6" s="1"/>
  <c r="C882" i="6"/>
  <c r="D882" i="6" s="1"/>
  <c r="C883" i="6"/>
  <c r="D883" i="6" s="1"/>
  <c r="C884" i="6"/>
  <c r="C885" i="6"/>
  <c r="D885" i="6" s="1"/>
  <c r="C886" i="6"/>
  <c r="C887" i="6"/>
  <c r="D887" i="6" s="1"/>
  <c r="C888" i="6"/>
  <c r="D888" i="6" s="1"/>
  <c r="C889" i="6"/>
  <c r="D889" i="6" s="1"/>
  <c r="C890" i="6"/>
  <c r="D890" i="6" s="1"/>
  <c r="C891" i="6"/>
  <c r="D891" i="6" s="1"/>
  <c r="C892" i="6"/>
  <c r="D892" i="6" s="1"/>
  <c r="C893" i="6"/>
  <c r="C894" i="6"/>
  <c r="D894" i="6" s="1"/>
  <c r="C895" i="6"/>
  <c r="C896" i="6"/>
  <c r="C897" i="6"/>
  <c r="D897" i="6" s="1"/>
  <c r="C898" i="6"/>
  <c r="D898" i="6" s="1"/>
  <c r="C899" i="6"/>
  <c r="C900" i="6"/>
  <c r="D900" i="6" s="1"/>
  <c r="C901" i="6"/>
  <c r="D901" i="6" s="1"/>
  <c r="C902" i="6"/>
  <c r="C903" i="6"/>
  <c r="D903" i="6" s="1"/>
  <c r="C904" i="6"/>
  <c r="C905" i="6"/>
  <c r="D905" i="6" s="1"/>
  <c r="C906" i="6"/>
  <c r="D906" i="6" s="1"/>
  <c r="C907" i="6"/>
  <c r="D907" i="6" s="1"/>
  <c r="C908" i="6"/>
  <c r="D908" i="6" s="1"/>
  <c r="C909" i="6"/>
  <c r="D909" i="6" s="1"/>
  <c r="C910" i="6"/>
  <c r="D910" i="6" s="1"/>
  <c r="C911" i="6"/>
  <c r="D911" i="6" s="1"/>
  <c r="C912" i="6"/>
  <c r="D912" i="6" s="1"/>
  <c r="C913" i="6"/>
  <c r="D913" i="6" s="1"/>
  <c r="C914" i="6"/>
  <c r="D914" i="6" s="1"/>
  <c r="C915" i="6"/>
  <c r="C916" i="6"/>
  <c r="D916" i="6" s="1"/>
  <c r="C917" i="6"/>
  <c r="C918" i="6"/>
  <c r="D918" i="6" s="1"/>
  <c r="C919" i="6"/>
  <c r="D919" i="6" s="1"/>
  <c r="C920" i="6"/>
  <c r="C921" i="6"/>
  <c r="D921" i="6" s="1"/>
  <c r="C922" i="6"/>
  <c r="D922" i="6" s="1"/>
  <c r="C923" i="6"/>
  <c r="C924" i="6"/>
  <c r="D924" i="6" s="1"/>
  <c r="C925" i="6"/>
  <c r="D925" i="6" s="1"/>
  <c r="C926" i="6"/>
  <c r="C927" i="6"/>
  <c r="D927" i="6" s="1"/>
  <c r="C928" i="6"/>
  <c r="D928" i="6" s="1"/>
  <c r="C929" i="6"/>
  <c r="D929" i="6" s="1"/>
  <c r="C930" i="6"/>
  <c r="D930" i="6" s="1"/>
  <c r="C931" i="6"/>
  <c r="D931" i="6" s="1"/>
  <c r="C932" i="6"/>
  <c r="C933" i="6"/>
  <c r="C934" i="6"/>
  <c r="D934" i="6" s="1"/>
  <c r="C935" i="6"/>
  <c r="D935" i="6" s="1"/>
  <c r="C936" i="6"/>
  <c r="D936" i="6" s="1"/>
  <c r="C937" i="6"/>
  <c r="D937" i="6" s="1"/>
  <c r="C938" i="6"/>
  <c r="D938" i="6" s="1"/>
  <c r="C939" i="6"/>
  <c r="C940" i="6"/>
  <c r="D940" i="6" s="1"/>
  <c r="C941" i="6"/>
  <c r="C942" i="6"/>
  <c r="C943" i="6"/>
  <c r="D943" i="6" s="1"/>
  <c r="C944" i="6"/>
  <c r="C945" i="6"/>
  <c r="D945" i="6" s="1"/>
  <c r="C946" i="6"/>
  <c r="D946" i="6" s="1"/>
  <c r="C947" i="6"/>
  <c r="D947" i="6" s="1"/>
  <c r="C948" i="6"/>
  <c r="C949" i="6"/>
  <c r="D949" i="6" s="1"/>
  <c r="C950" i="6"/>
  <c r="C951" i="6"/>
  <c r="D951" i="6" s="1"/>
  <c r="C952" i="6"/>
  <c r="D952" i="6" s="1"/>
  <c r="C953" i="6"/>
  <c r="D953" i="6" s="1"/>
  <c r="C954" i="6"/>
  <c r="D954" i="6" s="1"/>
  <c r="C955" i="6"/>
  <c r="D955" i="6" s="1"/>
  <c r="C956" i="6"/>
  <c r="D956" i="6" s="1"/>
  <c r="C957" i="6"/>
  <c r="C958" i="6"/>
  <c r="D958" i="6" s="1"/>
  <c r="C959" i="6"/>
  <c r="C960" i="6"/>
  <c r="C961" i="6"/>
  <c r="D961" i="6" s="1"/>
  <c r="C962" i="6"/>
  <c r="D962" i="6" s="1"/>
  <c r="C963" i="6"/>
  <c r="C964" i="6"/>
  <c r="D964" i="6" s="1"/>
  <c r="C965" i="6"/>
  <c r="D965" i="6" s="1"/>
  <c r="C966" i="6"/>
  <c r="C967" i="6"/>
  <c r="D967" i="6" s="1"/>
  <c r="C968" i="6"/>
  <c r="C969" i="6"/>
  <c r="D969" i="6" s="1"/>
  <c r="C970" i="6"/>
  <c r="D970" i="6" s="1"/>
  <c r="C971" i="6"/>
  <c r="D971" i="6" s="1"/>
  <c r="C972" i="6"/>
  <c r="D972" i="6" s="1"/>
  <c r="C973" i="6"/>
  <c r="D973" i="6" s="1"/>
  <c r="C974" i="6"/>
  <c r="D974" i="6" s="1"/>
  <c r="C975" i="6"/>
  <c r="D975" i="6" s="1"/>
  <c r="C976" i="6"/>
  <c r="D976" i="6" s="1"/>
  <c r="C977" i="6"/>
  <c r="D977" i="6" s="1"/>
  <c r="C978" i="6"/>
  <c r="D978" i="6" s="1"/>
  <c r="C979" i="6"/>
  <c r="C980" i="6"/>
  <c r="D980" i="6" s="1"/>
  <c r="C981" i="6"/>
  <c r="C982" i="6"/>
  <c r="D982" i="6" s="1"/>
  <c r="C983" i="6"/>
  <c r="D983" i="6" s="1"/>
  <c r="C984" i="6"/>
  <c r="C985" i="6"/>
  <c r="D985" i="6" s="1"/>
  <c r="C986" i="6"/>
  <c r="C987" i="6"/>
  <c r="C988" i="6"/>
  <c r="D988" i="6" s="1"/>
  <c r="C989" i="6"/>
  <c r="C990" i="6"/>
  <c r="D990" i="6" s="1"/>
  <c r="C991" i="6"/>
  <c r="D991" i="6" s="1"/>
  <c r="C992" i="6"/>
  <c r="C993" i="6"/>
  <c r="D993" i="6" s="1"/>
  <c r="C994" i="6"/>
  <c r="C995" i="6"/>
  <c r="C996" i="6"/>
  <c r="D996" i="6" s="1"/>
  <c r="C997" i="6"/>
  <c r="C998" i="6"/>
  <c r="D998" i="6" s="1"/>
  <c r="C999" i="6"/>
  <c r="D999" i="6" s="1"/>
  <c r="C1000" i="6"/>
  <c r="C1001" i="6"/>
  <c r="D1001" i="6" s="1"/>
  <c r="C2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1" i="4"/>
  <c r="D63" i="4"/>
  <c r="D6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1" i="4"/>
  <c r="C2" i="4"/>
  <c r="C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5" i="4"/>
  <c r="C36" i="4"/>
  <c r="C37" i="4"/>
  <c r="C38" i="4"/>
  <c r="C40" i="4"/>
  <c r="C41" i="4"/>
  <c r="C42" i="4"/>
  <c r="C43" i="4"/>
  <c r="C44" i="4"/>
  <c r="C45" i="4"/>
  <c r="C46" i="4"/>
  <c r="C47" i="4"/>
  <c r="C48" i="4"/>
  <c r="C49" i="4"/>
  <c r="C51" i="4"/>
  <c r="C52" i="4"/>
  <c r="C53" i="4"/>
  <c r="C54" i="4"/>
  <c r="C55" i="4"/>
  <c r="C56" i="4"/>
  <c r="C58" i="4"/>
  <c r="C59" i="4"/>
  <c r="C1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H2" i="6" l="1"/>
  <c r="N2" i="6" s="1"/>
  <c r="G2" i="6"/>
  <c r="M2" i="6" s="1"/>
  <c r="H994" i="6"/>
  <c r="N994" i="6" s="1"/>
  <c r="G994" i="6"/>
  <c r="M994" i="6" s="1"/>
  <c r="H986" i="6"/>
  <c r="N986" i="6" s="1"/>
  <c r="G986" i="6"/>
  <c r="M986" i="6" s="1"/>
  <c r="H978" i="6"/>
  <c r="N978" i="6" s="1"/>
  <c r="G978" i="6"/>
  <c r="M978" i="6" s="1"/>
  <c r="H970" i="6"/>
  <c r="N970" i="6" s="1"/>
  <c r="G970" i="6"/>
  <c r="M970" i="6" s="1"/>
  <c r="H962" i="6"/>
  <c r="N962" i="6" s="1"/>
  <c r="G962" i="6"/>
  <c r="M962" i="6" s="1"/>
  <c r="H954" i="6"/>
  <c r="N954" i="6" s="1"/>
  <c r="G954" i="6"/>
  <c r="M954" i="6" s="1"/>
  <c r="H946" i="6"/>
  <c r="N946" i="6" s="1"/>
  <c r="G946" i="6"/>
  <c r="M946" i="6" s="1"/>
  <c r="H938" i="6"/>
  <c r="N938" i="6" s="1"/>
  <c r="G938" i="6"/>
  <c r="M938" i="6" s="1"/>
  <c r="H930" i="6"/>
  <c r="N930" i="6" s="1"/>
  <c r="G930" i="6"/>
  <c r="M930" i="6" s="1"/>
  <c r="H922" i="6"/>
  <c r="N922" i="6" s="1"/>
  <c r="G922" i="6"/>
  <c r="M922" i="6" s="1"/>
  <c r="H914" i="6"/>
  <c r="N914" i="6" s="1"/>
  <c r="G914" i="6"/>
  <c r="M914" i="6" s="1"/>
  <c r="H906" i="6"/>
  <c r="N906" i="6" s="1"/>
  <c r="G906" i="6"/>
  <c r="M906" i="6" s="1"/>
  <c r="H898" i="6"/>
  <c r="N898" i="6" s="1"/>
  <c r="G898" i="6"/>
  <c r="M898" i="6" s="1"/>
  <c r="H890" i="6"/>
  <c r="N890" i="6" s="1"/>
  <c r="G890" i="6"/>
  <c r="M890" i="6" s="1"/>
  <c r="H882" i="6"/>
  <c r="N882" i="6" s="1"/>
  <c r="G882" i="6"/>
  <c r="M882" i="6" s="1"/>
  <c r="H874" i="6"/>
  <c r="N874" i="6" s="1"/>
  <c r="G874" i="6"/>
  <c r="M874" i="6" s="1"/>
  <c r="H866" i="6"/>
  <c r="N866" i="6" s="1"/>
  <c r="G866" i="6"/>
  <c r="M866" i="6" s="1"/>
  <c r="H858" i="6"/>
  <c r="N858" i="6" s="1"/>
  <c r="G858" i="6"/>
  <c r="M858" i="6" s="1"/>
  <c r="H850" i="6"/>
  <c r="N850" i="6" s="1"/>
  <c r="G850" i="6"/>
  <c r="M850" i="6" s="1"/>
  <c r="H842" i="6"/>
  <c r="N842" i="6" s="1"/>
  <c r="G842" i="6"/>
  <c r="M842" i="6" s="1"/>
  <c r="H834" i="6"/>
  <c r="N834" i="6" s="1"/>
  <c r="G834" i="6"/>
  <c r="M834" i="6" s="1"/>
  <c r="H826" i="6"/>
  <c r="N826" i="6" s="1"/>
  <c r="G826" i="6"/>
  <c r="M826" i="6" s="1"/>
  <c r="H818" i="6"/>
  <c r="N818" i="6" s="1"/>
  <c r="G818" i="6"/>
  <c r="M818" i="6" s="1"/>
  <c r="H810" i="6"/>
  <c r="N810" i="6" s="1"/>
  <c r="G810" i="6"/>
  <c r="M810" i="6" s="1"/>
  <c r="H802" i="6"/>
  <c r="N802" i="6" s="1"/>
  <c r="G802" i="6"/>
  <c r="M802" i="6" s="1"/>
  <c r="H794" i="6"/>
  <c r="N794" i="6" s="1"/>
  <c r="G794" i="6"/>
  <c r="M794" i="6" s="1"/>
  <c r="H786" i="6"/>
  <c r="N786" i="6" s="1"/>
  <c r="G786" i="6"/>
  <c r="M786" i="6" s="1"/>
  <c r="H778" i="6"/>
  <c r="N778" i="6" s="1"/>
  <c r="G778" i="6"/>
  <c r="M778" i="6" s="1"/>
  <c r="H770" i="6"/>
  <c r="N770" i="6" s="1"/>
  <c r="G770" i="6"/>
  <c r="M770" i="6" s="1"/>
  <c r="H762" i="6"/>
  <c r="N762" i="6" s="1"/>
  <c r="G762" i="6"/>
  <c r="M762" i="6" s="1"/>
  <c r="H754" i="6"/>
  <c r="N754" i="6" s="1"/>
  <c r="G754" i="6"/>
  <c r="M754" i="6" s="1"/>
  <c r="H746" i="6"/>
  <c r="N746" i="6" s="1"/>
  <c r="G746" i="6"/>
  <c r="M746" i="6" s="1"/>
  <c r="H738" i="6"/>
  <c r="N738" i="6" s="1"/>
  <c r="G738" i="6"/>
  <c r="M738" i="6" s="1"/>
  <c r="H730" i="6"/>
  <c r="N730" i="6" s="1"/>
  <c r="G730" i="6"/>
  <c r="M730" i="6" s="1"/>
  <c r="H722" i="6"/>
  <c r="N722" i="6" s="1"/>
  <c r="G722" i="6"/>
  <c r="M722" i="6" s="1"/>
  <c r="H714" i="6"/>
  <c r="N714" i="6" s="1"/>
  <c r="G714" i="6"/>
  <c r="M714" i="6" s="1"/>
  <c r="H706" i="6"/>
  <c r="N706" i="6" s="1"/>
  <c r="G706" i="6"/>
  <c r="M706" i="6" s="1"/>
  <c r="H698" i="6"/>
  <c r="N698" i="6" s="1"/>
  <c r="G698" i="6"/>
  <c r="M698" i="6" s="1"/>
  <c r="H690" i="6"/>
  <c r="N690" i="6" s="1"/>
  <c r="G690" i="6"/>
  <c r="M690" i="6" s="1"/>
  <c r="H682" i="6"/>
  <c r="N682" i="6" s="1"/>
  <c r="G682" i="6"/>
  <c r="M682" i="6" s="1"/>
  <c r="H674" i="6"/>
  <c r="N674" i="6" s="1"/>
  <c r="G674" i="6"/>
  <c r="M674" i="6" s="1"/>
  <c r="H666" i="6"/>
  <c r="N666" i="6" s="1"/>
  <c r="G666" i="6"/>
  <c r="M666" i="6" s="1"/>
  <c r="H658" i="6"/>
  <c r="N658" i="6" s="1"/>
  <c r="G658" i="6"/>
  <c r="M658" i="6" s="1"/>
  <c r="H650" i="6"/>
  <c r="N650" i="6" s="1"/>
  <c r="G650" i="6"/>
  <c r="M650" i="6" s="1"/>
  <c r="H642" i="6"/>
  <c r="N642" i="6" s="1"/>
  <c r="G642" i="6"/>
  <c r="M642" i="6" s="1"/>
  <c r="H634" i="6"/>
  <c r="N634" i="6" s="1"/>
  <c r="G634" i="6"/>
  <c r="M634" i="6" s="1"/>
  <c r="H626" i="6"/>
  <c r="N626" i="6" s="1"/>
  <c r="G626" i="6"/>
  <c r="M626" i="6" s="1"/>
  <c r="H618" i="6"/>
  <c r="N618" i="6" s="1"/>
  <c r="G618" i="6"/>
  <c r="M618" i="6" s="1"/>
  <c r="H610" i="6"/>
  <c r="N610" i="6" s="1"/>
  <c r="G610" i="6"/>
  <c r="M610" i="6" s="1"/>
  <c r="H602" i="6"/>
  <c r="N602" i="6" s="1"/>
  <c r="G602" i="6"/>
  <c r="M602" i="6" s="1"/>
  <c r="H594" i="6"/>
  <c r="N594" i="6" s="1"/>
  <c r="G594" i="6"/>
  <c r="M594" i="6" s="1"/>
  <c r="H586" i="6"/>
  <c r="N586" i="6" s="1"/>
  <c r="G586" i="6"/>
  <c r="M586" i="6" s="1"/>
  <c r="H578" i="6"/>
  <c r="N578" i="6" s="1"/>
  <c r="G578" i="6"/>
  <c r="M578" i="6" s="1"/>
  <c r="H570" i="6"/>
  <c r="N570" i="6" s="1"/>
  <c r="G570" i="6"/>
  <c r="M570" i="6" s="1"/>
  <c r="H562" i="6"/>
  <c r="N562" i="6" s="1"/>
  <c r="G562" i="6"/>
  <c r="M562" i="6" s="1"/>
  <c r="H554" i="6"/>
  <c r="N554" i="6" s="1"/>
  <c r="G554" i="6"/>
  <c r="M554" i="6" s="1"/>
  <c r="H546" i="6"/>
  <c r="N546" i="6" s="1"/>
  <c r="G546" i="6"/>
  <c r="M546" i="6" s="1"/>
  <c r="H538" i="6"/>
  <c r="N538" i="6" s="1"/>
  <c r="G538" i="6"/>
  <c r="M538" i="6" s="1"/>
  <c r="H530" i="6"/>
  <c r="N530" i="6" s="1"/>
  <c r="G530" i="6"/>
  <c r="M530" i="6" s="1"/>
  <c r="H522" i="6"/>
  <c r="N522" i="6" s="1"/>
  <c r="G522" i="6"/>
  <c r="M522" i="6" s="1"/>
  <c r="H514" i="6"/>
  <c r="N514" i="6" s="1"/>
  <c r="G514" i="6"/>
  <c r="M514" i="6" s="1"/>
  <c r="H506" i="6"/>
  <c r="N506" i="6" s="1"/>
  <c r="G506" i="6"/>
  <c r="M506" i="6" s="1"/>
  <c r="H498" i="6"/>
  <c r="N498" i="6" s="1"/>
  <c r="G498" i="6"/>
  <c r="M498" i="6" s="1"/>
  <c r="H490" i="6"/>
  <c r="N490" i="6" s="1"/>
  <c r="G490" i="6"/>
  <c r="M490" i="6" s="1"/>
  <c r="H482" i="6"/>
  <c r="N482" i="6" s="1"/>
  <c r="G482" i="6"/>
  <c r="M482" i="6" s="1"/>
  <c r="H474" i="6"/>
  <c r="N474" i="6" s="1"/>
  <c r="G474" i="6"/>
  <c r="M474" i="6" s="1"/>
  <c r="H466" i="6"/>
  <c r="N466" i="6" s="1"/>
  <c r="G466" i="6"/>
  <c r="M466" i="6" s="1"/>
  <c r="H458" i="6"/>
  <c r="N458" i="6" s="1"/>
  <c r="G458" i="6"/>
  <c r="M458" i="6" s="1"/>
  <c r="H450" i="6"/>
  <c r="N450" i="6" s="1"/>
  <c r="G450" i="6"/>
  <c r="M450" i="6" s="1"/>
  <c r="H442" i="6"/>
  <c r="N442" i="6" s="1"/>
  <c r="G442" i="6"/>
  <c r="M442" i="6" s="1"/>
  <c r="H434" i="6"/>
  <c r="N434" i="6" s="1"/>
  <c r="G434" i="6"/>
  <c r="M434" i="6" s="1"/>
  <c r="H426" i="6"/>
  <c r="N426" i="6" s="1"/>
  <c r="G426" i="6"/>
  <c r="M426" i="6" s="1"/>
  <c r="H418" i="6"/>
  <c r="N418" i="6" s="1"/>
  <c r="G418" i="6"/>
  <c r="M418" i="6" s="1"/>
  <c r="H410" i="6"/>
  <c r="N410" i="6" s="1"/>
  <c r="G410" i="6"/>
  <c r="M410" i="6" s="1"/>
  <c r="H402" i="6"/>
  <c r="N402" i="6" s="1"/>
  <c r="G402" i="6"/>
  <c r="M402" i="6" s="1"/>
  <c r="H394" i="6"/>
  <c r="N394" i="6" s="1"/>
  <c r="G394" i="6"/>
  <c r="M394" i="6" s="1"/>
  <c r="H386" i="6"/>
  <c r="N386" i="6" s="1"/>
  <c r="G386" i="6"/>
  <c r="M386" i="6" s="1"/>
  <c r="H378" i="6"/>
  <c r="N378" i="6" s="1"/>
  <c r="G378" i="6"/>
  <c r="M378" i="6" s="1"/>
  <c r="H370" i="6"/>
  <c r="N370" i="6" s="1"/>
  <c r="G370" i="6"/>
  <c r="M370" i="6" s="1"/>
  <c r="H362" i="6"/>
  <c r="N362" i="6" s="1"/>
  <c r="G362" i="6"/>
  <c r="M362" i="6" s="1"/>
  <c r="H354" i="6"/>
  <c r="N354" i="6" s="1"/>
  <c r="G354" i="6"/>
  <c r="M354" i="6" s="1"/>
  <c r="H346" i="6"/>
  <c r="N346" i="6" s="1"/>
  <c r="G346" i="6"/>
  <c r="M346" i="6" s="1"/>
  <c r="H338" i="6"/>
  <c r="N338" i="6" s="1"/>
  <c r="G338" i="6"/>
  <c r="M338" i="6" s="1"/>
  <c r="H330" i="6"/>
  <c r="N330" i="6" s="1"/>
  <c r="G330" i="6"/>
  <c r="M330" i="6" s="1"/>
  <c r="H322" i="6"/>
  <c r="N322" i="6" s="1"/>
  <c r="G322" i="6"/>
  <c r="M322" i="6" s="1"/>
  <c r="H314" i="6"/>
  <c r="N314" i="6" s="1"/>
  <c r="G314" i="6"/>
  <c r="M314" i="6" s="1"/>
  <c r="H306" i="6"/>
  <c r="N306" i="6" s="1"/>
  <c r="G306" i="6"/>
  <c r="M306" i="6" s="1"/>
  <c r="H298" i="6"/>
  <c r="N298" i="6" s="1"/>
  <c r="G298" i="6"/>
  <c r="M298" i="6" s="1"/>
  <c r="H290" i="6"/>
  <c r="N290" i="6" s="1"/>
  <c r="G290" i="6"/>
  <c r="M290" i="6" s="1"/>
  <c r="H282" i="6"/>
  <c r="N282" i="6" s="1"/>
  <c r="G282" i="6"/>
  <c r="M282" i="6" s="1"/>
  <c r="H274" i="6"/>
  <c r="N274" i="6" s="1"/>
  <c r="G274" i="6"/>
  <c r="M274" i="6" s="1"/>
  <c r="H266" i="6"/>
  <c r="N266" i="6" s="1"/>
  <c r="G266" i="6"/>
  <c r="M266" i="6" s="1"/>
  <c r="H258" i="6"/>
  <c r="N258" i="6" s="1"/>
  <c r="G258" i="6"/>
  <c r="M258" i="6" s="1"/>
  <c r="H250" i="6"/>
  <c r="N250" i="6" s="1"/>
  <c r="G250" i="6"/>
  <c r="M250" i="6" s="1"/>
  <c r="H242" i="6"/>
  <c r="N242" i="6" s="1"/>
  <c r="G242" i="6"/>
  <c r="M242" i="6" s="1"/>
  <c r="H234" i="6"/>
  <c r="N234" i="6" s="1"/>
  <c r="G234" i="6"/>
  <c r="M234" i="6" s="1"/>
  <c r="H226" i="6"/>
  <c r="N226" i="6" s="1"/>
  <c r="G226" i="6"/>
  <c r="M226" i="6" s="1"/>
  <c r="H218" i="6"/>
  <c r="N218" i="6" s="1"/>
  <c r="G218" i="6"/>
  <c r="M218" i="6" s="1"/>
  <c r="H210" i="6"/>
  <c r="N210" i="6" s="1"/>
  <c r="G210" i="6"/>
  <c r="M210" i="6" s="1"/>
  <c r="H202" i="6"/>
  <c r="N202" i="6" s="1"/>
  <c r="G202" i="6"/>
  <c r="M202" i="6" s="1"/>
  <c r="H194" i="6"/>
  <c r="N194" i="6" s="1"/>
  <c r="G194" i="6"/>
  <c r="M194" i="6" s="1"/>
  <c r="H186" i="6"/>
  <c r="N186" i="6" s="1"/>
  <c r="G186" i="6"/>
  <c r="M186" i="6" s="1"/>
  <c r="H178" i="6"/>
  <c r="N178" i="6" s="1"/>
  <c r="G178" i="6"/>
  <c r="M178" i="6" s="1"/>
  <c r="H170" i="6"/>
  <c r="N170" i="6" s="1"/>
  <c r="G170" i="6"/>
  <c r="M170" i="6" s="1"/>
  <c r="H162" i="6"/>
  <c r="N162" i="6" s="1"/>
  <c r="G162" i="6"/>
  <c r="M162" i="6" s="1"/>
  <c r="H154" i="6"/>
  <c r="N154" i="6" s="1"/>
  <c r="G154" i="6"/>
  <c r="M154" i="6" s="1"/>
  <c r="H146" i="6"/>
  <c r="N146" i="6" s="1"/>
  <c r="G146" i="6"/>
  <c r="M146" i="6" s="1"/>
  <c r="H138" i="6"/>
  <c r="N138" i="6" s="1"/>
  <c r="G138" i="6"/>
  <c r="M138" i="6" s="1"/>
  <c r="H130" i="6"/>
  <c r="N130" i="6" s="1"/>
  <c r="G130" i="6"/>
  <c r="M130" i="6" s="1"/>
  <c r="H122" i="6"/>
  <c r="N122" i="6" s="1"/>
  <c r="G122" i="6"/>
  <c r="M122" i="6" s="1"/>
  <c r="H114" i="6"/>
  <c r="N114" i="6" s="1"/>
  <c r="G114" i="6"/>
  <c r="M114" i="6" s="1"/>
  <c r="H106" i="6"/>
  <c r="N106" i="6" s="1"/>
  <c r="G106" i="6"/>
  <c r="M106" i="6" s="1"/>
  <c r="H98" i="6"/>
  <c r="N98" i="6" s="1"/>
  <c r="G98" i="6"/>
  <c r="M98" i="6" s="1"/>
  <c r="H90" i="6"/>
  <c r="N90" i="6" s="1"/>
  <c r="G90" i="6"/>
  <c r="M90" i="6" s="1"/>
  <c r="H82" i="6"/>
  <c r="N82" i="6" s="1"/>
  <c r="G82" i="6"/>
  <c r="M82" i="6" s="1"/>
  <c r="H74" i="6"/>
  <c r="N74" i="6" s="1"/>
  <c r="G74" i="6"/>
  <c r="M74" i="6" s="1"/>
  <c r="H66" i="6"/>
  <c r="N66" i="6" s="1"/>
  <c r="G66" i="6"/>
  <c r="M66" i="6" s="1"/>
  <c r="H58" i="6"/>
  <c r="N58" i="6" s="1"/>
  <c r="G58" i="6"/>
  <c r="M58" i="6" s="1"/>
  <c r="H50" i="6"/>
  <c r="N50" i="6" s="1"/>
  <c r="G50" i="6"/>
  <c r="M50" i="6" s="1"/>
  <c r="H42" i="6"/>
  <c r="N42" i="6" s="1"/>
  <c r="G42" i="6"/>
  <c r="M42" i="6" s="1"/>
  <c r="H34" i="6"/>
  <c r="N34" i="6" s="1"/>
  <c r="G34" i="6"/>
  <c r="M34" i="6" s="1"/>
  <c r="H26" i="6"/>
  <c r="N26" i="6" s="1"/>
  <c r="G26" i="6"/>
  <c r="M26" i="6" s="1"/>
  <c r="G1000" i="6"/>
  <c r="M1000" i="6" s="1"/>
  <c r="G968" i="6"/>
  <c r="M968" i="6" s="1"/>
  <c r="G936" i="6"/>
  <c r="M936" i="6" s="1"/>
  <c r="G904" i="6"/>
  <c r="M904" i="6" s="1"/>
  <c r="G872" i="6"/>
  <c r="M872" i="6" s="1"/>
  <c r="G840" i="6"/>
  <c r="M840" i="6" s="1"/>
  <c r="G808" i="6"/>
  <c r="M808" i="6" s="1"/>
  <c r="H1001" i="6"/>
  <c r="N1001" i="6" s="1"/>
  <c r="G1001" i="6"/>
  <c r="M1001" i="6" s="1"/>
  <c r="H993" i="6"/>
  <c r="N993" i="6" s="1"/>
  <c r="G993" i="6"/>
  <c r="M993" i="6" s="1"/>
  <c r="H985" i="6"/>
  <c r="N985" i="6" s="1"/>
  <c r="G985" i="6"/>
  <c r="M985" i="6" s="1"/>
  <c r="H977" i="6"/>
  <c r="N977" i="6" s="1"/>
  <c r="G977" i="6"/>
  <c r="M977" i="6" s="1"/>
  <c r="H969" i="6"/>
  <c r="N969" i="6" s="1"/>
  <c r="G969" i="6"/>
  <c r="M969" i="6" s="1"/>
  <c r="H961" i="6"/>
  <c r="N961" i="6" s="1"/>
  <c r="G961" i="6"/>
  <c r="M961" i="6" s="1"/>
  <c r="H953" i="6"/>
  <c r="N953" i="6" s="1"/>
  <c r="G953" i="6"/>
  <c r="M953" i="6" s="1"/>
  <c r="H945" i="6"/>
  <c r="N945" i="6" s="1"/>
  <c r="G945" i="6"/>
  <c r="M945" i="6" s="1"/>
  <c r="H937" i="6"/>
  <c r="N937" i="6" s="1"/>
  <c r="G937" i="6"/>
  <c r="M937" i="6" s="1"/>
  <c r="H929" i="6"/>
  <c r="N929" i="6" s="1"/>
  <c r="G929" i="6"/>
  <c r="M929" i="6" s="1"/>
  <c r="H921" i="6"/>
  <c r="N921" i="6" s="1"/>
  <c r="G921" i="6"/>
  <c r="M921" i="6" s="1"/>
  <c r="H913" i="6"/>
  <c r="N913" i="6" s="1"/>
  <c r="G913" i="6"/>
  <c r="M913" i="6" s="1"/>
  <c r="H905" i="6"/>
  <c r="N905" i="6" s="1"/>
  <c r="G905" i="6"/>
  <c r="M905" i="6" s="1"/>
  <c r="H897" i="6"/>
  <c r="N897" i="6" s="1"/>
  <c r="G897" i="6"/>
  <c r="M897" i="6" s="1"/>
  <c r="H889" i="6"/>
  <c r="N889" i="6" s="1"/>
  <c r="G889" i="6"/>
  <c r="M889" i="6" s="1"/>
  <c r="H881" i="6"/>
  <c r="N881" i="6" s="1"/>
  <c r="G881" i="6"/>
  <c r="M881" i="6" s="1"/>
  <c r="H873" i="6"/>
  <c r="N873" i="6" s="1"/>
  <c r="G873" i="6"/>
  <c r="M873" i="6" s="1"/>
  <c r="H865" i="6"/>
  <c r="N865" i="6" s="1"/>
  <c r="G865" i="6"/>
  <c r="M865" i="6" s="1"/>
  <c r="H857" i="6"/>
  <c r="N857" i="6" s="1"/>
  <c r="G857" i="6"/>
  <c r="M857" i="6" s="1"/>
  <c r="H849" i="6"/>
  <c r="N849" i="6" s="1"/>
  <c r="G849" i="6"/>
  <c r="M849" i="6" s="1"/>
  <c r="H841" i="6"/>
  <c r="N841" i="6" s="1"/>
  <c r="G841" i="6"/>
  <c r="M841" i="6" s="1"/>
  <c r="H833" i="6"/>
  <c r="N833" i="6" s="1"/>
  <c r="G833" i="6"/>
  <c r="M833" i="6" s="1"/>
  <c r="H825" i="6"/>
  <c r="N825" i="6" s="1"/>
  <c r="G825" i="6"/>
  <c r="M825" i="6" s="1"/>
  <c r="H817" i="6"/>
  <c r="N817" i="6" s="1"/>
  <c r="G817" i="6"/>
  <c r="M817" i="6" s="1"/>
  <c r="H809" i="6"/>
  <c r="N809" i="6" s="1"/>
  <c r="G809" i="6"/>
  <c r="M809" i="6" s="1"/>
  <c r="H801" i="6"/>
  <c r="N801" i="6" s="1"/>
  <c r="G801" i="6"/>
  <c r="M801" i="6" s="1"/>
  <c r="H793" i="6"/>
  <c r="N793" i="6" s="1"/>
  <c r="G793" i="6"/>
  <c r="M793" i="6" s="1"/>
  <c r="H785" i="6"/>
  <c r="N785" i="6" s="1"/>
  <c r="G785" i="6"/>
  <c r="M785" i="6" s="1"/>
  <c r="H777" i="6"/>
  <c r="N777" i="6" s="1"/>
  <c r="G777" i="6"/>
  <c r="M777" i="6" s="1"/>
  <c r="H769" i="6"/>
  <c r="N769" i="6" s="1"/>
  <c r="G769" i="6"/>
  <c r="M769" i="6" s="1"/>
  <c r="H761" i="6"/>
  <c r="N761" i="6" s="1"/>
  <c r="G761" i="6"/>
  <c r="M761" i="6" s="1"/>
  <c r="H753" i="6"/>
  <c r="N753" i="6" s="1"/>
  <c r="G753" i="6"/>
  <c r="M753" i="6" s="1"/>
  <c r="H745" i="6"/>
  <c r="N745" i="6" s="1"/>
  <c r="G745" i="6"/>
  <c r="M745" i="6" s="1"/>
  <c r="H737" i="6"/>
  <c r="N737" i="6" s="1"/>
  <c r="G737" i="6"/>
  <c r="M737" i="6" s="1"/>
  <c r="H729" i="6"/>
  <c r="N729" i="6" s="1"/>
  <c r="G729" i="6"/>
  <c r="M729" i="6" s="1"/>
  <c r="H721" i="6"/>
  <c r="N721" i="6" s="1"/>
  <c r="G721" i="6"/>
  <c r="M721" i="6" s="1"/>
  <c r="H713" i="6"/>
  <c r="N713" i="6" s="1"/>
  <c r="G713" i="6"/>
  <c r="M713" i="6" s="1"/>
  <c r="H705" i="6"/>
  <c r="N705" i="6" s="1"/>
  <c r="G705" i="6"/>
  <c r="M705" i="6" s="1"/>
  <c r="H697" i="6"/>
  <c r="N697" i="6" s="1"/>
  <c r="G697" i="6"/>
  <c r="M697" i="6" s="1"/>
  <c r="H689" i="6"/>
  <c r="N689" i="6" s="1"/>
  <c r="G689" i="6"/>
  <c r="M689" i="6" s="1"/>
  <c r="H681" i="6"/>
  <c r="N681" i="6" s="1"/>
  <c r="G681" i="6"/>
  <c r="M681" i="6" s="1"/>
  <c r="H673" i="6"/>
  <c r="N673" i="6" s="1"/>
  <c r="G673" i="6"/>
  <c r="M673" i="6" s="1"/>
  <c r="H665" i="6"/>
  <c r="N665" i="6" s="1"/>
  <c r="G665" i="6"/>
  <c r="M665" i="6" s="1"/>
  <c r="H657" i="6"/>
  <c r="N657" i="6" s="1"/>
  <c r="G657" i="6"/>
  <c r="M657" i="6" s="1"/>
  <c r="H649" i="6"/>
  <c r="N649" i="6" s="1"/>
  <c r="G649" i="6"/>
  <c r="M649" i="6" s="1"/>
  <c r="H641" i="6"/>
  <c r="N641" i="6" s="1"/>
  <c r="G641" i="6"/>
  <c r="M641" i="6" s="1"/>
  <c r="H633" i="6"/>
  <c r="N633" i="6" s="1"/>
  <c r="G633" i="6"/>
  <c r="M633" i="6" s="1"/>
  <c r="H625" i="6"/>
  <c r="N625" i="6" s="1"/>
  <c r="G625" i="6"/>
  <c r="M625" i="6" s="1"/>
  <c r="H617" i="6"/>
  <c r="N617" i="6" s="1"/>
  <c r="G617" i="6"/>
  <c r="M617" i="6" s="1"/>
  <c r="H609" i="6"/>
  <c r="N609" i="6" s="1"/>
  <c r="G609" i="6"/>
  <c r="M609" i="6" s="1"/>
  <c r="H601" i="6"/>
  <c r="N601" i="6" s="1"/>
  <c r="G601" i="6"/>
  <c r="M601" i="6" s="1"/>
  <c r="H593" i="6"/>
  <c r="N593" i="6" s="1"/>
  <c r="G593" i="6"/>
  <c r="M593" i="6" s="1"/>
  <c r="H585" i="6"/>
  <c r="N585" i="6" s="1"/>
  <c r="G585" i="6"/>
  <c r="M585" i="6" s="1"/>
  <c r="H577" i="6"/>
  <c r="N577" i="6" s="1"/>
  <c r="G577" i="6"/>
  <c r="M577" i="6" s="1"/>
  <c r="H569" i="6"/>
  <c r="N569" i="6" s="1"/>
  <c r="G569" i="6"/>
  <c r="M569" i="6" s="1"/>
  <c r="H561" i="6"/>
  <c r="N561" i="6" s="1"/>
  <c r="G561" i="6"/>
  <c r="M561" i="6" s="1"/>
  <c r="H553" i="6"/>
  <c r="N553" i="6" s="1"/>
  <c r="G553" i="6"/>
  <c r="M553" i="6" s="1"/>
  <c r="H545" i="6"/>
  <c r="N545" i="6" s="1"/>
  <c r="G545" i="6"/>
  <c r="M545" i="6" s="1"/>
  <c r="H537" i="6"/>
  <c r="N537" i="6" s="1"/>
  <c r="G537" i="6"/>
  <c r="M537" i="6" s="1"/>
  <c r="H529" i="6"/>
  <c r="N529" i="6" s="1"/>
  <c r="G529" i="6"/>
  <c r="M529" i="6" s="1"/>
  <c r="H521" i="6"/>
  <c r="N521" i="6" s="1"/>
  <c r="G521" i="6"/>
  <c r="M521" i="6" s="1"/>
  <c r="H513" i="6"/>
  <c r="N513" i="6" s="1"/>
  <c r="G513" i="6"/>
  <c r="M513" i="6" s="1"/>
  <c r="H505" i="6"/>
  <c r="N505" i="6" s="1"/>
  <c r="G505" i="6"/>
  <c r="M505" i="6" s="1"/>
  <c r="H497" i="6"/>
  <c r="N497" i="6" s="1"/>
  <c r="G497" i="6"/>
  <c r="M497" i="6" s="1"/>
  <c r="H489" i="6"/>
  <c r="N489" i="6" s="1"/>
  <c r="G489" i="6"/>
  <c r="M489" i="6" s="1"/>
  <c r="H481" i="6"/>
  <c r="N481" i="6" s="1"/>
  <c r="G481" i="6"/>
  <c r="M481" i="6" s="1"/>
  <c r="H473" i="6"/>
  <c r="N473" i="6" s="1"/>
  <c r="G473" i="6"/>
  <c r="M473" i="6" s="1"/>
  <c r="H465" i="6"/>
  <c r="N465" i="6" s="1"/>
  <c r="G465" i="6"/>
  <c r="M465" i="6" s="1"/>
  <c r="H457" i="6"/>
  <c r="N457" i="6" s="1"/>
  <c r="G457" i="6"/>
  <c r="M457" i="6" s="1"/>
  <c r="H449" i="6"/>
  <c r="N449" i="6" s="1"/>
  <c r="G449" i="6"/>
  <c r="M449" i="6" s="1"/>
  <c r="H441" i="6"/>
  <c r="N441" i="6" s="1"/>
  <c r="G441" i="6"/>
  <c r="M441" i="6" s="1"/>
  <c r="H433" i="6"/>
  <c r="N433" i="6" s="1"/>
  <c r="G433" i="6"/>
  <c r="M433" i="6" s="1"/>
  <c r="H425" i="6"/>
  <c r="N425" i="6" s="1"/>
  <c r="G425" i="6"/>
  <c r="M425" i="6" s="1"/>
  <c r="H417" i="6"/>
  <c r="N417" i="6" s="1"/>
  <c r="G417" i="6"/>
  <c r="M417" i="6" s="1"/>
  <c r="H409" i="6"/>
  <c r="N409" i="6" s="1"/>
  <c r="G409" i="6"/>
  <c r="M409" i="6" s="1"/>
  <c r="H401" i="6"/>
  <c r="N401" i="6" s="1"/>
  <c r="G401" i="6"/>
  <c r="M401" i="6" s="1"/>
  <c r="H393" i="6"/>
  <c r="N393" i="6" s="1"/>
  <c r="G393" i="6"/>
  <c r="M393" i="6" s="1"/>
  <c r="H385" i="6"/>
  <c r="N385" i="6" s="1"/>
  <c r="G385" i="6"/>
  <c r="M385" i="6" s="1"/>
  <c r="H377" i="6"/>
  <c r="N377" i="6" s="1"/>
  <c r="G377" i="6"/>
  <c r="M377" i="6" s="1"/>
  <c r="H369" i="6"/>
  <c r="N369" i="6" s="1"/>
  <c r="G369" i="6"/>
  <c r="M369" i="6" s="1"/>
  <c r="H361" i="6"/>
  <c r="N361" i="6" s="1"/>
  <c r="G361" i="6"/>
  <c r="M361" i="6" s="1"/>
  <c r="H353" i="6"/>
  <c r="N353" i="6" s="1"/>
  <c r="G353" i="6"/>
  <c r="M353" i="6" s="1"/>
  <c r="H345" i="6"/>
  <c r="N345" i="6" s="1"/>
  <c r="G345" i="6"/>
  <c r="M345" i="6" s="1"/>
  <c r="H337" i="6"/>
  <c r="N337" i="6" s="1"/>
  <c r="G337" i="6"/>
  <c r="M337" i="6" s="1"/>
  <c r="H329" i="6"/>
  <c r="N329" i="6" s="1"/>
  <c r="G329" i="6"/>
  <c r="M329" i="6" s="1"/>
  <c r="H321" i="6"/>
  <c r="N321" i="6" s="1"/>
  <c r="G321" i="6"/>
  <c r="M321" i="6" s="1"/>
  <c r="H313" i="6"/>
  <c r="N313" i="6" s="1"/>
  <c r="G313" i="6"/>
  <c r="M313" i="6" s="1"/>
  <c r="H305" i="6"/>
  <c r="N305" i="6" s="1"/>
  <c r="G305" i="6"/>
  <c r="M305" i="6" s="1"/>
  <c r="H297" i="6"/>
  <c r="N297" i="6" s="1"/>
  <c r="G297" i="6"/>
  <c r="M297" i="6" s="1"/>
  <c r="H289" i="6"/>
  <c r="N289" i="6" s="1"/>
  <c r="G289" i="6"/>
  <c r="M289" i="6" s="1"/>
  <c r="H281" i="6"/>
  <c r="N281" i="6" s="1"/>
  <c r="G281" i="6"/>
  <c r="M281" i="6" s="1"/>
  <c r="H273" i="6"/>
  <c r="N273" i="6" s="1"/>
  <c r="G273" i="6"/>
  <c r="M273" i="6" s="1"/>
  <c r="H265" i="6"/>
  <c r="N265" i="6" s="1"/>
  <c r="G265" i="6"/>
  <c r="M265" i="6" s="1"/>
  <c r="H257" i="6"/>
  <c r="N257" i="6" s="1"/>
  <c r="G257" i="6"/>
  <c r="M257" i="6" s="1"/>
  <c r="H249" i="6"/>
  <c r="N249" i="6" s="1"/>
  <c r="G249" i="6"/>
  <c r="M249" i="6" s="1"/>
  <c r="H241" i="6"/>
  <c r="N241" i="6" s="1"/>
  <c r="G241" i="6"/>
  <c r="M241" i="6" s="1"/>
  <c r="H233" i="6"/>
  <c r="N233" i="6" s="1"/>
  <c r="G233" i="6"/>
  <c r="M233" i="6" s="1"/>
  <c r="H225" i="6"/>
  <c r="N225" i="6" s="1"/>
  <c r="G225" i="6"/>
  <c r="M225" i="6" s="1"/>
  <c r="H217" i="6"/>
  <c r="N217" i="6" s="1"/>
  <c r="G217" i="6"/>
  <c r="M217" i="6" s="1"/>
  <c r="H209" i="6"/>
  <c r="N209" i="6" s="1"/>
  <c r="G209" i="6"/>
  <c r="M209" i="6" s="1"/>
  <c r="H201" i="6"/>
  <c r="N201" i="6" s="1"/>
  <c r="G201" i="6"/>
  <c r="M201" i="6" s="1"/>
  <c r="H193" i="6"/>
  <c r="N193" i="6" s="1"/>
  <c r="G193" i="6"/>
  <c r="M193" i="6" s="1"/>
  <c r="H185" i="6"/>
  <c r="N185" i="6" s="1"/>
  <c r="G185" i="6"/>
  <c r="M185" i="6" s="1"/>
  <c r="H177" i="6"/>
  <c r="N177" i="6" s="1"/>
  <c r="G177" i="6"/>
  <c r="M177" i="6" s="1"/>
  <c r="H169" i="6"/>
  <c r="N169" i="6" s="1"/>
  <c r="G169" i="6"/>
  <c r="M169" i="6" s="1"/>
  <c r="H161" i="6"/>
  <c r="N161" i="6" s="1"/>
  <c r="G161" i="6"/>
  <c r="M161" i="6" s="1"/>
  <c r="H153" i="6"/>
  <c r="N153" i="6" s="1"/>
  <c r="G153" i="6"/>
  <c r="M153" i="6" s="1"/>
  <c r="H145" i="6"/>
  <c r="N145" i="6" s="1"/>
  <c r="G145" i="6"/>
  <c r="M145" i="6" s="1"/>
  <c r="H137" i="6"/>
  <c r="N137" i="6" s="1"/>
  <c r="G137" i="6"/>
  <c r="M137" i="6" s="1"/>
  <c r="H129" i="6"/>
  <c r="N129" i="6" s="1"/>
  <c r="G129" i="6"/>
  <c r="M129" i="6" s="1"/>
  <c r="H121" i="6"/>
  <c r="N121" i="6" s="1"/>
  <c r="G121" i="6"/>
  <c r="M121" i="6" s="1"/>
  <c r="H113" i="6"/>
  <c r="N113" i="6" s="1"/>
  <c r="G113" i="6"/>
  <c r="M113" i="6" s="1"/>
  <c r="H105" i="6"/>
  <c r="N105" i="6" s="1"/>
  <c r="G105" i="6"/>
  <c r="M105" i="6" s="1"/>
  <c r="H97" i="6"/>
  <c r="N97" i="6" s="1"/>
  <c r="G97" i="6"/>
  <c r="M97" i="6" s="1"/>
  <c r="H89" i="6"/>
  <c r="N89" i="6" s="1"/>
  <c r="G89" i="6"/>
  <c r="M89" i="6" s="1"/>
  <c r="H81" i="6"/>
  <c r="N81" i="6" s="1"/>
  <c r="G81" i="6"/>
  <c r="M81" i="6" s="1"/>
  <c r="H73" i="6"/>
  <c r="N73" i="6" s="1"/>
  <c r="G73" i="6"/>
  <c r="M73" i="6" s="1"/>
  <c r="H65" i="6"/>
  <c r="N65" i="6" s="1"/>
  <c r="G65" i="6"/>
  <c r="M65" i="6" s="1"/>
  <c r="H57" i="6"/>
  <c r="N57" i="6" s="1"/>
  <c r="G57" i="6"/>
  <c r="M57" i="6" s="1"/>
  <c r="H49" i="6"/>
  <c r="N49" i="6" s="1"/>
  <c r="G49" i="6"/>
  <c r="M49" i="6" s="1"/>
  <c r="H41" i="6"/>
  <c r="N41" i="6" s="1"/>
  <c r="G41" i="6"/>
  <c r="M41" i="6" s="1"/>
  <c r="H33" i="6"/>
  <c r="N33" i="6" s="1"/>
  <c r="G33" i="6"/>
  <c r="M33" i="6" s="1"/>
  <c r="H25" i="6"/>
  <c r="N25" i="6" s="1"/>
  <c r="G25" i="6"/>
  <c r="M25" i="6" s="1"/>
  <c r="G996" i="6"/>
  <c r="M996" i="6" s="1"/>
  <c r="G964" i="6"/>
  <c r="M964" i="6" s="1"/>
  <c r="G932" i="6"/>
  <c r="M932" i="6" s="1"/>
  <c r="G900" i="6"/>
  <c r="M900" i="6" s="1"/>
  <c r="G868" i="6"/>
  <c r="M868" i="6" s="1"/>
  <c r="G836" i="6"/>
  <c r="M836" i="6" s="1"/>
  <c r="G804" i="6"/>
  <c r="M804" i="6" s="1"/>
  <c r="H776" i="6"/>
  <c r="N776" i="6" s="1"/>
  <c r="G776" i="6"/>
  <c r="M776" i="6" s="1"/>
  <c r="G768" i="6"/>
  <c r="M768" i="6" s="1"/>
  <c r="H768" i="6"/>
  <c r="N768" i="6" s="1"/>
  <c r="H760" i="6"/>
  <c r="N760" i="6" s="1"/>
  <c r="G760" i="6"/>
  <c r="M760" i="6" s="1"/>
  <c r="H752" i="6"/>
  <c r="N752" i="6" s="1"/>
  <c r="G752" i="6"/>
  <c r="M752" i="6" s="1"/>
  <c r="H744" i="6"/>
  <c r="N744" i="6" s="1"/>
  <c r="G744" i="6"/>
  <c r="M744" i="6" s="1"/>
  <c r="G736" i="6"/>
  <c r="M736" i="6" s="1"/>
  <c r="H736" i="6"/>
  <c r="N736" i="6" s="1"/>
  <c r="H728" i="6"/>
  <c r="N728" i="6" s="1"/>
  <c r="G728" i="6"/>
  <c r="M728" i="6" s="1"/>
  <c r="H720" i="6"/>
  <c r="N720" i="6" s="1"/>
  <c r="G720" i="6"/>
  <c r="M720" i="6" s="1"/>
  <c r="H712" i="6"/>
  <c r="N712" i="6" s="1"/>
  <c r="G712" i="6"/>
  <c r="M712" i="6" s="1"/>
  <c r="G704" i="6"/>
  <c r="M704" i="6" s="1"/>
  <c r="H704" i="6"/>
  <c r="N704" i="6" s="1"/>
  <c r="H696" i="6"/>
  <c r="N696" i="6" s="1"/>
  <c r="G696" i="6"/>
  <c r="M696" i="6" s="1"/>
  <c r="H688" i="6"/>
  <c r="N688" i="6" s="1"/>
  <c r="G688" i="6"/>
  <c r="M688" i="6" s="1"/>
  <c r="H680" i="6"/>
  <c r="N680" i="6" s="1"/>
  <c r="G680" i="6"/>
  <c r="M680" i="6" s="1"/>
  <c r="H672" i="6"/>
  <c r="N672" i="6" s="1"/>
  <c r="G672" i="6"/>
  <c r="M672" i="6" s="1"/>
  <c r="H664" i="6"/>
  <c r="N664" i="6" s="1"/>
  <c r="G664" i="6"/>
  <c r="M664" i="6" s="1"/>
  <c r="H656" i="6"/>
  <c r="N656" i="6" s="1"/>
  <c r="G656" i="6"/>
  <c r="M656" i="6" s="1"/>
  <c r="H648" i="6"/>
  <c r="N648" i="6" s="1"/>
  <c r="G648" i="6"/>
  <c r="M648" i="6" s="1"/>
  <c r="H640" i="6"/>
  <c r="N640" i="6" s="1"/>
  <c r="G640" i="6"/>
  <c r="M640" i="6" s="1"/>
  <c r="H632" i="6"/>
  <c r="N632" i="6" s="1"/>
  <c r="G632" i="6"/>
  <c r="M632" i="6" s="1"/>
  <c r="H624" i="6"/>
  <c r="N624" i="6" s="1"/>
  <c r="G624" i="6"/>
  <c r="M624" i="6" s="1"/>
  <c r="H616" i="6"/>
  <c r="N616" i="6" s="1"/>
  <c r="G616" i="6"/>
  <c r="M616" i="6" s="1"/>
  <c r="H608" i="6"/>
  <c r="N608" i="6" s="1"/>
  <c r="G608" i="6"/>
  <c r="M608" i="6" s="1"/>
  <c r="H600" i="6"/>
  <c r="N600" i="6" s="1"/>
  <c r="G600" i="6"/>
  <c r="M600" i="6" s="1"/>
  <c r="H592" i="6"/>
  <c r="N592" i="6" s="1"/>
  <c r="G592" i="6"/>
  <c r="M592" i="6" s="1"/>
  <c r="H584" i="6"/>
  <c r="N584" i="6" s="1"/>
  <c r="G584" i="6"/>
  <c r="M584" i="6" s="1"/>
  <c r="H576" i="6"/>
  <c r="N576" i="6" s="1"/>
  <c r="G576" i="6"/>
  <c r="M576" i="6" s="1"/>
  <c r="H568" i="6"/>
  <c r="N568" i="6" s="1"/>
  <c r="G568" i="6"/>
  <c r="M568" i="6" s="1"/>
  <c r="H560" i="6"/>
  <c r="N560" i="6" s="1"/>
  <c r="G560" i="6"/>
  <c r="M560" i="6" s="1"/>
  <c r="H552" i="6"/>
  <c r="N552" i="6" s="1"/>
  <c r="G552" i="6"/>
  <c r="M552" i="6" s="1"/>
  <c r="H544" i="6"/>
  <c r="N544" i="6" s="1"/>
  <c r="G544" i="6"/>
  <c r="M544" i="6" s="1"/>
  <c r="H536" i="6"/>
  <c r="N536" i="6" s="1"/>
  <c r="G536" i="6"/>
  <c r="M536" i="6" s="1"/>
  <c r="H528" i="6"/>
  <c r="N528" i="6" s="1"/>
  <c r="G528" i="6"/>
  <c r="M528" i="6" s="1"/>
  <c r="H520" i="6"/>
  <c r="N520" i="6" s="1"/>
  <c r="G520" i="6"/>
  <c r="M520" i="6" s="1"/>
  <c r="H512" i="6"/>
  <c r="N512" i="6" s="1"/>
  <c r="G512" i="6"/>
  <c r="M512" i="6" s="1"/>
  <c r="H504" i="6"/>
  <c r="N504" i="6" s="1"/>
  <c r="G504" i="6"/>
  <c r="M504" i="6" s="1"/>
  <c r="H496" i="6"/>
  <c r="N496" i="6" s="1"/>
  <c r="G496" i="6"/>
  <c r="M496" i="6" s="1"/>
  <c r="H488" i="6"/>
  <c r="N488" i="6" s="1"/>
  <c r="G488" i="6"/>
  <c r="M488" i="6" s="1"/>
  <c r="H480" i="6"/>
  <c r="N480" i="6" s="1"/>
  <c r="G480" i="6"/>
  <c r="M480" i="6" s="1"/>
  <c r="H472" i="6"/>
  <c r="N472" i="6" s="1"/>
  <c r="G472" i="6"/>
  <c r="M472" i="6" s="1"/>
  <c r="H464" i="6"/>
  <c r="N464" i="6" s="1"/>
  <c r="G464" i="6"/>
  <c r="M464" i="6" s="1"/>
  <c r="H456" i="6"/>
  <c r="N456" i="6" s="1"/>
  <c r="G456" i="6"/>
  <c r="M456" i="6" s="1"/>
  <c r="H448" i="6"/>
  <c r="N448" i="6" s="1"/>
  <c r="G448" i="6"/>
  <c r="M448" i="6" s="1"/>
  <c r="H440" i="6"/>
  <c r="N440" i="6" s="1"/>
  <c r="G440" i="6"/>
  <c r="M440" i="6" s="1"/>
  <c r="H432" i="6"/>
  <c r="N432" i="6" s="1"/>
  <c r="G432" i="6"/>
  <c r="M432" i="6" s="1"/>
  <c r="H424" i="6"/>
  <c r="N424" i="6" s="1"/>
  <c r="G424" i="6"/>
  <c r="M424" i="6" s="1"/>
  <c r="H416" i="6"/>
  <c r="N416" i="6" s="1"/>
  <c r="G416" i="6"/>
  <c r="M416" i="6" s="1"/>
  <c r="H408" i="6"/>
  <c r="N408" i="6" s="1"/>
  <c r="G408" i="6"/>
  <c r="M408" i="6" s="1"/>
  <c r="H400" i="6"/>
  <c r="N400" i="6" s="1"/>
  <c r="G400" i="6"/>
  <c r="M400" i="6" s="1"/>
  <c r="H392" i="6"/>
  <c r="N392" i="6" s="1"/>
  <c r="G392" i="6"/>
  <c r="M392" i="6" s="1"/>
  <c r="H384" i="6"/>
  <c r="N384" i="6" s="1"/>
  <c r="G384" i="6"/>
  <c r="M384" i="6" s="1"/>
  <c r="H376" i="6"/>
  <c r="N376" i="6" s="1"/>
  <c r="G376" i="6"/>
  <c r="M376" i="6" s="1"/>
  <c r="H368" i="6"/>
  <c r="N368" i="6" s="1"/>
  <c r="G368" i="6"/>
  <c r="M368" i="6" s="1"/>
  <c r="H360" i="6"/>
  <c r="N360" i="6" s="1"/>
  <c r="G360" i="6"/>
  <c r="M360" i="6" s="1"/>
  <c r="H352" i="6"/>
  <c r="N352" i="6" s="1"/>
  <c r="G352" i="6"/>
  <c r="M352" i="6" s="1"/>
  <c r="H344" i="6"/>
  <c r="N344" i="6" s="1"/>
  <c r="G344" i="6"/>
  <c r="M344" i="6" s="1"/>
  <c r="H336" i="6"/>
  <c r="N336" i="6" s="1"/>
  <c r="G336" i="6"/>
  <c r="M336" i="6" s="1"/>
  <c r="H328" i="6"/>
  <c r="N328" i="6" s="1"/>
  <c r="G328" i="6"/>
  <c r="M328" i="6" s="1"/>
  <c r="H320" i="6"/>
  <c r="N320" i="6" s="1"/>
  <c r="G320" i="6"/>
  <c r="M320" i="6" s="1"/>
  <c r="H312" i="6"/>
  <c r="N312" i="6" s="1"/>
  <c r="G312" i="6"/>
  <c r="M312" i="6" s="1"/>
  <c r="H304" i="6"/>
  <c r="N304" i="6" s="1"/>
  <c r="G304" i="6"/>
  <c r="M304" i="6" s="1"/>
  <c r="H296" i="6"/>
  <c r="N296" i="6" s="1"/>
  <c r="G296" i="6"/>
  <c r="M296" i="6" s="1"/>
  <c r="H288" i="6"/>
  <c r="N288" i="6" s="1"/>
  <c r="G288" i="6"/>
  <c r="M288" i="6" s="1"/>
  <c r="H280" i="6"/>
  <c r="N280" i="6" s="1"/>
  <c r="G280" i="6"/>
  <c r="M280" i="6" s="1"/>
  <c r="H272" i="6"/>
  <c r="N272" i="6" s="1"/>
  <c r="G272" i="6"/>
  <c r="M272" i="6" s="1"/>
  <c r="H264" i="6"/>
  <c r="N264" i="6" s="1"/>
  <c r="G264" i="6"/>
  <c r="M264" i="6" s="1"/>
  <c r="H256" i="6"/>
  <c r="N256" i="6" s="1"/>
  <c r="G256" i="6"/>
  <c r="M256" i="6" s="1"/>
  <c r="H248" i="6"/>
  <c r="N248" i="6" s="1"/>
  <c r="G248" i="6"/>
  <c r="M248" i="6" s="1"/>
  <c r="H240" i="6"/>
  <c r="N240" i="6" s="1"/>
  <c r="G240" i="6"/>
  <c r="M240" i="6" s="1"/>
  <c r="H232" i="6"/>
  <c r="N232" i="6" s="1"/>
  <c r="G232" i="6"/>
  <c r="M232" i="6" s="1"/>
  <c r="H224" i="6"/>
  <c r="N224" i="6" s="1"/>
  <c r="G224" i="6"/>
  <c r="M224" i="6" s="1"/>
  <c r="H216" i="6"/>
  <c r="N216" i="6" s="1"/>
  <c r="G216" i="6"/>
  <c r="M216" i="6" s="1"/>
  <c r="H208" i="6"/>
  <c r="N208" i="6" s="1"/>
  <c r="G208" i="6"/>
  <c r="M208" i="6" s="1"/>
  <c r="H200" i="6"/>
  <c r="N200" i="6" s="1"/>
  <c r="G200" i="6"/>
  <c r="M200" i="6" s="1"/>
  <c r="H192" i="6"/>
  <c r="N192" i="6" s="1"/>
  <c r="G192" i="6"/>
  <c r="M192" i="6" s="1"/>
  <c r="H184" i="6"/>
  <c r="N184" i="6" s="1"/>
  <c r="G184" i="6"/>
  <c r="M184" i="6" s="1"/>
  <c r="H176" i="6"/>
  <c r="N176" i="6" s="1"/>
  <c r="G176" i="6"/>
  <c r="M176" i="6" s="1"/>
  <c r="H168" i="6"/>
  <c r="N168" i="6" s="1"/>
  <c r="G168" i="6"/>
  <c r="M168" i="6" s="1"/>
  <c r="H160" i="6"/>
  <c r="N160" i="6" s="1"/>
  <c r="G160" i="6"/>
  <c r="M160" i="6" s="1"/>
  <c r="H152" i="6"/>
  <c r="N152" i="6" s="1"/>
  <c r="G152" i="6"/>
  <c r="M152" i="6" s="1"/>
  <c r="H144" i="6"/>
  <c r="N144" i="6" s="1"/>
  <c r="G144" i="6"/>
  <c r="M144" i="6" s="1"/>
  <c r="H136" i="6"/>
  <c r="N136" i="6" s="1"/>
  <c r="G136" i="6"/>
  <c r="M136" i="6" s="1"/>
  <c r="H128" i="6"/>
  <c r="N128" i="6" s="1"/>
  <c r="G128" i="6"/>
  <c r="M128" i="6" s="1"/>
  <c r="H120" i="6"/>
  <c r="N120" i="6" s="1"/>
  <c r="G120" i="6"/>
  <c r="M120" i="6" s="1"/>
  <c r="H112" i="6"/>
  <c r="N112" i="6" s="1"/>
  <c r="G112" i="6"/>
  <c r="M112" i="6" s="1"/>
  <c r="H104" i="6"/>
  <c r="N104" i="6" s="1"/>
  <c r="G104" i="6"/>
  <c r="M104" i="6" s="1"/>
  <c r="H96" i="6"/>
  <c r="N96" i="6" s="1"/>
  <c r="G96" i="6"/>
  <c r="M96" i="6" s="1"/>
  <c r="H88" i="6"/>
  <c r="N88" i="6" s="1"/>
  <c r="G88" i="6"/>
  <c r="M88" i="6" s="1"/>
  <c r="H80" i="6"/>
  <c r="N80" i="6" s="1"/>
  <c r="G80" i="6"/>
  <c r="M80" i="6" s="1"/>
  <c r="H72" i="6"/>
  <c r="N72" i="6" s="1"/>
  <c r="G72" i="6"/>
  <c r="M72" i="6" s="1"/>
  <c r="H64" i="6"/>
  <c r="N64" i="6" s="1"/>
  <c r="G64" i="6"/>
  <c r="M64" i="6" s="1"/>
  <c r="H56" i="6"/>
  <c r="N56" i="6" s="1"/>
  <c r="G56" i="6"/>
  <c r="M56" i="6" s="1"/>
  <c r="H48" i="6"/>
  <c r="N48" i="6" s="1"/>
  <c r="G48" i="6"/>
  <c r="M48" i="6" s="1"/>
  <c r="H40" i="6"/>
  <c r="N40" i="6" s="1"/>
  <c r="G40" i="6"/>
  <c r="M40" i="6" s="1"/>
  <c r="H32" i="6"/>
  <c r="N32" i="6" s="1"/>
  <c r="G32" i="6"/>
  <c r="M32" i="6" s="1"/>
  <c r="H24" i="6"/>
  <c r="N24" i="6" s="1"/>
  <c r="G24" i="6"/>
  <c r="M24" i="6" s="1"/>
  <c r="H16" i="6"/>
  <c r="N16" i="6" s="1"/>
  <c r="G16" i="6"/>
  <c r="M16" i="6" s="1"/>
  <c r="H8" i="6"/>
  <c r="N8" i="6" s="1"/>
  <c r="G8" i="6"/>
  <c r="M8" i="6" s="1"/>
  <c r="G992" i="6"/>
  <c r="M992" i="6" s="1"/>
  <c r="G960" i="6"/>
  <c r="M960" i="6" s="1"/>
  <c r="G928" i="6"/>
  <c r="M928" i="6" s="1"/>
  <c r="G896" i="6"/>
  <c r="M896" i="6" s="1"/>
  <c r="G864" i="6"/>
  <c r="M864" i="6" s="1"/>
  <c r="G832" i="6"/>
  <c r="M832" i="6" s="1"/>
  <c r="G800" i="6"/>
  <c r="M800" i="6" s="1"/>
  <c r="H999" i="6"/>
  <c r="N999" i="6" s="1"/>
  <c r="G999" i="6"/>
  <c r="M999" i="6" s="1"/>
  <c r="H991" i="6"/>
  <c r="N991" i="6" s="1"/>
  <c r="G991" i="6"/>
  <c r="M991" i="6" s="1"/>
  <c r="H983" i="6"/>
  <c r="N983" i="6" s="1"/>
  <c r="G983" i="6"/>
  <c r="M983" i="6" s="1"/>
  <c r="H975" i="6"/>
  <c r="N975" i="6" s="1"/>
  <c r="G975" i="6"/>
  <c r="M975" i="6" s="1"/>
  <c r="H967" i="6"/>
  <c r="N967" i="6" s="1"/>
  <c r="G967" i="6"/>
  <c r="M967" i="6" s="1"/>
  <c r="H959" i="6"/>
  <c r="N959" i="6" s="1"/>
  <c r="G959" i="6"/>
  <c r="M959" i="6" s="1"/>
  <c r="H951" i="6"/>
  <c r="N951" i="6" s="1"/>
  <c r="G951" i="6"/>
  <c r="M951" i="6" s="1"/>
  <c r="H943" i="6"/>
  <c r="N943" i="6" s="1"/>
  <c r="G943" i="6"/>
  <c r="M943" i="6" s="1"/>
  <c r="H935" i="6"/>
  <c r="N935" i="6" s="1"/>
  <c r="G935" i="6"/>
  <c r="M935" i="6" s="1"/>
  <c r="H927" i="6"/>
  <c r="N927" i="6" s="1"/>
  <c r="G927" i="6"/>
  <c r="M927" i="6" s="1"/>
  <c r="H919" i="6"/>
  <c r="N919" i="6" s="1"/>
  <c r="G919" i="6"/>
  <c r="M919" i="6" s="1"/>
  <c r="H911" i="6"/>
  <c r="N911" i="6" s="1"/>
  <c r="G911" i="6"/>
  <c r="M911" i="6" s="1"/>
  <c r="H903" i="6"/>
  <c r="N903" i="6" s="1"/>
  <c r="G903" i="6"/>
  <c r="M903" i="6" s="1"/>
  <c r="H895" i="6"/>
  <c r="N895" i="6" s="1"/>
  <c r="G895" i="6"/>
  <c r="M895" i="6" s="1"/>
  <c r="H887" i="6"/>
  <c r="N887" i="6" s="1"/>
  <c r="G887" i="6"/>
  <c r="M887" i="6" s="1"/>
  <c r="H879" i="6"/>
  <c r="N879" i="6" s="1"/>
  <c r="G879" i="6"/>
  <c r="M879" i="6" s="1"/>
  <c r="H871" i="6"/>
  <c r="N871" i="6" s="1"/>
  <c r="G871" i="6"/>
  <c r="M871" i="6" s="1"/>
  <c r="H863" i="6"/>
  <c r="N863" i="6" s="1"/>
  <c r="G863" i="6"/>
  <c r="M863" i="6" s="1"/>
  <c r="H855" i="6"/>
  <c r="N855" i="6" s="1"/>
  <c r="G855" i="6"/>
  <c r="M855" i="6" s="1"/>
  <c r="H847" i="6"/>
  <c r="N847" i="6" s="1"/>
  <c r="G847" i="6"/>
  <c r="M847" i="6" s="1"/>
  <c r="H839" i="6"/>
  <c r="N839" i="6" s="1"/>
  <c r="G839" i="6"/>
  <c r="M839" i="6" s="1"/>
  <c r="H831" i="6"/>
  <c r="N831" i="6" s="1"/>
  <c r="G831" i="6"/>
  <c r="M831" i="6" s="1"/>
  <c r="H823" i="6"/>
  <c r="N823" i="6" s="1"/>
  <c r="G823" i="6"/>
  <c r="M823" i="6" s="1"/>
  <c r="H815" i="6"/>
  <c r="N815" i="6" s="1"/>
  <c r="G815" i="6"/>
  <c r="M815" i="6" s="1"/>
  <c r="H807" i="6"/>
  <c r="N807" i="6" s="1"/>
  <c r="G807" i="6"/>
  <c r="M807" i="6" s="1"/>
  <c r="H799" i="6"/>
  <c r="N799" i="6" s="1"/>
  <c r="G799" i="6"/>
  <c r="M799" i="6" s="1"/>
  <c r="H791" i="6"/>
  <c r="N791" i="6" s="1"/>
  <c r="G791" i="6"/>
  <c r="M791" i="6" s="1"/>
  <c r="H783" i="6"/>
  <c r="N783" i="6" s="1"/>
  <c r="G783" i="6"/>
  <c r="M783" i="6" s="1"/>
  <c r="H775" i="6"/>
  <c r="N775" i="6" s="1"/>
  <c r="G775" i="6"/>
  <c r="M775" i="6" s="1"/>
  <c r="H767" i="6"/>
  <c r="N767" i="6" s="1"/>
  <c r="G767" i="6"/>
  <c r="M767" i="6" s="1"/>
  <c r="H759" i="6"/>
  <c r="N759" i="6" s="1"/>
  <c r="G759" i="6"/>
  <c r="M759" i="6" s="1"/>
  <c r="H751" i="6"/>
  <c r="N751" i="6" s="1"/>
  <c r="G751" i="6"/>
  <c r="M751" i="6" s="1"/>
  <c r="H743" i="6"/>
  <c r="N743" i="6" s="1"/>
  <c r="G743" i="6"/>
  <c r="M743" i="6" s="1"/>
  <c r="H735" i="6"/>
  <c r="N735" i="6" s="1"/>
  <c r="G735" i="6"/>
  <c r="M735" i="6" s="1"/>
  <c r="H727" i="6"/>
  <c r="N727" i="6" s="1"/>
  <c r="G727" i="6"/>
  <c r="M727" i="6" s="1"/>
  <c r="H719" i="6"/>
  <c r="N719" i="6" s="1"/>
  <c r="G719" i="6"/>
  <c r="M719" i="6" s="1"/>
  <c r="H711" i="6"/>
  <c r="N711" i="6" s="1"/>
  <c r="G711" i="6"/>
  <c r="M711" i="6" s="1"/>
  <c r="H703" i="6"/>
  <c r="N703" i="6" s="1"/>
  <c r="G703" i="6"/>
  <c r="M703" i="6" s="1"/>
  <c r="H695" i="6"/>
  <c r="N695" i="6" s="1"/>
  <c r="G695" i="6"/>
  <c r="M695" i="6" s="1"/>
  <c r="H687" i="6"/>
  <c r="N687" i="6" s="1"/>
  <c r="G687" i="6"/>
  <c r="M687" i="6" s="1"/>
  <c r="H679" i="6"/>
  <c r="N679" i="6" s="1"/>
  <c r="G679" i="6"/>
  <c r="M679" i="6" s="1"/>
  <c r="H671" i="6"/>
  <c r="N671" i="6" s="1"/>
  <c r="G671" i="6"/>
  <c r="M671" i="6" s="1"/>
  <c r="H663" i="6"/>
  <c r="N663" i="6" s="1"/>
  <c r="G663" i="6"/>
  <c r="M663" i="6" s="1"/>
  <c r="H655" i="6"/>
  <c r="N655" i="6" s="1"/>
  <c r="G655" i="6"/>
  <c r="M655" i="6" s="1"/>
  <c r="H647" i="6"/>
  <c r="N647" i="6" s="1"/>
  <c r="G647" i="6"/>
  <c r="M647" i="6" s="1"/>
  <c r="H639" i="6"/>
  <c r="N639" i="6" s="1"/>
  <c r="G639" i="6"/>
  <c r="M639" i="6" s="1"/>
  <c r="H631" i="6"/>
  <c r="N631" i="6" s="1"/>
  <c r="G631" i="6"/>
  <c r="M631" i="6" s="1"/>
  <c r="H623" i="6"/>
  <c r="N623" i="6" s="1"/>
  <c r="G623" i="6"/>
  <c r="M623" i="6" s="1"/>
  <c r="H615" i="6"/>
  <c r="N615" i="6" s="1"/>
  <c r="G615" i="6"/>
  <c r="M615" i="6" s="1"/>
  <c r="H607" i="6"/>
  <c r="N607" i="6" s="1"/>
  <c r="G607" i="6"/>
  <c r="M607" i="6" s="1"/>
  <c r="H599" i="6"/>
  <c r="N599" i="6" s="1"/>
  <c r="G599" i="6"/>
  <c r="M599" i="6" s="1"/>
  <c r="H591" i="6"/>
  <c r="N591" i="6" s="1"/>
  <c r="G591" i="6"/>
  <c r="M591" i="6" s="1"/>
  <c r="H583" i="6"/>
  <c r="N583" i="6" s="1"/>
  <c r="G583" i="6"/>
  <c r="M583" i="6" s="1"/>
  <c r="H575" i="6"/>
  <c r="N575" i="6" s="1"/>
  <c r="G575" i="6"/>
  <c r="M575" i="6" s="1"/>
  <c r="H567" i="6"/>
  <c r="N567" i="6" s="1"/>
  <c r="G567" i="6"/>
  <c r="M567" i="6" s="1"/>
  <c r="H559" i="6"/>
  <c r="N559" i="6" s="1"/>
  <c r="G559" i="6"/>
  <c r="M559" i="6" s="1"/>
  <c r="H551" i="6"/>
  <c r="N551" i="6" s="1"/>
  <c r="G551" i="6"/>
  <c r="M551" i="6" s="1"/>
  <c r="H543" i="6"/>
  <c r="N543" i="6" s="1"/>
  <c r="G543" i="6"/>
  <c r="M543" i="6" s="1"/>
  <c r="H535" i="6"/>
  <c r="N535" i="6" s="1"/>
  <c r="G535" i="6"/>
  <c r="M535" i="6" s="1"/>
  <c r="H527" i="6"/>
  <c r="N527" i="6" s="1"/>
  <c r="G527" i="6"/>
  <c r="M527" i="6" s="1"/>
  <c r="H519" i="6"/>
  <c r="N519" i="6" s="1"/>
  <c r="G519" i="6"/>
  <c r="M519" i="6" s="1"/>
  <c r="H511" i="6"/>
  <c r="N511" i="6" s="1"/>
  <c r="G511" i="6"/>
  <c r="M511" i="6" s="1"/>
  <c r="H503" i="6"/>
  <c r="N503" i="6" s="1"/>
  <c r="G503" i="6"/>
  <c r="M503" i="6" s="1"/>
  <c r="H495" i="6"/>
  <c r="N495" i="6" s="1"/>
  <c r="G495" i="6"/>
  <c r="M495" i="6" s="1"/>
  <c r="H487" i="6"/>
  <c r="N487" i="6" s="1"/>
  <c r="G487" i="6"/>
  <c r="M487" i="6" s="1"/>
  <c r="H479" i="6"/>
  <c r="N479" i="6" s="1"/>
  <c r="G479" i="6"/>
  <c r="M479" i="6" s="1"/>
  <c r="H471" i="6"/>
  <c r="N471" i="6" s="1"/>
  <c r="G471" i="6"/>
  <c r="M471" i="6" s="1"/>
  <c r="H463" i="6"/>
  <c r="N463" i="6" s="1"/>
  <c r="G463" i="6"/>
  <c r="M463" i="6" s="1"/>
  <c r="H455" i="6"/>
  <c r="N455" i="6" s="1"/>
  <c r="G455" i="6"/>
  <c r="M455" i="6" s="1"/>
  <c r="H447" i="6"/>
  <c r="N447" i="6" s="1"/>
  <c r="G447" i="6"/>
  <c r="M447" i="6" s="1"/>
  <c r="H439" i="6"/>
  <c r="N439" i="6" s="1"/>
  <c r="G439" i="6"/>
  <c r="M439" i="6" s="1"/>
  <c r="H431" i="6"/>
  <c r="N431" i="6" s="1"/>
  <c r="G431" i="6"/>
  <c r="M431" i="6" s="1"/>
  <c r="H423" i="6"/>
  <c r="N423" i="6" s="1"/>
  <c r="G423" i="6"/>
  <c r="M423" i="6" s="1"/>
  <c r="H415" i="6"/>
  <c r="N415" i="6" s="1"/>
  <c r="G415" i="6"/>
  <c r="M415" i="6" s="1"/>
  <c r="H407" i="6"/>
  <c r="N407" i="6" s="1"/>
  <c r="G407" i="6"/>
  <c r="M407" i="6" s="1"/>
  <c r="H399" i="6"/>
  <c r="N399" i="6" s="1"/>
  <c r="G399" i="6"/>
  <c r="M399" i="6" s="1"/>
  <c r="H391" i="6"/>
  <c r="N391" i="6" s="1"/>
  <c r="G391" i="6"/>
  <c r="M391" i="6" s="1"/>
  <c r="H383" i="6"/>
  <c r="N383" i="6" s="1"/>
  <c r="G383" i="6"/>
  <c r="M383" i="6" s="1"/>
  <c r="H375" i="6"/>
  <c r="N375" i="6" s="1"/>
  <c r="G375" i="6"/>
  <c r="M375" i="6" s="1"/>
  <c r="H367" i="6"/>
  <c r="N367" i="6" s="1"/>
  <c r="G367" i="6"/>
  <c r="M367" i="6" s="1"/>
  <c r="H359" i="6"/>
  <c r="N359" i="6" s="1"/>
  <c r="G359" i="6"/>
  <c r="M359" i="6" s="1"/>
  <c r="H351" i="6"/>
  <c r="N351" i="6" s="1"/>
  <c r="G351" i="6"/>
  <c r="M351" i="6" s="1"/>
  <c r="H343" i="6"/>
  <c r="N343" i="6" s="1"/>
  <c r="G343" i="6"/>
  <c r="M343" i="6" s="1"/>
  <c r="H335" i="6"/>
  <c r="N335" i="6" s="1"/>
  <c r="G335" i="6"/>
  <c r="M335" i="6" s="1"/>
  <c r="H327" i="6"/>
  <c r="N327" i="6" s="1"/>
  <c r="G327" i="6"/>
  <c r="M327" i="6" s="1"/>
  <c r="H319" i="6"/>
  <c r="N319" i="6" s="1"/>
  <c r="G319" i="6"/>
  <c r="M319" i="6" s="1"/>
  <c r="H311" i="6"/>
  <c r="N311" i="6" s="1"/>
  <c r="G311" i="6"/>
  <c r="M311" i="6" s="1"/>
  <c r="H303" i="6"/>
  <c r="N303" i="6" s="1"/>
  <c r="G303" i="6"/>
  <c r="M303" i="6" s="1"/>
  <c r="H295" i="6"/>
  <c r="N295" i="6" s="1"/>
  <c r="G295" i="6"/>
  <c r="M295" i="6" s="1"/>
  <c r="H287" i="6"/>
  <c r="N287" i="6" s="1"/>
  <c r="G287" i="6"/>
  <c r="M287" i="6" s="1"/>
  <c r="H279" i="6"/>
  <c r="N279" i="6" s="1"/>
  <c r="G279" i="6"/>
  <c r="M279" i="6" s="1"/>
  <c r="H271" i="6"/>
  <c r="N271" i="6" s="1"/>
  <c r="G271" i="6"/>
  <c r="M271" i="6" s="1"/>
  <c r="H263" i="6"/>
  <c r="N263" i="6" s="1"/>
  <c r="G263" i="6"/>
  <c r="M263" i="6" s="1"/>
  <c r="H255" i="6"/>
  <c r="N255" i="6" s="1"/>
  <c r="G255" i="6"/>
  <c r="M255" i="6" s="1"/>
  <c r="H247" i="6"/>
  <c r="N247" i="6" s="1"/>
  <c r="G247" i="6"/>
  <c r="M247" i="6" s="1"/>
  <c r="H239" i="6"/>
  <c r="N239" i="6" s="1"/>
  <c r="G239" i="6"/>
  <c r="M239" i="6" s="1"/>
  <c r="H231" i="6"/>
  <c r="N231" i="6" s="1"/>
  <c r="G231" i="6"/>
  <c r="M231" i="6" s="1"/>
  <c r="H223" i="6"/>
  <c r="N223" i="6" s="1"/>
  <c r="G223" i="6"/>
  <c r="M223" i="6" s="1"/>
  <c r="H215" i="6"/>
  <c r="N215" i="6" s="1"/>
  <c r="G215" i="6"/>
  <c r="M215" i="6" s="1"/>
  <c r="H207" i="6"/>
  <c r="N207" i="6" s="1"/>
  <c r="G207" i="6"/>
  <c r="M207" i="6" s="1"/>
  <c r="H199" i="6"/>
  <c r="N199" i="6" s="1"/>
  <c r="G199" i="6"/>
  <c r="M199" i="6" s="1"/>
  <c r="H191" i="6"/>
  <c r="N191" i="6" s="1"/>
  <c r="G191" i="6"/>
  <c r="M191" i="6" s="1"/>
  <c r="H183" i="6"/>
  <c r="N183" i="6" s="1"/>
  <c r="G183" i="6"/>
  <c r="M183" i="6" s="1"/>
  <c r="H175" i="6"/>
  <c r="N175" i="6" s="1"/>
  <c r="G175" i="6"/>
  <c r="M175" i="6" s="1"/>
  <c r="H167" i="6"/>
  <c r="N167" i="6" s="1"/>
  <c r="G167" i="6"/>
  <c r="M167" i="6" s="1"/>
  <c r="H159" i="6"/>
  <c r="N159" i="6" s="1"/>
  <c r="G159" i="6"/>
  <c r="M159" i="6" s="1"/>
  <c r="H151" i="6"/>
  <c r="N151" i="6" s="1"/>
  <c r="G151" i="6"/>
  <c r="M151" i="6" s="1"/>
  <c r="H143" i="6"/>
  <c r="N143" i="6" s="1"/>
  <c r="G143" i="6"/>
  <c r="M143" i="6" s="1"/>
  <c r="H135" i="6"/>
  <c r="N135" i="6" s="1"/>
  <c r="G135" i="6"/>
  <c r="M135" i="6" s="1"/>
  <c r="H127" i="6"/>
  <c r="N127" i="6" s="1"/>
  <c r="G127" i="6"/>
  <c r="M127" i="6" s="1"/>
  <c r="H119" i="6"/>
  <c r="N119" i="6" s="1"/>
  <c r="G119" i="6"/>
  <c r="M119" i="6" s="1"/>
  <c r="H111" i="6"/>
  <c r="N111" i="6" s="1"/>
  <c r="G111" i="6"/>
  <c r="M111" i="6" s="1"/>
  <c r="H103" i="6"/>
  <c r="N103" i="6" s="1"/>
  <c r="G103" i="6"/>
  <c r="M103" i="6" s="1"/>
  <c r="H95" i="6"/>
  <c r="N95" i="6" s="1"/>
  <c r="G95" i="6"/>
  <c r="M95" i="6" s="1"/>
  <c r="H87" i="6"/>
  <c r="N87" i="6" s="1"/>
  <c r="G87" i="6"/>
  <c r="M87" i="6" s="1"/>
  <c r="H79" i="6"/>
  <c r="N79" i="6" s="1"/>
  <c r="G79" i="6"/>
  <c r="M79" i="6" s="1"/>
  <c r="H71" i="6"/>
  <c r="N71" i="6" s="1"/>
  <c r="G71" i="6"/>
  <c r="M71" i="6" s="1"/>
  <c r="H63" i="6"/>
  <c r="N63" i="6" s="1"/>
  <c r="G63" i="6"/>
  <c r="M63" i="6" s="1"/>
  <c r="H55" i="6"/>
  <c r="N55" i="6" s="1"/>
  <c r="G55" i="6"/>
  <c r="M55" i="6" s="1"/>
  <c r="H47" i="6"/>
  <c r="N47" i="6" s="1"/>
  <c r="G47" i="6"/>
  <c r="M47" i="6" s="1"/>
  <c r="H39" i="6"/>
  <c r="N39" i="6" s="1"/>
  <c r="G39" i="6"/>
  <c r="M39" i="6" s="1"/>
  <c r="H31" i="6"/>
  <c r="N31" i="6" s="1"/>
  <c r="G31" i="6"/>
  <c r="M31" i="6" s="1"/>
  <c r="H23" i="6"/>
  <c r="N23" i="6" s="1"/>
  <c r="G23" i="6"/>
  <c r="M23" i="6" s="1"/>
  <c r="H15" i="6"/>
  <c r="N15" i="6" s="1"/>
  <c r="G15" i="6"/>
  <c r="M15" i="6" s="1"/>
  <c r="G988" i="6"/>
  <c r="M988" i="6" s="1"/>
  <c r="G956" i="6"/>
  <c r="M956" i="6" s="1"/>
  <c r="G924" i="6"/>
  <c r="M924" i="6" s="1"/>
  <c r="G892" i="6"/>
  <c r="M892" i="6" s="1"/>
  <c r="G860" i="6"/>
  <c r="M860" i="6" s="1"/>
  <c r="G828" i="6"/>
  <c r="M828" i="6" s="1"/>
  <c r="G796" i="6"/>
  <c r="M796" i="6" s="1"/>
  <c r="H998" i="6"/>
  <c r="N998" i="6" s="1"/>
  <c r="G998" i="6"/>
  <c r="M998" i="6" s="1"/>
  <c r="H990" i="6"/>
  <c r="N990" i="6" s="1"/>
  <c r="G990" i="6"/>
  <c r="M990" i="6" s="1"/>
  <c r="H982" i="6"/>
  <c r="N982" i="6" s="1"/>
  <c r="G982" i="6"/>
  <c r="M982" i="6" s="1"/>
  <c r="H974" i="6"/>
  <c r="N974" i="6" s="1"/>
  <c r="G974" i="6"/>
  <c r="M974" i="6" s="1"/>
  <c r="H966" i="6"/>
  <c r="N966" i="6" s="1"/>
  <c r="G966" i="6"/>
  <c r="M966" i="6" s="1"/>
  <c r="H958" i="6"/>
  <c r="N958" i="6" s="1"/>
  <c r="G958" i="6"/>
  <c r="M958" i="6" s="1"/>
  <c r="H950" i="6"/>
  <c r="N950" i="6" s="1"/>
  <c r="G950" i="6"/>
  <c r="M950" i="6" s="1"/>
  <c r="H942" i="6"/>
  <c r="N942" i="6" s="1"/>
  <c r="G942" i="6"/>
  <c r="M942" i="6" s="1"/>
  <c r="H934" i="6"/>
  <c r="N934" i="6" s="1"/>
  <c r="G934" i="6"/>
  <c r="M934" i="6" s="1"/>
  <c r="H926" i="6"/>
  <c r="N926" i="6" s="1"/>
  <c r="G926" i="6"/>
  <c r="M926" i="6" s="1"/>
  <c r="H918" i="6"/>
  <c r="N918" i="6" s="1"/>
  <c r="G918" i="6"/>
  <c r="M918" i="6" s="1"/>
  <c r="H910" i="6"/>
  <c r="N910" i="6" s="1"/>
  <c r="G910" i="6"/>
  <c r="M910" i="6" s="1"/>
  <c r="H902" i="6"/>
  <c r="N902" i="6" s="1"/>
  <c r="G902" i="6"/>
  <c r="M902" i="6" s="1"/>
  <c r="H894" i="6"/>
  <c r="N894" i="6" s="1"/>
  <c r="G894" i="6"/>
  <c r="M894" i="6" s="1"/>
  <c r="H886" i="6"/>
  <c r="N886" i="6" s="1"/>
  <c r="G886" i="6"/>
  <c r="M886" i="6" s="1"/>
  <c r="H878" i="6"/>
  <c r="N878" i="6" s="1"/>
  <c r="G878" i="6"/>
  <c r="M878" i="6" s="1"/>
  <c r="H870" i="6"/>
  <c r="N870" i="6" s="1"/>
  <c r="G870" i="6"/>
  <c r="M870" i="6" s="1"/>
  <c r="H862" i="6"/>
  <c r="N862" i="6" s="1"/>
  <c r="G862" i="6"/>
  <c r="M862" i="6" s="1"/>
  <c r="H854" i="6"/>
  <c r="N854" i="6" s="1"/>
  <c r="G854" i="6"/>
  <c r="M854" i="6" s="1"/>
  <c r="H846" i="6"/>
  <c r="N846" i="6" s="1"/>
  <c r="G846" i="6"/>
  <c r="M846" i="6" s="1"/>
  <c r="H838" i="6"/>
  <c r="N838" i="6" s="1"/>
  <c r="G838" i="6"/>
  <c r="M838" i="6" s="1"/>
  <c r="H830" i="6"/>
  <c r="N830" i="6" s="1"/>
  <c r="G830" i="6"/>
  <c r="M830" i="6" s="1"/>
  <c r="H822" i="6"/>
  <c r="N822" i="6" s="1"/>
  <c r="G822" i="6"/>
  <c r="M822" i="6" s="1"/>
  <c r="H814" i="6"/>
  <c r="N814" i="6" s="1"/>
  <c r="G814" i="6"/>
  <c r="M814" i="6" s="1"/>
  <c r="H806" i="6"/>
  <c r="N806" i="6" s="1"/>
  <c r="G806" i="6"/>
  <c r="M806" i="6" s="1"/>
  <c r="H798" i="6"/>
  <c r="N798" i="6" s="1"/>
  <c r="G798" i="6"/>
  <c r="M798" i="6" s="1"/>
  <c r="H790" i="6"/>
  <c r="N790" i="6" s="1"/>
  <c r="G790" i="6"/>
  <c r="M790" i="6" s="1"/>
  <c r="H782" i="6"/>
  <c r="N782" i="6" s="1"/>
  <c r="G782" i="6"/>
  <c r="M782" i="6" s="1"/>
  <c r="H774" i="6"/>
  <c r="N774" i="6" s="1"/>
  <c r="G774" i="6"/>
  <c r="M774" i="6" s="1"/>
  <c r="H766" i="6"/>
  <c r="N766" i="6" s="1"/>
  <c r="G766" i="6"/>
  <c r="M766" i="6" s="1"/>
  <c r="H758" i="6"/>
  <c r="N758" i="6" s="1"/>
  <c r="G758" i="6"/>
  <c r="M758" i="6" s="1"/>
  <c r="H750" i="6"/>
  <c r="N750" i="6" s="1"/>
  <c r="G750" i="6"/>
  <c r="M750" i="6" s="1"/>
  <c r="H742" i="6"/>
  <c r="N742" i="6" s="1"/>
  <c r="G742" i="6"/>
  <c r="M742" i="6" s="1"/>
  <c r="H734" i="6"/>
  <c r="N734" i="6" s="1"/>
  <c r="G734" i="6"/>
  <c r="M734" i="6" s="1"/>
  <c r="H726" i="6"/>
  <c r="N726" i="6" s="1"/>
  <c r="G726" i="6"/>
  <c r="M726" i="6" s="1"/>
  <c r="H718" i="6"/>
  <c r="N718" i="6" s="1"/>
  <c r="G718" i="6"/>
  <c r="M718" i="6" s="1"/>
  <c r="H710" i="6"/>
  <c r="N710" i="6" s="1"/>
  <c r="G710" i="6"/>
  <c r="M710" i="6" s="1"/>
  <c r="H702" i="6"/>
  <c r="N702" i="6" s="1"/>
  <c r="G702" i="6"/>
  <c r="M702" i="6" s="1"/>
  <c r="H694" i="6"/>
  <c r="N694" i="6" s="1"/>
  <c r="G694" i="6"/>
  <c r="M694" i="6" s="1"/>
  <c r="H686" i="6"/>
  <c r="N686" i="6" s="1"/>
  <c r="G686" i="6"/>
  <c r="M686" i="6" s="1"/>
  <c r="H678" i="6"/>
  <c r="N678" i="6" s="1"/>
  <c r="G678" i="6"/>
  <c r="M678" i="6" s="1"/>
  <c r="H670" i="6"/>
  <c r="N670" i="6" s="1"/>
  <c r="G670" i="6"/>
  <c r="M670" i="6" s="1"/>
  <c r="H662" i="6"/>
  <c r="N662" i="6" s="1"/>
  <c r="G662" i="6"/>
  <c r="M662" i="6" s="1"/>
  <c r="H654" i="6"/>
  <c r="N654" i="6" s="1"/>
  <c r="G654" i="6"/>
  <c r="M654" i="6" s="1"/>
  <c r="H646" i="6"/>
  <c r="N646" i="6" s="1"/>
  <c r="G646" i="6"/>
  <c r="M646" i="6" s="1"/>
  <c r="H638" i="6"/>
  <c r="N638" i="6" s="1"/>
  <c r="G638" i="6"/>
  <c r="M638" i="6" s="1"/>
  <c r="H630" i="6"/>
  <c r="N630" i="6" s="1"/>
  <c r="G630" i="6"/>
  <c r="M630" i="6" s="1"/>
  <c r="H622" i="6"/>
  <c r="N622" i="6" s="1"/>
  <c r="G622" i="6"/>
  <c r="M622" i="6" s="1"/>
  <c r="H614" i="6"/>
  <c r="N614" i="6" s="1"/>
  <c r="G614" i="6"/>
  <c r="M614" i="6" s="1"/>
  <c r="H606" i="6"/>
  <c r="N606" i="6" s="1"/>
  <c r="G606" i="6"/>
  <c r="M606" i="6" s="1"/>
  <c r="H598" i="6"/>
  <c r="N598" i="6" s="1"/>
  <c r="G598" i="6"/>
  <c r="M598" i="6" s="1"/>
  <c r="H590" i="6"/>
  <c r="N590" i="6" s="1"/>
  <c r="G590" i="6"/>
  <c r="M590" i="6" s="1"/>
  <c r="H582" i="6"/>
  <c r="N582" i="6" s="1"/>
  <c r="G582" i="6"/>
  <c r="M582" i="6" s="1"/>
  <c r="H574" i="6"/>
  <c r="N574" i="6" s="1"/>
  <c r="G574" i="6"/>
  <c r="M574" i="6" s="1"/>
  <c r="H566" i="6"/>
  <c r="N566" i="6" s="1"/>
  <c r="G566" i="6"/>
  <c r="M566" i="6" s="1"/>
  <c r="H558" i="6"/>
  <c r="N558" i="6" s="1"/>
  <c r="G558" i="6"/>
  <c r="M558" i="6" s="1"/>
  <c r="H550" i="6"/>
  <c r="N550" i="6" s="1"/>
  <c r="G550" i="6"/>
  <c r="M550" i="6" s="1"/>
  <c r="H542" i="6"/>
  <c r="N542" i="6" s="1"/>
  <c r="G542" i="6"/>
  <c r="M542" i="6" s="1"/>
  <c r="H534" i="6"/>
  <c r="N534" i="6" s="1"/>
  <c r="G534" i="6"/>
  <c r="M534" i="6" s="1"/>
  <c r="H526" i="6"/>
  <c r="N526" i="6" s="1"/>
  <c r="G526" i="6"/>
  <c r="M526" i="6" s="1"/>
  <c r="H518" i="6"/>
  <c r="N518" i="6" s="1"/>
  <c r="G518" i="6"/>
  <c r="M518" i="6" s="1"/>
  <c r="H510" i="6"/>
  <c r="N510" i="6" s="1"/>
  <c r="G510" i="6"/>
  <c r="M510" i="6" s="1"/>
  <c r="H502" i="6"/>
  <c r="N502" i="6" s="1"/>
  <c r="G502" i="6"/>
  <c r="M502" i="6" s="1"/>
  <c r="H494" i="6"/>
  <c r="N494" i="6" s="1"/>
  <c r="G494" i="6"/>
  <c r="M494" i="6" s="1"/>
  <c r="H486" i="6"/>
  <c r="N486" i="6" s="1"/>
  <c r="G486" i="6"/>
  <c r="M486" i="6" s="1"/>
  <c r="H478" i="6"/>
  <c r="N478" i="6" s="1"/>
  <c r="G478" i="6"/>
  <c r="M478" i="6" s="1"/>
  <c r="H470" i="6"/>
  <c r="N470" i="6" s="1"/>
  <c r="G470" i="6"/>
  <c r="M470" i="6" s="1"/>
  <c r="H462" i="6"/>
  <c r="N462" i="6" s="1"/>
  <c r="G462" i="6"/>
  <c r="M462" i="6" s="1"/>
  <c r="H454" i="6"/>
  <c r="N454" i="6" s="1"/>
  <c r="G454" i="6"/>
  <c r="M454" i="6" s="1"/>
  <c r="H446" i="6"/>
  <c r="N446" i="6" s="1"/>
  <c r="G446" i="6"/>
  <c r="M446" i="6" s="1"/>
  <c r="H438" i="6"/>
  <c r="N438" i="6" s="1"/>
  <c r="G438" i="6"/>
  <c r="M438" i="6" s="1"/>
  <c r="H430" i="6"/>
  <c r="N430" i="6" s="1"/>
  <c r="G430" i="6"/>
  <c r="M430" i="6" s="1"/>
  <c r="H422" i="6"/>
  <c r="N422" i="6" s="1"/>
  <c r="G422" i="6"/>
  <c r="M422" i="6" s="1"/>
  <c r="H414" i="6"/>
  <c r="N414" i="6" s="1"/>
  <c r="G414" i="6"/>
  <c r="M414" i="6" s="1"/>
  <c r="H406" i="6"/>
  <c r="N406" i="6" s="1"/>
  <c r="G406" i="6"/>
  <c r="M406" i="6" s="1"/>
  <c r="H398" i="6"/>
  <c r="N398" i="6" s="1"/>
  <c r="G398" i="6"/>
  <c r="M398" i="6" s="1"/>
  <c r="H390" i="6"/>
  <c r="N390" i="6" s="1"/>
  <c r="G390" i="6"/>
  <c r="M390" i="6" s="1"/>
  <c r="H382" i="6"/>
  <c r="N382" i="6" s="1"/>
  <c r="G382" i="6"/>
  <c r="M382" i="6" s="1"/>
  <c r="H374" i="6"/>
  <c r="N374" i="6" s="1"/>
  <c r="G374" i="6"/>
  <c r="M374" i="6" s="1"/>
  <c r="H366" i="6"/>
  <c r="N366" i="6" s="1"/>
  <c r="G366" i="6"/>
  <c r="M366" i="6" s="1"/>
  <c r="H358" i="6"/>
  <c r="N358" i="6" s="1"/>
  <c r="G358" i="6"/>
  <c r="M358" i="6" s="1"/>
  <c r="H350" i="6"/>
  <c r="N350" i="6" s="1"/>
  <c r="G350" i="6"/>
  <c r="M350" i="6" s="1"/>
  <c r="H342" i="6"/>
  <c r="N342" i="6" s="1"/>
  <c r="G342" i="6"/>
  <c r="M342" i="6" s="1"/>
  <c r="H334" i="6"/>
  <c r="N334" i="6" s="1"/>
  <c r="G334" i="6"/>
  <c r="M334" i="6" s="1"/>
  <c r="H326" i="6"/>
  <c r="N326" i="6" s="1"/>
  <c r="G326" i="6"/>
  <c r="M326" i="6" s="1"/>
  <c r="H318" i="6"/>
  <c r="N318" i="6" s="1"/>
  <c r="G318" i="6"/>
  <c r="M318" i="6" s="1"/>
  <c r="H310" i="6"/>
  <c r="N310" i="6" s="1"/>
  <c r="G310" i="6"/>
  <c r="M310" i="6" s="1"/>
  <c r="H302" i="6"/>
  <c r="N302" i="6" s="1"/>
  <c r="G302" i="6"/>
  <c r="M302" i="6" s="1"/>
  <c r="H294" i="6"/>
  <c r="N294" i="6" s="1"/>
  <c r="G294" i="6"/>
  <c r="M294" i="6" s="1"/>
  <c r="H286" i="6"/>
  <c r="N286" i="6" s="1"/>
  <c r="G286" i="6"/>
  <c r="M286" i="6" s="1"/>
  <c r="H278" i="6"/>
  <c r="N278" i="6" s="1"/>
  <c r="G278" i="6"/>
  <c r="M278" i="6" s="1"/>
  <c r="H270" i="6"/>
  <c r="N270" i="6" s="1"/>
  <c r="G270" i="6"/>
  <c r="M270" i="6" s="1"/>
  <c r="H262" i="6"/>
  <c r="N262" i="6" s="1"/>
  <c r="G262" i="6"/>
  <c r="M262" i="6" s="1"/>
  <c r="H254" i="6"/>
  <c r="N254" i="6" s="1"/>
  <c r="G254" i="6"/>
  <c r="M254" i="6" s="1"/>
  <c r="H246" i="6"/>
  <c r="N246" i="6" s="1"/>
  <c r="G246" i="6"/>
  <c r="M246" i="6" s="1"/>
  <c r="H238" i="6"/>
  <c r="N238" i="6" s="1"/>
  <c r="G238" i="6"/>
  <c r="M238" i="6" s="1"/>
  <c r="H230" i="6"/>
  <c r="N230" i="6" s="1"/>
  <c r="G230" i="6"/>
  <c r="M230" i="6" s="1"/>
  <c r="H222" i="6"/>
  <c r="N222" i="6" s="1"/>
  <c r="G222" i="6"/>
  <c r="M222" i="6" s="1"/>
  <c r="H214" i="6"/>
  <c r="N214" i="6" s="1"/>
  <c r="G214" i="6"/>
  <c r="M214" i="6" s="1"/>
  <c r="H206" i="6"/>
  <c r="N206" i="6" s="1"/>
  <c r="G206" i="6"/>
  <c r="M206" i="6" s="1"/>
  <c r="H198" i="6"/>
  <c r="N198" i="6" s="1"/>
  <c r="G198" i="6"/>
  <c r="M198" i="6" s="1"/>
  <c r="H190" i="6"/>
  <c r="N190" i="6" s="1"/>
  <c r="G190" i="6"/>
  <c r="M190" i="6" s="1"/>
  <c r="H182" i="6"/>
  <c r="N182" i="6" s="1"/>
  <c r="G182" i="6"/>
  <c r="M182" i="6" s="1"/>
  <c r="H174" i="6"/>
  <c r="N174" i="6" s="1"/>
  <c r="G174" i="6"/>
  <c r="M174" i="6" s="1"/>
  <c r="H166" i="6"/>
  <c r="N166" i="6" s="1"/>
  <c r="G166" i="6"/>
  <c r="M166" i="6" s="1"/>
  <c r="H158" i="6"/>
  <c r="N158" i="6" s="1"/>
  <c r="G158" i="6"/>
  <c r="M158" i="6" s="1"/>
  <c r="H150" i="6"/>
  <c r="N150" i="6" s="1"/>
  <c r="G150" i="6"/>
  <c r="M150" i="6" s="1"/>
  <c r="H142" i="6"/>
  <c r="N142" i="6" s="1"/>
  <c r="G142" i="6"/>
  <c r="M142" i="6" s="1"/>
  <c r="H134" i="6"/>
  <c r="N134" i="6" s="1"/>
  <c r="G134" i="6"/>
  <c r="M134" i="6" s="1"/>
  <c r="H126" i="6"/>
  <c r="N126" i="6" s="1"/>
  <c r="G126" i="6"/>
  <c r="M126" i="6" s="1"/>
  <c r="H118" i="6"/>
  <c r="N118" i="6" s="1"/>
  <c r="G118" i="6"/>
  <c r="M118" i="6" s="1"/>
  <c r="H110" i="6"/>
  <c r="N110" i="6" s="1"/>
  <c r="G110" i="6"/>
  <c r="M110" i="6" s="1"/>
  <c r="H102" i="6"/>
  <c r="N102" i="6" s="1"/>
  <c r="G102" i="6"/>
  <c r="M102" i="6" s="1"/>
  <c r="H94" i="6"/>
  <c r="N94" i="6" s="1"/>
  <c r="G94" i="6"/>
  <c r="M94" i="6" s="1"/>
  <c r="H86" i="6"/>
  <c r="N86" i="6" s="1"/>
  <c r="G86" i="6"/>
  <c r="M86" i="6" s="1"/>
  <c r="H78" i="6"/>
  <c r="N78" i="6" s="1"/>
  <c r="G78" i="6"/>
  <c r="M78" i="6" s="1"/>
  <c r="H70" i="6"/>
  <c r="N70" i="6" s="1"/>
  <c r="G70" i="6"/>
  <c r="M70" i="6" s="1"/>
  <c r="H62" i="6"/>
  <c r="N62" i="6" s="1"/>
  <c r="G62" i="6"/>
  <c r="M62" i="6" s="1"/>
  <c r="H54" i="6"/>
  <c r="N54" i="6" s="1"/>
  <c r="G54" i="6"/>
  <c r="M54" i="6" s="1"/>
  <c r="H46" i="6"/>
  <c r="N46" i="6" s="1"/>
  <c r="G46" i="6"/>
  <c r="M46" i="6" s="1"/>
  <c r="H38" i="6"/>
  <c r="N38" i="6" s="1"/>
  <c r="G38" i="6"/>
  <c r="M38" i="6" s="1"/>
  <c r="H30" i="6"/>
  <c r="N30" i="6" s="1"/>
  <c r="G30" i="6"/>
  <c r="M30" i="6" s="1"/>
  <c r="H22" i="6"/>
  <c r="N22" i="6" s="1"/>
  <c r="G22" i="6"/>
  <c r="M22" i="6" s="1"/>
  <c r="G984" i="6"/>
  <c r="M984" i="6" s="1"/>
  <c r="G952" i="6"/>
  <c r="M952" i="6" s="1"/>
  <c r="G920" i="6"/>
  <c r="M920" i="6" s="1"/>
  <c r="G888" i="6"/>
  <c r="M888" i="6" s="1"/>
  <c r="G856" i="6"/>
  <c r="M856" i="6" s="1"/>
  <c r="G824" i="6"/>
  <c r="M824" i="6" s="1"/>
  <c r="G792" i="6"/>
  <c r="M792" i="6" s="1"/>
  <c r="H997" i="6"/>
  <c r="N997" i="6" s="1"/>
  <c r="G997" i="6"/>
  <c r="M997" i="6" s="1"/>
  <c r="H989" i="6"/>
  <c r="N989" i="6" s="1"/>
  <c r="G989" i="6"/>
  <c r="M989" i="6" s="1"/>
  <c r="H981" i="6"/>
  <c r="N981" i="6" s="1"/>
  <c r="G981" i="6"/>
  <c r="M981" i="6" s="1"/>
  <c r="H973" i="6"/>
  <c r="N973" i="6" s="1"/>
  <c r="G973" i="6"/>
  <c r="M973" i="6" s="1"/>
  <c r="H965" i="6"/>
  <c r="N965" i="6" s="1"/>
  <c r="G965" i="6"/>
  <c r="M965" i="6" s="1"/>
  <c r="H957" i="6"/>
  <c r="N957" i="6" s="1"/>
  <c r="G957" i="6"/>
  <c r="M957" i="6" s="1"/>
  <c r="H949" i="6"/>
  <c r="N949" i="6" s="1"/>
  <c r="G949" i="6"/>
  <c r="M949" i="6" s="1"/>
  <c r="H941" i="6"/>
  <c r="N941" i="6" s="1"/>
  <c r="G941" i="6"/>
  <c r="M941" i="6" s="1"/>
  <c r="H933" i="6"/>
  <c r="N933" i="6" s="1"/>
  <c r="G933" i="6"/>
  <c r="M933" i="6" s="1"/>
  <c r="H925" i="6"/>
  <c r="N925" i="6" s="1"/>
  <c r="G925" i="6"/>
  <c r="M925" i="6" s="1"/>
  <c r="H917" i="6"/>
  <c r="N917" i="6" s="1"/>
  <c r="G917" i="6"/>
  <c r="M917" i="6" s="1"/>
  <c r="H909" i="6"/>
  <c r="N909" i="6" s="1"/>
  <c r="G909" i="6"/>
  <c r="M909" i="6" s="1"/>
  <c r="H901" i="6"/>
  <c r="N901" i="6" s="1"/>
  <c r="G901" i="6"/>
  <c r="M901" i="6" s="1"/>
  <c r="H893" i="6"/>
  <c r="N893" i="6" s="1"/>
  <c r="G893" i="6"/>
  <c r="M893" i="6" s="1"/>
  <c r="H885" i="6"/>
  <c r="N885" i="6" s="1"/>
  <c r="G885" i="6"/>
  <c r="M885" i="6" s="1"/>
  <c r="H877" i="6"/>
  <c r="N877" i="6" s="1"/>
  <c r="G877" i="6"/>
  <c r="M877" i="6" s="1"/>
  <c r="H869" i="6"/>
  <c r="N869" i="6" s="1"/>
  <c r="G869" i="6"/>
  <c r="M869" i="6" s="1"/>
  <c r="H861" i="6"/>
  <c r="N861" i="6" s="1"/>
  <c r="G861" i="6"/>
  <c r="M861" i="6" s="1"/>
  <c r="H853" i="6"/>
  <c r="N853" i="6" s="1"/>
  <c r="G853" i="6"/>
  <c r="M853" i="6" s="1"/>
  <c r="H845" i="6"/>
  <c r="N845" i="6" s="1"/>
  <c r="G845" i="6"/>
  <c r="M845" i="6" s="1"/>
  <c r="H837" i="6"/>
  <c r="N837" i="6" s="1"/>
  <c r="G837" i="6"/>
  <c r="M837" i="6" s="1"/>
  <c r="H829" i="6"/>
  <c r="N829" i="6" s="1"/>
  <c r="G829" i="6"/>
  <c r="M829" i="6" s="1"/>
  <c r="H821" i="6"/>
  <c r="N821" i="6" s="1"/>
  <c r="G821" i="6"/>
  <c r="M821" i="6" s="1"/>
  <c r="H813" i="6"/>
  <c r="N813" i="6" s="1"/>
  <c r="G813" i="6"/>
  <c r="M813" i="6" s="1"/>
  <c r="H805" i="6"/>
  <c r="N805" i="6" s="1"/>
  <c r="G805" i="6"/>
  <c r="M805" i="6" s="1"/>
  <c r="H797" i="6"/>
  <c r="N797" i="6" s="1"/>
  <c r="G797" i="6"/>
  <c r="M797" i="6" s="1"/>
  <c r="H789" i="6"/>
  <c r="N789" i="6" s="1"/>
  <c r="G789" i="6"/>
  <c r="M789" i="6" s="1"/>
  <c r="H781" i="6"/>
  <c r="N781" i="6" s="1"/>
  <c r="G781" i="6"/>
  <c r="M781" i="6" s="1"/>
  <c r="H773" i="6"/>
  <c r="N773" i="6" s="1"/>
  <c r="G773" i="6"/>
  <c r="M773" i="6" s="1"/>
  <c r="H765" i="6"/>
  <c r="N765" i="6" s="1"/>
  <c r="G765" i="6"/>
  <c r="M765" i="6" s="1"/>
  <c r="H757" i="6"/>
  <c r="N757" i="6" s="1"/>
  <c r="G757" i="6"/>
  <c r="M757" i="6" s="1"/>
  <c r="H749" i="6"/>
  <c r="N749" i="6" s="1"/>
  <c r="G749" i="6"/>
  <c r="M749" i="6" s="1"/>
  <c r="H741" i="6"/>
  <c r="N741" i="6" s="1"/>
  <c r="G741" i="6"/>
  <c r="M741" i="6" s="1"/>
  <c r="H733" i="6"/>
  <c r="N733" i="6" s="1"/>
  <c r="G733" i="6"/>
  <c r="M733" i="6" s="1"/>
  <c r="H725" i="6"/>
  <c r="N725" i="6" s="1"/>
  <c r="G725" i="6"/>
  <c r="M725" i="6" s="1"/>
  <c r="H717" i="6"/>
  <c r="N717" i="6" s="1"/>
  <c r="G717" i="6"/>
  <c r="M717" i="6" s="1"/>
  <c r="H709" i="6"/>
  <c r="N709" i="6" s="1"/>
  <c r="G709" i="6"/>
  <c r="M709" i="6" s="1"/>
  <c r="H701" i="6"/>
  <c r="N701" i="6" s="1"/>
  <c r="G701" i="6"/>
  <c r="M701" i="6" s="1"/>
  <c r="H693" i="6"/>
  <c r="N693" i="6" s="1"/>
  <c r="G693" i="6"/>
  <c r="M693" i="6" s="1"/>
  <c r="H685" i="6"/>
  <c r="N685" i="6" s="1"/>
  <c r="G685" i="6"/>
  <c r="M685" i="6" s="1"/>
  <c r="H677" i="6"/>
  <c r="N677" i="6" s="1"/>
  <c r="G677" i="6"/>
  <c r="M677" i="6" s="1"/>
  <c r="H669" i="6"/>
  <c r="N669" i="6" s="1"/>
  <c r="G669" i="6"/>
  <c r="M669" i="6" s="1"/>
  <c r="H661" i="6"/>
  <c r="N661" i="6" s="1"/>
  <c r="G661" i="6"/>
  <c r="M661" i="6" s="1"/>
  <c r="H653" i="6"/>
  <c r="N653" i="6" s="1"/>
  <c r="G653" i="6"/>
  <c r="M653" i="6" s="1"/>
  <c r="H645" i="6"/>
  <c r="N645" i="6" s="1"/>
  <c r="G645" i="6"/>
  <c r="M645" i="6" s="1"/>
  <c r="H637" i="6"/>
  <c r="N637" i="6" s="1"/>
  <c r="G637" i="6"/>
  <c r="M637" i="6" s="1"/>
  <c r="H629" i="6"/>
  <c r="N629" i="6" s="1"/>
  <c r="G629" i="6"/>
  <c r="M629" i="6" s="1"/>
  <c r="H621" i="6"/>
  <c r="N621" i="6" s="1"/>
  <c r="G621" i="6"/>
  <c r="M621" i="6" s="1"/>
  <c r="H613" i="6"/>
  <c r="N613" i="6" s="1"/>
  <c r="G613" i="6"/>
  <c r="M613" i="6" s="1"/>
  <c r="H605" i="6"/>
  <c r="N605" i="6" s="1"/>
  <c r="G605" i="6"/>
  <c r="M605" i="6" s="1"/>
  <c r="H597" i="6"/>
  <c r="N597" i="6" s="1"/>
  <c r="G597" i="6"/>
  <c r="M597" i="6" s="1"/>
  <c r="H589" i="6"/>
  <c r="N589" i="6" s="1"/>
  <c r="G589" i="6"/>
  <c r="M589" i="6" s="1"/>
  <c r="H581" i="6"/>
  <c r="N581" i="6" s="1"/>
  <c r="G581" i="6"/>
  <c r="M581" i="6" s="1"/>
  <c r="H573" i="6"/>
  <c r="N573" i="6" s="1"/>
  <c r="G573" i="6"/>
  <c r="M573" i="6" s="1"/>
  <c r="H565" i="6"/>
  <c r="N565" i="6" s="1"/>
  <c r="G565" i="6"/>
  <c r="M565" i="6" s="1"/>
  <c r="H557" i="6"/>
  <c r="N557" i="6" s="1"/>
  <c r="G557" i="6"/>
  <c r="M557" i="6" s="1"/>
  <c r="H549" i="6"/>
  <c r="N549" i="6" s="1"/>
  <c r="G549" i="6"/>
  <c r="M549" i="6" s="1"/>
  <c r="H541" i="6"/>
  <c r="N541" i="6" s="1"/>
  <c r="G541" i="6"/>
  <c r="M541" i="6" s="1"/>
  <c r="H533" i="6"/>
  <c r="N533" i="6" s="1"/>
  <c r="G533" i="6"/>
  <c r="M533" i="6" s="1"/>
  <c r="H525" i="6"/>
  <c r="N525" i="6" s="1"/>
  <c r="G525" i="6"/>
  <c r="M525" i="6" s="1"/>
  <c r="H517" i="6"/>
  <c r="N517" i="6" s="1"/>
  <c r="G517" i="6"/>
  <c r="M517" i="6" s="1"/>
  <c r="H509" i="6"/>
  <c r="N509" i="6" s="1"/>
  <c r="G509" i="6"/>
  <c r="M509" i="6" s="1"/>
  <c r="H501" i="6"/>
  <c r="N501" i="6" s="1"/>
  <c r="G501" i="6"/>
  <c r="M501" i="6" s="1"/>
  <c r="H493" i="6"/>
  <c r="N493" i="6" s="1"/>
  <c r="G493" i="6"/>
  <c r="M493" i="6" s="1"/>
  <c r="H485" i="6"/>
  <c r="N485" i="6" s="1"/>
  <c r="G485" i="6"/>
  <c r="M485" i="6" s="1"/>
  <c r="H477" i="6"/>
  <c r="N477" i="6" s="1"/>
  <c r="G477" i="6"/>
  <c r="M477" i="6" s="1"/>
  <c r="H469" i="6"/>
  <c r="N469" i="6" s="1"/>
  <c r="G469" i="6"/>
  <c r="M469" i="6" s="1"/>
  <c r="H461" i="6"/>
  <c r="N461" i="6" s="1"/>
  <c r="G461" i="6"/>
  <c r="M461" i="6" s="1"/>
  <c r="H453" i="6"/>
  <c r="N453" i="6" s="1"/>
  <c r="G453" i="6"/>
  <c r="M453" i="6" s="1"/>
  <c r="H445" i="6"/>
  <c r="N445" i="6" s="1"/>
  <c r="G445" i="6"/>
  <c r="M445" i="6" s="1"/>
  <c r="H437" i="6"/>
  <c r="N437" i="6" s="1"/>
  <c r="G437" i="6"/>
  <c r="M437" i="6" s="1"/>
  <c r="H429" i="6"/>
  <c r="N429" i="6" s="1"/>
  <c r="G429" i="6"/>
  <c r="M429" i="6" s="1"/>
  <c r="H421" i="6"/>
  <c r="N421" i="6" s="1"/>
  <c r="G421" i="6"/>
  <c r="M421" i="6" s="1"/>
  <c r="H413" i="6"/>
  <c r="N413" i="6" s="1"/>
  <c r="G413" i="6"/>
  <c r="M413" i="6" s="1"/>
  <c r="H405" i="6"/>
  <c r="N405" i="6" s="1"/>
  <c r="G405" i="6"/>
  <c r="M405" i="6" s="1"/>
  <c r="H397" i="6"/>
  <c r="N397" i="6" s="1"/>
  <c r="G397" i="6"/>
  <c r="M397" i="6" s="1"/>
  <c r="H389" i="6"/>
  <c r="N389" i="6" s="1"/>
  <c r="G389" i="6"/>
  <c r="M389" i="6" s="1"/>
  <c r="H381" i="6"/>
  <c r="N381" i="6" s="1"/>
  <c r="G381" i="6"/>
  <c r="M381" i="6" s="1"/>
  <c r="H373" i="6"/>
  <c r="N373" i="6" s="1"/>
  <c r="G373" i="6"/>
  <c r="M373" i="6" s="1"/>
  <c r="H365" i="6"/>
  <c r="N365" i="6" s="1"/>
  <c r="G365" i="6"/>
  <c r="M365" i="6" s="1"/>
  <c r="H357" i="6"/>
  <c r="N357" i="6" s="1"/>
  <c r="G357" i="6"/>
  <c r="M357" i="6" s="1"/>
  <c r="H349" i="6"/>
  <c r="N349" i="6" s="1"/>
  <c r="G349" i="6"/>
  <c r="M349" i="6" s="1"/>
  <c r="H341" i="6"/>
  <c r="N341" i="6" s="1"/>
  <c r="G341" i="6"/>
  <c r="M341" i="6" s="1"/>
  <c r="H333" i="6"/>
  <c r="N333" i="6" s="1"/>
  <c r="G333" i="6"/>
  <c r="M333" i="6" s="1"/>
  <c r="H325" i="6"/>
  <c r="N325" i="6" s="1"/>
  <c r="G325" i="6"/>
  <c r="M325" i="6" s="1"/>
  <c r="H317" i="6"/>
  <c r="N317" i="6" s="1"/>
  <c r="G317" i="6"/>
  <c r="M317" i="6" s="1"/>
  <c r="H309" i="6"/>
  <c r="N309" i="6" s="1"/>
  <c r="G309" i="6"/>
  <c r="M309" i="6" s="1"/>
  <c r="H301" i="6"/>
  <c r="N301" i="6" s="1"/>
  <c r="G301" i="6"/>
  <c r="M301" i="6" s="1"/>
  <c r="H293" i="6"/>
  <c r="N293" i="6" s="1"/>
  <c r="G293" i="6"/>
  <c r="M293" i="6" s="1"/>
  <c r="H285" i="6"/>
  <c r="N285" i="6" s="1"/>
  <c r="G285" i="6"/>
  <c r="M285" i="6" s="1"/>
  <c r="H277" i="6"/>
  <c r="N277" i="6" s="1"/>
  <c r="G277" i="6"/>
  <c r="M277" i="6" s="1"/>
  <c r="H269" i="6"/>
  <c r="N269" i="6" s="1"/>
  <c r="G269" i="6"/>
  <c r="M269" i="6" s="1"/>
  <c r="H261" i="6"/>
  <c r="N261" i="6" s="1"/>
  <c r="G261" i="6"/>
  <c r="M261" i="6" s="1"/>
  <c r="H253" i="6"/>
  <c r="N253" i="6" s="1"/>
  <c r="G253" i="6"/>
  <c r="M253" i="6" s="1"/>
  <c r="H245" i="6"/>
  <c r="N245" i="6" s="1"/>
  <c r="G245" i="6"/>
  <c r="M245" i="6" s="1"/>
  <c r="H237" i="6"/>
  <c r="N237" i="6" s="1"/>
  <c r="G237" i="6"/>
  <c r="M237" i="6" s="1"/>
  <c r="H229" i="6"/>
  <c r="N229" i="6" s="1"/>
  <c r="G229" i="6"/>
  <c r="M229" i="6" s="1"/>
  <c r="H221" i="6"/>
  <c r="N221" i="6" s="1"/>
  <c r="G221" i="6"/>
  <c r="M221" i="6" s="1"/>
  <c r="H213" i="6"/>
  <c r="N213" i="6" s="1"/>
  <c r="G213" i="6"/>
  <c r="M213" i="6" s="1"/>
  <c r="H205" i="6"/>
  <c r="N205" i="6" s="1"/>
  <c r="G205" i="6"/>
  <c r="M205" i="6" s="1"/>
  <c r="H197" i="6"/>
  <c r="N197" i="6" s="1"/>
  <c r="G197" i="6"/>
  <c r="M197" i="6" s="1"/>
  <c r="H189" i="6"/>
  <c r="N189" i="6" s="1"/>
  <c r="G189" i="6"/>
  <c r="M189" i="6" s="1"/>
  <c r="H181" i="6"/>
  <c r="N181" i="6" s="1"/>
  <c r="G181" i="6"/>
  <c r="M181" i="6" s="1"/>
  <c r="H173" i="6"/>
  <c r="N173" i="6" s="1"/>
  <c r="G173" i="6"/>
  <c r="M173" i="6" s="1"/>
  <c r="H165" i="6"/>
  <c r="N165" i="6" s="1"/>
  <c r="G165" i="6"/>
  <c r="M165" i="6" s="1"/>
  <c r="H157" i="6"/>
  <c r="N157" i="6" s="1"/>
  <c r="G157" i="6"/>
  <c r="M157" i="6" s="1"/>
  <c r="H149" i="6"/>
  <c r="N149" i="6" s="1"/>
  <c r="G149" i="6"/>
  <c r="M149" i="6" s="1"/>
  <c r="H141" i="6"/>
  <c r="N141" i="6" s="1"/>
  <c r="G141" i="6"/>
  <c r="M141" i="6" s="1"/>
  <c r="H133" i="6"/>
  <c r="N133" i="6" s="1"/>
  <c r="G133" i="6"/>
  <c r="M133" i="6" s="1"/>
  <c r="H125" i="6"/>
  <c r="N125" i="6" s="1"/>
  <c r="G125" i="6"/>
  <c r="M125" i="6" s="1"/>
  <c r="H117" i="6"/>
  <c r="N117" i="6" s="1"/>
  <c r="G117" i="6"/>
  <c r="M117" i="6" s="1"/>
  <c r="H109" i="6"/>
  <c r="N109" i="6" s="1"/>
  <c r="G109" i="6"/>
  <c r="M109" i="6" s="1"/>
  <c r="H101" i="6"/>
  <c r="N101" i="6" s="1"/>
  <c r="G101" i="6"/>
  <c r="M101" i="6" s="1"/>
  <c r="H93" i="6"/>
  <c r="N93" i="6" s="1"/>
  <c r="G93" i="6"/>
  <c r="M93" i="6" s="1"/>
  <c r="H85" i="6"/>
  <c r="N85" i="6" s="1"/>
  <c r="G85" i="6"/>
  <c r="M85" i="6" s="1"/>
  <c r="H77" i="6"/>
  <c r="N77" i="6" s="1"/>
  <c r="G77" i="6"/>
  <c r="M77" i="6" s="1"/>
  <c r="H69" i="6"/>
  <c r="N69" i="6" s="1"/>
  <c r="G69" i="6"/>
  <c r="M69" i="6" s="1"/>
  <c r="H61" i="6"/>
  <c r="N61" i="6" s="1"/>
  <c r="G61" i="6"/>
  <c r="M61" i="6" s="1"/>
  <c r="H53" i="6"/>
  <c r="N53" i="6" s="1"/>
  <c r="G53" i="6"/>
  <c r="M53" i="6" s="1"/>
  <c r="H45" i="6"/>
  <c r="N45" i="6" s="1"/>
  <c r="G45" i="6"/>
  <c r="M45" i="6" s="1"/>
  <c r="H37" i="6"/>
  <c r="N37" i="6" s="1"/>
  <c r="G37" i="6"/>
  <c r="M37" i="6" s="1"/>
  <c r="H29" i="6"/>
  <c r="N29" i="6" s="1"/>
  <c r="G29" i="6"/>
  <c r="M29" i="6" s="1"/>
  <c r="H21" i="6"/>
  <c r="N21" i="6" s="1"/>
  <c r="G21" i="6"/>
  <c r="M21" i="6" s="1"/>
  <c r="G980" i="6"/>
  <c r="M980" i="6" s="1"/>
  <c r="G948" i="6"/>
  <c r="M948" i="6" s="1"/>
  <c r="G916" i="6"/>
  <c r="M916" i="6" s="1"/>
  <c r="G884" i="6"/>
  <c r="M884" i="6" s="1"/>
  <c r="G852" i="6"/>
  <c r="M852" i="6" s="1"/>
  <c r="G820" i="6"/>
  <c r="M820" i="6" s="1"/>
  <c r="G788" i="6"/>
  <c r="M788" i="6" s="1"/>
  <c r="H772" i="6"/>
  <c r="N772" i="6" s="1"/>
  <c r="G772" i="6"/>
  <c r="M772" i="6" s="1"/>
  <c r="G764" i="6"/>
  <c r="M764" i="6" s="1"/>
  <c r="H764" i="6"/>
  <c r="N764" i="6" s="1"/>
  <c r="G756" i="6"/>
  <c r="M756" i="6" s="1"/>
  <c r="H756" i="6"/>
  <c r="N756" i="6" s="1"/>
  <c r="G748" i="6"/>
  <c r="M748" i="6" s="1"/>
  <c r="H748" i="6"/>
  <c r="N748" i="6" s="1"/>
  <c r="H740" i="6"/>
  <c r="N740" i="6" s="1"/>
  <c r="G740" i="6"/>
  <c r="M740" i="6" s="1"/>
  <c r="G732" i="6"/>
  <c r="M732" i="6" s="1"/>
  <c r="H732" i="6"/>
  <c r="N732" i="6" s="1"/>
  <c r="G724" i="6"/>
  <c r="M724" i="6" s="1"/>
  <c r="H724" i="6"/>
  <c r="N724" i="6" s="1"/>
  <c r="G716" i="6"/>
  <c r="M716" i="6" s="1"/>
  <c r="H716" i="6"/>
  <c r="N716" i="6" s="1"/>
  <c r="H708" i="6"/>
  <c r="N708" i="6" s="1"/>
  <c r="G708" i="6"/>
  <c r="M708" i="6" s="1"/>
  <c r="G700" i="6"/>
  <c r="M700" i="6" s="1"/>
  <c r="H700" i="6"/>
  <c r="N700" i="6" s="1"/>
  <c r="G692" i="6"/>
  <c r="M692" i="6" s="1"/>
  <c r="H692" i="6"/>
  <c r="N692" i="6" s="1"/>
  <c r="G684" i="6"/>
  <c r="M684" i="6" s="1"/>
  <c r="H684" i="6"/>
  <c r="N684" i="6" s="1"/>
  <c r="H676" i="6"/>
  <c r="N676" i="6" s="1"/>
  <c r="G676" i="6"/>
  <c r="M676" i="6" s="1"/>
  <c r="H668" i="6"/>
  <c r="N668" i="6" s="1"/>
  <c r="G668" i="6"/>
  <c r="M668" i="6" s="1"/>
  <c r="H660" i="6"/>
  <c r="N660" i="6" s="1"/>
  <c r="G660" i="6"/>
  <c r="M660" i="6" s="1"/>
  <c r="H652" i="6"/>
  <c r="N652" i="6" s="1"/>
  <c r="G652" i="6"/>
  <c r="M652" i="6" s="1"/>
  <c r="H644" i="6"/>
  <c r="N644" i="6" s="1"/>
  <c r="G644" i="6"/>
  <c r="M644" i="6" s="1"/>
  <c r="H636" i="6"/>
  <c r="N636" i="6" s="1"/>
  <c r="G636" i="6"/>
  <c r="M636" i="6" s="1"/>
  <c r="H628" i="6"/>
  <c r="N628" i="6" s="1"/>
  <c r="G628" i="6"/>
  <c r="M628" i="6" s="1"/>
  <c r="H620" i="6"/>
  <c r="N620" i="6" s="1"/>
  <c r="G620" i="6"/>
  <c r="M620" i="6" s="1"/>
  <c r="H612" i="6"/>
  <c r="N612" i="6" s="1"/>
  <c r="G612" i="6"/>
  <c r="M612" i="6" s="1"/>
  <c r="H604" i="6"/>
  <c r="N604" i="6" s="1"/>
  <c r="G604" i="6"/>
  <c r="M604" i="6" s="1"/>
  <c r="H596" i="6"/>
  <c r="N596" i="6" s="1"/>
  <c r="G596" i="6"/>
  <c r="M596" i="6" s="1"/>
  <c r="H588" i="6"/>
  <c r="N588" i="6" s="1"/>
  <c r="G588" i="6"/>
  <c r="M588" i="6" s="1"/>
  <c r="H580" i="6"/>
  <c r="N580" i="6" s="1"/>
  <c r="G580" i="6"/>
  <c r="M580" i="6" s="1"/>
  <c r="H572" i="6"/>
  <c r="N572" i="6" s="1"/>
  <c r="G572" i="6"/>
  <c r="M572" i="6" s="1"/>
  <c r="H564" i="6"/>
  <c r="N564" i="6" s="1"/>
  <c r="G564" i="6"/>
  <c r="M564" i="6" s="1"/>
  <c r="H556" i="6"/>
  <c r="N556" i="6" s="1"/>
  <c r="G556" i="6"/>
  <c r="M556" i="6" s="1"/>
  <c r="H548" i="6"/>
  <c r="N548" i="6" s="1"/>
  <c r="G548" i="6"/>
  <c r="M548" i="6" s="1"/>
  <c r="H540" i="6"/>
  <c r="N540" i="6" s="1"/>
  <c r="G540" i="6"/>
  <c r="M540" i="6" s="1"/>
  <c r="H532" i="6"/>
  <c r="N532" i="6" s="1"/>
  <c r="G532" i="6"/>
  <c r="M532" i="6" s="1"/>
  <c r="H524" i="6"/>
  <c r="N524" i="6" s="1"/>
  <c r="G524" i="6"/>
  <c r="M524" i="6" s="1"/>
  <c r="H516" i="6"/>
  <c r="N516" i="6" s="1"/>
  <c r="G516" i="6"/>
  <c r="M516" i="6" s="1"/>
  <c r="H508" i="6"/>
  <c r="N508" i="6" s="1"/>
  <c r="G508" i="6"/>
  <c r="M508" i="6" s="1"/>
  <c r="H500" i="6"/>
  <c r="N500" i="6" s="1"/>
  <c r="G500" i="6"/>
  <c r="M500" i="6" s="1"/>
  <c r="H492" i="6"/>
  <c r="N492" i="6" s="1"/>
  <c r="G492" i="6"/>
  <c r="M492" i="6" s="1"/>
  <c r="H484" i="6"/>
  <c r="N484" i="6" s="1"/>
  <c r="G484" i="6"/>
  <c r="M484" i="6" s="1"/>
  <c r="H476" i="6"/>
  <c r="N476" i="6" s="1"/>
  <c r="G476" i="6"/>
  <c r="M476" i="6" s="1"/>
  <c r="H468" i="6"/>
  <c r="N468" i="6" s="1"/>
  <c r="G468" i="6"/>
  <c r="M468" i="6" s="1"/>
  <c r="H460" i="6"/>
  <c r="N460" i="6" s="1"/>
  <c r="G460" i="6"/>
  <c r="M460" i="6" s="1"/>
  <c r="H452" i="6"/>
  <c r="N452" i="6" s="1"/>
  <c r="G452" i="6"/>
  <c r="M452" i="6" s="1"/>
  <c r="H444" i="6"/>
  <c r="N444" i="6" s="1"/>
  <c r="G444" i="6"/>
  <c r="M444" i="6" s="1"/>
  <c r="H436" i="6"/>
  <c r="N436" i="6" s="1"/>
  <c r="G436" i="6"/>
  <c r="M436" i="6" s="1"/>
  <c r="H428" i="6"/>
  <c r="N428" i="6" s="1"/>
  <c r="G428" i="6"/>
  <c r="M428" i="6" s="1"/>
  <c r="H420" i="6"/>
  <c r="N420" i="6" s="1"/>
  <c r="G420" i="6"/>
  <c r="M420" i="6" s="1"/>
  <c r="H412" i="6"/>
  <c r="N412" i="6" s="1"/>
  <c r="G412" i="6"/>
  <c r="M412" i="6" s="1"/>
  <c r="H404" i="6"/>
  <c r="N404" i="6" s="1"/>
  <c r="G404" i="6"/>
  <c r="M404" i="6" s="1"/>
  <c r="H396" i="6"/>
  <c r="N396" i="6" s="1"/>
  <c r="G396" i="6"/>
  <c r="M396" i="6" s="1"/>
  <c r="H388" i="6"/>
  <c r="N388" i="6" s="1"/>
  <c r="G388" i="6"/>
  <c r="M388" i="6" s="1"/>
  <c r="H380" i="6"/>
  <c r="N380" i="6" s="1"/>
  <c r="G380" i="6"/>
  <c r="M380" i="6" s="1"/>
  <c r="H372" i="6"/>
  <c r="N372" i="6" s="1"/>
  <c r="G372" i="6"/>
  <c r="M372" i="6" s="1"/>
  <c r="H364" i="6"/>
  <c r="N364" i="6" s="1"/>
  <c r="G364" i="6"/>
  <c r="M364" i="6" s="1"/>
  <c r="H356" i="6"/>
  <c r="N356" i="6" s="1"/>
  <c r="G356" i="6"/>
  <c r="M356" i="6" s="1"/>
  <c r="H348" i="6"/>
  <c r="N348" i="6" s="1"/>
  <c r="G348" i="6"/>
  <c r="M348" i="6" s="1"/>
  <c r="H340" i="6"/>
  <c r="N340" i="6" s="1"/>
  <c r="G340" i="6"/>
  <c r="M340" i="6" s="1"/>
  <c r="H332" i="6"/>
  <c r="N332" i="6" s="1"/>
  <c r="G332" i="6"/>
  <c r="M332" i="6" s="1"/>
  <c r="H324" i="6"/>
  <c r="N324" i="6" s="1"/>
  <c r="G324" i="6"/>
  <c r="M324" i="6" s="1"/>
  <c r="H316" i="6"/>
  <c r="N316" i="6" s="1"/>
  <c r="G316" i="6"/>
  <c r="M316" i="6" s="1"/>
  <c r="H308" i="6"/>
  <c r="N308" i="6" s="1"/>
  <c r="G308" i="6"/>
  <c r="M308" i="6" s="1"/>
  <c r="H300" i="6"/>
  <c r="N300" i="6" s="1"/>
  <c r="G300" i="6"/>
  <c r="M300" i="6" s="1"/>
  <c r="H292" i="6"/>
  <c r="N292" i="6" s="1"/>
  <c r="G292" i="6"/>
  <c r="M292" i="6" s="1"/>
  <c r="H284" i="6"/>
  <c r="N284" i="6" s="1"/>
  <c r="G284" i="6"/>
  <c r="M284" i="6" s="1"/>
  <c r="H276" i="6"/>
  <c r="N276" i="6" s="1"/>
  <c r="G276" i="6"/>
  <c r="M276" i="6" s="1"/>
  <c r="H268" i="6"/>
  <c r="N268" i="6" s="1"/>
  <c r="G268" i="6"/>
  <c r="M268" i="6" s="1"/>
  <c r="H260" i="6"/>
  <c r="N260" i="6" s="1"/>
  <c r="G260" i="6"/>
  <c r="M260" i="6" s="1"/>
  <c r="H252" i="6"/>
  <c r="N252" i="6" s="1"/>
  <c r="G252" i="6"/>
  <c r="M252" i="6" s="1"/>
  <c r="H244" i="6"/>
  <c r="N244" i="6" s="1"/>
  <c r="G244" i="6"/>
  <c r="M244" i="6" s="1"/>
  <c r="H236" i="6"/>
  <c r="N236" i="6" s="1"/>
  <c r="G236" i="6"/>
  <c r="M236" i="6" s="1"/>
  <c r="H228" i="6"/>
  <c r="N228" i="6" s="1"/>
  <c r="G228" i="6"/>
  <c r="M228" i="6" s="1"/>
  <c r="H220" i="6"/>
  <c r="N220" i="6" s="1"/>
  <c r="G220" i="6"/>
  <c r="M220" i="6" s="1"/>
  <c r="H212" i="6"/>
  <c r="N212" i="6" s="1"/>
  <c r="G212" i="6"/>
  <c r="M212" i="6" s="1"/>
  <c r="H204" i="6"/>
  <c r="N204" i="6" s="1"/>
  <c r="G204" i="6"/>
  <c r="M204" i="6" s="1"/>
  <c r="H196" i="6"/>
  <c r="N196" i="6" s="1"/>
  <c r="G196" i="6"/>
  <c r="M196" i="6" s="1"/>
  <c r="H188" i="6"/>
  <c r="N188" i="6" s="1"/>
  <c r="G188" i="6"/>
  <c r="M188" i="6" s="1"/>
  <c r="H180" i="6"/>
  <c r="N180" i="6" s="1"/>
  <c r="G180" i="6"/>
  <c r="M180" i="6" s="1"/>
  <c r="H172" i="6"/>
  <c r="N172" i="6" s="1"/>
  <c r="G172" i="6"/>
  <c r="M172" i="6" s="1"/>
  <c r="H164" i="6"/>
  <c r="N164" i="6" s="1"/>
  <c r="G164" i="6"/>
  <c r="M164" i="6" s="1"/>
  <c r="H156" i="6"/>
  <c r="N156" i="6" s="1"/>
  <c r="G156" i="6"/>
  <c r="M156" i="6" s="1"/>
  <c r="H148" i="6"/>
  <c r="N148" i="6" s="1"/>
  <c r="G148" i="6"/>
  <c r="M148" i="6" s="1"/>
  <c r="H140" i="6"/>
  <c r="N140" i="6" s="1"/>
  <c r="G140" i="6"/>
  <c r="M140" i="6" s="1"/>
  <c r="H132" i="6"/>
  <c r="N132" i="6" s="1"/>
  <c r="G132" i="6"/>
  <c r="M132" i="6" s="1"/>
  <c r="H124" i="6"/>
  <c r="N124" i="6" s="1"/>
  <c r="G124" i="6"/>
  <c r="M124" i="6" s="1"/>
  <c r="H116" i="6"/>
  <c r="N116" i="6" s="1"/>
  <c r="G116" i="6"/>
  <c r="M116" i="6" s="1"/>
  <c r="H108" i="6"/>
  <c r="N108" i="6" s="1"/>
  <c r="G108" i="6"/>
  <c r="M108" i="6" s="1"/>
  <c r="H100" i="6"/>
  <c r="N100" i="6" s="1"/>
  <c r="G100" i="6"/>
  <c r="M100" i="6" s="1"/>
  <c r="H92" i="6"/>
  <c r="N92" i="6" s="1"/>
  <c r="G92" i="6"/>
  <c r="M92" i="6" s="1"/>
  <c r="H84" i="6"/>
  <c r="N84" i="6" s="1"/>
  <c r="G84" i="6"/>
  <c r="M84" i="6" s="1"/>
  <c r="H76" i="6"/>
  <c r="N76" i="6" s="1"/>
  <c r="G76" i="6"/>
  <c r="M76" i="6" s="1"/>
  <c r="H68" i="6"/>
  <c r="N68" i="6" s="1"/>
  <c r="G68" i="6"/>
  <c r="M68" i="6" s="1"/>
  <c r="H60" i="6"/>
  <c r="N60" i="6" s="1"/>
  <c r="G60" i="6"/>
  <c r="M60" i="6" s="1"/>
  <c r="H52" i="6"/>
  <c r="N52" i="6" s="1"/>
  <c r="G52" i="6"/>
  <c r="M52" i="6" s="1"/>
  <c r="H44" i="6"/>
  <c r="N44" i="6" s="1"/>
  <c r="G44" i="6"/>
  <c r="M44" i="6" s="1"/>
  <c r="H36" i="6"/>
  <c r="N36" i="6" s="1"/>
  <c r="G36" i="6"/>
  <c r="M36" i="6" s="1"/>
  <c r="H28" i="6"/>
  <c r="N28" i="6" s="1"/>
  <c r="G28" i="6"/>
  <c r="M28" i="6" s="1"/>
  <c r="H20" i="6"/>
  <c r="N20" i="6" s="1"/>
  <c r="G20" i="6"/>
  <c r="M20" i="6" s="1"/>
  <c r="H12" i="6"/>
  <c r="N12" i="6" s="1"/>
  <c r="G12" i="6"/>
  <c r="M12" i="6" s="1"/>
  <c r="H4" i="6"/>
  <c r="N4" i="6" s="1"/>
  <c r="G4" i="6"/>
  <c r="M4" i="6" s="1"/>
  <c r="G976" i="6"/>
  <c r="M976" i="6" s="1"/>
  <c r="G944" i="6"/>
  <c r="M944" i="6" s="1"/>
  <c r="G912" i="6"/>
  <c r="M912" i="6" s="1"/>
  <c r="G880" i="6"/>
  <c r="M880" i="6" s="1"/>
  <c r="G848" i="6"/>
  <c r="M848" i="6" s="1"/>
  <c r="G816" i="6"/>
  <c r="M816" i="6" s="1"/>
  <c r="G784" i="6"/>
  <c r="M784" i="6" s="1"/>
  <c r="H995" i="6"/>
  <c r="N995" i="6" s="1"/>
  <c r="G995" i="6"/>
  <c r="M995" i="6" s="1"/>
  <c r="H987" i="6"/>
  <c r="N987" i="6" s="1"/>
  <c r="G987" i="6"/>
  <c r="M987" i="6" s="1"/>
  <c r="H979" i="6"/>
  <c r="N979" i="6" s="1"/>
  <c r="G979" i="6"/>
  <c r="M979" i="6" s="1"/>
  <c r="H971" i="6"/>
  <c r="N971" i="6" s="1"/>
  <c r="G971" i="6"/>
  <c r="M971" i="6" s="1"/>
  <c r="H963" i="6"/>
  <c r="N963" i="6" s="1"/>
  <c r="G963" i="6"/>
  <c r="M963" i="6" s="1"/>
  <c r="H955" i="6"/>
  <c r="N955" i="6" s="1"/>
  <c r="G955" i="6"/>
  <c r="M955" i="6" s="1"/>
  <c r="H947" i="6"/>
  <c r="N947" i="6" s="1"/>
  <c r="G947" i="6"/>
  <c r="M947" i="6" s="1"/>
  <c r="H939" i="6"/>
  <c r="N939" i="6" s="1"/>
  <c r="G939" i="6"/>
  <c r="M939" i="6" s="1"/>
  <c r="H931" i="6"/>
  <c r="N931" i="6" s="1"/>
  <c r="G931" i="6"/>
  <c r="M931" i="6" s="1"/>
  <c r="H923" i="6"/>
  <c r="N923" i="6" s="1"/>
  <c r="G923" i="6"/>
  <c r="M923" i="6" s="1"/>
  <c r="H915" i="6"/>
  <c r="N915" i="6" s="1"/>
  <c r="G915" i="6"/>
  <c r="M915" i="6" s="1"/>
  <c r="H907" i="6"/>
  <c r="N907" i="6" s="1"/>
  <c r="G907" i="6"/>
  <c r="M907" i="6" s="1"/>
  <c r="H899" i="6"/>
  <c r="N899" i="6" s="1"/>
  <c r="G899" i="6"/>
  <c r="M899" i="6" s="1"/>
  <c r="H891" i="6"/>
  <c r="N891" i="6" s="1"/>
  <c r="G891" i="6"/>
  <c r="M891" i="6" s="1"/>
  <c r="H883" i="6"/>
  <c r="N883" i="6" s="1"/>
  <c r="G883" i="6"/>
  <c r="M883" i="6" s="1"/>
  <c r="H875" i="6"/>
  <c r="N875" i="6" s="1"/>
  <c r="G875" i="6"/>
  <c r="M875" i="6" s="1"/>
  <c r="H867" i="6"/>
  <c r="N867" i="6" s="1"/>
  <c r="G867" i="6"/>
  <c r="M867" i="6" s="1"/>
  <c r="H859" i="6"/>
  <c r="N859" i="6" s="1"/>
  <c r="G859" i="6"/>
  <c r="M859" i="6" s="1"/>
  <c r="H851" i="6"/>
  <c r="N851" i="6" s="1"/>
  <c r="G851" i="6"/>
  <c r="M851" i="6" s="1"/>
  <c r="H843" i="6"/>
  <c r="N843" i="6" s="1"/>
  <c r="G843" i="6"/>
  <c r="M843" i="6" s="1"/>
  <c r="H835" i="6"/>
  <c r="N835" i="6" s="1"/>
  <c r="G835" i="6"/>
  <c r="M835" i="6" s="1"/>
  <c r="H827" i="6"/>
  <c r="N827" i="6" s="1"/>
  <c r="G827" i="6"/>
  <c r="M827" i="6" s="1"/>
  <c r="H819" i="6"/>
  <c r="N819" i="6" s="1"/>
  <c r="G819" i="6"/>
  <c r="M819" i="6" s="1"/>
  <c r="H811" i="6"/>
  <c r="N811" i="6" s="1"/>
  <c r="G811" i="6"/>
  <c r="M811" i="6" s="1"/>
  <c r="H803" i="6"/>
  <c r="N803" i="6" s="1"/>
  <c r="G803" i="6"/>
  <c r="M803" i="6" s="1"/>
  <c r="H795" i="6"/>
  <c r="N795" i="6" s="1"/>
  <c r="G795" i="6"/>
  <c r="M795" i="6" s="1"/>
  <c r="H787" i="6"/>
  <c r="N787" i="6" s="1"/>
  <c r="G787" i="6"/>
  <c r="M787" i="6" s="1"/>
  <c r="H779" i="6"/>
  <c r="N779" i="6" s="1"/>
  <c r="G779" i="6"/>
  <c r="M779" i="6" s="1"/>
  <c r="H771" i="6"/>
  <c r="N771" i="6" s="1"/>
  <c r="G771" i="6"/>
  <c r="M771" i="6" s="1"/>
  <c r="H763" i="6"/>
  <c r="N763" i="6" s="1"/>
  <c r="G763" i="6"/>
  <c r="M763" i="6" s="1"/>
  <c r="H755" i="6"/>
  <c r="N755" i="6" s="1"/>
  <c r="G755" i="6"/>
  <c r="M755" i="6" s="1"/>
  <c r="H747" i="6"/>
  <c r="N747" i="6" s="1"/>
  <c r="G747" i="6"/>
  <c r="M747" i="6" s="1"/>
  <c r="H739" i="6"/>
  <c r="N739" i="6" s="1"/>
  <c r="G739" i="6"/>
  <c r="M739" i="6" s="1"/>
  <c r="H731" i="6"/>
  <c r="N731" i="6" s="1"/>
  <c r="G731" i="6"/>
  <c r="M731" i="6" s="1"/>
  <c r="H723" i="6"/>
  <c r="N723" i="6" s="1"/>
  <c r="G723" i="6"/>
  <c r="M723" i="6" s="1"/>
  <c r="H715" i="6"/>
  <c r="N715" i="6" s="1"/>
  <c r="G715" i="6"/>
  <c r="M715" i="6" s="1"/>
  <c r="H707" i="6"/>
  <c r="N707" i="6" s="1"/>
  <c r="G707" i="6"/>
  <c r="M707" i="6" s="1"/>
  <c r="H699" i="6"/>
  <c r="N699" i="6" s="1"/>
  <c r="G699" i="6"/>
  <c r="M699" i="6" s="1"/>
  <c r="H691" i="6"/>
  <c r="N691" i="6" s="1"/>
  <c r="G691" i="6"/>
  <c r="M691" i="6" s="1"/>
  <c r="H683" i="6"/>
  <c r="N683" i="6" s="1"/>
  <c r="G683" i="6"/>
  <c r="M683" i="6" s="1"/>
  <c r="H675" i="6"/>
  <c r="N675" i="6" s="1"/>
  <c r="G675" i="6"/>
  <c r="M675" i="6" s="1"/>
  <c r="H667" i="6"/>
  <c r="N667" i="6" s="1"/>
  <c r="G667" i="6"/>
  <c r="M667" i="6" s="1"/>
  <c r="H659" i="6"/>
  <c r="N659" i="6" s="1"/>
  <c r="G659" i="6"/>
  <c r="M659" i="6" s="1"/>
  <c r="H651" i="6"/>
  <c r="N651" i="6" s="1"/>
  <c r="G651" i="6"/>
  <c r="M651" i="6" s="1"/>
  <c r="H643" i="6"/>
  <c r="N643" i="6" s="1"/>
  <c r="G643" i="6"/>
  <c r="M643" i="6" s="1"/>
  <c r="H635" i="6"/>
  <c r="N635" i="6" s="1"/>
  <c r="G635" i="6"/>
  <c r="M635" i="6" s="1"/>
  <c r="H627" i="6"/>
  <c r="N627" i="6" s="1"/>
  <c r="G627" i="6"/>
  <c r="M627" i="6" s="1"/>
  <c r="H619" i="6"/>
  <c r="N619" i="6" s="1"/>
  <c r="G619" i="6"/>
  <c r="M619" i="6" s="1"/>
  <c r="H611" i="6"/>
  <c r="N611" i="6" s="1"/>
  <c r="G611" i="6"/>
  <c r="M611" i="6" s="1"/>
  <c r="H603" i="6"/>
  <c r="N603" i="6" s="1"/>
  <c r="G603" i="6"/>
  <c r="M603" i="6" s="1"/>
  <c r="H595" i="6"/>
  <c r="N595" i="6" s="1"/>
  <c r="G595" i="6"/>
  <c r="M595" i="6" s="1"/>
  <c r="H587" i="6"/>
  <c r="N587" i="6" s="1"/>
  <c r="G587" i="6"/>
  <c r="M587" i="6" s="1"/>
  <c r="H579" i="6"/>
  <c r="N579" i="6" s="1"/>
  <c r="G579" i="6"/>
  <c r="M579" i="6" s="1"/>
  <c r="H571" i="6"/>
  <c r="N571" i="6" s="1"/>
  <c r="G571" i="6"/>
  <c r="M571" i="6" s="1"/>
  <c r="H563" i="6"/>
  <c r="N563" i="6" s="1"/>
  <c r="G563" i="6"/>
  <c r="M563" i="6" s="1"/>
  <c r="H555" i="6"/>
  <c r="N555" i="6" s="1"/>
  <c r="G555" i="6"/>
  <c r="M555" i="6" s="1"/>
  <c r="H547" i="6"/>
  <c r="N547" i="6" s="1"/>
  <c r="G547" i="6"/>
  <c r="M547" i="6" s="1"/>
  <c r="H539" i="6"/>
  <c r="N539" i="6" s="1"/>
  <c r="G539" i="6"/>
  <c r="M539" i="6" s="1"/>
  <c r="H531" i="6"/>
  <c r="N531" i="6" s="1"/>
  <c r="G531" i="6"/>
  <c r="M531" i="6" s="1"/>
  <c r="H523" i="6"/>
  <c r="N523" i="6" s="1"/>
  <c r="G523" i="6"/>
  <c r="M523" i="6" s="1"/>
  <c r="H515" i="6"/>
  <c r="N515" i="6" s="1"/>
  <c r="G515" i="6"/>
  <c r="M515" i="6" s="1"/>
  <c r="H507" i="6"/>
  <c r="N507" i="6" s="1"/>
  <c r="G507" i="6"/>
  <c r="M507" i="6" s="1"/>
  <c r="H499" i="6"/>
  <c r="N499" i="6" s="1"/>
  <c r="G499" i="6"/>
  <c r="M499" i="6" s="1"/>
  <c r="H491" i="6"/>
  <c r="N491" i="6" s="1"/>
  <c r="G491" i="6"/>
  <c r="M491" i="6" s="1"/>
  <c r="H483" i="6"/>
  <c r="N483" i="6" s="1"/>
  <c r="G483" i="6"/>
  <c r="M483" i="6" s="1"/>
  <c r="H475" i="6"/>
  <c r="N475" i="6" s="1"/>
  <c r="G475" i="6"/>
  <c r="M475" i="6" s="1"/>
  <c r="H467" i="6"/>
  <c r="N467" i="6" s="1"/>
  <c r="G467" i="6"/>
  <c r="M467" i="6" s="1"/>
  <c r="H459" i="6"/>
  <c r="N459" i="6" s="1"/>
  <c r="G459" i="6"/>
  <c r="M459" i="6" s="1"/>
  <c r="H451" i="6"/>
  <c r="N451" i="6" s="1"/>
  <c r="G451" i="6"/>
  <c r="M451" i="6" s="1"/>
  <c r="H443" i="6"/>
  <c r="N443" i="6" s="1"/>
  <c r="G443" i="6"/>
  <c r="M443" i="6" s="1"/>
  <c r="H435" i="6"/>
  <c r="N435" i="6" s="1"/>
  <c r="G435" i="6"/>
  <c r="M435" i="6" s="1"/>
  <c r="H427" i="6"/>
  <c r="N427" i="6" s="1"/>
  <c r="G427" i="6"/>
  <c r="M427" i="6" s="1"/>
  <c r="H419" i="6"/>
  <c r="N419" i="6" s="1"/>
  <c r="G419" i="6"/>
  <c r="M419" i="6" s="1"/>
  <c r="H411" i="6"/>
  <c r="N411" i="6" s="1"/>
  <c r="G411" i="6"/>
  <c r="M411" i="6" s="1"/>
  <c r="H403" i="6"/>
  <c r="N403" i="6" s="1"/>
  <c r="G403" i="6"/>
  <c r="M403" i="6" s="1"/>
  <c r="H395" i="6"/>
  <c r="N395" i="6" s="1"/>
  <c r="G395" i="6"/>
  <c r="M395" i="6" s="1"/>
  <c r="H387" i="6"/>
  <c r="N387" i="6" s="1"/>
  <c r="G387" i="6"/>
  <c r="M387" i="6" s="1"/>
  <c r="H379" i="6"/>
  <c r="N379" i="6" s="1"/>
  <c r="G379" i="6"/>
  <c r="M379" i="6" s="1"/>
  <c r="H371" i="6"/>
  <c r="N371" i="6" s="1"/>
  <c r="G371" i="6"/>
  <c r="M371" i="6" s="1"/>
  <c r="H363" i="6"/>
  <c r="N363" i="6" s="1"/>
  <c r="G363" i="6"/>
  <c r="M363" i="6" s="1"/>
  <c r="H355" i="6"/>
  <c r="N355" i="6" s="1"/>
  <c r="G355" i="6"/>
  <c r="M355" i="6" s="1"/>
  <c r="H347" i="6"/>
  <c r="N347" i="6" s="1"/>
  <c r="G347" i="6"/>
  <c r="M347" i="6" s="1"/>
  <c r="H339" i="6"/>
  <c r="N339" i="6" s="1"/>
  <c r="G339" i="6"/>
  <c r="M339" i="6" s="1"/>
  <c r="H331" i="6"/>
  <c r="N331" i="6" s="1"/>
  <c r="G331" i="6"/>
  <c r="M331" i="6" s="1"/>
  <c r="H323" i="6"/>
  <c r="N323" i="6" s="1"/>
  <c r="G323" i="6"/>
  <c r="M323" i="6" s="1"/>
  <c r="H315" i="6"/>
  <c r="N315" i="6" s="1"/>
  <c r="G315" i="6"/>
  <c r="M315" i="6" s="1"/>
  <c r="H307" i="6"/>
  <c r="N307" i="6" s="1"/>
  <c r="G307" i="6"/>
  <c r="M307" i="6" s="1"/>
  <c r="H299" i="6"/>
  <c r="N299" i="6" s="1"/>
  <c r="G299" i="6"/>
  <c r="M299" i="6" s="1"/>
  <c r="H291" i="6"/>
  <c r="N291" i="6" s="1"/>
  <c r="G291" i="6"/>
  <c r="M291" i="6" s="1"/>
  <c r="H283" i="6"/>
  <c r="N283" i="6" s="1"/>
  <c r="G283" i="6"/>
  <c r="M283" i="6" s="1"/>
  <c r="H275" i="6"/>
  <c r="N275" i="6" s="1"/>
  <c r="G275" i="6"/>
  <c r="M275" i="6" s="1"/>
  <c r="H267" i="6"/>
  <c r="N267" i="6" s="1"/>
  <c r="G267" i="6"/>
  <c r="M267" i="6" s="1"/>
  <c r="H259" i="6"/>
  <c r="N259" i="6" s="1"/>
  <c r="G259" i="6"/>
  <c r="M259" i="6" s="1"/>
  <c r="H251" i="6"/>
  <c r="N251" i="6" s="1"/>
  <c r="G251" i="6"/>
  <c r="M251" i="6" s="1"/>
  <c r="H243" i="6"/>
  <c r="N243" i="6" s="1"/>
  <c r="G243" i="6"/>
  <c r="M243" i="6" s="1"/>
  <c r="H235" i="6"/>
  <c r="N235" i="6" s="1"/>
  <c r="G235" i="6"/>
  <c r="M235" i="6" s="1"/>
  <c r="H227" i="6"/>
  <c r="N227" i="6" s="1"/>
  <c r="G227" i="6"/>
  <c r="M227" i="6" s="1"/>
  <c r="H219" i="6"/>
  <c r="N219" i="6" s="1"/>
  <c r="G219" i="6"/>
  <c r="M219" i="6" s="1"/>
  <c r="H211" i="6"/>
  <c r="N211" i="6" s="1"/>
  <c r="G211" i="6"/>
  <c r="M211" i="6" s="1"/>
  <c r="H203" i="6"/>
  <c r="N203" i="6" s="1"/>
  <c r="G203" i="6"/>
  <c r="M203" i="6" s="1"/>
  <c r="H195" i="6"/>
  <c r="N195" i="6" s="1"/>
  <c r="G195" i="6"/>
  <c r="M195" i="6" s="1"/>
  <c r="H187" i="6"/>
  <c r="N187" i="6" s="1"/>
  <c r="G187" i="6"/>
  <c r="M187" i="6" s="1"/>
  <c r="H179" i="6"/>
  <c r="N179" i="6" s="1"/>
  <c r="G179" i="6"/>
  <c r="M179" i="6" s="1"/>
  <c r="H171" i="6"/>
  <c r="N171" i="6" s="1"/>
  <c r="G171" i="6"/>
  <c r="M171" i="6" s="1"/>
  <c r="H163" i="6"/>
  <c r="N163" i="6" s="1"/>
  <c r="G163" i="6"/>
  <c r="M163" i="6" s="1"/>
  <c r="H155" i="6"/>
  <c r="N155" i="6" s="1"/>
  <c r="G155" i="6"/>
  <c r="M155" i="6" s="1"/>
  <c r="H147" i="6"/>
  <c r="N147" i="6" s="1"/>
  <c r="G147" i="6"/>
  <c r="M147" i="6" s="1"/>
  <c r="H139" i="6"/>
  <c r="N139" i="6" s="1"/>
  <c r="G139" i="6"/>
  <c r="M139" i="6" s="1"/>
  <c r="H131" i="6"/>
  <c r="N131" i="6" s="1"/>
  <c r="G131" i="6"/>
  <c r="M131" i="6" s="1"/>
  <c r="H123" i="6"/>
  <c r="N123" i="6" s="1"/>
  <c r="G123" i="6"/>
  <c r="M123" i="6" s="1"/>
  <c r="H115" i="6"/>
  <c r="N115" i="6" s="1"/>
  <c r="G115" i="6"/>
  <c r="M115" i="6" s="1"/>
  <c r="H107" i="6"/>
  <c r="N107" i="6" s="1"/>
  <c r="G107" i="6"/>
  <c r="M107" i="6" s="1"/>
  <c r="H99" i="6"/>
  <c r="N99" i="6" s="1"/>
  <c r="G99" i="6"/>
  <c r="M99" i="6" s="1"/>
  <c r="H91" i="6"/>
  <c r="N91" i="6" s="1"/>
  <c r="G91" i="6"/>
  <c r="M91" i="6" s="1"/>
  <c r="H83" i="6"/>
  <c r="N83" i="6" s="1"/>
  <c r="G83" i="6"/>
  <c r="M83" i="6" s="1"/>
  <c r="H75" i="6"/>
  <c r="N75" i="6" s="1"/>
  <c r="G75" i="6"/>
  <c r="M75" i="6" s="1"/>
  <c r="H67" i="6"/>
  <c r="N67" i="6" s="1"/>
  <c r="G67" i="6"/>
  <c r="M67" i="6" s="1"/>
  <c r="H59" i="6"/>
  <c r="N59" i="6" s="1"/>
  <c r="G59" i="6"/>
  <c r="M59" i="6" s="1"/>
  <c r="H51" i="6"/>
  <c r="N51" i="6" s="1"/>
  <c r="G51" i="6"/>
  <c r="M51" i="6" s="1"/>
  <c r="H43" i="6"/>
  <c r="N43" i="6" s="1"/>
  <c r="G43" i="6"/>
  <c r="M43" i="6" s="1"/>
  <c r="H35" i="6"/>
  <c r="N35" i="6" s="1"/>
  <c r="G35" i="6"/>
  <c r="M35" i="6" s="1"/>
  <c r="H27" i="6"/>
  <c r="N27" i="6" s="1"/>
  <c r="G27" i="6"/>
  <c r="M27" i="6" s="1"/>
  <c r="H19" i="6"/>
  <c r="N19" i="6" s="1"/>
  <c r="G19" i="6"/>
  <c r="M19" i="6" s="1"/>
  <c r="H11" i="6"/>
  <c r="N11" i="6" s="1"/>
  <c r="G11" i="6"/>
  <c r="M11" i="6" s="1"/>
  <c r="G972" i="6"/>
  <c r="M972" i="6" s="1"/>
  <c r="G940" i="6"/>
  <c r="M940" i="6" s="1"/>
  <c r="G908" i="6"/>
  <c r="M908" i="6" s="1"/>
  <c r="G876" i="6"/>
  <c r="M876" i="6" s="1"/>
  <c r="G844" i="6"/>
  <c r="M844" i="6" s="1"/>
  <c r="G812" i="6"/>
  <c r="M812" i="6" s="1"/>
  <c r="G780" i="6"/>
  <c r="M780" i="6" s="1"/>
  <c r="H18" i="6"/>
  <c r="N18" i="6" s="1"/>
  <c r="G18" i="6"/>
  <c r="M18" i="6" s="1"/>
  <c r="H10" i="6"/>
  <c r="N10" i="6" s="1"/>
  <c r="G10" i="6"/>
  <c r="M10" i="6" s="1"/>
  <c r="H17" i="6"/>
  <c r="N17" i="6" s="1"/>
  <c r="G17" i="6"/>
  <c r="M17" i="6" s="1"/>
  <c r="H9" i="6"/>
  <c r="N9" i="6" s="1"/>
  <c r="G9" i="6"/>
  <c r="M9" i="6" s="1"/>
  <c r="H7" i="6"/>
  <c r="N7" i="6" s="1"/>
  <c r="G7" i="6"/>
  <c r="M7" i="6" s="1"/>
  <c r="H14" i="6"/>
  <c r="N14" i="6" s="1"/>
  <c r="G14" i="6"/>
  <c r="M14" i="6" s="1"/>
  <c r="H6" i="6"/>
  <c r="N6" i="6" s="1"/>
  <c r="G6" i="6"/>
  <c r="M6" i="6" s="1"/>
  <c r="H13" i="6"/>
  <c r="N13" i="6" s="1"/>
  <c r="G13" i="6"/>
  <c r="M13" i="6" s="1"/>
  <c r="H5" i="6"/>
  <c r="N5" i="6" s="1"/>
  <c r="G5" i="6"/>
  <c r="M5" i="6" s="1"/>
  <c r="H3" i="6"/>
  <c r="N3" i="6" s="1"/>
  <c r="G3" i="6"/>
  <c r="M3" i="6" s="1"/>
</calcChain>
</file>

<file path=xl/sharedStrings.xml><?xml version="1.0" encoding="utf-8"?>
<sst xmlns="http://schemas.openxmlformats.org/spreadsheetml/2006/main" count="53662" uniqueCount="12863">
  <si>
    <t>序</t>
  </si>
  <si>
    <t>代码</t>
  </si>
  <si>
    <t>名称</t>
  </si>
  <si>
    <t>最新</t>
  </si>
  <si>
    <t>涨幅%</t>
  </si>
  <si>
    <t>涨跌</t>
  </si>
  <si>
    <t>总手</t>
  </si>
  <si>
    <t>现手</t>
  </si>
  <si>
    <t>买入价</t>
  </si>
  <si>
    <t>卖出价</t>
  </si>
  <si>
    <t>涨速%</t>
  </si>
  <si>
    <t>换手%</t>
  </si>
  <si>
    <t>金额</t>
  </si>
  <si>
    <t>市盈率</t>
  </si>
  <si>
    <t>所属行业</t>
  </si>
  <si>
    <t>最高</t>
  </si>
  <si>
    <t>最低</t>
  </si>
  <si>
    <t>开盘</t>
  </si>
  <si>
    <t>昨收</t>
  </si>
  <si>
    <t>振幅%</t>
  </si>
  <si>
    <t>量比</t>
  </si>
  <si>
    <t>委比%</t>
  </si>
  <si>
    <t>委差</t>
  </si>
  <si>
    <t>均价</t>
  </si>
  <si>
    <t>内盘</t>
  </si>
  <si>
    <t>外盘</t>
  </si>
  <si>
    <t>内外比</t>
  </si>
  <si>
    <t>买一量</t>
  </si>
  <si>
    <t>卖一量</t>
  </si>
  <si>
    <t>市净率</t>
  </si>
  <si>
    <t>总股本</t>
  </si>
  <si>
    <t>总市值</t>
  </si>
  <si>
    <t>流通股本</t>
  </si>
  <si>
    <t>流通市值</t>
  </si>
  <si>
    <t>3日涨幅%</t>
  </si>
  <si>
    <t>6日涨幅%</t>
  </si>
  <si>
    <t>3日换手%</t>
  </si>
  <si>
    <t>6日换手%</t>
  </si>
  <si>
    <t>工商银行</t>
  </si>
  <si>
    <t>154万</t>
  </si>
  <si>
    <t>9.49亿</t>
  </si>
  <si>
    <t xml:space="preserve"> 银行</t>
  </si>
  <si>
    <t>3.45万</t>
  </si>
  <si>
    <t>105万</t>
  </si>
  <si>
    <t>49.0万</t>
  </si>
  <si>
    <t>3564亿</t>
  </si>
  <si>
    <t>2.19万亿</t>
  </si>
  <si>
    <t>2696亿</t>
  </si>
  <si>
    <t>1.66万亿</t>
  </si>
  <si>
    <t>建设银行</t>
  </si>
  <si>
    <t>64.7万</t>
  </si>
  <si>
    <t>4.58亿</t>
  </si>
  <si>
    <t>30.4万</t>
  </si>
  <si>
    <t>34.3万</t>
  </si>
  <si>
    <t>2500亿</t>
  </si>
  <si>
    <t>1.76万亿</t>
  </si>
  <si>
    <t>95.9亿</t>
  </si>
  <si>
    <t>674亿</t>
  </si>
  <si>
    <t>中国石油</t>
  </si>
  <si>
    <t>14.9万</t>
  </si>
  <si>
    <t>1.19亿</t>
  </si>
  <si>
    <t xml:space="preserve"> 石油行业</t>
  </si>
  <si>
    <t>-2.23万</t>
  </si>
  <si>
    <t>8.78万</t>
  </si>
  <si>
    <t>6.12万</t>
  </si>
  <si>
    <t>1830亿</t>
  </si>
  <si>
    <t>1.46万亿</t>
  </si>
  <si>
    <t>1619亿</t>
  </si>
  <si>
    <t>1.29万亿</t>
  </si>
  <si>
    <t>农业银行</t>
  </si>
  <si>
    <t>241万</t>
  </si>
  <si>
    <t>9.14亿</t>
  </si>
  <si>
    <t>4.49万</t>
  </si>
  <si>
    <t>168万</t>
  </si>
  <si>
    <t>73.3万</t>
  </si>
  <si>
    <t>1.02万</t>
  </si>
  <si>
    <t>3248亿</t>
  </si>
  <si>
    <t>1.22万亿</t>
  </si>
  <si>
    <t>2941亿</t>
  </si>
  <si>
    <t>1.11万亿</t>
  </si>
  <si>
    <t>中国银行</t>
  </si>
  <si>
    <t>85.3万</t>
  </si>
  <si>
    <t>3.53亿</t>
  </si>
  <si>
    <t>-5.20万</t>
  </si>
  <si>
    <t>53.4万</t>
  </si>
  <si>
    <t>31.9万</t>
  </si>
  <si>
    <t>2.36万</t>
  </si>
  <si>
    <t>2.50万</t>
  </si>
  <si>
    <t>2944亿</t>
  </si>
  <si>
    <t>2108亿</t>
  </si>
  <si>
    <t>8726亿</t>
  </si>
  <si>
    <t>中国平安</t>
  </si>
  <si>
    <t>50.8万</t>
  </si>
  <si>
    <t>29.0亿</t>
  </si>
  <si>
    <t xml:space="preserve"> 保险</t>
  </si>
  <si>
    <t>25.7万</t>
  </si>
  <si>
    <t>25.1万</t>
  </si>
  <si>
    <t>183亿</t>
  </si>
  <si>
    <t>1.04万亿</t>
  </si>
  <si>
    <t>108亿</t>
  </si>
  <si>
    <t>6183亿</t>
  </si>
  <si>
    <t>中国人寿</t>
  </si>
  <si>
    <t>11.4万</t>
  </si>
  <si>
    <t>3.18亿</t>
  </si>
  <si>
    <t>7.49万</t>
  </si>
  <si>
    <t>3.89万</t>
  </si>
  <si>
    <t>283亿</t>
  </si>
  <si>
    <t>7900亿</t>
  </si>
  <si>
    <t>208亿</t>
  </si>
  <si>
    <t>5820亿</t>
  </si>
  <si>
    <t>中国石化</t>
  </si>
  <si>
    <t>78.3万</t>
  </si>
  <si>
    <t>4.53亿</t>
  </si>
  <si>
    <t>2.15万</t>
  </si>
  <si>
    <t>56.7万</t>
  </si>
  <si>
    <t>21.6万</t>
  </si>
  <si>
    <t>1211亿</t>
  </si>
  <si>
    <t>7034亿</t>
  </si>
  <si>
    <t>956亿</t>
  </si>
  <si>
    <t>5552亿</t>
  </si>
  <si>
    <t>贵州茅台</t>
  </si>
  <si>
    <t>2.79万</t>
  </si>
  <si>
    <t>15.3亿</t>
  </si>
  <si>
    <t xml:space="preserve"> 酿酒行业</t>
  </si>
  <si>
    <t>1.26万</t>
  </si>
  <si>
    <t>1.53万</t>
  </si>
  <si>
    <t>12.6亿</t>
  </si>
  <si>
    <t>6986亿</t>
  </si>
  <si>
    <t>招商银行</t>
  </si>
  <si>
    <t>32.7万</t>
  </si>
  <si>
    <t>8.60亿</t>
  </si>
  <si>
    <t>21.0万</t>
  </si>
  <si>
    <t>11.8万</t>
  </si>
  <si>
    <t>252亿</t>
  </si>
  <si>
    <t>6608亿</t>
  </si>
  <si>
    <t>206亿</t>
  </si>
  <si>
    <t>5405亿</t>
  </si>
  <si>
    <t>交通银行</t>
  </si>
  <si>
    <t>64.5万</t>
  </si>
  <si>
    <t>4.09亿</t>
  </si>
  <si>
    <t>-3.34万</t>
  </si>
  <si>
    <t>40.2万</t>
  </si>
  <si>
    <t>24.3万</t>
  </si>
  <si>
    <t>743亿</t>
  </si>
  <si>
    <t>4686亿</t>
  </si>
  <si>
    <t>393亿</t>
  </si>
  <si>
    <t>2477亿</t>
  </si>
  <si>
    <t>中国神华</t>
  </si>
  <si>
    <t>12.6万</t>
  </si>
  <si>
    <t>2.58亿</t>
  </si>
  <si>
    <t xml:space="preserve"> 煤炭采选</t>
  </si>
  <si>
    <t>4.93万</t>
  </si>
  <si>
    <t>7.68万</t>
  </si>
  <si>
    <t>199亿</t>
  </si>
  <si>
    <t>4063亿</t>
  </si>
  <si>
    <t>165亿</t>
  </si>
  <si>
    <t>3369亿</t>
  </si>
  <si>
    <t>浦发银行</t>
  </si>
  <si>
    <t>20.9万</t>
  </si>
  <si>
    <t>2.71亿</t>
  </si>
  <si>
    <t>13.0万</t>
  </si>
  <si>
    <t>7.91万</t>
  </si>
  <si>
    <t>294亿</t>
  </si>
  <si>
    <t>3798亿</t>
  </si>
  <si>
    <t>281亿</t>
  </si>
  <si>
    <t>3637亿</t>
  </si>
  <si>
    <t>上汽集团</t>
  </si>
  <si>
    <t>20.5万</t>
  </si>
  <si>
    <t>6.61亿</t>
  </si>
  <si>
    <t xml:space="preserve"> 汽车行业</t>
  </si>
  <si>
    <t>9.10万</t>
  </si>
  <si>
    <t>117亿</t>
  </si>
  <si>
    <t>3735亿</t>
  </si>
  <si>
    <t>110亿</t>
  </si>
  <si>
    <t>3525亿</t>
  </si>
  <si>
    <t>兴业银行</t>
  </si>
  <si>
    <t>67.3万</t>
  </si>
  <si>
    <t>12.0亿</t>
  </si>
  <si>
    <t>33.6万</t>
  </si>
  <si>
    <t>33.7万</t>
  </si>
  <si>
    <t>3698亿</t>
  </si>
  <si>
    <t>191亿</t>
  </si>
  <si>
    <t>3391亿</t>
  </si>
  <si>
    <t>长江电力</t>
  </si>
  <si>
    <t>14.0万</t>
  </si>
  <si>
    <t>2.15亿</t>
  </si>
  <si>
    <t xml:space="preserve"> 电力行业</t>
  </si>
  <si>
    <t>8.02万</t>
  </si>
  <si>
    <t>5.94万</t>
  </si>
  <si>
    <t>220亿</t>
  </si>
  <si>
    <t>3381亿</t>
  </si>
  <si>
    <t>115亿</t>
  </si>
  <si>
    <t>1768亿</t>
  </si>
  <si>
    <t>中国太保</t>
  </si>
  <si>
    <t>12.5万</t>
  </si>
  <si>
    <t>4.66亿</t>
  </si>
  <si>
    <t>6.27万</t>
  </si>
  <si>
    <t>6.20万</t>
  </si>
  <si>
    <t>90.6亿</t>
  </si>
  <si>
    <t>3366亿</t>
  </si>
  <si>
    <t>62.9亿</t>
  </si>
  <si>
    <t>2335亿</t>
  </si>
  <si>
    <t>海康威视</t>
  </si>
  <si>
    <t>31.7万</t>
  </si>
  <si>
    <t>11.1亿</t>
  </si>
  <si>
    <t xml:space="preserve"> 安防设备</t>
  </si>
  <si>
    <t>17.3万</t>
  </si>
  <si>
    <t>14.4万</t>
  </si>
  <si>
    <t>92.3亿</t>
  </si>
  <si>
    <t>3230亿</t>
  </si>
  <si>
    <t>72.6亿</t>
  </si>
  <si>
    <t>2540亿</t>
  </si>
  <si>
    <t>美的集团</t>
  </si>
  <si>
    <t>19.7万</t>
  </si>
  <si>
    <t>9.38亿</t>
  </si>
  <si>
    <t xml:space="preserve"> 家电行业</t>
  </si>
  <si>
    <t>8.27万</t>
  </si>
  <si>
    <t>65.5亿</t>
  </si>
  <si>
    <t>3122亿</t>
  </si>
  <si>
    <t>63.4亿</t>
  </si>
  <si>
    <t>3021亿</t>
  </si>
  <si>
    <t>中信银行</t>
  </si>
  <si>
    <t>22.3万</t>
  </si>
  <si>
    <t>1.42亿</t>
  </si>
  <si>
    <t>-1.52万</t>
  </si>
  <si>
    <t>15.2万</t>
  </si>
  <si>
    <t>7.17万</t>
  </si>
  <si>
    <t>489亿</t>
  </si>
  <si>
    <t>3102亿</t>
  </si>
  <si>
    <t>319亿</t>
  </si>
  <si>
    <t>2023亿</t>
  </si>
  <si>
    <t>民生银行</t>
  </si>
  <si>
    <t>30.0万</t>
  </si>
  <si>
    <t>2.45亿</t>
  </si>
  <si>
    <t>-5.68万</t>
  </si>
  <si>
    <t>16.5万</t>
  </si>
  <si>
    <t>13.5万</t>
  </si>
  <si>
    <t>365亿</t>
  </si>
  <si>
    <t>2981亿</t>
  </si>
  <si>
    <t>296亿</t>
  </si>
  <si>
    <t>2414亿</t>
  </si>
  <si>
    <t>万 科Ａ</t>
  </si>
  <si>
    <t>33.0万</t>
  </si>
  <si>
    <t>8.95亿</t>
  </si>
  <si>
    <t xml:space="preserve"> 房地产</t>
  </si>
  <si>
    <t>17.6万</t>
  </si>
  <si>
    <t>15.4万</t>
  </si>
  <si>
    <t>2973亿</t>
  </si>
  <si>
    <t>97.1亿</t>
  </si>
  <si>
    <t>2615亿</t>
  </si>
  <si>
    <t>中国中车</t>
  </si>
  <si>
    <t>45.2万</t>
  </si>
  <si>
    <t>4.47亿</t>
  </si>
  <si>
    <t xml:space="preserve"> 交运设备</t>
  </si>
  <si>
    <t>19.5万</t>
  </si>
  <si>
    <t>25.8万</t>
  </si>
  <si>
    <t>287亿</t>
  </si>
  <si>
    <t>2833亿</t>
  </si>
  <si>
    <t>229亿</t>
  </si>
  <si>
    <t>2262亿</t>
  </si>
  <si>
    <t>中国建筑</t>
  </si>
  <si>
    <t>108万</t>
  </si>
  <si>
    <t>10.1亿</t>
  </si>
  <si>
    <t xml:space="preserve"> 工程建设</t>
  </si>
  <si>
    <t>6.28万</t>
  </si>
  <si>
    <t>70.6万</t>
  </si>
  <si>
    <t>37.2万</t>
  </si>
  <si>
    <t>300亿</t>
  </si>
  <si>
    <t>2817亿</t>
  </si>
  <si>
    <t>297亿</t>
  </si>
  <si>
    <t>2792亿</t>
  </si>
  <si>
    <t>顺丰控股</t>
  </si>
  <si>
    <t>4.96万</t>
  </si>
  <si>
    <t>2.78亿</t>
  </si>
  <si>
    <t xml:space="preserve"> 交运物流</t>
  </si>
  <si>
    <t>2.46万</t>
  </si>
  <si>
    <t>44.1亿</t>
  </si>
  <si>
    <t>2485亿</t>
  </si>
  <si>
    <t>80.3亿</t>
  </si>
  <si>
    <t>中国交建</t>
  </si>
  <si>
    <t>15.3万</t>
  </si>
  <si>
    <t>2.31亿</t>
  </si>
  <si>
    <t>8.54万</t>
  </si>
  <si>
    <t>6.71万</t>
  </si>
  <si>
    <t>162亿</t>
  </si>
  <si>
    <t>2455亿</t>
  </si>
  <si>
    <t>1783亿</t>
  </si>
  <si>
    <t>格力电器</t>
  </si>
  <si>
    <t>53.1万</t>
  </si>
  <si>
    <t>21.4亿</t>
  </si>
  <si>
    <t>27.2万</t>
  </si>
  <si>
    <t>26.0万</t>
  </si>
  <si>
    <t>60.2亿</t>
  </si>
  <si>
    <t>2423亿</t>
  </si>
  <si>
    <t>59.7亿</t>
  </si>
  <si>
    <t>2404亿</t>
  </si>
  <si>
    <t>五 粮 液</t>
  </si>
  <si>
    <t>16.2万</t>
  </si>
  <si>
    <t>9.96亿</t>
  </si>
  <si>
    <t>7.45万</t>
  </si>
  <si>
    <t>8.75万</t>
  </si>
  <si>
    <t>38.0亿</t>
  </si>
  <si>
    <t>2339亿</t>
  </si>
  <si>
    <t>中信证券</t>
  </si>
  <si>
    <t>48.3万</t>
  </si>
  <si>
    <t>8.70亿</t>
  </si>
  <si>
    <t xml:space="preserve"> 券商信托</t>
  </si>
  <si>
    <t>26.9万</t>
  </si>
  <si>
    <t>21.4万</t>
  </si>
  <si>
    <t>121亿</t>
  </si>
  <si>
    <t>2181亿</t>
  </si>
  <si>
    <t>98.1亿</t>
  </si>
  <si>
    <t>1767亿</t>
  </si>
  <si>
    <t>中国中铁</t>
  </si>
  <si>
    <t>14.6万</t>
  </si>
  <si>
    <t>1.27亿</t>
  </si>
  <si>
    <t>1.17万</t>
  </si>
  <si>
    <t>8.25万</t>
  </si>
  <si>
    <t>6.36万</t>
  </si>
  <si>
    <t>228亿</t>
  </si>
  <si>
    <t>1983亿</t>
  </si>
  <si>
    <t>1591亿</t>
  </si>
  <si>
    <t>平安银行</t>
  </si>
  <si>
    <t>73.7万</t>
  </si>
  <si>
    <t>8.40亿</t>
  </si>
  <si>
    <t>49.7万</t>
  </si>
  <si>
    <t>24.0万</t>
  </si>
  <si>
    <t>172亿</t>
  </si>
  <si>
    <t>1951亿</t>
  </si>
  <si>
    <t>169亿</t>
  </si>
  <si>
    <t>1922亿</t>
  </si>
  <si>
    <t>光大银行</t>
  </si>
  <si>
    <t>32.3万</t>
  </si>
  <si>
    <t>1.33亿</t>
  </si>
  <si>
    <t>-10.3万</t>
  </si>
  <si>
    <t>19.3万</t>
  </si>
  <si>
    <t>4.72万</t>
  </si>
  <si>
    <t>11.2万</t>
  </si>
  <si>
    <t>467亿</t>
  </si>
  <si>
    <t>1914亿</t>
  </si>
  <si>
    <t>398亿</t>
  </si>
  <si>
    <t>1632亿</t>
  </si>
  <si>
    <t>国泰君安</t>
  </si>
  <si>
    <t>2.42亿</t>
  </si>
  <si>
    <t>5.67万</t>
  </si>
  <si>
    <t>5.69万</t>
  </si>
  <si>
    <t>87.1亿</t>
  </si>
  <si>
    <t>1850亿</t>
  </si>
  <si>
    <t>47.3亿</t>
  </si>
  <si>
    <t>1005亿</t>
  </si>
  <si>
    <t>比亚迪</t>
  </si>
  <si>
    <t>16.0万</t>
  </si>
  <si>
    <t>10.8亿</t>
  </si>
  <si>
    <t>9.22万</t>
  </si>
  <si>
    <t>6.82万</t>
  </si>
  <si>
    <t>27.3亿</t>
  </si>
  <si>
    <t>1847亿</t>
  </si>
  <si>
    <t>11.4亿</t>
  </si>
  <si>
    <t>771亿</t>
  </si>
  <si>
    <t>新华保险</t>
  </si>
  <si>
    <t>21.3万</t>
  </si>
  <si>
    <t>12.4亿</t>
  </si>
  <si>
    <t>10.4万</t>
  </si>
  <si>
    <t>10.9万</t>
  </si>
  <si>
    <t>31.2亿</t>
  </si>
  <si>
    <t>1808亿</t>
  </si>
  <si>
    <t>20.9亿</t>
  </si>
  <si>
    <t>1209亿</t>
  </si>
  <si>
    <t>广汽集团</t>
  </si>
  <si>
    <t>4.55亿</t>
  </si>
  <si>
    <t>5.21万</t>
  </si>
  <si>
    <t>11.3万</t>
  </si>
  <si>
    <t>65.1亿</t>
  </si>
  <si>
    <t>1790亿</t>
  </si>
  <si>
    <t>42.9亿</t>
  </si>
  <si>
    <t>1182亿</t>
  </si>
  <si>
    <t>京东方Ａ</t>
  </si>
  <si>
    <t>1473万</t>
  </si>
  <si>
    <t>15.1万</t>
  </si>
  <si>
    <t>73.2亿</t>
  </si>
  <si>
    <t xml:space="preserve"> 电子元件</t>
  </si>
  <si>
    <t>-38.9万</t>
  </si>
  <si>
    <t>559万</t>
  </si>
  <si>
    <t>914万</t>
  </si>
  <si>
    <t>8.52万</t>
  </si>
  <si>
    <t>348亿</t>
  </si>
  <si>
    <t>1775亿</t>
  </si>
  <si>
    <t>339亿</t>
  </si>
  <si>
    <t>1727亿</t>
  </si>
  <si>
    <t>恒瑞医药</t>
  </si>
  <si>
    <t>5.14万</t>
  </si>
  <si>
    <t>3.22亿</t>
  </si>
  <si>
    <t xml:space="preserve"> 医药制造</t>
  </si>
  <si>
    <t>2.87万</t>
  </si>
  <si>
    <t>2.27万</t>
  </si>
  <si>
    <t>28.2亿</t>
  </si>
  <si>
    <t>1772亿</t>
  </si>
  <si>
    <t>海通证券</t>
  </si>
  <si>
    <t>1.87亿</t>
  </si>
  <si>
    <t>5.63万</t>
  </si>
  <si>
    <t>7.02万</t>
  </si>
  <si>
    <t>1706亿</t>
  </si>
  <si>
    <t>80.9亿</t>
  </si>
  <si>
    <t>1200亿</t>
  </si>
  <si>
    <t>伊利股份</t>
  </si>
  <si>
    <t>75.0万</t>
  </si>
  <si>
    <t xml:space="preserve"> 食品饮料</t>
  </si>
  <si>
    <t>45.4万</t>
  </si>
  <si>
    <t>29.5万</t>
  </si>
  <si>
    <t>60.8亿</t>
  </si>
  <si>
    <t>1678亿</t>
  </si>
  <si>
    <t>60.3亿</t>
  </si>
  <si>
    <t>1665亿</t>
  </si>
  <si>
    <t>宝钢股份</t>
  </si>
  <si>
    <t>99.2万</t>
  </si>
  <si>
    <t>7.40亿</t>
  </si>
  <si>
    <t xml:space="preserve"> 钢铁行业</t>
  </si>
  <si>
    <t>38.7万</t>
  </si>
  <si>
    <t>60.5万</t>
  </si>
  <si>
    <t>221亿</t>
  </si>
  <si>
    <t>1664亿</t>
  </si>
  <si>
    <t>1663亿</t>
  </si>
  <si>
    <t>中国铁建</t>
  </si>
  <si>
    <t>21.2万</t>
  </si>
  <si>
    <t>2.53亿</t>
  </si>
  <si>
    <t>8.24万</t>
  </si>
  <si>
    <t>136亿</t>
  </si>
  <si>
    <t>1621亿</t>
  </si>
  <si>
    <t>1373亿</t>
  </si>
  <si>
    <t>洋河股份</t>
  </si>
  <si>
    <t>3.68万</t>
  </si>
  <si>
    <t>3.90亿</t>
  </si>
  <si>
    <t>2.17万</t>
  </si>
  <si>
    <t>1.52万</t>
  </si>
  <si>
    <t>15.1亿</t>
  </si>
  <si>
    <t>1596亿</t>
  </si>
  <si>
    <t>1313亿</t>
  </si>
  <si>
    <t>上港集团</t>
  </si>
  <si>
    <t>32.4万</t>
  </si>
  <si>
    <t>2.21亿</t>
  </si>
  <si>
    <t xml:space="preserve"> 港口水运</t>
  </si>
  <si>
    <t>-2.65万</t>
  </si>
  <si>
    <t>11.5万</t>
  </si>
  <si>
    <t>232亿</t>
  </si>
  <si>
    <t>1594亿</t>
  </si>
  <si>
    <t>1566亿</t>
  </si>
  <si>
    <t>洛阳钼业</t>
  </si>
  <si>
    <t>98.1万</t>
  </si>
  <si>
    <t>7.03亿</t>
  </si>
  <si>
    <t xml:space="preserve"> 有色金属</t>
  </si>
  <si>
    <t>51.8万</t>
  </si>
  <si>
    <t>46.3万</t>
  </si>
  <si>
    <t>216亿</t>
  </si>
  <si>
    <t>1549亿</t>
  </si>
  <si>
    <t>130亿</t>
  </si>
  <si>
    <t>929亿</t>
  </si>
  <si>
    <t>华泰证券</t>
  </si>
  <si>
    <t>38.0万</t>
  </si>
  <si>
    <t>8.17亿</t>
  </si>
  <si>
    <t>20.0万</t>
  </si>
  <si>
    <t>18.0万</t>
  </si>
  <si>
    <t>71.6亿</t>
  </si>
  <si>
    <t>1539亿</t>
  </si>
  <si>
    <t>54.4亿</t>
  </si>
  <si>
    <t>1170亿</t>
  </si>
  <si>
    <t>中国联通</t>
  </si>
  <si>
    <t>171万</t>
  </si>
  <si>
    <t xml:space="preserve"> 电信运营</t>
  </si>
  <si>
    <t>2.12万</t>
  </si>
  <si>
    <t>71.8万</t>
  </si>
  <si>
    <t>212亿</t>
  </si>
  <si>
    <t>1537亿</t>
  </si>
  <si>
    <t>中国银河</t>
  </si>
  <si>
    <t>24.4万</t>
  </si>
  <si>
    <t>3.63亿</t>
  </si>
  <si>
    <t>101亿</t>
  </si>
  <si>
    <t>1520亿</t>
  </si>
  <si>
    <t>6.00亿</t>
  </si>
  <si>
    <t>89.9亿</t>
  </si>
  <si>
    <t>中油资本</t>
  </si>
  <si>
    <t>1.33万</t>
  </si>
  <si>
    <t>2208万</t>
  </si>
  <si>
    <t xml:space="preserve"> 多元金融</t>
  </si>
  <si>
    <t>90.3亿</t>
  </si>
  <si>
    <t>1509亿</t>
  </si>
  <si>
    <t>1.15亿</t>
  </si>
  <si>
    <t>19.2亿</t>
  </si>
  <si>
    <t>招商蛇口</t>
  </si>
  <si>
    <t>2.62亿</t>
  </si>
  <si>
    <t>6.67万</t>
  </si>
  <si>
    <t>7.70万</t>
  </si>
  <si>
    <t>79.0亿</t>
  </si>
  <si>
    <t>1446亿</t>
  </si>
  <si>
    <t>19.0亿</t>
  </si>
  <si>
    <t>347亿</t>
  </si>
  <si>
    <t>广发证券</t>
  </si>
  <si>
    <t>20.3万</t>
  </si>
  <si>
    <t>3.84亿</t>
  </si>
  <si>
    <t>11.0万</t>
  </si>
  <si>
    <t>9.27万</t>
  </si>
  <si>
    <t>76.2亿</t>
  </si>
  <si>
    <t>1443亿</t>
  </si>
  <si>
    <t>59.2亿</t>
  </si>
  <si>
    <t>1121亿</t>
  </si>
  <si>
    <t>上海银行</t>
  </si>
  <si>
    <t>9191万</t>
  </si>
  <si>
    <t>3.19万</t>
  </si>
  <si>
    <t>1.95万</t>
  </si>
  <si>
    <t>78.1亿</t>
  </si>
  <si>
    <t>1396亿</t>
  </si>
  <si>
    <t>7.81亿</t>
  </si>
  <si>
    <t>140亿</t>
  </si>
  <si>
    <t>北京银行</t>
  </si>
  <si>
    <t>21.7万</t>
  </si>
  <si>
    <t>1.62亿</t>
  </si>
  <si>
    <t>-1.55万</t>
  </si>
  <si>
    <t>12.3万</t>
  </si>
  <si>
    <t>9.32万</t>
  </si>
  <si>
    <t>182亿</t>
  </si>
  <si>
    <t>1370亿</t>
  </si>
  <si>
    <t>招商证券</t>
  </si>
  <si>
    <t>25.0万</t>
  </si>
  <si>
    <t>5.08亿</t>
  </si>
  <si>
    <t>9.78万</t>
  </si>
  <si>
    <t>67.0亿</t>
  </si>
  <si>
    <t>1357亿</t>
  </si>
  <si>
    <t>49.0亿</t>
  </si>
  <si>
    <t>993亿</t>
  </si>
  <si>
    <t>苏宁云商</t>
  </si>
  <si>
    <t>119万</t>
  </si>
  <si>
    <t>1.49万</t>
  </si>
  <si>
    <t>17.3亿</t>
  </si>
  <si>
    <t xml:space="preserve"> 商业百货</t>
  </si>
  <si>
    <t>44.8万</t>
  </si>
  <si>
    <t>74.5万</t>
  </si>
  <si>
    <t>93.1亿</t>
  </si>
  <si>
    <t>1340亿</t>
  </si>
  <si>
    <t>49.9亿</t>
  </si>
  <si>
    <t>718亿</t>
  </si>
  <si>
    <t>大秦铁路</t>
  </si>
  <si>
    <t>2.92亿</t>
  </si>
  <si>
    <t>10.8万</t>
  </si>
  <si>
    <t>149亿</t>
  </si>
  <si>
    <t>1334亿</t>
  </si>
  <si>
    <t>海天味业</t>
  </si>
  <si>
    <t>1.29万</t>
  </si>
  <si>
    <t>6340万</t>
  </si>
  <si>
    <t>27.0亿</t>
  </si>
  <si>
    <t>1327亿</t>
  </si>
  <si>
    <t>1323亿</t>
  </si>
  <si>
    <t>分众传媒</t>
  </si>
  <si>
    <t>35.1万</t>
  </si>
  <si>
    <t>3.81亿</t>
  </si>
  <si>
    <t xml:space="preserve"> 电子信息</t>
  </si>
  <si>
    <t>17.8万</t>
  </si>
  <si>
    <t>122亿</t>
  </si>
  <si>
    <t>1326亿</t>
  </si>
  <si>
    <t>58.0亿</t>
  </si>
  <si>
    <t>629亿</t>
  </si>
  <si>
    <t>海螺水泥</t>
  </si>
  <si>
    <t>27.5万</t>
  </si>
  <si>
    <t>6.63亿</t>
  </si>
  <si>
    <t xml:space="preserve"> 水泥建材</t>
  </si>
  <si>
    <t>18.4万</t>
  </si>
  <si>
    <t>9.02万</t>
  </si>
  <si>
    <t>53.0亿</t>
  </si>
  <si>
    <t>1277亿</t>
  </si>
  <si>
    <t>40.0亿</t>
  </si>
  <si>
    <t>964亿</t>
  </si>
  <si>
    <t>中国国航</t>
  </si>
  <si>
    <t>9.19万</t>
  </si>
  <si>
    <t>7998万</t>
  </si>
  <si>
    <t xml:space="preserve"> 民航机场</t>
  </si>
  <si>
    <t>4.56万</t>
  </si>
  <si>
    <t>4.63万</t>
  </si>
  <si>
    <t>145亿</t>
  </si>
  <si>
    <t>1267亿</t>
  </si>
  <si>
    <t>85.2亿</t>
  </si>
  <si>
    <t>中兴通讯</t>
  </si>
  <si>
    <t>21.7亿</t>
  </si>
  <si>
    <t xml:space="preserve"> 通讯行业</t>
  </si>
  <si>
    <t>34.5万</t>
  </si>
  <si>
    <t>39.2万</t>
  </si>
  <si>
    <t>41.9亿</t>
  </si>
  <si>
    <t>1236亿</t>
  </si>
  <si>
    <t>34.3亿</t>
  </si>
  <si>
    <t>1012亿</t>
  </si>
  <si>
    <t>保利地产</t>
  </si>
  <si>
    <t>65.7万</t>
  </si>
  <si>
    <t>6.76亿</t>
  </si>
  <si>
    <t>-2.28万</t>
  </si>
  <si>
    <t>45.0万</t>
  </si>
  <si>
    <t>20.7万</t>
  </si>
  <si>
    <t>119亿</t>
  </si>
  <si>
    <t>1218亿</t>
  </si>
  <si>
    <t>1205亿</t>
  </si>
  <si>
    <t>包钢股份</t>
  </si>
  <si>
    <t>56.5万</t>
  </si>
  <si>
    <t>1.50亿</t>
  </si>
  <si>
    <t>-2.21万</t>
  </si>
  <si>
    <t>26.4万</t>
  </si>
  <si>
    <t>30.1万</t>
  </si>
  <si>
    <t>6.03万</t>
  </si>
  <si>
    <t>1.42万</t>
  </si>
  <si>
    <t>456亿</t>
  </si>
  <si>
    <t>1213亿</t>
  </si>
  <si>
    <t>586亿</t>
  </si>
  <si>
    <t>中国电建</t>
  </si>
  <si>
    <t>1.64亿</t>
  </si>
  <si>
    <t>12.7万</t>
  </si>
  <si>
    <t>7.98万</t>
  </si>
  <si>
    <t>153亿</t>
  </si>
  <si>
    <t>1212亿</t>
  </si>
  <si>
    <t>96.0亿</t>
  </si>
  <si>
    <t>760亿</t>
  </si>
  <si>
    <t>中国铝业</t>
  </si>
  <si>
    <t>----</t>
  </si>
  <si>
    <t>1206亿</t>
  </si>
  <si>
    <t>887亿</t>
  </si>
  <si>
    <t>温氏股份</t>
  </si>
  <si>
    <t>6.70万</t>
  </si>
  <si>
    <t>1.54亿</t>
  </si>
  <si>
    <t xml:space="preserve"> 农牧饲渔</t>
  </si>
  <si>
    <t>2.69万</t>
  </si>
  <si>
    <t>4.01万</t>
  </si>
  <si>
    <t>52.2亿</t>
  </si>
  <si>
    <t>35.5亿</t>
  </si>
  <si>
    <t>815亿</t>
  </si>
  <si>
    <t>华夏银行</t>
  </si>
  <si>
    <t>1.94亿</t>
  </si>
  <si>
    <t>12.9万</t>
  </si>
  <si>
    <t>7.84万</t>
  </si>
  <si>
    <t>128亿</t>
  </si>
  <si>
    <t>1199亿</t>
  </si>
  <si>
    <t>中国重工</t>
  </si>
  <si>
    <t xml:space="preserve"> 船舶制造</t>
  </si>
  <si>
    <t>1185亿</t>
  </si>
  <si>
    <t>184亿</t>
  </si>
  <si>
    <t>1140亿</t>
  </si>
  <si>
    <t>申万宏源</t>
  </si>
  <si>
    <t>1.25亿</t>
  </si>
  <si>
    <t>9.89万</t>
  </si>
  <si>
    <t>201亿</t>
  </si>
  <si>
    <t>1183亿</t>
  </si>
  <si>
    <t>74.1亿</t>
  </si>
  <si>
    <t>437亿</t>
  </si>
  <si>
    <t>中国核电</t>
  </si>
  <si>
    <t>8506万</t>
  </si>
  <si>
    <t xml:space="preserve"> 机械行业</t>
  </si>
  <si>
    <t>7.01万</t>
  </si>
  <si>
    <t>4.38万</t>
  </si>
  <si>
    <t>156亿</t>
  </si>
  <si>
    <t>1164亿</t>
  </si>
  <si>
    <t>42.3亿</t>
  </si>
  <si>
    <t>316亿</t>
  </si>
  <si>
    <t>国信证券</t>
  </si>
  <si>
    <t>4.98万</t>
  </si>
  <si>
    <t>6899万</t>
  </si>
  <si>
    <t>1.97万</t>
  </si>
  <si>
    <t>3.01万</t>
  </si>
  <si>
    <t>82.0亿</t>
  </si>
  <si>
    <t>1137亿</t>
  </si>
  <si>
    <t>22.0亿</t>
  </si>
  <si>
    <t>304亿</t>
  </si>
  <si>
    <t>万华化学</t>
  </si>
  <si>
    <t>49.8万</t>
  </si>
  <si>
    <t>20.7亿</t>
  </si>
  <si>
    <t xml:space="preserve"> 化工行业</t>
  </si>
  <si>
    <t>31.0万</t>
  </si>
  <si>
    <t>18.8万</t>
  </si>
  <si>
    <t>1133亿</t>
  </si>
  <si>
    <t>25.9亿</t>
  </si>
  <si>
    <t>1075亿</t>
  </si>
  <si>
    <t>长城汽车</t>
  </si>
  <si>
    <t>91.3亿</t>
  </si>
  <si>
    <t>1119亿</t>
  </si>
  <si>
    <t>739亿</t>
  </si>
  <si>
    <t>上海电气</t>
  </si>
  <si>
    <t>13.9万</t>
  </si>
  <si>
    <t>1.10亿</t>
  </si>
  <si>
    <t xml:space="preserve"> 输配电气</t>
  </si>
  <si>
    <t>6.73万</t>
  </si>
  <si>
    <t>7.20万</t>
  </si>
  <si>
    <t>134亿</t>
  </si>
  <si>
    <t>1066亿</t>
  </si>
  <si>
    <t>98.5亿</t>
  </si>
  <si>
    <t>782亿</t>
  </si>
  <si>
    <t>中国中冶</t>
  </si>
  <si>
    <t>22.4万</t>
  </si>
  <si>
    <t>14.2万</t>
  </si>
  <si>
    <t>8.17万</t>
  </si>
  <si>
    <t>1.19万</t>
  </si>
  <si>
    <t>207亿</t>
  </si>
  <si>
    <t>1063亿</t>
  </si>
  <si>
    <t>833亿</t>
  </si>
  <si>
    <t>华能国际</t>
  </si>
  <si>
    <t>9.21万</t>
  </si>
  <si>
    <t>6371万</t>
  </si>
  <si>
    <t>4.82万</t>
  </si>
  <si>
    <t>4.39万</t>
  </si>
  <si>
    <t>152亿</t>
  </si>
  <si>
    <t>1052亿</t>
  </si>
  <si>
    <t>105亿</t>
  </si>
  <si>
    <t>727亿</t>
  </si>
  <si>
    <t>招商地产</t>
  </si>
  <si>
    <t>25.8亿</t>
  </si>
  <si>
    <t>1043亿</t>
  </si>
  <si>
    <t>10.3亿</t>
  </si>
  <si>
    <t>416亿</t>
  </si>
  <si>
    <t>上海莱士</t>
  </si>
  <si>
    <t>4.52万</t>
  </si>
  <si>
    <t>9207万</t>
  </si>
  <si>
    <t>2.82万</t>
  </si>
  <si>
    <t>1.70万</t>
  </si>
  <si>
    <t>49.7亿</t>
  </si>
  <si>
    <t>1018亿</t>
  </si>
  <si>
    <t>44.0亿</t>
  </si>
  <si>
    <t>901亿</t>
  </si>
  <si>
    <t>康美药业</t>
  </si>
  <si>
    <t>3.07亿</t>
  </si>
  <si>
    <t>9.00万</t>
  </si>
  <si>
    <t>5.93万</t>
  </si>
  <si>
    <t>49.5亿</t>
  </si>
  <si>
    <t>1011亿</t>
  </si>
  <si>
    <t>899亿</t>
  </si>
  <si>
    <t>东方证券</t>
  </si>
  <si>
    <t>2.90亿</t>
  </si>
  <si>
    <t>9.87万</t>
  </si>
  <si>
    <t>8.13万</t>
  </si>
  <si>
    <t>62.2亿</t>
  </si>
  <si>
    <t>1000亿</t>
  </si>
  <si>
    <t>31.3亿</t>
  </si>
  <si>
    <t>503亿</t>
  </si>
  <si>
    <t>东方航空</t>
  </si>
  <si>
    <t>1.24亿</t>
  </si>
  <si>
    <t>7.13万</t>
  </si>
  <si>
    <t>977亿</t>
  </si>
  <si>
    <t>662亿</t>
  </si>
  <si>
    <t>青岛海尔</t>
  </si>
  <si>
    <t>128万</t>
  </si>
  <si>
    <t>20.4亿</t>
  </si>
  <si>
    <t>58.8万</t>
  </si>
  <si>
    <t>69.1万</t>
  </si>
  <si>
    <t>61.0亿</t>
  </si>
  <si>
    <t>971亿</t>
  </si>
  <si>
    <t>江苏银行</t>
  </si>
  <si>
    <t>1.38亿</t>
  </si>
  <si>
    <t>8.48万</t>
  </si>
  <si>
    <t>8.01万</t>
  </si>
  <si>
    <t>970亿</t>
  </si>
  <si>
    <t>57.9亿</t>
  </si>
  <si>
    <t>487亿</t>
  </si>
  <si>
    <t>云南白药</t>
  </si>
  <si>
    <t>4.25万</t>
  </si>
  <si>
    <t>2.99万</t>
  </si>
  <si>
    <t>10.4亿</t>
  </si>
  <si>
    <t>949亿</t>
  </si>
  <si>
    <t>三安光电</t>
  </si>
  <si>
    <t>6.90亿</t>
  </si>
  <si>
    <t>14.7万</t>
  </si>
  <si>
    <t>40.8亿</t>
  </si>
  <si>
    <t>930亿</t>
  </si>
  <si>
    <t>绿地控股</t>
  </si>
  <si>
    <t>29.7万</t>
  </si>
  <si>
    <t>2.27亿</t>
  </si>
  <si>
    <t>-1.92万</t>
  </si>
  <si>
    <t>17.5万</t>
  </si>
  <si>
    <t>12.2万</t>
  </si>
  <si>
    <t>928亿</t>
  </si>
  <si>
    <t>32.2亿</t>
  </si>
  <si>
    <t>246亿</t>
  </si>
  <si>
    <t>华夏幸福</t>
  </si>
  <si>
    <t>4.62亿</t>
  </si>
  <si>
    <t>7.11万</t>
  </si>
  <si>
    <t>7.75万</t>
  </si>
  <si>
    <t>29.5亿</t>
  </si>
  <si>
    <t>921亿</t>
  </si>
  <si>
    <t>复星医药</t>
  </si>
  <si>
    <t>13.3万</t>
  </si>
  <si>
    <t>4.90亿</t>
  </si>
  <si>
    <t>6.98万</t>
  </si>
  <si>
    <t>6.29万</t>
  </si>
  <si>
    <t>25.0亿</t>
  </si>
  <si>
    <t>915亿</t>
  </si>
  <si>
    <t>19.1亿</t>
  </si>
  <si>
    <t>700亿</t>
  </si>
  <si>
    <t>紫金矿业</t>
  </si>
  <si>
    <t>3.86亿</t>
  </si>
  <si>
    <t xml:space="preserve"> 贵金属</t>
  </si>
  <si>
    <t>-15.1万</t>
  </si>
  <si>
    <t>56.8万</t>
  </si>
  <si>
    <t>42.4万</t>
  </si>
  <si>
    <t>5.23万</t>
  </si>
  <si>
    <t>230亿</t>
  </si>
  <si>
    <t>898亿</t>
  </si>
  <si>
    <t>158亿</t>
  </si>
  <si>
    <t>616亿</t>
  </si>
  <si>
    <t>泸州老窖</t>
  </si>
  <si>
    <t>7.85万</t>
  </si>
  <si>
    <t>4.67亿</t>
  </si>
  <si>
    <t>4.40万</t>
  </si>
  <si>
    <t>14.6亿</t>
  </si>
  <si>
    <t>864亿</t>
  </si>
  <si>
    <t>14.0亿</t>
  </si>
  <si>
    <t>827亿</t>
  </si>
  <si>
    <t>巨人网络</t>
  </si>
  <si>
    <t>8202万</t>
  </si>
  <si>
    <t xml:space="preserve"> 文教休闲</t>
  </si>
  <si>
    <t>1.11万</t>
  </si>
  <si>
    <t>20.2亿</t>
  </si>
  <si>
    <t>856亿</t>
  </si>
  <si>
    <t>3.48亿</t>
  </si>
  <si>
    <t>147亿</t>
  </si>
  <si>
    <t>永辉超市</t>
  </si>
  <si>
    <t>69.2万</t>
  </si>
  <si>
    <t>6.05亿</t>
  </si>
  <si>
    <t>38.5万</t>
  </si>
  <si>
    <t>30.7万</t>
  </si>
  <si>
    <t>95.7亿</t>
  </si>
  <si>
    <t>842亿</t>
  </si>
  <si>
    <t>573亿</t>
  </si>
  <si>
    <t>南方航空</t>
  </si>
  <si>
    <t>22.7万</t>
  </si>
  <si>
    <t>1.86亿</t>
  </si>
  <si>
    <t>-1.06万</t>
  </si>
  <si>
    <t>9.41万</t>
  </si>
  <si>
    <t>829亿</t>
  </si>
  <si>
    <t>70.2亿</t>
  </si>
  <si>
    <t>577亿</t>
  </si>
  <si>
    <t>中煤能源</t>
  </si>
  <si>
    <t>8.61万</t>
  </si>
  <si>
    <t>5355万</t>
  </si>
  <si>
    <t>4.62万</t>
  </si>
  <si>
    <t>3.99万</t>
  </si>
  <si>
    <t>133亿</t>
  </si>
  <si>
    <t>91.5亿</t>
  </si>
  <si>
    <t>571亿</t>
  </si>
  <si>
    <t>陕西煤业</t>
  </si>
  <si>
    <t>43.8万</t>
  </si>
  <si>
    <t>3.59亿</t>
  </si>
  <si>
    <t>19.8万</t>
  </si>
  <si>
    <t>100亿</t>
  </si>
  <si>
    <t>824亿</t>
  </si>
  <si>
    <t>宁波银行</t>
  </si>
  <si>
    <t>13.8万</t>
  </si>
  <si>
    <t>2.25亿</t>
  </si>
  <si>
    <t>6.65万</t>
  </si>
  <si>
    <t>50.7亿</t>
  </si>
  <si>
    <t>821亿</t>
  </si>
  <si>
    <t>45.0亿</t>
  </si>
  <si>
    <t>729亿</t>
  </si>
  <si>
    <t>双汇发展</t>
  </si>
  <si>
    <t>3.60亿</t>
  </si>
  <si>
    <t>5.30万</t>
  </si>
  <si>
    <t>33.0亿</t>
  </si>
  <si>
    <t>810亿</t>
  </si>
  <si>
    <t>康得新</t>
  </si>
  <si>
    <t>28.9万</t>
  </si>
  <si>
    <t>6.53亿</t>
  </si>
  <si>
    <t xml:space="preserve"> 材料行业</t>
  </si>
  <si>
    <t>14.3万</t>
  </si>
  <si>
    <t>35.4亿</t>
  </si>
  <si>
    <t>804亿</t>
  </si>
  <si>
    <t>28.9亿</t>
  </si>
  <si>
    <t>657亿</t>
  </si>
  <si>
    <t>宁波港</t>
  </si>
  <si>
    <t>8818万</t>
  </si>
  <si>
    <t>9.90万</t>
  </si>
  <si>
    <t>5.00万</t>
  </si>
  <si>
    <t>132亿</t>
  </si>
  <si>
    <t>780亿</t>
  </si>
  <si>
    <t>758亿</t>
  </si>
  <si>
    <t>蓝思科技</t>
  </si>
  <si>
    <t>12.1万</t>
  </si>
  <si>
    <t>3.58亿</t>
  </si>
  <si>
    <t>4.85万</t>
  </si>
  <si>
    <t>7.23万</t>
  </si>
  <si>
    <t>26.2亿</t>
  </si>
  <si>
    <t>775亿</t>
  </si>
  <si>
    <t>4.43亿</t>
  </si>
  <si>
    <t>131亿</t>
  </si>
  <si>
    <t>上海机场</t>
  </si>
  <si>
    <t>5.15万</t>
  </si>
  <si>
    <t>2.07亿</t>
  </si>
  <si>
    <t>1.93万</t>
  </si>
  <si>
    <t>3.22万</t>
  </si>
  <si>
    <t>19.3亿</t>
  </si>
  <si>
    <t>772亿</t>
  </si>
  <si>
    <t>10.9亿</t>
  </si>
  <si>
    <t>438亿</t>
  </si>
  <si>
    <t>科大讯飞</t>
  </si>
  <si>
    <t>32.0万</t>
  </si>
  <si>
    <t>17.7亿</t>
  </si>
  <si>
    <t xml:space="preserve"> 软件服务</t>
  </si>
  <si>
    <t>18.1万</t>
  </si>
  <si>
    <t>13.9亿</t>
  </si>
  <si>
    <t>11.8亿</t>
  </si>
  <si>
    <t>654亿</t>
  </si>
  <si>
    <t>陆家嘴</t>
  </si>
  <si>
    <t>1.86万</t>
  </si>
  <si>
    <t>4229万</t>
  </si>
  <si>
    <t>33.6亿</t>
  </si>
  <si>
    <t>765亿</t>
  </si>
  <si>
    <t>24.4亿</t>
  </si>
  <si>
    <t>556亿</t>
  </si>
  <si>
    <t>大华股份</t>
  </si>
  <si>
    <t>8.59万</t>
  </si>
  <si>
    <t>8.94万</t>
  </si>
  <si>
    <t>742亿</t>
  </si>
  <si>
    <t>17.0亿</t>
  </si>
  <si>
    <t>435亿</t>
  </si>
  <si>
    <t>浙能电力</t>
  </si>
  <si>
    <t>10.7万</t>
  </si>
  <si>
    <t>5732万</t>
  </si>
  <si>
    <t>6.94万</t>
  </si>
  <si>
    <t>3.74万</t>
  </si>
  <si>
    <t>732亿</t>
  </si>
  <si>
    <t>方正证券</t>
  </si>
  <si>
    <t>1.20亿</t>
  </si>
  <si>
    <t>6.21万</t>
  </si>
  <si>
    <t>7.56万</t>
  </si>
  <si>
    <t>82.3亿</t>
  </si>
  <si>
    <t>715亿</t>
  </si>
  <si>
    <t>航发动力</t>
  </si>
  <si>
    <t>8.10万</t>
  </si>
  <si>
    <t>2.57亿</t>
  </si>
  <si>
    <t xml:space="preserve"> 航天航空</t>
  </si>
  <si>
    <t>4.84万</t>
  </si>
  <si>
    <t>3.26万</t>
  </si>
  <si>
    <t>22.5亿</t>
  </si>
  <si>
    <t>714亿</t>
  </si>
  <si>
    <t>19.5亿</t>
  </si>
  <si>
    <t>618亿</t>
  </si>
  <si>
    <t>华域汽车</t>
  </si>
  <si>
    <t>14.8万</t>
  </si>
  <si>
    <t>3.39亿</t>
  </si>
  <si>
    <t>6.83万</t>
  </si>
  <si>
    <t>31.5亿</t>
  </si>
  <si>
    <t>713亿</t>
  </si>
  <si>
    <t>28.7亿</t>
  </si>
  <si>
    <t>648亿</t>
  </si>
  <si>
    <t>光大证券</t>
  </si>
  <si>
    <t>7.86万</t>
  </si>
  <si>
    <t>1.22亿</t>
  </si>
  <si>
    <t>3.97万</t>
  </si>
  <si>
    <t>46.1亿</t>
  </si>
  <si>
    <t>39.1亿</t>
  </si>
  <si>
    <t>604亿</t>
  </si>
  <si>
    <t>中国国旅</t>
  </si>
  <si>
    <t>8.16万</t>
  </si>
  <si>
    <t>3.00亿</t>
  </si>
  <si>
    <t xml:space="preserve"> 旅游酒店</t>
  </si>
  <si>
    <t>3.58万</t>
  </si>
  <si>
    <t>4.59万</t>
  </si>
  <si>
    <t>712亿</t>
  </si>
  <si>
    <t>中远海控</t>
  </si>
  <si>
    <t>27.3万</t>
  </si>
  <si>
    <t>1.89亿</t>
  </si>
  <si>
    <t>102亿</t>
  </si>
  <si>
    <t>709亿</t>
  </si>
  <si>
    <t>76.4亿</t>
  </si>
  <si>
    <t>530亿</t>
  </si>
  <si>
    <t>华侨城Ａ</t>
  </si>
  <si>
    <t>4.38亿</t>
  </si>
  <si>
    <t>-2.13万</t>
  </si>
  <si>
    <t>17.7万</t>
  </si>
  <si>
    <t>34.1万</t>
  </si>
  <si>
    <t>82.1亿</t>
  </si>
  <si>
    <t>695亿</t>
  </si>
  <si>
    <t>61.2亿</t>
  </si>
  <si>
    <t>519亿</t>
  </si>
  <si>
    <t>浙商证券</t>
  </si>
  <si>
    <t>3.17亿</t>
  </si>
  <si>
    <t>7.99万</t>
  </si>
  <si>
    <t>7.36万</t>
  </si>
  <si>
    <t>33.3亿</t>
  </si>
  <si>
    <t>690亿</t>
  </si>
  <si>
    <t>3.33亿</t>
  </si>
  <si>
    <t>69.0亿</t>
  </si>
  <si>
    <t>长安汽车</t>
  </si>
  <si>
    <t>22.8万</t>
  </si>
  <si>
    <t>3.25亿</t>
  </si>
  <si>
    <t>14.1万</t>
  </si>
  <si>
    <t>8.65万</t>
  </si>
  <si>
    <t>48.0亿</t>
  </si>
  <si>
    <t>684亿</t>
  </si>
  <si>
    <t>37.6亿</t>
  </si>
  <si>
    <t>536亿</t>
  </si>
  <si>
    <t>南京银行</t>
  </si>
  <si>
    <t>1.69亿</t>
  </si>
  <si>
    <t>-1.11万</t>
  </si>
  <si>
    <t>10.6万</t>
  </si>
  <si>
    <t>84.8亿</t>
  </si>
  <si>
    <t>683亿</t>
  </si>
  <si>
    <t>80.7亿</t>
  </si>
  <si>
    <t>650亿</t>
  </si>
  <si>
    <t>华大基因</t>
  </si>
  <si>
    <t>2.77万</t>
  </si>
  <si>
    <t>4.75亿</t>
  </si>
  <si>
    <t>1.44万</t>
  </si>
  <si>
    <t>4.00亿</t>
  </si>
  <si>
    <t>4010万</t>
  </si>
  <si>
    <t>68.4亿</t>
  </si>
  <si>
    <t>上海石化</t>
  </si>
  <si>
    <t>8752万</t>
  </si>
  <si>
    <t>6.68万</t>
  </si>
  <si>
    <t>7.30万</t>
  </si>
  <si>
    <t>679亿</t>
  </si>
  <si>
    <t>460亿</t>
  </si>
  <si>
    <t>天齐锂业</t>
  </si>
  <si>
    <t>17.4万</t>
  </si>
  <si>
    <t>11.9亿</t>
  </si>
  <si>
    <t>7.94万</t>
  </si>
  <si>
    <t>9.51万</t>
  </si>
  <si>
    <t>9.94亿</t>
  </si>
  <si>
    <t>678亿</t>
  </si>
  <si>
    <t>9.89亿</t>
  </si>
  <si>
    <t>立讯精密</t>
  </si>
  <si>
    <t>39.5万</t>
  </si>
  <si>
    <t>8.32亿</t>
  </si>
  <si>
    <t>27.6万</t>
  </si>
  <si>
    <t>31.7亿</t>
  </si>
  <si>
    <t>676亿</t>
  </si>
  <si>
    <t>28.1亿</t>
  </si>
  <si>
    <t>599亿</t>
  </si>
  <si>
    <t>歌尔股份</t>
  </si>
  <si>
    <t>42.6万</t>
  </si>
  <si>
    <t>8.79亿</t>
  </si>
  <si>
    <t>16.6万</t>
  </si>
  <si>
    <t>32.5亿</t>
  </si>
  <si>
    <t>27.2亿</t>
  </si>
  <si>
    <t>566亿</t>
  </si>
  <si>
    <t>金隅股份</t>
  </si>
  <si>
    <t>54.7万</t>
  </si>
  <si>
    <t>3.41亿</t>
  </si>
  <si>
    <t>-2.82万</t>
  </si>
  <si>
    <t>22.1万</t>
  </si>
  <si>
    <t>107亿</t>
  </si>
  <si>
    <t>669亿</t>
  </si>
  <si>
    <t>81.5亿</t>
  </si>
  <si>
    <t>511亿</t>
  </si>
  <si>
    <t>三聚环保</t>
  </si>
  <si>
    <t>53.5万</t>
  </si>
  <si>
    <t>2.80万</t>
  </si>
  <si>
    <t>20.2万</t>
  </si>
  <si>
    <t>33.3万</t>
  </si>
  <si>
    <t>18.1亿</t>
  </si>
  <si>
    <t>13.8亿</t>
  </si>
  <si>
    <t>509亿</t>
  </si>
  <si>
    <t>上海医药</t>
  </si>
  <si>
    <t>9.95万</t>
  </si>
  <si>
    <t>2.48亿</t>
  </si>
  <si>
    <t>5.96万</t>
  </si>
  <si>
    <t>26.9亿</t>
  </si>
  <si>
    <t>668亿</t>
  </si>
  <si>
    <t>478亿</t>
  </si>
  <si>
    <t>福耀玻璃</t>
  </si>
  <si>
    <t>3.88亿</t>
  </si>
  <si>
    <t xml:space="preserve"> 玻璃陶瓷</t>
  </si>
  <si>
    <t>5.28万</t>
  </si>
  <si>
    <t>9.54万</t>
  </si>
  <si>
    <t>25.1亿</t>
  </si>
  <si>
    <t>659亿</t>
  </si>
  <si>
    <t>20.0亿</t>
  </si>
  <si>
    <t>526亿</t>
  </si>
  <si>
    <t>国电电力</t>
  </si>
  <si>
    <t>52.0万</t>
  </si>
  <si>
    <t>1.74亿</t>
  </si>
  <si>
    <t>-13.4万</t>
  </si>
  <si>
    <t>29.2万</t>
  </si>
  <si>
    <t>4.02万</t>
  </si>
  <si>
    <t>197亿</t>
  </si>
  <si>
    <t>656亿</t>
  </si>
  <si>
    <t>紫光股份</t>
  </si>
  <si>
    <t>3.25万</t>
  </si>
  <si>
    <t>2.03亿</t>
  </si>
  <si>
    <t>1.92万</t>
  </si>
  <si>
    <t>1.32万</t>
  </si>
  <si>
    <t>652亿</t>
  </si>
  <si>
    <t>2.06亿</t>
  </si>
  <si>
    <t>129亿</t>
  </si>
  <si>
    <t>江西铜业</t>
  </si>
  <si>
    <t>4.74亿</t>
  </si>
  <si>
    <t>34.6亿</t>
  </si>
  <si>
    <t>636亿</t>
  </si>
  <si>
    <t>20.8亿</t>
  </si>
  <si>
    <t>381亿</t>
  </si>
  <si>
    <t>圆通速递</t>
  </si>
  <si>
    <t>1.93亿</t>
  </si>
  <si>
    <t>4.91万</t>
  </si>
  <si>
    <t>3.70万</t>
  </si>
  <si>
    <t>7.83亿</t>
  </si>
  <si>
    <t>177亿</t>
  </si>
  <si>
    <t>潍柴动力</t>
  </si>
  <si>
    <t>145万</t>
  </si>
  <si>
    <t>1.25万</t>
  </si>
  <si>
    <t>-6.82万</t>
  </si>
  <si>
    <t>47.8万</t>
  </si>
  <si>
    <t>97.2万</t>
  </si>
  <si>
    <t>80.0亿</t>
  </si>
  <si>
    <t>43.2亿</t>
  </si>
  <si>
    <t>343亿</t>
  </si>
  <si>
    <t>赣锋锂业</t>
  </si>
  <si>
    <t>27.8万</t>
  </si>
  <si>
    <t>24.2亿</t>
  </si>
  <si>
    <t>16.3万</t>
  </si>
  <si>
    <t>7.29亿</t>
  </si>
  <si>
    <t>634亿</t>
  </si>
  <si>
    <t>5.20亿</t>
  </si>
  <si>
    <t>452亿</t>
  </si>
  <si>
    <t>韵达股份</t>
  </si>
  <si>
    <t>3.24万</t>
  </si>
  <si>
    <t>1.65亿</t>
  </si>
  <si>
    <t>1.77万</t>
  </si>
  <si>
    <t>1.47万</t>
  </si>
  <si>
    <t>12.2亿</t>
  </si>
  <si>
    <t>623亿</t>
  </si>
  <si>
    <t>9744万</t>
  </si>
  <si>
    <t>49.8亿</t>
  </si>
  <si>
    <t>兖州煤业</t>
  </si>
  <si>
    <t>1.08亿</t>
  </si>
  <si>
    <t>3.47万</t>
  </si>
  <si>
    <t>49.1亿</t>
  </si>
  <si>
    <t>29.6亿</t>
  </si>
  <si>
    <t>372亿</t>
  </si>
  <si>
    <t>乐视网</t>
  </si>
  <si>
    <t xml:space="preserve"> 文化传媒</t>
  </si>
  <si>
    <t>39.9亿</t>
  </si>
  <si>
    <t>612亿</t>
  </si>
  <si>
    <t>25.4亿</t>
  </si>
  <si>
    <t>389亿</t>
  </si>
  <si>
    <t>万达电影</t>
  </si>
  <si>
    <t>11.7亿</t>
  </si>
  <si>
    <t>611亿</t>
  </si>
  <si>
    <t>4.23亿</t>
  </si>
  <si>
    <t>安信信托</t>
  </si>
  <si>
    <t>4.36亿</t>
  </si>
  <si>
    <t>45.6亿</t>
  </si>
  <si>
    <t>610亿</t>
  </si>
  <si>
    <t>334亿</t>
  </si>
  <si>
    <t>大唐发电</t>
  </si>
  <si>
    <t>6057万</t>
  </si>
  <si>
    <t>6.13万</t>
  </si>
  <si>
    <t>607亿</t>
  </si>
  <si>
    <t>99.9亿</t>
  </si>
  <si>
    <t>欧菲光</t>
  </si>
  <si>
    <t>72.9万</t>
  </si>
  <si>
    <t>16.0亿</t>
  </si>
  <si>
    <t>50.2万</t>
  </si>
  <si>
    <t>606亿</t>
  </si>
  <si>
    <t>25.7亿</t>
  </si>
  <si>
    <t>碧水源</t>
  </si>
  <si>
    <t>81.7万</t>
  </si>
  <si>
    <t>1.40万</t>
  </si>
  <si>
    <t>15.5亿</t>
  </si>
  <si>
    <t xml:space="preserve"> 环保工程</t>
  </si>
  <si>
    <t>31.6万</t>
  </si>
  <si>
    <t>50.0万</t>
  </si>
  <si>
    <t>370亿</t>
  </si>
  <si>
    <t>三一重工</t>
  </si>
  <si>
    <t>62.9万</t>
  </si>
  <si>
    <t>4.99亿</t>
  </si>
  <si>
    <t>29.0万</t>
  </si>
  <si>
    <t>33.9万</t>
  </si>
  <si>
    <t>75.9亿</t>
  </si>
  <si>
    <t>600亿</t>
  </si>
  <si>
    <t>东方财富</t>
  </si>
  <si>
    <t>61.8万</t>
  </si>
  <si>
    <t>8.61亿</t>
  </si>
  <si>
    <t>28.6万</t>
  </si>
  <si>
    <t>33.2万</t>
  </si>
  <si>
    <t>602亿</t>
  </si>
  <si>
    <t>31.9亿</t>
  </si>
  <si>
    <t>447亿</t>
  </si>
  <si>
    <t>白银有色</t>
  </si>
  <si>
    <t>69.7亿</t>
  </si>
  <si>
    <t>597亿</t>
  </si>
  <si>
    <t>6.98亿</t>
  </si>
  <si>
    <t>广汇汽车</t>
  </si>
  <si>
    <t>7.51万</t>
  </si>
  <si>
    <t>6216万</t>
  </si>
  <si>
    <t>3.50万</t>
  </si>
  <si>
    <t>71.5亿</t>
  </si>
  <si>
    <t>592亿</t>
  </si>
  <si>
    <t>23.9亿</t>
  </si>
  <si>
    <t>198亿</t>
  </si>
  <si>
    <t>国投安信</t>
  </si>
  <si>
    <t>5.79万</t>
  </si>
  <si>
    <t>9255万</t>
  </si>
  <si>
    <t>2.85万</t>
  </si>
  <si>
    <t>2.94万</t>
  </si>
  <si>
    <t>36.9亿</t>
  </si>
  <si>
    <t>591亿</t>
  </si>
  <si>
    <t>19.6亿</t>
  </si>
  <si>
    <t>314亿</t>
  </si>
  <si>
    <t>山东黄金</t>
  </si>
  <si>
    <t>7.65万</t>
  </si>
  <si>
    <t>2.38亿</t>
  </si>
  <si>
    <t>4.69万</t>
  </si>
  <si>
    <t>2.96万</t>
  </si>
  <si>
    <t>18.6亿</t>
  </si>
  <si>
    <t>579亿</t>
  </si>
  <si>
    <t>14.2亿</t>
  </si>
  <si>
    <t>444亿</t>
  </si>
  <si>
    <t>海航基础</t>
  </si>
  <si>
    <t>5.91万</t>
  </si>
  <si>
    <t>8735万</t>
  </si>
  <si>
    <t>2.66万</t>
  </si>
  <si>
    <t>578亿</t>
  </si>
  <si>
    <t>62.5亿</t>
  </si>
  <si>
    <t>隆基股份</t>
  </si>
  <si>
    <t>18.6万</t>
  </si>
  <si>
    <t>5.30亿</t>
  </si>
  <si>
    <t>9.52万</t>
  </si>
  <si>
    <t>9.11万</t>
  </si>
  <si>
    <t>569亿</t>
  </si>
  <si>
    <t>19.7亿</t>
  </si>
  <si>
    <t>560亿</t>
  </si>
  <si>
    <t>东方园林</t>
  </si>
  <si>
    <t>25.5万</t>
  </si>
  <si>
    <t>5.31亿</t>
  </si>
  <si>
    <t xml:space="preserve"> 园林工程</t>
  </si>
  <si>
    <t>10.2万</t>
  </si>
  <si>
    <t>26.8亿</t>
  </si>
  <si>
    <t>567亿</t>
  </si>
  <si>
    <t>15.2亿</t>
  </si>
  <si>
    <t>322亿</t>
  </si>
  <si>
    <t>中集集团</t>
  </si>
  <si>
    <t>1.71亿</t>
  </si>
  <si>
    <t xml:space="preserve"> 金属制品</t>
  </si>
  <si>
    <t>4.99万</t>
  </si>
  <si>
    <t>29.8亿</t>
  </si>
  <si>
    <t>565亿</t>
  </si>
  <si>
    <t>240亿</t>
  </si>
  <si>
    <t>西部证券</t>
  </si>
  <si>
    <t>38.6万</t>
  </si>
  <si>
    <t>6.17亿</t>
  </si>
  <si>
    <t>13.7万</t>
  </si>
  <si>
    <t>24.8万</t>
  </si>
  <si>
    <t>35.0亿</t>
  </si>
  <si>
    <t>563亿</t>
  </si>
  <si>
    <t>兴业证券</t>
  </si>
  <si>
    <t>11.6万</t>
  </si>
  <si>
    <t>562亿</t>
  </si>
  <si>
    <t>北方稀土</t>
  </si>
  <si>
    <t>52.9万</t>
  </si>
  <si>
    <t>8.09亿</t>
  </si>
  <si>
    <t>28.3万</t>
  </si>
  <si>
    <t>24.6万</t>
  </si>
  <si>
    <t>36.3亿</t>
  </si>
  <si>
    <t>555亿</t>
  </si>
  <si>
    <t>宇通客车</t>
  </si>
  <si>
    <t>8.95万</t>
  </si>
  <si>
    <t>5.06万</t>
  </si>
  <si>
    <t>22.1亿</t>
  </si>
  <si>
    <t>552亿</t>
  </si>
  <si>
    <t>474亿</t>
  </si>
  <si>
    <t>东旭光电</t>
  </si>
  <si>
    <t>77.3万</t>
  </si>
  <si>
    <t>1.22万</t>
  </si>
  <si>
    <t>8.63亿</t>
  </si>
  <si>
    <t>42.5万</t>
  </si>
  <si>
    <t>34.8万</t>
  </si>
  <si>
    <t>49.4亿</t>
  </si>
  <si>
    <t>551亿</t>
  </si>
  <si>
    <t>40.9亿</t>
  </si>
  <si>
    <t>457亿</t>
  </si>
  <si>
    <t>海航控股</t>
  </si>
  <si>
    <t>7947万</t>
  </si>
  <si>
    <t>-7.46万</t>
  </si>
  <si>
    <t>10.5万</t>
  </si>
  <si>
    <t>4.06万</t>
  </si>
  <si>
    <t>168亿</t>
  </si>
  <si>
    <t>164亿</t>
  </si>
  <si>
    <t>539亿</t>
  </si>
  <si>
    <t>东方明珠</t>
  </si>
  <si>
    <t>2.83万</t>
  </si>
  <si>
    <t>5886万</t>
  </si>
  <si>
    <t>1.62万</t>
  </si>
  <si>
    <t>26.4亿</t>
  </si>
  <si>
    <t>548亿</t>
  </si>
  <si>
    <t>333亿</t>
  </si>
  <si>
    <t>中海油服</t>
  </si>
  <si>
    <t>5.99万</t>
  </si>
  <si>
    <t>6835万</t>
  </si>
  <si>
    <t>2.48万</t>
  </si>
  <si>
    <t>3.51万</t>
  </si>
  <si>
    <t>47.7亿</t>
  </si>
  <si>
    <t>547亿</t>
  </si>
  <si>
    <t>中航飞机</t>
  </si>
  <si>
    <t>29.1万</t>
  </si>
  <si>
    <t>5.72亿</t>
  </si>
  <si>
    <t>27.7亿</t>
  </si>
  <si>
    <t>长江证券</t>
  </si>
  <si>
    <t>6.59万</t>
  </si>
  <si>
    <t>55.3亿</t>
  </si>
  <si>
    <t>542亿</t>
  </si>
  <si>
    <t>中航资本</t>
  </si>
  <si>
    <t>19.4万</t>
  </si>
  <si>
    <t>-2.34万</t>
  </si>
  <si>
    <t>8.76万</t>
  </si>
  <si>
    <t>89.8亿</t>
  </si>
  <si>
    <t>531亿</t>
  </si>
  <si>
    <t>451亿</t>
  </si>
  <si>
    <t>传化智联</t>
  </si>
  <si>
    <t>9.45万</t>
  </si>
  <si>
    <t>1.49亿</t>
  </si>
  <si>
    <t>3.91万</t>
  </si>
  <si>
    <t>5.54万</t>
  </si>
  <si>
    <t>32.6亿</t>
  </si>
  <si>
    <t>4.13亿</t>
  </si>
  <si>
    <t>66.7亿</t>
  </si>
  <si>
    <t>金地集团</t>
  </si>
  <si>
    <t>9.26万</t>
  </si>
  <si>
    <t>1.07亿</t>
  </si>
  <si>
    <t>4.54万</t>
  </si>
  <si>
    <t>45.1亿</t>
  </si>
  <si>
    <t>524亿</t>
  </si>
  <si>
    <t>华东医药</t>
  </si>
  <si>
    <t>5.34万</t>
  </si>
  <si>
    <t>2.82亿</t>
  </si>
  <si>
    <t>3.07万</t>
  </si>
  <si>
    <t>9.72亿</t>
  </si>
  <si>
    <t>520亿</t>
  </si>
  <si>
    <t>8.68亿</t>
  </si>
  <si>
    <t>464亿</t>
  </si>
  <si>
    <t>国投电力</t>
  </si>
  <si>
    <t>-2.31万</t>
  </si>
  <si>
    <t>5.87万</t>
  </si>
  <si>
    <t>8.30万</t>
  </si>
  <si>
    <t>67.9亿</t>
  </si>
  <si>
    <t>514亿</t>
  </si>
  <si>
    <t>三七互娱</t>
  </si>
  <si>
    <t>1.48亿</t>
  </si>
  <si>
    <t>3.72万</t>
  </si>
  <si>
    <t>21.5亿</t>
  </si>
  <si>
    <t>513亿</t>
  </si>
  <si>
    <t>6.23亿</t>
  </si>
  <si>
    <t>杭州银行</t>
  </si>
  <si>
    <t>6093万</t>
  </si>
  <si>
    <t>1.83万</t>
  </si>
  <si>
    <t>2.54万</t>
  </si>
  <si>
    <t>36.6亿</t>
  </si>
  <si>
    <t>3.66亿</t>
  </si>
  <si>
    <t>51.1亿</t>
  </si>
  <si>
    <t>宁沪高速</t>
  </si>
  <si>
    <t>4.22万</t>
  </si>
  <si>
    <t>4252万</t>
  </si>
  <si>
    <t xml:space="preserve"> 高速公路</t>
  </si>
  <si>
    <t>1.72万</t>
  </si>
  <si>
    <t>50.4亿</t>
  </si>
  <si>
    <t>384亿</t>
  </si>
  <si>
    <t>正泰电器</t>
  </si>
  <si>
    <t>10.00万</t>
  </si>
  <si>
    <t>2.34亿</t>
  </si>
  <si>
    <t>4.76万</t>
  </si>
  <si>
    <t>5.24万</t>
  </si>
  <si>
    <t>501亿</t>
  </si>
  <si>
    <t>13.2亿</t>
  </si>
  <si>
    <t>308亿</t>
  </si>
  <si>
    <t>方大炭素</t>
  </si>
  <si>
    <t>67.1万</t>
  </si>
  <si>
    <t>18.7亿</t>
  </si>
  <si>
    <t>35.5万</t>
  </si>
  <si>
    <t>31.5万</t>
  </si>
  <si>
    <t>17.9亿</t>
  </si>
  <si>
    <t>498亿</t>
  </si>
  <si>
    <t>17.2亿</t>
  </si>
  <si>
    <t>479亿</t>
  </si>
  <si>
    <t>汇川技术</t>
  </si>
  <si>
    <t>6.30万</t>
  </si>
  <si>
    <t>1.88亿</t>
  </si>
  <si>
    <t xml:space="preserve"> 仪器仪表</t>
  </si>
  <si>
    <t>3.69万</t>
  </si>
  <si>
    <t>2.61万</t>
  </si>
  <si>
    <t>16.7亿</t>
  </si>
  <si>
    <t>12.8亿</t>
  </si>
  <si>
    <t>382亿</t>
  </si>
  <si>
    <t>东兴证券</t>
  </si>
  <si>
    <t>4.70万</t>
  </si>
  <si>
    <t>8418万</t>
  </si>
  <si>
    <t>2.01万</t>
  </si>
  <si>
    <t>27.6亿</t>
  </si>
  <si>
    <t>493亿</t>
  </si>
  <si>
    <t>10.0亿</t>
  </si>
  <si>
    <t>180亿</t>
  </si>
  <si>
    <t>葛洲坝</t>
  </si>
  <si>
    <t>39.9万</t>
  </si>
  <si>
    <t>-1.44万</t>
  </si>
  <si>
    <t>22.6万</t>
  </si>
  <si>
    <t>17.2万</t>
  </si>
  <si>
    <t>46.0亿</t>
  </si>
  <si>
    <t>491亿</t>
  </si>
  <si>
    <t>五矿资本</t>
  </si>
  <si>
    <t>37.5亿</t>
  </si>
  <si>
    <t>4.51亿</t>
  </si>
  <si>
    <t>59.1亿</t>
  </si>
  <si>
    <t>华友钴业</t>
  </si>
  <si>
    <t>9.45亿</t>
  </si>
  <si>
    <t>5.66万</t>
  </si>
  <si>
    <t>5.93亿</t>
  </si>
  <si>
    <t>490亿</t>
  </si>
  <si>
    <t>224亿</t>
  </si>
  <si>
    <t>金风科技</t>
  </si>
  <si>
    <t>2.02亿</t>
  </si>
  <si>
    <t>6.11万</t>
  </si>
  <si>
    <t>35.6亿</t>
  </si>
  <si>
    <t>486亿</t>
  </si>
  <si>
    <t>28.0亿</t>
  </si>
  <si>
    <t>383亿</t>
  </si>
  <si>
    <t>步长制药</t>
  </si>
  <si>
    <t>1.10万</t>
  </si>
  <si>
    <t>6.82亿</t>
  </si>
  <si>
    <t>484亿</t>
  </si>
  <si>
    <t>6980万</t>
  </si>
  <si>
    <t>鞍钢股份</t>
  </si>
  <si>
    <t>2.19万</t>
  </si>
  <si>
    <t>3.30亿</t>
  </si>
  <si>
    <t>-3.30万</t>
  </si>
  <si>
    <t>21.9万</t>
  </si>
  <si>
    <t>2.14万</t>
  </si>
  <si>
    <t>72.3亿</t>
  </si>
  <si>
    <t>482亿</t>
  </si>
  <si>
    <t>61.5亿</t>
  </si>
  <si>
    <t>410亿</t>
  </si>
  <si>
    <t>大族激光</t>
  </si>
  <si>
    <t>8.11亿</t>
  </si>
  <si>
    <t>8.22万</t>
  </si>
  <si>
    <t>9.76万</t>
  </si>
  <si>
    <t>10.7亿</t>
  </si>
  <si>
    <t>9.92亿</t>
  </si>
  <si>
    <t>445亿</t>
  </si>
  <si>
    <t>亨通光电</t>
  </si>
  <si>
    <t>33.5万</t>
  </si>
  <si>
    <t>13.6亿</t>
  </si>
  <si>
    <t>山西汾酒</t>
  </si>
  <si>
    <t>4.12亿</t>
  </si>
  <si>
    <t>4.53万</t>
  </si>
  <si>
    <t>8.66亿</t>
  </si>
  <si>
    <t>477亿</t>
  </si>
  <si>
    <t>海澜之家</t>
  </si>
  <si>
    <t>9.58万</t>
  </si>
  <si>
    <t>1.01亿</t>
  </si>
  <si>
    <t xml:space="preserve"> 纺织服装</t>
  </si>
  <si>
    <t>5.53万</t>
  </si>
  <si>
    <t>4.04万</t>
  </si>
  <si>
    <t>44.9亿</t>
  </si>
  <si>
    <t>秦港股份</t>
  </si>
  <si>
    <t>10.3万</t>
  </si>
  <si>
    <t>55.9亿</t>
  </si>
  <si>
    <t>5.58亿</t>
  </si>
  <si>
    <t>47.4亿</t>
  </si>
  <si>
    <t>河钢股份</t>
  </si>
  <si>
    <t>110万</t>
  </si>
  <si>
    <t>2.07万</t>
  </si>
  <si>
    <t>4.86亿</t>
  </si>
  <si>
    <t>-4.29万</t>
  </si>
  <si>
    <t>49.6万</t>
  </si>
  <si>
    <t>60.7万</t>
  </si>
  <si>
    <t>106亿</t>
  </si>
  <si>
    <t>470亿</t>
  </si>
  <si>
    <t>白云山</t>
  </si>
  <si>
    <t>9.39万</t>
  </si>
  <si>
    <t>2.73亿</t>
  </si>
  <si>
    <t>16.3亿</t>
  </si>
  <si>
    <t>469亿</t>
  </si>
  <si>
    <t>309亿</t>
  </si>
  <si>
    <t>欧派家居</t>
  </si>
  <si>
    <t>8276万</t>
  </si>
  <si>
    <t xml:space="preserve"> 木业家具</t>
  </si>
  <si>
    <t>4.21亿</t>
  </si>
  <si>
    <t>465亿</t>
  </si>
  <si>
    <t>4151万</t>
  </si>
  <si>
    <t>45.9亿</t>
  </si>
  <si>
    <t>盐湖股份</t>
  </si>
  <si>
    <t>94.5万</t>
  </si>
  <si>
    <t>2.58万</t>
  </si>
  <si>
    <t>15.9亿</t>
  </si>
  <si>
    <t>49.1万</t>
  </si>
  <si>
    <t>27.9亿</t>
  </si>
  <si>
    <t>27.5亿</t>
  </si>
  <si>
    <t>458亿</t>
  </si>
  <si>
    <t>光启技术</t>
  </si>
  <si>
    <t>12.7亿</t>
  </si>
  <si>
    <t>461亿</t>
  </si>
  <si>
    <t>2.00亿</t>
  </si>
  <si>
    <t>72.9亿</t>
  </si>
  <si>
    <t>TCL 集团</t>
  </si>
  <si>
    <t>181万</t>
  </si>
  <si>
    <t>4.17万</t>
  </si>
  <si>
    <t>6.72亿</t>
  </si>
  <si>
    <t>-8.17万</t>
  </si>
  <si>
    <t>72.3万</t>
  </si>
  <si>
    <t>1.78万</t>
  </si>
  <si>
    <t>4.35万</t>
  </si>
  <si>
    <t>459亿</t>
  </si>
  <si>
    <t>90.0亿</t>
  </si>
  <si>
    <t>338亿</t>
  </si>
  <si>
    <t>第一创业</t>
  </si>
  <si>
    <t>150万</t>
  </si>
  <si>
    <t>2.95万</t>
  </si>
  <si>
    <t>19.4亿</t>
  </si>
  <si>
    <t>69.7万</t>
  </si>
  <si>
    <t>80.8万</t>
  </si>
  <si>
    <t>1.88万</t>
  </si>
  <si>
    <t>251亿</t>
  </si>
  <si>
    <t>完美世界</t>
  </si>
  <si>
    <t>4.13万</t>
  </si>
  <si>
    <t>1.56万</t>
  </si>
  <si>
    <t>2.57万</t>
  </si>
  <si>
    <t>13.1亿</t>
  </si>
  <si>
    <t>455亿</t>
  </si>
  <si>
    <t>3.36亿</t>
  </si>
  <si>
    <t>116亿</t>
  </si>
  <si>
    <t>信维通信</t>
  </si>
  <si>
    <t>8.67亿</t>
  </si>
  <si>
    <t>7.12万</t>
  </si>
  <si>
    <t>9.83亿</t>
  </si>
  <si>
    <t>454亿</t>
  </si>
  <si>
    <t>7.45亿</t>
  </si>
  <si>
    <t>344亿</t>
  </si>
  <si>
    <t>中远海发</t>
  </si>
  <si>
    <t>7.63万</t>
  </si>
  <si>
    <t>2931万</t>
  </si>
  <si>
    <t>4.47万</t>
  </si>
  <si>
    <t>3.16万</t>
  </si>
  <si>
    <t>450亿</t>
  </si>
  <si>
    <t>79.3亿</t>
  </si>
  <si>
    <t>305亿</t>
  </si>
  <si>
    <t>智飞生物</t>
  </si>
  <si>
    <t>6.08万</t>
  </si>
  <si>
    <t>1.72亿</t>
  </si>
  <si>
    <t>3.33万</t>
  </si>
  <si>
    <t>2.76万</t>
  </si>
  <si>
    <t>449亿</t>
  </si>
  <si>
    <t>8.69亿</t>
  </si>
  <si>
    <t>244亿</t>
  </si>
  <si>
    <t>中国动力</t>
  </si>
  <si>
    <t>2.10亿</t>
  </si>
  <si>
    <t>3.88万</t>
  </si>
  <si>
    <t>17.4亿</t>
  </si>
  <si>
    <t>448亿</t>
  </si>
  <si>
    <t>9.09亿</t>
  </si>
  <si>
    <t>234亿</t>
  </si>
  <si>
    <t>老板电器</t>
  </si>
  <si>
    <t>7.93万</t>
  </si>
  <si>
    <t>3.72亿</t>
  </si>
  <si>
    <t>4.23万</t>
  </si>
  <si>
    <t>9.30亿</t>
  </si>
  <si>
    <t>439亿</t>
  </si>
  <si>
    <t>美年健康</t>
  </si>
  <si>
    <t>6.64万</t>
  </si>
  <si>
    <t xml:space="preserve"> 医疗行业</t>
  </si>
  <si>
    <t>3.87万</t>
  </si>
  <si>
    <t>10.6亿</t>
  </si>
  <si>
    <t>196亿</t>
  </si>
  <si>
    <t>永泰能源</t>
  </si>
  <si>
    <t>6.56万</t>
  </si>
  <si>
    <t>2356万</t>
  </si>
  <si>
    <t>-2.16万</t>
  </si>
  <si>
    <t>4.44万</t>
  </si>
  <si>
    <t>124亿</t>
  </si>
  <si>
    <t>58.3亿</t>
  </si>
  <si>
    <t>210亿</t>
  </si>
  <si>
    <t>同仁堂</t>
  </si>
  <si>
    <t>2.24万</t>
  </si>
  <si>
    <t>13.7亿</t>
  </si>
  <si>
    <t>牧原股份</t>
  </si>
  <si>
    <t>7.95万</t>
  </si>
  <si>
    <t>3.08亿</t>
  </si>
  <si>
    <t>4.58万</t>
  </si>
  <si>
    <t>3.37万</t>
  </si>
  <si>
    <t>11.6亿</t>
  </si>
  <si>
    <t>6.02亿</t>
  </si>
  <si>
    <t>石化油服</t>
  </si>
  <si>
    <t>5767万</t>
  </si>
  <si>
    <t>1.73万</t>
  </si>
  <si>
    <t>7.22万</t>
  </si>
  <si>
    <t>1.66万</t>
  </si>
  <si>
    <t>1.37万</t>
  </si>
  <si>
    <t>141亿</t>
  </si>
  <si>
    <t>88.8亿</t>
  </si>
  <si>
    <t>青岛啤酒</t>
  </si>
  <si>
    <t>14.5万</t>
  </si>
  <si>
    <t>4.78亿</t>
  </si>
  <si>
    <t>7.15万</t>
  </si>
  <si>
    <t>7.38万</t>
  </si>
  <si>
    <t>13.5亿</t>
  </si>
  <si>
    <t>6.96亿</t>
  </si>
  <si>
    <t>华电国际</t>
  </si>
  <si>
    <t>6.84万</t>
  </si>
  <si>
    <t>3012万</t>
  </si>
  <si>
    <t>-1.36万</t>
  </si>
  <si>
    <t>5.43万</t>
  </si>
  <si>
    <t>98.6亿</t>
  </si>
  <si>
    <t>434亿</t>
  </si>
  <si>
    <t>67.8亿</t>
  </si>
  <si>
    <t>299亿</t>
  </si>
  <si>
    <t>东阿阿胶</t>
  </si>
  <si>
    <t>7.55万</t>
  </si>
  <si>
    <t>5.00亿</t>
  </si>
  <si>
    <t>4.46万</t>
  </si>
  <si>
    <t>3.08万</t>
  </si>
  <si>
    <t>6.54亿</t>
  </si>
  <si>
    <t>432亿</t>
  </si>
  <si>
    <t>汇顶科技</t>
  </si>
  <si>
    <t>1.18亿</t>
  </si>
  <si>
    <t>4.54亿</t>
  </si>
  <si>
    <t>430亿</t>
  </si>
  <si>
    <t>4500万</t>
  </si>
  <si>
    <t>42.6亿</t>
  </si>
  <si>
    <t>中信国安</t>
  </si>
  <si>
    <t>46.0万</t>
  </si>
  <si>
    <t>5.03亿</t>
  </si>
  <si>
    <t>22.9万</t>
  </si>
  <si>
    <t>23.2万</t>
  </si>
  <si>
    <t>39.2亿</t>
  </si>
  <si>
    <t>南京新百</t>
  </si>
  <si>
    <t>429亿</t>
  </si>
  <si>
    <t>7.26亿</t>
  </si>
  <si>
    <t>280亿</t>
  </si>
  <si>
    <t>申通快递</t>
  </si>
  <si>
    <t>2.87亿</t>
  </si>
  <si>
    <t>4.71万</t>
  </si>
  <si>
    <t>3.32亿</t>
  </si>
  <si>
    <t>92.9亿</t>
  </si>
  <si>
    <t>广州港</t>
  </si>
  <si>
    <t>12.4万</t>
  </si>
  <si>
    <t>8534万</t>
  </si>
  <si>
    <t>6.07万</t>
  </si>
  <si>
    <t>6.31万</t>
  </si>
  <si>
    <t>61.9亿</t>
  </si>
  <si>
    <t>6.99亿</t>
  </si>
  <si>
    <t>48.3亿</t>
  </si>
  <si>
    <t>君正集团</t>
  </si>
  <si>
    <t>1.06亿</t>
  </si>
  <si>
    <t>84.4亿</t>
  </si>
  <si>
    <t>427亿</t>
  </si>
  <si>
    <t>三环集团</t>
  </si>
  <si>
    <t>9.49万</t>
  </si>
  <si>
    <t>2.32亿</t>
  </si>
  <si>
    <t>5.59万</t>
  </si>
  <si>
    <t>243亿</t>
  </si>
  <si>
    <t>信威集团</t>
  </si>
  <si>
    <t>29.2亿</t>
  </si>
  <si>
    <t>238亿</t>
  </si>
  <si>
    <t>川投能源</t>
  </si>
  <si>
    <t>5746万</t>
  </si>
  <si>
    <t>-1.04万</t>
  </si>
  <si>
    <t>3.55万</t>
  </si>
  <si>
    <t>2.39万</t>
  </si>
  <si>
    <t>424亿</t>
  </si>
  <si>
    <t>泛海控股</t>
  </si>
  <si>
    <t>1.98万</t>
  </si>
  <si>
    <t>1611万</t>
  </si>
  <si>
    <t>52.0亿</t>
  </si>
  <si>
    <t>50.9亿</t>
  </si>
  <si>
    <t>415亿</t>
  </si>
  <si>
    <t>江苏有线</t>
  </si>
  <si>
    <t>9.30万</t>
  </si>
  <si>
    <t>5.40万</t>
  </si>
  <si>
    <t>3.90万</t>
  </si>
  <si>
    <t>38.8亿</t>
  </si>
  <si>
    <t>421亿</t>
  </si>
  <si>
    <t>151亿</t>
  </si>
  <si>
    <t>荣盛发展</t>
  </si>
  <si>
    <t>2.19亿</t>
  </si>
  <si>
    <t>-1.58万</t>
  </si>
  <si>
    <t>11.7万</t>
  </si>
  <si>
    <t>43.5亿</t>
  </si>
  <si>
    <t>418亿</t>
  </si>
  <si>
    <t>38.9亿</t>
  </si>
  <si>
    <t>374亿</t>
  </si>
  <si>
    <t>文投控股</t>
  </si>
  <si>
    <t>18.5亿</t>
  </si>
  <si>
    <t>417亿</t>
  </si>
  <si>
    <t>4.49亿</t>
  </si>
  <si>
    <t>中天科技</t>
  </si>
  <si>
    <t>31.4万</t>
  </si>
  <si>
    <t>37.6万</t>
  </si>
  <si>
    <t>30.7亿</t>
  </si>
  <si>
    <t>22.8亿</t>
  </si>
  <si>
    <t>必康股份</t>
  </si>
  <si>
    <t>1.60万</t>
  </si>
  <si>
    <t>4307万</t>
  </si>
  <si>
    <t>1.01万</t>
  </si>
  <si>
    <t>414亿</t>
  </si>
  <si>
    <t>77.5亿</t>
  </si>
  <si>
    <t>渤海金控</t>
  </si>
  <si>
    <t>9.86万</t>
  </si>
  <si>
    <t>6537万</t>
  </si>
  <si>
    <t>6.05万</t>
  </si>
  <si>
    <t>3.82万</t>
  </si>
  <si>
    <t>61.8亿</t>
  </si>
  <si>
    <t>411亿</t>
  </si>
  <si>
    <t>国元证券</t>
  </si>
  <si>
    <t>3.04亿</t>
  </si>
  <si>
    <t>国电南瑞</t>
  </si>
  <si>
    <t>5.85万</t>
  </si>
  <si>
    <t>5.38万</t>
  </si>
  <si>
    <t>24.3亿</t>
  </si>
  <si>
    <t>404亿</t>
  </si>
  <si>
    <t>367亿</t>
  </si>
  <si>
    <t>爱尔眼科</t>
  </si>
  <si>
    <t>2.63万</t>
  </si>
  <si>
    <t>2.71万</t>
  </si>
  <si>
    <t>403亿</t>
  </si>
  <si>
    <t>317亿</t>
  </si>
  <si>
    <t>乐普医疗</t>
  </si>
  <si>
    <t>7.92万</t>
  </si>
  <si>
    <t>1.78亿</t>
  </si>
  <si>
    <t>4.29万</t>
  </si>
  <si>
    <t>3.63万</t>
  </si>
  <si>
    <t>17.8亿</t>
  </si>
  <si>
    <t>401亿</t>
  </si>
  <si>
    <t>14.1亿</t>
  </si>
  <si>
    <t>新城控股</t>
  </si>
  <si>
    <t>5.90万</t>
  </si>
  <si>
    <t>1.04亿</t>
  </si>
  <si>
    <t>3.71万</t>
  </si>
  <si>
    <t>22.6亿</t>
  </si>
  <si>
    <t>397亿</t>
  </si>
  <si>
    <t>7.05亿</t>
  </si>
  <si>
    <t>天士力</t>
  </si>
  <si>
    <t>2.09万</t>
  </si>
  <si>
    <t>7550万</t>
  </si>
  <si>
    <t>1.30万</t>
  </si>
  <si>
    <t>390亿</t>
  </si>
  <si>
    <t>373亿</t>
  </si>
  <si>
    <t>万丰奥威</t>
  </si>
  <si>
    <t>5.32万</t>
  </si>
  <si>
    <t>9493万</t>
  </si>
  <si>
    <t>1.45万</t>
  </si>
  <si>
    <t>21.9亿</t>
  </si>
  <si>
    <t>21.1亿</t>
  </si>
  <si>
    <t>377亿</t>
  </si>
  <si>
    <t>天茂集团</t>
  </si>
  <si>
    <t>9711万</t>
  </si>
  <si>
    <t>6.51万</t>
  </si>
  <si>
    <t>4.15万</t>
  </si>
  <si>
    <t>387亿</t>
  </si>
  <si>
    <t>123亿</t>
  </si>
  <si>
    <t>中油工程</t>
  </si>
  <si>
    <t>3.76万</t>
  </si>
  <si>
    <t>2592万</t>
  </si>
  <si>
    <t>2.23万</t>
  </si>
  <si>
    <t>55.8亿</t>
  </si>
  <si>
    <t>5.78亿</t>
  </si>
  <si>
    <t>40.1亿</t>
  </si>
  <si>
    <t>华安证券</t>
  </si>
  <si>
    <t>1.57亿</t>
  </si>
  <si>
    <t>6.78万</t>
  </si>
  <si>
    <t>36.2亿</t>
  </si>
  <si>
    <t>386亿</t>
  </si>
  <si>
    <t>8.00亿</t>
  </si>
  <si>
    <t>85.3亿</t>
  </si>
  <si>
    <t>小商品城</t>
  </si>
  <si>
    <t>1.36亿</t>
  </si>
  <si>
    <t>385亿</t>
  </si>
  <si>
    <t>龙蟒佰利</t>
  </si>
  <si>
    <t>7.07万</t>
  </si>
  <si>
    <t>20.3亿</t>
  </si>
  <si>
    <t>127亿</t>
  </si>
  <si>
    <t>启迪桑德</t>
  </si>
  <si>
    <t>7.60亿</t>
  </si>
  <si>
    <t>8.49万</t>
  </si>
  <si>
    <t>10.2亿</t>
  </si>
  <si>
    <t>8.47亿</t>
  </si>
  <si>
    <t>通威股份</t>
  </si>
  <si>
    <t>26.5万</t>
  </si>
  <si>
    <t>2.61亿</t>
  </si>
  <si>
    <t>13.6万</t>
  </si>
  <si>
    <t>12.8万</t>
  </si>
  <si>
    <t>380亿</t>
  </si>
  <si>
    <t>通化东宝</t>
  </si>
  <si>
    <t>19.1万</t>
  </si>
  <si>
    <t>6.87万</t>
  </si>
  <si>
    <t>17.1亿</t>
  </si>
  <si>
    <t>16.4亿</t>
  </si>
  <si>
    <t>大连港</t>
  </si>
  <si>
    <t>13.1万</t>
  </si>
  <si>
    <t>3835万</t>
  </si>
  <si>
    <t>-5.71万</t>
  </si>
  <si>
    <t>6.50万</t>
  </si>
  <si>
    <t>6.60万</t>
  </si>
  <si>
    <t>1.07万</t>
  </si>
  <si>
    <t>3.85万</t>
  </si>
  <si>
    <t>379亿</t>
  </si>
  <si>
    <t>77.4亿</t>
  </si>
  <si>
    <t>227亿</t>
  </si>
  <si>
    <t>康弘药业</t>
  </si>
  <si>
    <t>5047万</t>
  </si>
  <si>
    <t>6.75亿</t>
  </si>
  <si>
    <t>7047万</t>
  </si>
  <si>
    <t>39.5亿</t>
  </si>
  <si>
    <t>荣盛石化</t>
  </si>
  <si>
    <t>2.72万</t>
  </si>
  <si>
    <t>2688万</t>
  </si>
  <si>
    <t xml:space="preserve"> 化纤行业</t>
  </si>
  <si>
    <t>1.27万</t>
  </si>
  <si>
    <t>38.2亿</t>
  </si>
  <si>
    <t>378亿</t>
  </si>
  <si>
    <t>34.2亿</t>
  </si>
  <si>
    <t>江苏国信</t>
  </si>
  <si>
    <t>4207万</t>
  </si>
  <si>
    <t>2.18万</t>
  </si>
  <si>
    <t>5.26亿</t>
  </si>
  <si>
    <t>60.9亿</t>
  </si>
  <si>
    <t>中船防务</t>
  </si>
  <si>
    <t>5.49亿</t>
  </si>
  <si>
    <t>146亿</t>
  </si>
  <si>
    <t>特变电工</t>
  </si>
  <si>
    <t>2.28亿</t>
  </si>
  <si>
    <t>-1.64万</t>
  </si>
  <si>
    <t>10.1万</t>
  </si>
  <si>
    <t>37.2亿</t>
  </si>
  <si>
    <t>376亿</t>
  </si>
  <si>
    <t>37.1亿</t>
  </si>
  <si>
    <t>索菲亚</t>
  </si>
  <si>
    <t>3.96万</t>
  </si>
  <si>
    <t>1.59亿</t>
  </si>
  <si>
    <t>1.35万</t>
  </si>
  <si>
    <t>9.23亿</t>
  </si>
  <si>
    <t>6.20亿</t>
  </si>
  <si>
    <t>际华集团</t>
  </si>
  <si>
    <t>7.81万</t>
  </si>
  <si>
    <t>6625万</t>
  </si>
  <si>
    <t>2.86万</t>
  </si>
  <si>
    <t>43.9亿</t>
  </si>
  <si>
    <t>38.6亿</t>
  </si>
  <si>
    <t>327亿</t>
  </si>
  <si>
    <t>新湖中宝</t>
  </si>
  <si>
    <t>8624万</t>
  </si>
  <si>
    <t>-1.02万</t>
  </si>
  <si>
    <t>13.4万</t>
  </si>
  <si>
    <t>6.66万</t>
  </si>
  <si>
    <t>1.08万</t>
  </si>
  <si>
    <t>86.0亿</t>
  </si>
  <si>
    <t>371亿</t>
  </si>
  <si>
    <t>桂冠电力</t>
  </si>
  <si>
    <t>9.64万</t>
  </si>
  <si>
    <t>5891万</t>
  </si>
  <si>
    <t>6.24万</t>
  </si>
  <si>
    <t>3.40万</t>
  </si>
  <si>
    <t>60.6亿</t>
  </si>
  <si>
    <t>36.0亿</t>
  </si>
  <si>
    <t>首钢股份</t>
  </si>
  <si>
    <t>5751万</t>
  </si>
  <si>
    <t>52.9亿</t>
  </si>
  <si>
    <t>369亿</t>
  </si>
  <si>
    <t>29.7亿</t>
  </si>
  <si>
    <t>中金黄金</t>
  </si>
  <si>
    <t>19.9万</t>
  </si>
  <si>
    <t>2.12亿</t>
  </si>
  <si>
    <t>6.39万</t>
  </si>
  <si>
    <t>34.5亿</t>
  </si>
  <si>
    <t>同方股份</t>
  </si>
  <si>
    <t>3.02亿</t>
  </si>
  <si>
    <t>368亿</t>
  </si>
  <si>
    <t>273亿</t>
  </si>
  <si>
    <t>中原证券</t>
  </si>
  <si>
    <t>15.6万</t>
  </si>
  <si>
    <t>1.46亿</t>
  </si>
  <si>
    <t>8.32万</t>
  </si>
  <si>
    <t>7.32万</t>
  </si>
  <si>
    <t>366亿</t>
  </si>
  <si>
    <t>7.00亿</t>
  </si>
  <si>
    <t>65.3亿</t>
  </si>
  <si>
    <t>美锦能源</t>
  </si>
  <si>
    <t>1.14万</t>
  </si>
  <si>
    <t>9.88万</t>
  </si>
  <si>
    <t>41.1亿</t>
  </si>
  <si>
    <t>96.1亿</t>
  </si>
  <si>
    <t>晨鸣纸业</t>
  </si>
  <si>
    <t xml:space="preserve"> 造纸印刷</t>
  </si>
  <si>
    <t>东吴证券</t>
  </si>
  <si>
    <t>7.69万</t>
  </si>
  <si>
    <t>9317万</t>
  </si>
  <si>
    <t>3.77万</t>
  </si>
  <si>
    <t>3.92万</t>
  </si>
  <si>
    <t>30.0亿</t>
  </si>
  <si>
    <t>364亿</t>
  </si>
  <si>
    <t>350亿</t>
  </si>
  <si>
    <t>九州通</t>
  </si>
  <si>
    <t>4.07万</t>
  </si>
  <si>
    <t>8744万</t>
  </si>
  <si>
    <t>1.79万</t>
  </si>
  <si>
    <t>2.28万</t>
  </si>
  <si>
    <t>363亿</t>
  </si>
  <si>
    <t>16.5亿</t>
  </si>
  <si>
    <t>353亿</t>
  </si>
  <si>
    <t>三花智控</t>
  </si>
  <si>
    <t>24.9万</t>
  </si>
  <si>
    <t>4.20亿</t>
  </si>
  <si>
    <t>8.97万</t>
  </si>
  <si>
    <t>15.9万</t>
  </si>
  <si>
    <t>21.2亿</t>
  </si>
  <si>
    <t>15.6亿</t>
  </si>
  <si>
    <t>268亿</t>
  </si>
  <si>
    <t>烽火通信</t>
  </si>
  <si>
    <t>5.34亿</t>
  </si>
  <si>
    <t>8.47万</t>
  </si>
  <si>
    <t>7.87万</t>
  </si>
  <si>
    <t>362亿</t>
  </si>
  <si>
    <t>328亿</t>
  </si>
  <si>
    <t>金 融 街</t>
  </si>
  <si>
    <t>8.71万</t>
  </si>
  <si>
    <t>1.05亿</t>
  </si>
  <si>
    <t>3.21万</t>
  </si>
  <si>
    <t>5.49万</t>
  </si>
  <si>
    <t>29.9亿</t>
  </si>
  <si>
    <t>361亿</t>
  </si>
  <si>
    <t>中联重科</t>
  </si>
  <si>
    <t>45.9万</t>
  </si>
  <si>
    <t>2.16亿</t>
  </si>
  <si>
    <t>-6.93万</t>
  </si>
  <si>
    <t>27.4万</t>
  </si>
  <si>
    <t>76.3亿</t>
  </si>
  <si>
    <t>360亿</t>
  </si>
  <si>
    <t>62.3亿</t>
  </si>
  <si>
    <t>利亚德</t>
  </si>
  <si>
    <t>18.2万</t>
  </si>
  <si>
    <t>4.01亿</t>
  </si>
  <si>
    <t>8.05万</t>
  </si>
  <si>
    <t>9.75亿</t>
  </si>
  <si>
    <t>215亿</t>
  </si>
  <si>
    <t>南山铝业</t>
  </si>
  <si>
    <t>63.1万</t>
  </si>
  <si>
    <t>2.44亿</t>
  </si>
  <si>
    <t>36.7万</t>
  </si>
  <si>
    <t>92.5亿</t>
  </si>
  <si>
    <t>359亿</t>
  </si>
  <si>
    <t>70.9亿</t>
  </si>
  <si>
    <t>275亿</t>
  </si>
  <si>
    <t>藏格控股</t>
  </si>
  <si>
    <t>1.95亿</t>
  </si>
  <si>
    <t xml:space="preserve"> 化肥行业</t>
  </si>
  <si>
    <t>5.51万</t>
  </si>
  <si>
    <t>5.72万</t>
  </si>
  <si>
    <t>东华软件</t>
  </si>
  <si>
    <t>49.2万</t>
  </si>
  <si>
    <t>5.57亿</t>
  </si>
  <si>
    <t>23.1万</t>
  </si>
  <si>
    <t>26.1万</t>
  </si>
  <si>
    <t>31.4亿</t>
  </si>
  <si>
    <t>358亿</t>
  </si>
  <si>
    <t>片仔癀</t>
  </si>
  <si>
    <t>4.64万</t>
  </si>
  <si>
    <t>2.77亿</t>
  </si>
  <si>
    <t>2.93万</t>
  </si>
  <si>
    <t>1.71万</t>
  </si>
  <si>
    <t>6.03亿</t>
  </si>
  <si>
    <t>广深铁路</t>
  </si>
  <si>
    <t>9956万</t>
  </si>
  <si>
    <t>3.12万</t>
  </si>
  <si>
    <t>70.8亿</t>
  </si>
  <si>
    <t>356亿</t>
  </si>
  <si>
    <t>56.5亿</t>
  </si>
  <si>
    <t>284亿</t>
  </si>
  <si>
    <t>航天信息</t>
  </si>
  <si>
    <t>3.84万</t>
  </si>
  <si>
    <t>2.40万</t>
  </si>
  <si>
    <t>沙钢股份</t>
  </si>
  <si>
    <t>国金证券</t>
  </si>
  <si>
    <t>16.9万</t>
  </si>
  <si>
    <t>1.98亿</t>
  </si>
  <si>
    <t>7.89万</t>
  </si>
  <si>
    <t>9.05万</t>
  </si>
  <si>
    <t>30.2亿</t>
  </si>
  <si>
    <t>355亿</t>
  </si>
  <si>
    <t>雅戈尔</t>
  </si>
  <si>
    <t>7.61万</t>
  </si>
  <si>
    <t>7522万</t>
  </si>
  <si>
    <t>3.15万</t>
  </si>
  <si>
    <t>4.45万</t>
  </si>
  <si>
    <t>35.8亿</t>
  </si>
  <si>
    <t>供销大集</t>
  </si>
  <si>
    <t>30.5万</t>
  </si>
  <si>
    <t>1.83亿</t>
  </si>
  <si>
    <t>60.1亿</t>
  </si>
  <si>
    <t>354亿</t>
  </si>
  <si>
    <t>18.9亿</t>
  </si>
  <si>
    <t>111亿</t>
  </si>
  <si>
    <t>东方雨虹</t>
  </si>
  <si>
    <t>3.36万</t>
  </si>
  <si>
    <t>1.35亿</t>
  </si>
  <si>
    <t>2.02万</t>
  </si>
  <si>
    <t>8.82亿</t>
  </si>
  <si>
    <t>5.70亿</t>
  </si>
  <si>
    <t>中国巨石</t>
  </si>
  <si>
    <t>40.4万</t>
  </si>
  <si>
    <t>4.93亿</t>
  </si>
  <si>
    <t>23.8万</t>
  </si>
  <si>
    <t>均胜电子</t>
  </si>
  <si>
    <t>4.77亿</t>
  </si>
  <si>
    <t>8.08万</t>
  </si>
  <si>
    <t>351亿</t>
  </si>
  <si>
    <t>6.89亿</t>
  </si>
  <si>
    <t>255亿</t>
  </si>
  <si>
    <t>物产中大</t>
  </si>
  <si>
    <t>30.9万</t>
  </si>
  <si>
    <t xml:space="preserve"> 国际贸易</t>
  </si>
  <si>
    <t>1.12万</t>
  </si>
  <si>
    <t>11.1万</t>
  </si>
  <si>
    <t>43.1亿</t>
  </si>
  <si>
    <t>13.4亿</t>
  </si>
  <si>
    <t>109亿</t>
  </si>
  <si>
    <t>机器人</t>
  </si>
  <si>
    <t>17.9万</t>
  </si>
  <si>
    <t>3.99亿</t>
  </si>
  <si>
    <t>马钢股份</t>
  </si>
  <si>
    <t>78.8万</t>
  </si>
  <si>
    <t>3.55亿</t>
  </si>
  <si>
    <t>-3.04万</t>
  </si>
  <si>
    <t>47.1万</t>
  </si>
  <si>
    <t>77.0亿</t>
  </si>
  <si>
    <t>271亿</t>
  </si>
  <si>
    <t>深天马Ａ</t>
  </si>
  <si>
    <t>62.4万</t>
  </si>
  <si>
    <t>349亿</t>
  </si>
  <si>
    <t>同花顺</t>
  </si>
  <si>
    <t>4.70亿</t>
  </si>
  <si>
    <t>2.62万</t>
  </si>
  <si>
    <t>4.68万</t>
  </si>
  <si>
    <t>5.38亿</t>
  </si>
  <si>
    <t>2.64亿</t>
  </si>
  <si>
    <t>171亿</t>
  </si>
  <si>
    <t>古井贡酒</t>
  </si>
  <si>
    <t>5.04亿</t>
  </si>
  <si>
    <t>266亿</t>
  </si>
  <si>
    <t>用友网络</t>
  </si>
  <si>
    <t>7.34万</t>
  </si>
  <si>
    <t>3.49万</t>
  </si>
  <si>
    <t>14.8亿</t>
  </si>
  <si>
    <t>北新建材</t>
  </si>
  <si>
    <t>47.0万</t>
  </si>
  <si>
    <t>9.10亿</t>
  </si>
  <si>
    <t>22.2万</t>
  </si>
  <si>
    <t>中天金融</t>
  </si>
  <si>
    <t>47.0亿</t>
  </si>
  <si>
    <t>346亿</t>
  </si>
  <si>
    <t>290亿</t>
  </si>
  <si>
    <t>中国化学</t>
  </si>
  <si>
    <t>20.1万</t>
  </si>
  <si>
    <t>1.41亿</t>
  </si>
  <si>
    <t>5.58万</t>
  </si>
  <si>
    <t>49.3亿</t>
  </si>
  <si>
    <t>345亿</t>
  </si>
  <si>
    <t>合力泰</t>
  </si>
  <si>
    <t>1.55亿</t>
  </si>
  <si>
    <t>17.6亿</t>
  </si>
  <si>
    <t>194亿</t>
  </si>
  <si>
    <t>四维图新</t>
  </si>
  <si>
    <t>28.8万</t>
  </si>
  <si>
    <t>7.78亿</t>
  </si>
  <si>
    <t>17.1万</t>
  </si>
  <si>
    <t>276亿</t>
  </si>
  <si>
    <t>沙隆达Ａ</t>
  </si>
  <si>
    <t>4.14万</t>
  </si>
  <si>
    <t>5887万</t>
  </si>
  <si>
    <t xml:space="preserve"> 农药兽药</t>
  </si>
  <si>
    <t>1.90万</t>
  </si>
  <si>
    <t>24.0亿</t>
  </si>
  <si>
    <t>3.64亿</t>
  </si>
  <si>
    <t>信立泰</t>
  </si>
  <si>
    <t>1.31亿</t>
  </si>
  <si>
    <t>10.5亿</t>
  </si>
  <si>
    <t>342亿</t>
  </si>
  <si>
    <t>贵阳银行</t>
  </si>
  <si>
    <t>7.00万</t>
  </si>
  <si>
    <t>23.0亿</t>
  </si>
  <si>
    <t>12.1亿</t>
  </si>
  <si>
    <t>179亿</t>
  </si>
  <si>
    <t>上海建工</t>
  </si>
  <si>
    <t>6090万</t>
  </si>
  <si>
    <t>-4.79万</t>
  </si>
  <si>
    <t>6.85万</t>
  </si>
  <si>
    <t>89.0亿</t>
  </si>
  <si>
    <t>341亿</t>
  </si>
  <si>
    <t>82.2亿</t>
  </si>
  <si>
    <t>315亿</t>
  </si>
  <si>
    <t>中国船舶</t>
  </si>
  <si>
    <t>340亿</t>
  </si>
  <si>
    <t>重庆水务</t>
  </si>
  <si>
    <t>7645万</t>
  </si>
  <si>
    <t xml:space="preserve"> 公用事业</t>
  </si>
  <si>
    <t>7.16万</t>
  </si>
  <si>
    <t>西藏珠峰</t>
  </si>
  <si>
    <t>2.30万</t>
  </si>
  <si>
    <t>1.20万</t>
  </si>
  <si>
    <t>337亿</t>
  </si>
  <si>
    <t>1.58亿</t>
  </si>
  <si>
    <t>81.8亿</t>
  </si>
  <si>
    <t>苏 泊 尔</t>
  </si>
  <si>
    <t>6995万</t>
  </si>
  <si>
    <t>8.21亿</t>
  </si>
  <si>
    <t>5.46亿</t>
  </si>
  <si>
    <t>跨境通</t>
  </si>
  <si>
    <t>7.76万</t>
  </si>
  <si>
    <t>2.78万</t>
  </si>
  <si>
    <t>14.4亿</t>
  </si>
  <si>
    <t>8.90亿</t>
  </si>
  <si>
    <t>209亿</t>
  </si>
  <si>
    <t>建发股份</t>
  </si>
  <si>
    <t>28.4亿</t>
  </si>
  <si>
    <t>浙江龙盛</t>
  </si>
  <si>
    <t>1.44亿</t>
  </si>
  <si>
    <t>335亿</t>
  </si>
  <si>
    <t>30.6亿</t>
  </si>
  <si>
    <t>厦门钨业</t>
  </si>
  <si>
    <t>7.26万</t>
  </si>
  <si>
    <t>8.87亿</t>
  </si>
  <si>
    <t>中国电影</t>
  </si>
  <si>
    <t>6.33万</t>
  </si>
  <si>
    <t>1.12亿</t>
  </si>
  <si>
    <t>2.90万</t>
  </si>
  <si>
    <t>3.43万</t>
  </si>
  <si>
    <t>5.65亿</t>
  </si>
  <si>
    <t>恒生电子</t>
  </si>
  <si>
    <t>4.87亿</t>
  </si>
  <si>
    <t>4.83万</t>
  </si>
  <si>
    <t>6.18亿</t>
  </si>
  <si>
    <t>中国卫星</t>
  </si>
  <si>
    <t>6.02万</t>
  </si>
  <si>
    <t>3.95万</t>
  </si>
  <si>
    <t>世纪华通</t>
  </si>
  <si>
    <t>1.81万</t>
  </si>
  <si>
    <t>5838万</t>
  </si>
  <si>
    <t xml:space="preserve"> 塑胶制品</t>
  </si>
  <si>
    <t>7.98亿</t>
  </si>
  <si>
    <t>258亿</t>
  </si>
  <si>
    <t>云铝股份</t>
  </si>
  <si>
    <t>71.1万</t>
  </si>
  <si>
    <t>9.03亿</t>
  </si>
  <si>
    <t>35.4万</t>
  </si>
  <si>
    <t>35.6万</t>
  </si>
  <si>
    <t>26.1亿</t>
  </si>
  <si>
    <t>332亿</t>
  </si>
  <si>
    <t>219亿</t>
  </si>
  <si>
    <t>西南证券</t>
  </si>
  <si>
    <t>8.62万</t>
  </si>
  <si>
    <t>5054万</t>
  </si>
  <si>
    <t>-2.24万</t>
  </si>
  <si>
    <t>4.66万</t>
  </si>
  <si>
    <t>331亿</t>
  </si>
  <si>
    <t>隆平高科</t>
  </si>
  <si>
    <t>1.90亿</t>
  </si>
  <si>
    <t>4.00万</t>
  </si>
  <si>
    <t>9.56亿</t>
  </si>
  <si>
    <t>万向钱潮</t>
  </si>
  <si>
    <t>18.5万</t>
  </si>
  <si>
    <t>2.20亿</t>
  </si>
  <si>
    <t>9.62万</t>
  </si>
  <si>
    <t>8.90万</t>
  </si>
  <si>
    <t>329亿</t>
  </si>
  <si>
    <t>湖北能源</t>
  </si>
  <si>
    <t>7.59万</t>
  </si>
  <si>
    <t>3844万</t>
  </si>
  <si>
    <t>-1.38万</t>
  </si>
  <si>
    <t>3.64万</t>
  </si>
  <si>
    <t>53.5亿</t>
  </si>
  <si>
    <t>270亿</t>
  </si>
  <si>
    <t>西山煤电</t>
  </si>
  <si>
    <t>39.7万</t>
  </si>
  <si>
    <t>4.07亿</t>
  </si>
  <si>
    <t>21.8万</t>
  </si>
  <si>
    <t>325亿</t>
  </si>
  <si>
    <t>中文传媒</t>
  </si>
  <si>
    <t>323亿</t>
  </si>
  <si>
    <t>301亿</t>
  </si>
  <si>
    <t>驰宏锌锗</t>
  </si>
  <si>
    <t>丽珠集团</t>
  </si>
  <si>
    <t>5.18万</t>
  </si>
  <si>
    <t>2.98亿</t>
  </si>
  <si>
    <t>5.53亿</t>
  </si>
  <si>
    <t>321亿</t>
  </si>
  <si>
    <t>202亿</t>
  </si>
  <si>
    <t>中国核建</t>
  </si>
  <si>
    <t>8.37万</t>
  </si>
  <si>
    <t>1.02亿</t>
  </si>
  <si>
    <t>3.94万</t>
  </si>
  <si>
    <t>4.43万</t>
  </si>
  <si>
    <t>26.3亿</t>
  </si>
  <si>
    <t>320亿</t>
  </si>
  <si>
    <t>9.62亿</t>
  </si>
  <si>
    <t>铜陵有色</t>
  </si>
  <si>
    <t>52.1万</t>
  </si>
  <si>
    <t>-8.03万</t>
  </si>
  <si>
    <t>31.1万</t>
  </si>
  <si>
    <t>3.57万</t>
  </si>
  <si>
    <t>95.6亿</t>
  </si>
  <si>
    <t>291亿</t>
  </si>
  <si>
    <t>纳思达</t>
  </si>
  <si>
    <t>2.91万</t>
  </si>
  <si>
    <t>9185万</t>
  </si>
  <si>
    <t>6.81亿</t>
  </si>
  <si>
    <t>中泰化学</t>
  </si>
  <si>
    <t>23.4万</t>
  </si>
  <si>
    <t>3.45亿</t>
  </si>
  <si>
    <t>318亿</t>
  </si>
  <si>
    <t>格林美</t>
  </si>
  <si>
    <t>125万</t>
  </si>
  <si>
    <t>2.35万</t>
  </si>
  <si>
    <t>-4.95万</t>
  </si>
  <si>
    <t>68.9万</t>
  </si>
  <si>
    <t>31.1亿</t>
  </si>
  <si>
    <t>259亿</t>
  </si>
  <si>
    <t>山西证券</t>
  </si>
  <si>
    <t>2.59亿</t>
  </si>
  <si>
    <t>28.3亿</t>
  </si>
  <si>
    <t>东山精密</t>
  </si>
  <si>
    <t>5.44亿</t>
  </si>
  <si>
    <t>161亿</t>
  </si>
  <si>
    <t>视源股份</t>
  </si>
  <si>
    <t>5966万</t>
  </si>
  <si>
    <t>4.06亿</t>
  </si>
  <si>
    <t>4050万</t>
  </si>
  <si>
    <t>昆仑万维</t>
  </si>
  <si>
    <t>2.91亿</t>
  </si>
  <si>
    <t>5.68万</t>
  </si>
  <si>
    <t>5.07万</t>
  </si>
  <si>
    <t>4.45亿</t>
  </si>
  <si>
    <t>新 希 望</t>
  </si>
  <si>
    <t>7909万</t>
  </si>
  <si>
    <t>-1.96万</t>
  </si>
  <si>
    <t>6.52万</t>
  </si>
  <si>
    <t>4.05万</t>
  </si>
  <si>
    <t>42.2亿</t>
  </si>
  <si>
    <t>41.7亿</t>
  </si>
  <si>
    <t>312亿</t>
  </si>
  <si>
    <t>先导智能</t>
  </si>
  <si>
    <t>1.52亿</t>
  </si>
  <si>
    <t>1.21万</t>
  </si>
  <si>
    <t>4.30亿</t>
  </si>
  <si>
    <t>安迪苏</t>
  </si>
  <si>
    <t>896万</t>
  </si>
  <si>
    <t>5.75亿</t>
  </si>
  <si>
    <t>67.3亿</t>
  </si>
  <si>
    <t>济川药业</t>
  </si>
  <si>
    <t>1.28亿</t>
  </si>
  <si>
    <t>2.13万</t>
  </si>
  <si>
    <t>1.13万</t>
  </si>
  <si>
    <t>8.10亿</t>
  </si>
  <si>
    <t>鹏博士</t>
  </si>
  <si>
    <t>37.5万</t>
  </si>
  <si>
    <t>8.15亿</t>
  </si>
  <si>
    <t>14.3亿</t>
  </si>
  <si>
    <t>首创股份</t>
  </si>
  <si>
    <t>135万</t>
  </si>
  <si>
    <t>8.59亿</t>
  </si>
  <si>
    <t>3.09万</t>
  </si>
  <si>
    <t>85.0万</t>
  </si>
  <si>
    <t>1.80万</t>
  </si>
  <si>
    <t>48.2亿</t>
  </si>
  <si>
    <t>小天鹅Ａ</t>
  </si>
  <si>
    <t>1.58万</t>
  </si>
  <si>
    <t>7704万</t>
  </si>
  <si>
    <t>6.32亿</t>
  </si>
  <si>
    <t>311亿</t>
  </si>
  <si>
    <t>4.39亿</t>
  </si>
  <si>
    <t>安洁科技</t>
  </si>
  <si>
    <t>8.58万</t>
  </si>
  <si>
    <t>7.52亿</t>
  </si>
  <si>
    <t>310亿</t>
  </si>
  <si>
    <t>3.19亿</t>
  </si>
  <si>
    <t>口子窖</t>
  </si>
  <si>
    <t>3.52万</t>
  </si>
  <si>
    <t>1.84亿</t>
  </si>
  <si>
    <t>2.94亿</t>
  </si>
  <si>
    <t>隧道股份</t>
  </si>
  <si>
    <t>8.50万</t>
  </si>
  <si>
    <t>8290万</t>
  </si>
  <si>
    <t>5.33万</t>
  </si>
  <si>
    <t>3.18万</t>
  </si>
  <si>
    <t>307亿</t>
  </si>
  <si>
    <t>环旭电子</t>
  </si>
  <si>
    <t>6.47万</t>
  </si>
  <si>
    <t>21.8亿</t>
  </si>
  <si>
    <t>中航光电</t>
  </si>
  <si>
    <t>3.32万</t>
  </si>
  <si>
    <t>1.24万</t>
  </si>
  <si>
    <t>7.91亿</t>
  </si>
  <si>
    <t>7.82亿</t>
  </si>
  <si>
    <t>飞科电器</t>
  </si>
  <si>
    <t>1.04万</t>
  </si>
  <si>
    <t>7302万</t>
  </si>
  <si>
    <t>4360万</t>
  </si>
  <si>
    <t>中铁工业</t>
  </si>
  <si>
    <t>4.57万</t>
  </si>
  <si>
    <t>22.2亿</t>
  </si>
  <si>
    <t>306亿</t>
  </si>
  <si>
    <t>长盈精密</t>
  </si>
  <si>
    <t>16.4万</t>
  </si>
  <si>
    <t>5.41亿</t>
  </si>
  <si>
    <t>6.32万</t>
  </si>
  <si>
    <t>9.02亿</t>
  </si>
  <si>
    <t>海大集团</t>
  </si>
  <si>
    <t>9062万</t>
  </si>
  <si>
    <t>3.06万</t>
  </si>
  <si>
    <t>15.8亿</t>
  </si>
  <si>
    <t>西水股份</t>
  </si>
  <si>
    <t>15.5万</t>
  </si>
  <si>
    <t>4.31亿</t>
  </si>
  <si>
    <t>8.93万</t>
  </si>
  <si>
    <t>6.61万</t>
  </si>
  <si>
    <t>9.79亿</t>
  </si>
  <si>
    <t>金 螳 螂</t>
  </si>
  <si>
    <t>7.90万</t>
  </si>
  <si>
    <t>8972万</t>
  </si>
  <si>
    <t xml:space="preserve"> 装修装饰</t>
  </si>
  <si>
    <t>289亿</t>
  </si>
  <si>
    <t>海能达</t>
  </si>
  <si>
    <t>5978万</t>
  </si>
  <si>
    <t>1.57万</t>
  </si>
  <si>
    <t>17.5亿</t>
  </si>
  <si>
    <t>网宿科技</t>
  </si>
  <si>
    <t>3.77亿</t>
  </si>
  <si>
    <t>24.1亿</t>
  </si>
  <si>
    <t>潞安环能</t>
  </si>
  <si>
    <t>51.5万</t>
  </si>
  <si>
    <t>5.05亿</t>
  </si>
  <si>
    <t>32.2万</t>
  </si>
  <si>
    <t>国药一致</t>
  </si>
  <si>
    <t>7413万</t>
  </si>
  <si>
    <t>4.28亿</t>
  </si>
  <si>
    <t>213亿</t>
  </si>
  <si>
    <t>上海临港</t>
  </si>
  <si>
    <t>1.43亿</t>
  </si>
  <si>
    <t>11.2亿</t>
  </si>
  <si>
    <t>295亿</t>
  </si>
  <si>
    <t>中航电子</t>
  </si>
  <si>
    <t>兴源环境</t>
  </si>
  <si>
    <t>9.42万</t>
  </si>
  <si>
    <t>2.72亿</t>
  </si>
  <si>
    <t>5.31万</t>
  </si>
  <si>
    <t>4.11万</t>
  </si>
  <si>
    <t>9.01亿</t>
  </si>
  <si>
    <t>260亿</t>
  </si>
  <si>
    <t>光线传媒</t>
  </si>
  <si>
    <t>1.63亿</t>
  </si>
  <si>
    <t>8.12万</t>
  </si>
  <si>
    <t>29.3亿</t>
  </si>
  <si>
    <t>293亿</t>
  </si>
  <si>
    <t>国盛金控</t>
  </si>
  <si>
    <t>8.80万</t>
  </si>
  <si>
    <t>1.70亿</t>
  </si>
  <si>
    <t>4.75万</t>
  </si>
  <si>
    <t>15.0亿</t>
  </si>
  <si>
    <t>292亿</t>
  </si>
  <si>
    <t>4.92亿</t>
  </si>
  <si>
    <t>山东高速</t>
  </si>
  <si>
    <t>2641万</t>
  </si>
  <si>
    <t>48.1亿</t>
  </si>
  <si>
    <t>锦江股份</t>
  </si>
  <si>
    <t>4881万</t>
  </si>
  <si>
    <t>9.58亿</t>
  </si>
  <si>
    <t>288亿</t>
  </si>
  <si>
    <t>太平洋</t>
  </si>
  <si>
    <t>40.6万</t>
  </si>
  <si>
    <t>-5.23万</t>
  </si>
  <si>
    <t>2.21万</t>
  </si>
  <si>
    <t>68.2亿</t>
  </si>
  <si>
    <t>64.8亿</t>
  </si>
  <si>
    <t>银亿股份</t>
  </si>
  <si>
    <t>2009万</t>
  </si>
  <si>
    <t>1.50万</t>
  </si>
  <si>
    <t>241亿</t>
  </si>
  <si>
    <t>太钢不锈</t>
  </si>
  <si>
    <t>1.68亿</t>
  </si>
  <si>
    <t>-3.26万</t>
  </si>
  <si>
    <t>1.28万</t>
  </si>
  <si>
    <t>57.0亿</t>
  </si>
  <si>
    <t>首开股份</t>
  </si>
  <si>
    <t>2.64万</t>
  </si>
  <si>
    <t>2912万</t>
  </si>
  <si>
    <t>285亿</t>
  </si>
  <si>
    <t>25.5亿</t>
  </si>
  <si>
    <t>282亿</t>
  </si>
  <si>
    <t>中航机电</t>
  </si>
  <si>
    <t>7.78万</t>
  </si>
  <si>
    <t>21.0亿</t>
  </si>
  <si>
    <t>248亿</t>
  </si>
  <si>
    <t>春秋航空</t>
  </si>
  <si>
    <t>1.85万</t>
  </si>
  <si>
    <t>6510万</t>
  </si>
  <si>
    <t>8.01亿</t>
  </si>
  <si>
    <t>宋城演艺</t>
  </si>
  <si>
    <t>14.5亿</t>
  </si>
  <si>
    <t>11.5亿</t>
  </si>
  <si>
    <t>中国西电</t>
  </si>
  <si>
    <t>3188万</t>
  </si>
  <si>
    <t>3.31万</t>
  </si>
  <si>
    <t>51.3亿</t>
  </si>
  <si>
    <t>中金岭南</t>
  </si>
  <si>
    <t>9.94万</t>
  </si>
  <si>
    <t>23.8亿</t>
  </si>
  <si>
    <t>263亿</t>
  </si>
  <si>
    <t>国轩高科</t>
  </si>
  <si>
    <t>3.67万</t>
  </si>
  <si>
    <t>8.78亿</t>
  </si>
  <si>
    <t>华润三九</t>
  </si>
  <si>
    <t>6.34万</t>
  </si>
  <si>
    <t>4.10万</t>
  </si>
  <si>
    <t>9.78亿</t>
  </si>
  <si>
    <t>科伦药业</t>
  </si>
  <si>
    <t>9.92万</t>
  </si>
  <si>
    <t>5.04万</t>
  </si>
  <si>
    <t>4.88万</t>
  </si>
  <si>
    <t>京能电力</t>
  </si>
  <si>
    <t>3.65万</t>
  </si>
  <si>
    <t>1520万</t>
  </si>
  <si>
    <t>67.5亿</t>
  </si>
  <si>
    <t>46.2亿</t>
  </si>
  <si>
    <t>192亿</t>
  </si>
  <si>
    <t>新潮能源</t>
  </si>
  <si>
    <t>4600万</t>
  </si>
  <si>
    <t>6.18万</t>
  </si>
  <si>
    <t>5.08万</t>
  </si>
  <si>
    <t>68.0亿</t>
  </si>
  <si>
    <t>97.9亿</t>
  </si>
  <si>
    <t>百联股份</t>
  </si>
  <si>
    <t>4.37万</t>
  </si>
  <si>
    <t>15.4亿</t>
  </si>
  <si>
    <t>242亿</t>
  </si>
  <si>
    <t>中直股份</t>
  </si>
  <si>
    <t>3.57亿</t>
  </si>
  <si>
    <t>4.41万</t>
  </si>
  <si>
    <t>3.20万</t>
  </si>
  <si>
    <t>5.89亿</t>
  </si>
  <si>
    <t>279亿</t>
  </si>
  <si>
    <t>中南传媒</t>
  </si>
  <si>
    <t>7.37万</t>
  </si>
  <si>
    <t>4.24万</t>
  </si>
  <si>
    <t>3.13万</t>
  </si>
  <si>
    <t>18.0亿</t>
  </si>
  <si>
    <t>众泰汽车</t>
  </si>
  <si>
    <t>8.74万</t>
  </si>
  <si>
    <t>277亿</t>
  </si>
  <si>
    <t>5.28亿</t>
  </si>
  <si>
    <t>71.9亿</t>
  </si>
  <si>
    <t>辽宁成大</t>
  </si>
  <si>
    <t>6.76万</t>
  </si>
  <si>
    <t>1.23亿</t>
  </si>
  <si>
    <t>4.42万</t>
  </si>
  <si>
    <t>2.34万</t>
  </si>
  <si>
    <t>247亿</t>
  </si>
  <si>
    <t>海油工程</t>
  </si>
  <si>
    <t>6.00万</t>
  </si>
  <si>
    <t>3751万</t>
  </si>
  <si>
    <t>44.2亿</t>
  </si>
  <si>
    <t>粤电力Ａ</t>
  </si>
  <si>
    <t>2.97万</t>
  </si>
  <si>
    <t>1560万</t>
  </si>
  <si>
    <t>1.48万</t>
  </si>
  <si>
    <t>52.5亿</t>
  </si>
  <si>
    <t>申能股份</t>
  </si>
  <si>
    <t>4123万</t>
  </si>
  <si>
    <t>-1.28万</t>
  </si>
  <si>
    <t>3.75万</t>
  </si>
  <si>
    <t>3.10万</t>
  </si>
  <si>
    <t>45.5亿</t>
  </si>
  <si>
    <t>印纪传媒</t>
  </si>
  <si>
    <t>57.7亿</t>
  </si>
  <si>
    <t>阳 光 城</t>
  </si>
  <si>
    <t>54.2万</t>
  </si>
  <si>
    <t>3.65亿</t>
  </si>
  <si>
    <t>-1.86万</t>
  </si>
  <si>
    <t>29.8万</t>
  </si>
  <si>
    <t>40.5亿</t>
  </si>
  <si>
    <t>恺英网络</t>
  </si>
  <si>
    <t>16.7万</t>
  </si>
  <si>
    <t>3.16亿</t>
  </si>
  <si>
    <t>5.02亿</t>
  </si>
  <si>
    <t>95.3亿</t>
  </si>
  <si>
    <t>新 和 成</t>
  </si>
  <si>
    <t>8.42万</t>
  </si>
  <si>
    <t>3.73万</t>
  </si>
  <si>
    <t>272亿</t>
  </si>
  <si>
    <t>*ST一重</t>
  </si>
  <si>
    <t>5738万</t>
  </si>
  <si>
    <t>9.71万</t>
  </si>
  <si>
    <t>4.21万</t>
  </si>
  <si>
    <t>65.4亿</t>
  </si>
  <si>
    <t>中国医药</t>
  </si>
  <si>
    <t>5.37万</t>
  </si>
  <si>
    <t>2.65万</t>
  </si>
  <si>
    <t>256亿</t>
  </si>
  <si>
    <t>金钼股份</t>
  </si>
  <si>
    <t>7931万</t>
  </si>
  <si>
    <t>4.61万</t>
  </si>
  <si>
    <t>32.3亿</t>
  </si>
  <si>
    <t>269亿</t>
  </si>
  <si>
    <t>白云机场</t>
  </si>
  <si>
    <t>山东钢铁</t>
  </si>
  <si>
    <t>139万</t>
  </si>
  <si>
    <t>-23.2万</t>
  </si>
  <si>
    <t>9.37万</t>
  </si>
  <si>
    <t>262亿</t>
  </si>
  <si>
    <t>吉林敖东</t>
  </si>
  <si>
    <t>6.80万</t>
  </si>
  <si>
    <t>6.97万</t>
  </si>
  <si>
    <t>11.0亿</t>
  </si>
  <si>
    <t>坚瑞沃能</t>
  </si>
  <si>
    <t>24.5万</t>
  </si>
  <si>
    <t>2.66亿</t>
  </si>
  <si>
    <t>12.0万</t>
  </si>
  <si>
    <t>267亿</t>
  </si>
  <si>
    <t>金科股份</t>
  </si>
  <si>
    <t>5965万</t>
  </si>
  <si>
    <t>2.03万</t>
  </si>
  <si>
    <t>5.65万</t>
  </si>
  <si>
    <t>6.35万</t>
  </si>
  <si>
    <t>53.4亿</t>
  </si>
  <si>
    <t>金正大</t>
  </si>
  <si>
    <t>5749万</t>
  </si>
  <si>
    <t>3.11万</t>
  </si>
  <si>
    <t>31.6亿</t>
  </si>
  <si>
    <t>长春高新</t>
  </si>
  <si>
    <t>1.34万</t>
  </si>
  <si>
    <t>2.09亿</t>
  </si>
  <si>
    <t>兆易创新</t>
  </si>
  <si>
    <t>2.40亿</t>
  </si>
  <si>
    <t>1.03万</t>
  </si>
  <si>
    <t>1.47亿</t>
  </si>
  <si>
    <t>193亿</t>
  </si>
  <si>
    <t>海格通信</t>
  </si>
  <si>
    <t>2.05亿</t>
  </si>
  <si>
    <t>6.42万</t>
  </si>
  <si>
    <t>23.1亿</t>
  </si>
  <si>
    <t>214亿</t>
  </si>
  <si>
    <t>长电科技</t>
  </si>
  <si>
    <t>8.94亿</t>
  </si>
  <si>
    <t>265亿</t>
  </si>
  <si>
    <t>9.85亿</t>
  </si>
  <si>
    <t>招商轮船</t>
  </si>
  <si>
    <t>8.39万</t>
  </si>
  <si>
    <t>4190万</t>
  </si>
  <si>
    <t>5.81万</t>
  </si>
  <si>
    <t>47.2亿</t>
  </si>
  <si>
    <t>236亿</t>
  </si>
  <si>
    <t>华兰生物</t>
  </si>
  <si>
    <t>7.05万</t>
  </si>
  <si>
    <t>3.46万</t>
  </si>
  <si>
    <t>3.60万</t>
  </si>
  <si>
    <t>8.03亿</t>
  </si>
  <si>
    <t>张江高科</t>
  </si>
  <si>
    <t>5.52万</t>
  </si>
  <si>
    <t>9408万</t>
  </si>
  <si>
    <t>2.81万</t>
  </si>
  <si>
    <t>越秀金控</t>
  </si>
  <si>
    <t>2611万</t>
  </si>
  <si>
    <t>1.38万</t>
  </si>
  <si>
    <t>264亿</t>
  </si>
  <si>
    <t>64.0亿</t>
  </si>
  <si>
    <t>*ST钒钛</t>
  </si>
  <si>
    <t>85.9亿</t>
  </si>
  <si>
    <t>恒力股份</t>
  </si>
  <si>
    <t>4622万</t>
  </si>
  <si>
    <t>1.59万</t>
  </si>
  <si>
    <t>3.39万</t>
  </si>
  <si>
    <t>9.19亿</t>
  </si>
  <si>
    <t>85.7亿</t>
  </si>
  <si>
    <t>盛和资源</t>
  </si>
  <si>
    <t>32.1万</t>
  </si>
  <si>
    <t>16.1万</t>
  </si>
  <si>
    <t>9.41亿</t>
  </si>
  <si>
    <t>海南橡胶</t>
  </si>
  <si>
    <t>-1.18万</t>
  </si>
  <si>
    <t>8.92万</t>
  </si>
  <si>
    <t>39.3亿</t>
  </si>
  <si>
    <t>XD巨化股</t>
  </si>
  <si>
    <t>35.7万</t>
  </si>
  <si>
    <t>254亿</t>
  </si>
  <si>
    <t>徐工机械</t>
  </si>
  <si>
    <t>8053万</t>
  </si>
  <si>
    <t>-4.31万</t>
  </si>
  <si>
    <t>70.1亿</t>
  </si>
  <si>
    <t>69.9亿</t>
  </si>
  <si>
    <t>胜利精密</t>
  </si>
  <si>
    <t>恒逸石化</t>
  </si>
  <si>
    <t>1.74万</t>
  </si>
  <si>
    <t>2764万</t>
  </si>
  <si>
    <t>深圳能源</t>
  </si>
  <si>
    <t>6.81万</t>
  </si>
  <si>
    <t>8.67万</t>
  </si>
  <si>
    <t>39.6亿</t>
  </si>
  <si>
    <t>261亿</t>
  </si>
  <si>
    <t>中国长城</t>
  </si>
  <si>
    <t>29.4亿</t>
  </si>
  <si>
    <t>24.9亿</t>
  </si>
  <si>
    <t>杉杉股份</t>
  </si>
  <si>
    <t>3.68亿</t>
  </si>
  <si>
    <t>8.22亿</t>
  </si>
  <si>
    <t>190亿</t>
  </si>
  <si>
    <t>裕同科技</t>
  </si>
  <si>
    <t>2910万</t>
  </si>
  <si>
    <t>4001万</t>
  </si>
  <si>
    <t>26.0亿</t>
  </si>
  <si>
    <t>亿帆医药</t>
  </si>
  <si>
    <t>6.25万</t>
  </si>
  <si>
    <t>7.08亿</t>
  </si>
  <si>
    <t>*ST华菱</t>
  </si>
  <si>
    <t>39.4万</t>
  </si>
  <si>
    <t>3.40亿</t>
  </si>
  <si>
    <t>中远海能</t>
  </si>
  <si>
    <t>6.06万</t>
  </si>
  <si>
    <t>3882万</t>
  </si>
  <si>
    <t>40.3亿</t>
  </si>
  <si>
    <t>27.4亿</t>
  </si>
  <si>
    <t>176亿</t>
  </si>
  <si>
    <t>张 裕Ａ</t>
  </si>
  <si>
    <t>1.03亿</t>
  </si>
  <si>
    <t>6.85亿</t>
  </si>
  <si>
    <t>石基信息</t>
  </si>
  <si>
    <t>2.59万</t>
  </si>
  <si>
    <t>6239万</t>
  </si>
  <si>
    <t>1.31万</t>
  </si>
  <si>
    <t>257亿</t>
  </si>
  <si>
    <t>4.84亿</t>
  </si>
  <si>
    <t>吉祥航空</t>
  </si>
  <si>
    <t>7679万</t>
  </si>
  <si>
    <t>3.42万</t>
  </si>
  <si>
    <t>5.37亿</t>
  </si>
  <si>
    <t>76.8亿</t>
  </si>
  <si>
    <t>新兴铸管</t>
  </si>
  <si>
    <t>63.4万</t>
  </si>
  <si>
    <t>4.05亿</t>
  </si>
  <si>
    <t>23.3万</t>
  </si>
  <si>
    <t>40.1万</t>
  </si>
  <si>
    <t>36.4亿</t>
  </si>
  <si>
    <t>大北农</t>
  </si>
  <si>
    <t>7.18万</t>
  </si>
  <si>
    <t>4471万</t>
  </si>
  <si>
    <t>41.0亿</t>
  </si>
  <si>
    <t>144亿</t>
  </si>
  <si>
    <t>贵州百灵</t>
  </si>
  <si>
    <t>9.97万</t>
  </si>
  <si>
    <t>1.82亿</t>
  </si>
  <si>
    <t>中科曙光</t>
  </si>
  <si>
    <t>6.43亿</t>
  </si>
  <si>
    <t>4.02亿</t>
  </si>
  <si>
    <t>160亿</t>
  </si>
  <si>
    <t>木林森</t>
  </si>
  <si>
    <t>5.71万</t>
  </si>
  <si>
    <t>78.6亿</t>
  </si>
  <si>
    <t>天广中茂</t>
  </si>
  <si>
    <t>1.32亿</t>
  </si>
  <si>
    <t xml:space="preserve"> 专用设备</t>
  </si>
  <si>
    <t>16.2亿</t>
  </si>
  <si>
    <t>166亿</t>
  </si>
  <si>
    <t>北讯集团</t>
  </si>
  <si>
    <t>6945万</t>
  </si>
  <si>
    <t>欧普照明</t>
  </si>
  <si>
    <t>2.11万</t>
  </si>
  <si>
    <t>9265万</t>
  </si>
  <si>
    <t>5.79亿</t>
  </si>
  <si>
    <t>9685万</t>
  </si>
  <si>
    <t>中鼎股份</t>
  </si>
  <si>
    <t>3.79万</t>
  </si>
  <si>
    <t>12.3亿</t>
  </si>
  <si>
    <t>城投控股</t>
  </si>
  <si>
    <t>19.2万</t>
  </si>
  <si>
    <t>1.92亿</t>
  </si>
  <si>
    <t>25.3亿</t>
  </si>
  <si>
    <t>神州高铁</t>
  </si>
  <si>
    <t>5135万</t>
  </si>
  <si>
    <t>19.9亿</t>
  </si>
  <si>
    <t>威孚高科</t>
  </si>
  <si>
    <t>2.88亿</t>
  </si>
  <si>
    <t>8.36亿</t>
  </si>
  <si>
    <t>保千里</t>
  </si>
  <si>
    <t>253亿</t>
  </si>
  <si>
    <t>长园集团</t>
  </si>
  <si>
    <t>4.55万</t>
  </si>
  <si>
    <t>12.5亿</t>
  </si>
  <si>
    <t>239亿</t>
  </si>
  <si>
    <t>光威复材</t>
  </si>
  <si>
    <t>9.07亿</t>
  </si>
  <si>
    <t>9200万</t>
  </si>
  <si>
    <t>63.2亿</t>
  </si>
  <si>
    <t>华谊兄弟</t>
  </si>
  <si>
    <t>175亿</t>
  </si>
  <si>
    <t>浪潮信息</t>
  </si>
  <si>
    <t>12.9亿</t>
  </si>
  <si>
    <t>沃森生物</t>
  </si>
  <si>
    <t>22.0万</t>
  </si>
  <si>
    <t>3.61亿</t>
  </si>
  <si>
    <t>211亿</t>
  </si>
  <si>
    <t>创业环保</t>
  </si>
  <si>
    <t>62.5万</t>
  </si>
  <si>
    <t>锡业股份</t>
  </si>
  <si>
    <t>8.72万</t>
  </si>
  <si>
    <t>皖新传媒</t>
  </si>
  <si>
    <t>5.05万</t>
  </si>
  <si>
    <t>6356万</t>
  </si>
  <si>
    <t>2.52万</t>
  </si>
  <si>
    <t>2.53万</t>
  </si>
  <si>
    <t>250亿</t>
  </si>
  <si>
    <t>航天电子</t>
  </si>
  <si>
    <t>54.8万</t>
  </si>
  <si>
    <t>5.01亿</t>
  </si>
  <si>
    <t>捷成股份</t>
  </si>
  <si>
    <t>4.90万</t>
  </si>
  <si>
    <t>6.26万</t>
  </si>
  <si>
    <t>249亿</t>
  </si>
  <si>
    <t>南极电商</t>
  </si>
  <si>
    <t>1.14亿</t>
  </si>
  <si>
    <t>9.68亿</t>
  </si>
  <si>
    <t>国海证券</t>
  </si>
  <si>
    <t>7913万</t>
  </si>
  <si>
    <t>华海药业</t>
  </si>
  <si>
    <t>7090万</t>
  </si>
  <si>
    <t>张家港行</t>
  </si>
  <si>
    <t>9178万</t>
  </si>
  <si>
    <t>3.53万</t>
  </si>
  <si>
    <t>1.81亿</t>
  </si>
  <si>
    <t>24.7亿</t>
  </si>
  <si>
    <t>大华农</t>
  </si>
  <si>
    <t>5.39亿</t>
  </si>
  <si>
    <t>清新环境</t>
  </si>
  <si>
    <t>36.2万</t>
  </si>
  <si>
    <t>8.05亿</t>
  </si>
  <si>
    <t>二三四五</t>
  </si>
  <si>
    <t>61.1万</t>
  </si>
  <si>
    <t>-2.06万</t>
  </si>
  <si>
    <t>22.5万</t>
  </si>
  <si>
    <t>32.9亿</t>
  </si>
  <si>
    <t>245亿</t>
  </si>
  <si>
    <t>223亿</t>
  </si>
  <si>
    <t>东方电气</t>
  </si>
  <si>
    <t>6228万</t>
  </si>
  <si>
    <t>2.37万</t>
  </si>
  <si>
    <t>3.62万</t>
  </si>
  <si>
    <t>23.4亿</t>
  </si>
  <si>
    <t>神雾环保</t>
  </si>
  <si>
    <t>7.22亿</t>
  </si>
  <si>
    <t>174亿</t>
  </si>
  <si>
    <t>阳光电源</t>
  </si>
  <si>
    <t>3.20亿</t>
  </si>
  <si>
    <t>上海电力</t>
  </si>
  <si>
    <t>4161万</t>
  </si>
  <si>
    <t>2.74万</t>
  </si>
  <si>
    <t>凯乐科技</t>
  </si>
  <si>
    <t>13.2万</t>
  </si>
  <si>
    <t>4.46亿</t>
  </si>
  <si>
    <t>7.66万</t>
  </si>
  <si>
    <t>7.09亿</t>
  </si>
  <si>
    <t>东北证券</t>
  </si>
  <si>
    <t>1.16亿</t>
  </si>
  <si>
    <t>5.70万</t>
  </si>
  <si>
    <t>5.48万</t>
  </si>
  <si>
    <t>宝硕股份</t>
  </si>
  <si>
    <t>5.73万</t>
  </si>
  <si>
    <t>7934万</t>
  </si>
  <si>
    <t>2.75万</t>
  </si>
  <si>
    <t>2.98万</t>
  </si>
  <si>
    <t>11.3亿</t>
  </si>
  <si>
    <t>157亿</t>
  </si>
  <si>
    <t>北京城建</t>
  </si>
  <si>
    <t>2.39亿</t>
  </si>
  <si>
    <t>15.7亿</t>
  </si>
  <si>
    <t>贝达药业</t>
  </si>
  <si>
    <t>8016万</t>
  </si>
  <si>
    <t>4032万</t>
  </si>
  <si>
    <t>太阳纸业</t>
  </si>
  <si>
    <t>8.88万</t>
  </si>
  <si>
    <t>华谊集团</t>
  </si>
  <si>
    <t>4381万</t>
  </si>
  <si>
    <t>9.34亿</t>
  </si>
  <si>
    <t>凤凰传媒</t>
  </si>
  <si>
    <t>5.92万</t>
  </si>
  <si>
    <t>5552万</t>
  </si>
  <si>
    <t>宏发股份</t>
  </si>
  <si>
    <t>1.63万</t>
  </si>
  <si>
    <t>5.32亿</t>
  </si>
  <si>
    <t>广联达</t>
  </si>
  <si>
    <t>7.71万</t>
  </si>
  <si>
    <t>2.67万</t>
  </si>
  <si>
    <t>185亿</t>
  </si>
  <si>
    <t>人福医药</t>
  </si>
  <si>
    <t>7.43万</t>
  </si>
  <si>
    <t>3.93万</t>
  </si>
  <si>
    <t>世联行</t>
  </si>
  <si>
    <t>振华重工</t>
  </si>
  <si>
    <t>2843万</t>
  </si>
  <si>
    <t>-1.15万</t>
  </si>
  <si>
    <t>2.44万</t>
  </si>
  <si>
    <t>150亿</t>
  </si>
  <si>
    <t>上海家化</t>
  </si>
  <si>
    <t>5.80亿</t>
  </si>
  <si>
    <t>4.86万</t>
  </si>
  <si>
    <t>6.73亿</t>
  </si>
  <si>
    <t>6.71亿</t>
  </si>
  <si>
    <t>冀中能源</t>
  </si>
  <si>
    <t>35.3亿</t>
  </si>
  <si>
    <t>29.1亿</t>
  </si>
  <si>
    <t>三友化工</t>
  </si>
  <si>
    <t>20.6亿</t>
  </si>
  <si>
    <t>中际旭创</t>
  </si>
  <si>
    <t>9700万</t>
  </si>
  <si>
    <t>1.05万</t>
  </si>
  <si>
    <t>新光圆成</t>
  </si>
  <si>
    <t>5104万</t>
  </si>
  <si>
    <t>18.3亿</t>
  </si>
  <si>
    <t>5.36亿</t>
  </si>
  <si>
    <t>台海核电</t>
  </si>
  <si>
    <t>9.34万</t>
  </si>
  <si>
    <t>2.60亿</t>
  </si>
  <si>
    <t>3.61万</t>
  </si>
  <si>
    <t>237亿</t>
  </si>
  <si>
    <t>4.89亿</t>
  </si>
  <si>
    <t>尔康制药</t>
  </si>
  <si>
    <t>国药股份</t>
  </si>
  <si>
    <t>7.67亿</t>
  </si>
  <si>
    <t>85.4亿</t>
  </si>
  <si>
    <t>玲珑轮胎</t>
  </si>
  <si>
    <t>6097万</t>
  </si>
  <si>
    <t>3.94亿</t>
  </si>
  <si>
    <t>南钢股份</t>
  </si>
  <si>
    <t>88.3万</t>
  </si>
  <si>
    <t>4.68亿</t>
  </si>
  <si>
    <t>-1.33万</t>
  </si>
  <si>
    <t>38.9万</t>
  </si>
  <si>
    <t>49.4万</t>
  </si>
  <si>
    <t>235亿</t>
  </si>
  <si>
    <t>浙数文化</t>
  </si>
  <si>
    <t>6.45万</t>
  </si>
  <si>
    <t>1.17亿</t>
  </si>
  <si>
    <t>13.0亿</t>
  </si>
  <si>
    <t>唐山港</t>
  </si>
  <si>
    <t>7944万</t>
  </si>
  <si>
    <t>-2.68万</t>
  </si>
  <si>
    <t>8.51万</t>
  </si>
  <si>
    <t>40.2亿</t>
  </si>
  <si>
    <t>中南建设</t>
  </si>
  <si>
    <t>5895万</t>
  </si>
  <si>
    <t>5.57万</t>
  </si>
  <si>
    <t>37.0亿</t>
  </si>
  <si>
    <t>内蒙一机</t>
  </si>
  <si>
    <t>5.25万</t>
  </si>
  <si>
    <t>16.9亿</t>
  </si>
  <si>
    <t>8.23亿</t>
  </si>
  <si>
    <t>114亿</t>
  </si>
  <si>
    <t>天坛生物</t>
  </si>
  <si>
    <t>6.58万</t>
  </si>
  <si>
    <t>2.30亿</t>
  </si>
  <si>
    <t>2.70万</t>
  </si>
  <si>
    <t>6.70亿</t>
  </si>
  <si>
    <t>安通控股</t>
  </si>
  <si>
    <t>5.64万</t>
  </si>
  <si>
    <t>9.68万</t>
  </si>
  <si>
    <t>233亿</t>
  </si>
  <si>
    <t>4.81亿</t>
  </si>
  <si>
    <t>航发控制</t>
  </si>
  <si>
    <t>森马服饰</t>
  </si>
  <si>
    <t>2266万</t>
  </si>
  <si>
    <t>18.4亿</t>
  </si>
  <si>
    <t>159亿</t>
  </si>
  <si>
    <t>瑞康医药</t>
  </si>
  <si>
    <t>139亿</t>
  </si>
  <si>
    <t>新凤鸣</t>
  </si>
  <si>
    <t>1.76亿</t>
  </si>
  <si>
    <t>2.60万</t>
  </si>
  <si>
    <t>7730万</t>
  </si>
  <si>
    <t>诚志股份</t>
  </si>
  <si>
    <t>3.29万</t>
  </si>
  <si>
    <t>5992万</t>
  </si>
  <si>
    <t>71.1亿</t>
  </si>
  <si>
    <t>中工国际</t>
  </si>
  <si>
    <t>1.13亿</t>
  </si>
  <si>
    <t>3.86万</t>
  </si>
  <si>
    <t>北大荒</t>
  </si>
  <si>
    <t>37.7万</t>
  </si>
  <si>
    <t>4.82亿</t>
  </si>
  <si>
    <t>新 大 陆</t>
  </si>
  <si>
    <t>8.13亿</t>
  </si>
  <si>
    <t>9.24亿</t>
  </si>
  <si>
    <t>贝瑞基因</t>
  </si>
  <si>
    <t>1.51亿</t>
  </si>
  <si>
    <t>97.6亿</t>
  </si>
  <si>
    <t>蒙草生态</t>
  </si>
  <si>
    <t>140万</t>
  </si>
  <si>
    <t>49.3万</t>
  </si>
  <si>
    <t>90.3万</t>
  </si>
  <si>
    <t>海南矿业</t>
  </si>
  <si>
    <t>5888万</t>
  </si>
  <si>
    <t>一汽轿车</t>
  </si>
  <si>
    <t>3.62亿</t>
  </si>
  <si>
    <t>生物股份</t>
  </si>
  <si>
    <t>5.80万</t>
  </si>
  <si>
    <t>8.99亿</t>
  </si>
  <si>
    <t>8.58亿</t>
  </si>
  <si>
    <t>217亿</t>
  </si>
  <si>
    <t>首旅酒店</t>
  </si>
  <si>
    <t>6198万</t>
  </si>
  <si>
    <t>8.16亿</t>
  </si>
  <si>
    <t>77.3亿</t>
  </si>
  <si>
    <t>中信重工</t>
  </si>
  <si>
    <t>5294万</t>
  </si>
  <si>
    <t>-1.09万</t>
  </si>
  <si>
    <t>5.36万</t>
  </si>
  <si>
    <t>43.4亿</t>
  </si>
  <si>
    <t>226亿</t>
  </si>
  <si>
    <t>42.8亿</t>
  </si>
  <si>
    <t>冀东水泥</t>
  </si>
  <si>
    <t>凯迪生态</t>
  </si>
  <si>
    <t>39.3万</t>
  </si>
  <si>
    <t>2.22亿</t>
  </si>
  <si>
    <t>-2.26万</t>
  </si>
  <si>
    <t>225亿</t>
  </si>
  <si>
    <t>景旺电子</t>
  </si>
  <si>
    <t>3310万</t>
  </si>
  <si>
    <t>4.08亿</t>
  </si>
  <si>
    <t>4800万</t>
  </si>
  <si>
    <t>鱼跃医疗</t>
  </si>
  <si>
    <t>4.88亿</t>
  </si>
  <si>
    <t>8.55亿</t>
  </si>
  <si>
    <t>协鑫集成</t>
  </si>
  <si>
    <t>-1.65万</t>
  </si>
  <si>
    <t>50.5亿</t>
  </si>
  <si>
    <t>25.2亿</t>
  </si>
  <si>
    <t>112亿</t>
  </si>
  <si>
    <t>山鹰纸业</t>
  </si>
  <si>
    <t>2.97亿</t>
  </si>
  <si>
    <t>29.3万</t>
  </si>
  <si>
    <t>安琪酵母</t>
  </si>
  <si>
    <t>7.48万</t>
  </si>
  <si>
    <t>8.24亿</t>
  </si>
  <si>
    <t>海虹控股</t>
  </si>
  <si>
    <t>营口港</t>
  </si>
  <si>
    <t>5.01万</t>
  </si>
  <si>
    <t>1727万</t>
  </si>
  <si>
    <t>2.29万</t>
  </si>
  <si>
    <t>64.7亿</t>
  </si>
  <si>
    <t>铁汉生态</t>
  </si>
  <si>
    <t>222亿</t>
  </si>
  <si>
    <t>9.91亿</t>
  </si>
  <si>
    <t>顾家家居</t>
  </si>
  <si>
    <t>5336万</t>
  </si>
  <si>
    <t>8250万</t>
  </si>
  <si>
    <t>44.4亿</t>
  </si>
  <si>
    <t>北方导航</t>
  </si>
  <si>
    <t>2.26亿</t>
  </si>
  <si>
    <t>10.0万</t>
  </si>
  <si>
    <t>5.20万</t>
  </si>
  <si>
    <t>14.9亿</t>
  </si>
  <si>
    <t>东软集团</t>
  </si>
  <si>
    <t>7.46万</t>
  </si>
  <si>
    <t>恒康医疗</t>
  </si>
  <si>
    <t>5783万</t>
  </si>
  <si>
    <t>2.88万</t>
  </si>
  <si>
    <t>9.17亿</t>
  </si>
  <si>
    <t>光环新网</t>
  </si>
  <si>
    <t>36.9万</t>
  </si>
  <si>
    <t>5.64亿</t>
  </si>
  <si>
    <t>19.0万</t>
  </si>
  <si>
    <t>中化国际</t>
  </si>
  <si>
    <t>7.27万</t>
  </si>
  <si>
    <t>广汇能源</t>
  </si>
  <si>
    <t>9.85万</t>
  </si>
  <si>
    <t>4170万</t>
  </si>
  <si>
    <t>-1.54万</t>
  </si>
  <si>
    <t>4.89万</t>
  </si>
  <si>
    <t>生益科技</t>
  </si>
  <si>
    <t>2.08亿</t>
  </si>
  <si>
    <t>联美控股</t>
  </si>
  <si>
    <t>2.51万</t>
  </si>
  <si>
    <t>6205万</t>
  </si>
  <si>
    <t>1.64万</t>
  </si>
  <si>
    <t>8.80亿</t>
  </si>
  <si>
    <t>2.11亿</t>
  </si>
  <si>
    <t>52.6亿</t>
  </si>
  <si>
    <t>天地科技</t>
  </si>
  <si>
    <t>1.34亿</t>
  </si>
  <si>
    <t>41.4亿</t>
  </si>
  <si>
    <t>中环股份</t>
  </si>
  <si>
    <t>218亿</t>
  </si>
  <si>
    <t>亿纬锂能</t>
  </si>
  <si>
    <t>18.9万</t>
  </si>
  <si>
    <t>4.83亿</t>
  </si>
  <si>
    <t>8.56亿</t>
  </si>
  <si>
    <t>8.19亿</t>
  </si>
  <si>
    <t>老凤祥</t>
  </si>
  <si>
    <t>3485万</t>
  </si>
  <si>
    <t xml:space="preserve"> 珠宝首饰</t>
  </si>
  <si>
    <t>5.23亿</t>
  </si>
  <si>
    <t>中储股份</t>
  </si>
  <si>
    <t>5.13万</t>
  </si>
  <si>
    <t>5.47万</t>
  </si>
  <si>
    <t>泰禾集团</t>
  </si>
  <si>
    <t>4856万</t>
  </si>
  <si>
    <t>1.18万</t>
  </si>
  <si>
    <t>酒钢宏兴</t>
  </si>
  <si>
    <t>95.2万</t>
  </si>
  <si>
    <t>-3.51万</t>
  </si>
  <si>
    <t>55.6万</t>
  </si>
  <si>
    <t>62.6亿</t>
  </si>
  <si>
    <t>皖通高速</t>
  </si>
  <si>
    <t>1691万</t>
  </si>
  <si>
    <t>16.6亿</t>
  </si>
  <si>
    <t>游族网络</t>
  </si>
  <si>
    <t>138亿</t>
  </si>
  <si>
    <t>今世缘</t>
  </si>
  <si>
    <t>海普瑞</t>
  </si>
  <si>
    <t>7012万</t>
  </si>
  <si>
    <t>江特电机</t>
  </si>
  <si>
    <t>48.9万</t>
  </si>
  <si>
    <t>7.16亿</t>
  </si>
  <si>
    <t>27.9万</t>
  </si>
  <si>
    <t>14.7亿</t>
  </si>
  <si>
    <t>莱克电气</t>
  </si>
  <si>
    <t>8664万</t>
  </si>
  <si>
    <t>6669万</t>
  </si>
  <si>
    <t>鹏欣资源</t>
  </si>
  <si>
    <t>70.9万</t>
  </si>
  <si>
    <t>8.02亿</t>
  </si>
  <si>
    <t>36.5万</t>
  </si>
  <si>
    <t>34.4万</t>
  </si>
  <si>
    <t>三钢闽光</t>
  </si>
  <si>
    <t>155亿</t>
  </si>
  <si>
    <t>江淮汽车</t>
  </si>
  <si>
    <t>32.8万</t>
  </si>
  <si>
    <t>3.71亿</t>
  </si>
  <si>
    <t>齐翔腾达</t>
  </si>
  <si>
    <t>6111万</t>
  </si>
  <si>
    <t>2.26万</t>
  </si>
  <si>
    <t>16.8亿</t>
  </si>
  <si>
    <t>华新水泥</t>
  </si>
  <si>
    <t>9.73亿</t>
  </si>
  <si>
    <t>滨江集团</t>
  </si>
  <si>
    <t>9122万</t>
  </si>
  <si>
    <t>5.95万</t>
  </si>
  <si>
    <t>7.39万</t>
  </si>
  <si>
    <t>186亿</t>
  </si>
  <si>
    <t>奥瑞德</t>
  </si>
  <si>
    <t>8.04亿</t>
  </si>
  <si>
    <t>亿联网络</t>
  </si>
  <si>
    <t>3734万</t>
  </si>
  <si>
    <t>深高速</t>
  </si>
  <si>
    <t>3.30万</t>
  </si>
  <si>
    <t>3214万</t>
  </si>
  <si>
    <t>1.09万</t>
  </si>
  <si>
    <t>2.00万</t>
  </si>
  <si>
    <t>博天环境</t>
  </si>
  <si>
    <t>8.49亿</t>
  </si>
  <si>
    <t>8.14万</t>
  </si>
  <si>
    <t>21.3亿</t>
  </si>
  <si>
    <t>华数传媒</t>
  </si>
  <si>
    <t>3723万</t>
  </si>
  <si>
    <t>达华智能</t>
  </si>
  <si>
    <t>5.56万</t>
  </si>
  <si>
    <t>5.73亿</t>
  </si>
  <si>
    <t>掌趣科技</t>
  </si>
  <si>
    <t>1.56亿</t>
  </si>
  <si>
    <t>9.73万</t>
  </si>
  <si>
    <t>203亿</t>
  </si>
  <si>
    <t>安图生物</t>
  </si>
  <si>
    <t>7166万</t>
  </si>
  <si>
    <t>1.37亿</t>
  </si>
  <si>
    <t>68.8亿</t>
  </si>
  <si>
    <t>拓普集团</t>
  </si>
  <si>
    <t>9203万</t>
  </si>
  <si>
    <t>1.99万</t>
  </si>
  <si>
    <t>7.28亿</t>
  </si>
  <si>
    <t>西部矿业</t>
  </si>
  <si>
    <t>34.9万</t>
  </si>
  <si>
    <t>寒锐钴业</t>
  </si>
  <si>
    <t>3000万</t>
  </si>
  <si>
    <t>华鲁恒升</t>
  </si>
  <si>
    <t>7.96万</t>
  </si>
  <si>
    <t>4.67万</t>
  </si>
  <si>
    <t>16.1亿</t>
  </si>
  <si>
    <t>桐昆股份</t>
  </si>
  <si>
    <t>11.9万</t>
  </si>
  <si>
    <t>7.25万</t>
  </si>
  <si>
    <t>205亿</t>
  </si>
  <si>
    <t>搜于特</t>
  </si>
  <si>
    <t>3.54万</t>
  </si>
  <si>
    <t>2369万</t>
  </si>
  <si>
    <t>紫光国芯</t>
  </si>
  <si>
    <t>4.14亿</t>
  </si>
  <si>
    <t>6.07亿</t>
  </si>
  <si>
    <t>福田汽车</t>
  </si>
  <si>
    <t>61.4万</t>
  </si>
  <si>
    <t>1.91亿</t>
  </si>
  <si>
    <t>24.2万</t>
  </si>
  <si>
    <t>2.73万</t>
  </si>
  <si>
    <t>爱建集团</t>
  </si>
  <si>
    <t>歌华有线</t>
  </si>
  <si>
    <t>6435万</t>
  </si>
  <si>
    <t>2.38万</t>
  </si>
  <si>
    <t>和邦生物</t>
  </si>
  <si>
    <t>36.0万</t>
  </si>
  <si>
    <t>8356万</t>
  </si>
  <si>
    <t>21.5万</t>
  </si>
  <si>
    <t>1.16万</t>
  </si>
  <si>
    <t>88.3亿</t>
  </si>
  <si>
    <t>露天煤业</t>
  </si>
  <si>
    <t>7.19万</t>
  </si>
  <si>
    <t>华闻传媒</t>
  </si>
  <si>
    <t>7.97万</t>
  </si>
  <si>
    <t>云南铜业</t>
  </si>
  <si>
    <t>神火股份</t>
  </si>
  <si>
    <t>26.2万</t>
  </si>
  <si>
    <t>南洋股份</t>
  </si>
  <si>
    <t>6896万</t>
  </si>
  <si>
    <t>204亿</t>
  </si>
  <si>
    <t>41.2亿</t>
  </si>
  <si>
    <t>奥飞娱乐</t>
  </si>
  <si>
    <t>8.99万</t>
  </si>
  <si>
    <t>1.40亿</t>
  </si>
  <si>
    <t>5.10万</t>
  </si>
  <si>
    <t>首航节能</t>
  </si>
  <si>
    <t>7897万</t>
  </si>
  <si>
    <t>鹏起科技</t>
  </si>
  <si>
    <t>5136万</t>
  </si>
  <si>
    <t>137亿</t>
  </si>
  <si>
    <t>小康股份</t>
  </si>
  <si>
    <t>7181万</t>
  </si>
  <si>
    <t>1.80亿</t>
  </si>
  <si>
    <t>中金环境</t>
  </si>
  <si>
    <t>125亿</t>
  </si>
  <si>
    <t>海信科龙</t>
  </si>
  <si>
    <t>2.24亿</t>
  </si>
  <si>
    <t>8.44万</t>
  </si>
  <si>
    <t>135亿</t>
  </si>
  <si>
    <t>世茂股份</t>
  </si>
  <si>
    <t>8.53万</t>
  </si>
  <si>
    <t>4612万</t>
  </si>
  <si>
    <t>外高桥</t>
  </si>
  <si>
    <t>1.69万</t>
  </si>
  <si>
    <t>3006万</t>
  </si>
  <si>
    <t>9.35亿</t>
  </si>
  <si>
    <t>167亿</t>
  </si>
  <si>
    <t>鸿达兴业</t>
  </si>
  <si>
    <t>8.86万</t>
  </si>
  <si>
    <t>6915万</t>
  </si>
  <si>
    <t>163亿</t>
  </si>
  <si>
    <t>上海机电</t>
  </si>
  <si>
    <t>3991万</t>
  </si>
  <si>
    <t>8.07亿</t>
  </si>
  <si>
    <t>易事特</t>
  </si>
  <si>
    <t>23.3亿</t>
  </si>
  <si>
    <t>200亿</t>
  </si>
  <si>
    <t>建投能源</t>
  </si>
  <si>
    <t>8.34万</t>
  </si>
  <si>
    <t>8.31万</t>
  </si>
  <si>
    <t>科大智能</t>
  </si>
  <si>
    <t>55.1万</t>
  </si>
  <si>
    <t>7.30亿</t>
  </si>
  <si>
    <t>3.23亿</t>
  </si>
  <si>
    <t>89.5亿</t>
  </si>
  <si>
    <t>海信电器</t>
  </si>
  <si>
    <t>9.40万</t>
  </si>
  <si>
    <t>1.45亿</t>
  </si>
  <si>
    <t>5.77万</t>
  </si>
  <si>
    <t>东旭蓝天</t>
  </si>
  <si>
    <t>5917万</t>
  </si>
  <si>
    <t>1.84万</t>
  </si>
  <si>
    <t>金科文化</t>
  </si>
  <si>
    <t>9832万</t>
  </si>
  <si>
    <t>4.50万</t>
  </si>
  <si>
    <t>66.2亿</t>
  </si>
  <si>
    <t>以岭药业</t>
  </si>
  <si>
    <t>3834万</t>
  </si>
  <si>
    <t>9.12亿</t>
  </si>
  <si>
    <t>华策影视</t>
  </si>
  <si>
    <t>5.84万</t>
  </si>
  <si>
    <t>4.26万</t>
  </si>
  <si>
    <t>联络互动</t>
  </si>
  <si>
    <t>兴业矿业</t>
  </si>
  <si>
    <t>4.87万</t>
  </si>
  <si>
    <t>5234万</t>
  </si>
  <si>
    <t>梅花生物</t>
  </si>
  <si>
    <t>8.18万</t>
  </si>
  <si>
    <t>南 玻Ａ</t>
  </si>
  <si>
    <t>6940万</t>
  </si>
  <si>
    <t>5.19万</t>
  </si>
  <si>
    <t>广州发展</t>
  </si>
  <si>
    <t>4426万</t>
  </si>
  <si>
    <t>3.83万</t>
  </si>
  <si>
    <t>2.20万</t>
  </si>
  <si>
    <t>启明星辰</t>
  </si>
  <si>
    <t>9.67万</t>
  </si>
  <si>
    <t>2.17亿</t>
  </si>
  <si>
    <t>6.17万</t>
  </si>
  <si>
    <t>8.97亿</t>
  </si>
  <si>
    <t>天津港</t>
  </si>
  <si>
    <t>7476万</t>
  </si>
  <si>
    <t>3.28万</t>
  </si>
  <si>
    <t>3.00万</t>
  </si>
  <si>
    <t>汤臣倍健</t>
  </si>
  <si>
    <t>6.10万</t>
  </si>
  <si>
    <t>8.72亿</t>
  </si>
  <si>
    <t>新疆城建</t>
  </si>
  <si>
    <t>5088万</t>
  </si>
  <si>
    <t>71.0亿</t>
  </si>
  <si>
    <t>西部建设</t>
  </si>
  <si>
    <t>2.65亿</t>
  </si>
  <si>
    <t>7.31万</t>
  </si>
  <si>
    <t>大洋电机</t>
  </si>
  <si>
    <t>1.85亿</t>
  </si>
  <si>
    <t>8.45万</t>
  </si>
  <si>
    <t>23.7亿</t>
  </si>
  <si>
    <t>中材科技</t>
  </si>
  <si>
    <t>98.4亿</t>
  </si>
  <si>
    <t>长信科技</t>
  </si>
  <si>
    <t>71.0万</t>
  </si>
  <si>
    <t>6.09亿</t>
  </si>
  <si>
    <t>42.0万</t>
  </si>
  <si>
    <t>189亿</t>
  </si>
  <si>
    <t>中粮糖业</t>
  </si>
  <si>
    <t>7556万</t>
  </si>
  <si>
    <t>3.27万</t>
  </si>
  <si>
    <t>20.5亿</t>
  </si>
  <si>
    <t>晨光文具</t>
  </si>
  <si>
    <t>7411万</t>
  </si>
  <si>
    <t>9.20亿</t>
  </si>
  <si>
    <t>浦东金桥</t>
  </si>
  <si>
    <t>2299万</t>
  </si>
  <si>
    <t>北辰实业</t>
  </si>
  <si>
    <t>4.03万</t>
  </si>
  <si>
    <t>2360万</t>
  </si>
  <si>
    <t>33.7亿</t>
  </si>
  <si>
    <t>26.6亿</t>
  </si>
  <si>
    <t>三角轮胎</t>
  </si>
  <si>
    <t>9095万</t>
  </si>
  <si>
    <t>2.80亿</t>
  </si>
  <si>
    <t>康泰生物</t>
  </si>
  <si>
    <t>2.01亿</t>
  </si>
  <si>
    <t>2.32万</t>
  </si>
  <si>
    <t>4200万</t>
  </si>
  <si>
    <t>旋极信息</t>
  </si>
  <si>
    <t>5885万</t>
  </si>
  <si>
    <t>1.41万</t>
  </si>
  <si>
    <t>5.96亿</t>
  </si>
  <si>
    <t>99.8亿</t>
  </si>
  <si>
    <t>双鹭药业</t>
  </si>
  <si>
    <t>1.82万</t>
  </si>
  <si>
    <t>5.66亿</t>
  </si>
  <si>
    <t>柳钢股份</t>
  </si>
  <si>
    <t>59.5万</t>
  </si>
  <si>
    <t>4.52亿</t>
  </si>
  <si>
    <t>25.6亿</t>
  </si>
  <si>
    <t>水井坊</t>
  </si>
  <si>
    <t>3.97亿</t>
  </si>
  <si>
    <t>195亿</t>
  </si>
  <si>
    <t>刚泰控股</t>
  </si>
  <si>
    <t>2816万</t>
  </si>
  <si>
    <t>飞马国际</t>
  </si>
  <si>
    <t>6214万</t>
  </si>
  <si>
    <t>1.89万</t>
  </si>
  <si>
    <t>广电运通</t>
  </si>
  <si>
    <t>9083万</t>
  </si>
  <si>
    <t>南洋科技</t>
  </si>
  <si>
    <t>美都能源</t>
  </si>
  <si>
    <t>21.1万</t>
  </si>
  <si>
    <t>24.5亿</t>
  </si>
  <si>
    <t>韶钢松山</t>
  </si>
  <si>
    <t>4.42亿</t>
  </si>
  <si>
    <t>浙江东方</t>
  </si>
  <si>
    <t>3.38亿</t>
  </si>
  <si>
    <t>7.54万</t>
  </si>
  <si>
    <t>奋达科技</t>
  </si>
  <si>
    <t>5.03万</t>
  </si>
  <si>
    <t>6749万</t>
  </si>
  <si>
    <t>2.42万</t>
  </si>
  <si>
    <t>6.13亿</t>
  </si>
  <si>
    <t>83.8亿</t>
  </si>
  <si>
    <t>庞大集团</t>
  </si>
  <si>
    <t>9757万</t>
  </si>
  <si>
    <t>-2.37万</t>
  </si>
  <si>
    <t>2.43万</t>
  </si>
  <si>
    <t>3.59万</t>
  </si>
  <si>
    <t>东方集团</t>
  </si>
  <si>
    <t>7.21万</t>
  </si>
  <si>
    <t>3730万</t>
  </si>
  <si>
    <t xml:space="preserve"> 综合行业</t>
  </si>
  <si>
    <t>32.7亿</t>
  </si>
  <si>
    <t>170亿</t>
  </si>
  <si>
    <t>深圳燃气</t>
  </si>
  <si>
    <t>3046万</t>
  </si>
  <si>
    <t>江粉磁材</t>
  </si>
  <si>
    <t>-1.32万</t>
  </si>
  <si>
    <t>23.5亿</t>
  </si>
  <si>
    <t>13.3亿</t>
  </si>
  <si>
    <t>中国出版</t>
  </si>
  <si>
    <t>3.52亿</t>
  </si>
  <si>
    <t>17.0万</t>
  </si>
  <si>
    <t>18.2亿</t>
  </si>
  <si>
    <t>38.4亿</t>
  </si>
  <si>
    <t>大名城</t>
  </si>
  <si>
    <t>1824万</t>
  </si>
  <si>
    <t>24.8亿</t>
  </si>
  <si>
    <t>上海环境</t>
  </si>
  <si>
    <t>41.2万</t>
  </si>
  <si>
    <t>19.6万</t>
  </si>
  <si>
    <t>4.16万</t>
  </si>
  <si>
    <t>厦门国贸</t>
  </si>
  <si>
    <t>40.0万</t>
  </si>
  <si>
    <t>4.33亿</t>
  </si>
  <si>
    <t>中国宝安</t>
  </si>
  <si>
    <t>8.21万</t>
  </si>
  <si>
    <t>华润双鹤</t>
  </si>
  <si>
    <t>6.86亿</t>
  </si>
  <si>
    <t>河北宣工</t>
  </si>
  <si>
    <t>4.74万</t>
  </si>
  <si>
    <t>怡 亚 通</t>
  </si>
  <si>
    <t>天神娱乐</t>
  </si>
  <si>
    <t>8.33万</t>
  </si>
  <si>
    <t>1.77亿</t>
  </si>
  <si>
    <t>103亿</t>
  </si>
  <si>
    <t>龙净环保</t>
  </si>
  <si>
    <t>43.3万</t>
  </si>
  <si>
    <t>7.55亿</t>
  </si>
  <si>
    <t>26.6万</t>
  </si>
  <si>
    <t>中国国贸</t>
  </si>
  <si>
    <t>1110万</t>
  </si>
  <si>
    <t>利欧股份</t>
  </si>
  <si>
    <t>123万</t>
  </si>
  <si>
    <t>4.18亿</t>
  </si>
  <si>
    <t>76.4万</t>
  </si>
  <si>
    <t>46.7万</t>
  </si>
  <si>
    <t>56.1亿</t>
  </si>
  <si>
    <t>32.1亿</t>
  </si>
  <si>
    <t>深圳华强</t>
  </si>
  <si>
    <t>1.87万</t>
  </si>
  <si>
    <t>4906万</t>
  </si>
  <si>
    <t>7.21亿</t>
  </si>
  <si>
    <t>6.67亿</t>
  </si>
  <si>
    <t>杭钢股份</t>
  </si>
  <si>
    <t>4.19万</t>
  </si>
  <si>
    <t>3048万</t>
  </si>
  <si>
    <t>9.27亿</t>
  </si>
  <si>
    <t>67.7亿</t>
  </si>
  <si>
    <t>华信国际</t>
  </si>
  <si>
    <t>1.75亿</t>
  </si>
  <si>
    <t>新华文轩</t>
  </si>
  <si>
    <t>3829万</t>
  </si>
  <si>
    <t>1.99亿</t>
  </si>
  <si>
    <t>30.5亿</t>
  </si>
  <si>
    <t>常熟银行</t>
  </si>
  <si>
    <t>15.0万</t>
  </si>
  <si>
    <t>6.53万</t>
  </si>
  <si>
    <t>9.87亿</t>
  </si>
  <si>
    <t>83.9亿</t>
  </si>
  <si>
    <t>康恩贝</t>
  </si>
  <si>
    <t>9384万</t>
  </si>
  <si>
    <t>5.42万</t>
  </si>
  <si>
    <t>阳泉煤业</t>
  </si>
  <si>
    <t>-1.57万</t>
  </si>
  <si>
    <t>9.79万</t>
  </si>
  <si>
    <t>9.33万</t>
  </si>
  <si>
    <t>太阳能</t>
  </si>
  <si>
    <t>9698万</t>
  </si>
  <si>
    <t>30.1亿</t>
  </si>
  <si>
    <t>中炬高新</t>
  </si>
  <si>
    <t>2.49万</t>
  </si>
  <si>
    <t>7.97亿</t>
  </si>
  <si>
    <t>188亿</t>
  </si>
  <si>
    <t>本钢板材</t>
  </si>
  <si>
    <t>1.26亿</t>
  </si>
  <si>
    <t>8.64万</t>
  </si>
  <si>
    <t>中化岩土</t>
  </si>
  <si>
    <t>7.04亿</t>
  </si>
  <si>
    <t>73.5亿</t>
  </si>
  <si>
    <t>锦龙股份</t>
  </si>
  <si>
    <t>8.96亿</t>
  </si>
  <si>
    <t>桃李面包</t>
  </si>
  <si>
    <t>2421万</t>
  </si>
  <si>
    <t>4.50亿</t>
  </si>
  <si>
    <t>5808万</t>
  </si>
  <si>
    <t>燕京啤酒</t>
  </si>
  <si>
    <t>*ST建峰</t>
  </si>
  <si>
    <t>5.99亿</t>
  </si>
  <si>
    <t>64.2亿</t>
  </si>
  <si>
    <t>伟星新材</t>
  </si>
  <si>
    <t>9279万</t>
  </si>
  <si>
    <t>8.93亿</t>
  </si>
  <si>
    <t>蓝光发展</t>
  </si>
  <si>
    <t>8.83亿</t>
  </si>
  <si>
    <t>神雾节能</t>
  </si>
  <si>
    <t>6.37亿</t>
  </si>
  <si>
    <t>83.3亿</t>
  </si>
  <si>
    <t>东华能源</t>
  </si>
  <si>
    <t>3.34万</t>
  </si>
  <si>
    <t>3720万</t>
  </si>
  <si>
    <t>1.94万</t>
  </si>
  <si>
    <t>143亿</t>
  </si>
  <si>
    <t>江铃汽车</t>
  </si>
  <si>
    <t>6866万</t>
  </si>
  <si>
    <t>5.17亿</t>
  </si>
  <si>
    <t>亿利洁能</t>
  </si>
  <si>
    <t>8212万</t>
  </si>
  <si>
    <t>6.75万</t>
  </si>
  <si>
    <t>新华网</t>
  </si>
  <si>
    <t>8.07万</t>
  </si>
  <si>
    <t>5.19亿</t>
  </si>
  <si>
    <t>1.30亿</t>
  </si>
  <si>
    <t>45.8亿</t>
  </si>
  <si>
    <t>哈投股份</t>
  </si>
  <si>
    <t>4.65万</t>
  </si>
  <si>
    <t>4022万</t>
  </si>
  <si>
    <t>新研股份</t>
  </si>
  <si>
    <t>5.98万</t>
  </si>
  <si>
    <t>7348万</t>
  </si>
  <si>
    <t>9.50亿</t>
  </si>
  <si>
    <t>大参林</t>
  </si>
  <si>
    <t>内蒙华电</t>
  </si>
  <si>
    <t>3022万</t>
  </si>
  <si>
    <t>-2.30万</t>
  </si>
  <si>
    <t>58.1亿</t>
  </si>
  <si>
    <t>万邦达</t>
  </si>
  <si>
    <t>68.5万</t>
  </si>
  <si>
    <t>27.7万</t>
  </si>
  <si>
    <t>40.8万</t>
  </si>
  <si>
    <t>8.65亿</t>
  </si>
  <si>
    <t>中科三环</t>
  </si>
  <si>
    <t>4.04亿</t>
  </si>
  <si>
    <t>粤高速Ａ</t>
  </si>
  <si>
    <t>181亿</t>
  </si>
  <si>
    <t>4.69亿</t>
  </si>
  <si>
    <t>40.7亿</t>
  </si>
  <si>
    <t>华天科技</t>
  </si>
  <si>
    <t>72.5万</t>
  </si>
  <si>
    <t>-2.93万</t>
  </si>
  <si>
    <t>44.7万</t>
  </si>
  <si>
    <t>中航高科</t>
  </si>
  <si>
    <t>3.93亿</t>
  </si>
  <si>
    <t>7.90亿</t>
  </si>
  <si>
    <t>亚泰集团</t>
  </si>
  <si>
    <t>8976万</t>
  </si>
  <si>
    <t>8.36万</t>
  </si>
  <si>
    <t>7.80万</t>
  </si>
  <si>
    <t>德展健康</t>
  </si>
  <si>
    <t>1463万</t>
  </si>
  <si>
    <t>22.4亿</t>
  </si>
  <si>
    <t>东阳光科</t>
  </si>
  <si>
    <t>24.6亿</t>
  </si>
  <si>
    <t>海王生物</t>
  </si>
  <si>
    <t>3.09亿</t>
  </si>
  <si>
    <t>25.3万</t>
  </si>
  <si>
    <t>26.5亿</t>
  </si>
  <si>
    <t>126亿</t>
  </si>
  <si>
    <t>新钢股份</t>
  </si>
  <si>
    <t>75.5万</t>
  </si>
  <si>
    <t>-1.03万</t>
  </si>
  <si>
    <t>水晶光电</t>
  </si>
  <si>
    <t>39.1万</t>
  </si>
  <si>
    <t>25.6万</t>
  </si>
  <si>
    <t>6.12亿</t>
  </si>
  <si>
    <t>杭萧钢构</t>
  </si>
  <si>
    <t>37.3万</t>
  </si>
  <si>
    <t>兴蓉环境</t>
  </si>
  <si>
    <t>90.6万</t>
  </si>
  <si>
    <t>-2.47万</t>
  </si>
  <si>
    <t>29.6万</t>
  </si>
  <si>
    <t>61.0万</t>
  </si>
  <si>
    <t>常山股份</t>
  </si>
  <si>
    <t>8688万</t>
  </si>
  <si>
    <t>盐 田 港</t>
  </si>
  <si>
    <t>6379万</t>
  </si>
  <si>
    <t>178亿</t>
  </si>
  <si>
    <t>海南海药</t>
  </si>
  <si>
    <t>8011万</t>
  </si>
  <si>
    <t>嘉宝集团</t>
  </si>
  <si>
    <t>5242万</t>
  </si>
  <si>
    <t>6.69亿</t>
  </si>
  <si>
    <t>金域医学</t>
  </si>
  <si>
    <t>15.7万</t>
  </si>
  <si>
    <t>6.22亿</t>
  </si>
  <si>
    <t>8.20万</t>
  </si>
  <si>
    <t>6868万</t>
  </si>
  <si>
    <t>26.7亿</t>
  </si>
  <si>
    <t>江阴银行</t>
  </si>
  <si>
    <t>8515万</t>
  </si>
  <si>
    <t>4.18万</t>
  </si>
  <si>
    <t>4.28万</t>
  </si>
  <si>
    <t>7.17亿</t>
  </si>
  <si>
    <t>72.1亿</t>
  </si>
  <si>
    <t>天海投资</t>
  </si>
  <si>
    <t>5.26万</t>
  </si>
  <si>
    <t>3206万</t>
  </si>
  <si>
    <t>2.06万</t>
  </si>
  <si>
    <t>深圳机场</t>
  </si>
  <si>
    <t>4831万</t>
  </si>
  <si>
    <t>光明乳业</t>
  </si>
  <si>
    <t>宝泰隆</t>
  </si>
  <si>
    <t>52.2万</t>
  </si>
  <si>
    <t>通鼎互联</t>
  </si>
  <si>
    <t>7137万</t>
  </si>
  <si>
    <t>卫 士 通</t>
  </si>
  <si>
    <t>7.73万</t>
  </si>
  <si>
    <t>8.38亿</t>
  </si>
  <si>
    <t>5.51亿</t>
  </si>
  <si>
    <t>金发科技</t>
  </si>
  <si>
    <t>科达洁能</t>
  </si>
  <si>
    <t>118万</t>
  </si>
  <si>
    <t>43.1万</t>
  </si>
  <si>
    <t>74.8万</t>
  </si>
  <si>
    <t>尚品宅配</t>
  </si>
  <si>
    <t>2700万</t>
  </si>
  <si>
    <t>梅泰诺</t>
  </si>
  <si>
    <t>9866万</t>
  </si>
  <si>
    <t>4.19亿</t>
  </si>
  <si>
    <t>61.4亿</t>
  </si>
  <si>
    <t>粤泰股份</t>
  </si>
  <si>
    <t>1921万</t>
  </si>
  <si>
    <t>9.88亿</t>
  </si>
  <si>
    <t>68.7亿</t>
  </si>
  <si>
    <t>皖江物流</t>
  </si>
  <si>
    <t>2436万</t>
  </si>
  <si>
    <t>142亿</t>
  </si>
  <si>
    <t>中广核技</t>
  </si>
  <si>
    <t>8793万</t>
  </si>
  <si>
    <t>圣农发展</t>
  </si>
  <si>
    <t>6508万</t>
  </si>
  <si>
    <t>现代制药</t>
  </si>
  <si>
    <t>4976万</t>
  </si>
  <si>
    <t>1.61万</t>
  </si>
  <si>
    <t>90.2亿</t>
  </si>
  <si>
    <t>方大特钢</t>
  </si>
  <si>
    <t>3.34亿</t>
  </si>
  <si>
    <t>金能科技</t>
  </si>
  <si>
    <t>3.78万</t>
  </si>
  <si>
    <t>9650万</t>
  </si>
  <si>
    <t>旭升股份</t>
  </si>
  <si>
    <t>8065万</t>
  </si>
  <si>
    <t>173亿</t>
  </si>
  <si>
    <t>4160万</t>
  </si>
  <si>
    <t>嘉泽新能</t>
  </si>
  <si>
    <t>6120万</t>
  </si>
  <si>
    <t>巨星科技</t>
  </si>
  <si>
    <t>华锦股份</t>
  </si>
  <si>
    <t>9.17万</t>
  </si>
  <si>
    <t>大博医疗</t>
  </si>
  <si>
    <t>942万</t>
  </si>
  <si>
    <t>大康农业</t>
  </si>
  <si>
    <t>2658万</t>
  </si>
  <si>
    <t>54.9亿</t>
  </si>
  <si>
    <t>54.8亿</t>
  </si>
  <si>
    <t>横店东磁</t>
  </si>
  <si>
    <t>深赤湾Ａ</t>
  </si>
  <si>
    <t>7548万</t>
  </si>
  <si>
    <t>6.45亿</t>
  </si>
  <si>
    <t>4.65亿</t>
  </si>
  <si>
    <t>蓝焰控股</t>
  </si>
  <si>
    <t>市北高新</t>
  </si>
  <si>
    <t>3.06亿</t>
  </si>
  <si>
    <t>95.8亿</t>
  </si>
  <si>
    <t>瀚叶股份</t>
  </si>
  <si>
    <t>8564万</t>
  </si>
  <si>
    <t>5.39万</t>
  </si>
  <si>
    <t>宝新能源</t>
  </si>
  <si>
    <t>7296万</t>
  </si>
  <si>
    <t>4.73万</t>
  </si>
  <si>
    <t>蓝色光标</t>
  </si>
  <si>
    <t>9.56万</t>
  </si>
  <si>
    <t>7441万</t>
  </si>
  <si>
    <t>4.32万</t>
  </si>
  <si>
    <t>四川双马</t>
  </si>
  <si>
    <t>2.54亿</t>
  </si>
  <si>
    <t>6.72万</t>
  </si>
  <si>
    <t>7.63亿</t>
  </si>
  <si>
    <t>6.29亿</t>
  </si>
  <si>
    <t>富森美</t>
  </si>
  <si>
    <t>8985万</t>
  </si>
  <si>
    <t>4.40亿</t>
  </si>
  <si>
    <t>4400万</t>
  </si>
  <si>
    <t>四川长虹</t>
  </si>
  <si>
    <t>104万</t>
  </si>
  <si>
    <t>-5.29万</t>
  </si>
  <si>
    <t>70.0万</t>
  </si>
  <si>
    <t>无锡银行</t>
  </si>
  <si>
    <t>1.21亿</t>
  </si>
  <si>
    <t>7.92亿</t>
  </si>
  <si>
    <t>73.3亿</t>
  </si>
  <si>
    <t>卫星石化</t>
  </si>
  <si>
    <t>6366万</t>
  </si>
  <si>
    <t>2.16万</t>
  </si>
  <si>
    <t>雅化集团</t>
  </si>
  <si>
    <t>36.6万</t>
  </si>
  <si>
    <t>6.55亿</t>
  </si>
  <si>
    <t>9.60亿</t>
  </si>
  <si>
    <t>隆鑫通用</t>
  </si>
  <si>
    <t>3.66万</t>
  </si>
  <si>
    <t>美盛文化</t>
  </si>
  <si>
    <t>6047万</t>
  </si>
  <si>
    <t>6.91亿</t>
  </si>
  <si>
    <t>奇正藏药</t>
  </si>
  <si>
    <t>1.65万</t>
  </si>
  <si>
    <t>凌钢股份</t>
  </si>
  <si>
    <t>132万</t>
  </si>
  <si>
    <t>8.91亿</t>
  </si>
  <si>
    <t>68.1万</t>
  </si>
  <si>
    <t>64.2万</t>
  </si>
  <si>
    <t>苏垦农发</t>
  </si>
  <si>
    <t>2.18亿</t>
  </si>
  <si>
    <t>中科创达</t>
  </si>
  <si>
    <t>7.71亿</t>
  </si>
  <si>
    <t>92.0亿</t>
  </si>
  <si>
    <t>重庆建工</t>
  </si>
  <si>
    <t>2942万</t>
  </si>
  <si>
    <t>1.75万</t>
  </si>
  <si>
    <t>金证股份</t>
  </si>
  <si>
    <t>8.70万</t>
  </si>
  <si>
    <t>4.33万</t>
  </si>
  <si>
    <t>4.36万</t>
  </si>
  <si>
    <t>8.35亿</t>
  </si>
  <si>
    <t>人民网</t>
  </si>
  <si>
    <t>42.3万</t>
  </si>
  <si>
    <t>6.46亿</t>
  </si>
  <si>
    <t>苏宁环球</t>
  </si>
  <si>
    <t>8.00万</t>
  </si>
  <si>
    <t>4428万</t>
  </si>
  <si>
    <t>30.3亿</t>
  </si>
  <si>
    <t>22.9亿</t>
  </si>
  <si>
    <t>江苏国泰</t>
  </si>
  <si>
    <t>9.31万</t>
  </si>
  <si>
    <t>9948万</t>
  </si>
  <si>
    <t>74.5亿</t>
  </si>
  <si>
    <t>浙大网新</t>
  </si>
  <si>
    <t>58.4万</t>
  </si>
  <si>
    <t>9.31亿</t>
  </si>
  <si>
    <t>34.7万</t>
  </si>
  <si>
    <t>23.7万</t>
  </si>
  <si>
    <t>8.31亿</t>
  </si>
  <si>
    <t>九 芝 堂</t>
  </si>
  <si>
    <t>6994万</t>
  </si>
  <si>
    <t>航天发展</t>
  </si>
  <si>
    <t>9.66亿</t>
  </si>
  <si>
    <t>113亿</t>
  </si>
  <si>
    <t>顺络电子</t>
  </si>
  <si>
    <t>8458万</t>
  </si>
  <si>
    <t>6.68亿</t>
  </si>
  <si>
    <t>天赐材料</t>
  </si>
  <si>
    <t>92.8亿</t>
  </si>
  <si>
    <t>健康元</t>
  </si>
  <si>
    <t>华帝股份</t>
  </si>
  <si>
    <t>4.48万</t>
  </si>
  <si>
    <t>5.82亿</t>
  </si>
  <si>
    <t>5.18亿</t>
  </si>
  <si>
    <t>许继电气</t>
  </si>
  <si>
    <t>8962万</t>
  </si>
  <si>
    <t>3.03万</t>
  </si>
  <si>
    <t>闻泰科技</t>
  </si>
  <si>
    <t>佳都科技</t>
  </si>
  <si>
    <t>25.2万</t>
  </si>
  <si>
    <t>四川路桥</t>
  </si>
  <si>
    <t>36.1亿</t>
  </si>
  <si>
    <t>特锐德</t>
  </si>
  <si>
    <t>6654万</t>
  </si>
  <si>
    <t>9.98亿</t>
  </si>
  <si>
    <t>长城信息</t>
  </si>
  <si>
    <t>万里扬</t>
  </si>
  <si>
    <t>5733万</t>
  </si>
  <si>
    <t>2.31万</t>
  </si>
  <si>
    <t>华发股份</t>
  </si>
  <si>
    <t>7780万</t>
  </si>
  <si>
    <t>金洲慈航</t>
  </si>
  <si>
    <t>18.7万</t>
  </si>
  <si>
    <t>89.3亿</t>
  </si>
  <si>
    <t>外运发展</t>
  </si>
  <si>
    <t>9.05亿</t>
  </si>
  <si>
    <t>陕国投Ａ</t>
  </si>
  <si>
    <t>6734万</t>
  </si>
  <si>
    <t>5.60万</t>
  </si>
  <si>
    <t>30.9亿</t>
  </si>
  <si>
    <t>28.6亿</t>
  </si>
  <si>
    <t>伟明环保</t>
  </si>
  <si>
    <t>8.83万</t>
  </si>
  <si>
    <t>5.44万</t>
  </si>
  <si>
    <t>6.87亿</t>
  </si>
  <si>
    <t>光迅科技</t>
  </si>
  <si>
    <t>8.15万</t>
  </si>
  <si>
    <t>兆驰股份</t>
  </si>
  <si>
    <t>39.6万</t>
  </si>
  <si>
    <t>45.3亿</t>
  </si>
  <si>
    <t>39.7亿</t>
  </si>
  <si>
    <t>珈伟股份</t>
  </si>
  <si>
    <t>5.27万</t>
  </si>
  <si>
    <t>8.54亿</t>
  </si>
  <si>
    <t>3.24亿</t>
  </si>
  <si>
    <t>节能风电</t>
  </si>
  <si>
    <t>48.5万</t>
  </si>
  <si>
    <t>-4.30万</t>
  </si>
  <si>
    <t>41.6亿</t>
  </si>
  <si>
    <t>中山公用</t>
  </si>
  <si>
    <t>9.46万</t>
  </si>
  <si>
    <t>5.74万</t>
  </si>
  <si>
    <t>118亿</t>
  </si>
  <si>
    <t>中弘股份</t>
  </si>
  <si>
    <t>豫园股份</t>
  </si>
  <si>
    <t>迎驾贡酒</t>
  </si>
  <si>
    <t>9134万</t>
  </si>
  <si>
    <t>2.45万</t>
  </si>
  <si>
    <t>2.05万</t>
  </si>
  <si>
    <t>1.66亿</t>
  </si>
  <si>
    <t>33.8亿</t>
  </si>
  <si>
    <t>聚光科技</t>
  </si>
  <si>
    <t>7.53万</t>
  </si>
  <si>
    <t>平高电气</t>
  </si>
  <si>
    <t>3.98万</t>
  </si>
  <si>
    <t>4740万</t>
  </si>
  <si>
    <t>南都电源</t>
  </si>
  <si>
    <t>8.74亿</t>
  </si>
  <si>
    <t>沧州明珠</t>
  </si>
  <si>
    <t>5.09万</t>
  </si>
  <si>
    <t>豫金刚石</t>
  </si>
  <si>
    <t>4071万</t>
  </si>
  <si>
    <t>6.06亿</t>
  </si>
  <si>
    <t>81.1亿</t>
  </si>
  <si>
    <t>东方精工</t>
  </si>
  <si>
    <t>6289万</t>
  </si>
  <si>
    <t>神州信息</t>
  </si>
  <si>
    <t>9.63亿</t>
  </si>
  <si>
    <t>8.86亿</t>
  </si>
  <si>
    <t>148亿</t>
  </si>
  <si>
    <t>岱美股份</t>
  </si>
  <si>
    <t>海兴电力</t>
  </si>
  <si>
    <t>3813万</t>
  </si>
  <si>
    <t>3.80亿</t>
  </si>
  <si>
    <t>9334万</t>
  </si>
  <si>
    <t>多氟多</t>
  </si>
  <si>
    <t>3.51亿</t>
  </si>
  <si>
    <t>6.57万</t>
  </si>
  <si>
    <t>6.28亿</t>
  </si>
  <si>
    <t>铁龙物流</t>
  </si>
  <si>
    <t>3.28亿</t>
  </si>
  <si>
    <t>9.48万</t>
  </si>
  <si>
    <t>豪迈科技</t>
  </si>
  <si>
    <t>3469万</t>
  </si>
  <si>
    <t>104亿</t>
  </si>
  <si>
    <t>欣旺达</t>
  </si>
  <si>
    <t>7.41万</t>
  </si>
  <si>
    <t>7.08万</t>
  </si>
  <si>
    <t>智慧能源</t>
  </si>
  <si>
    <t>4845万</t>
  </si>
  <si>
    <t>太极实业</t>
  </si>
  <si>
    <t>20.6万</t>
  </si>
  <si>
    <t>90.1亿</t>
  </si>
  <si>
    <t>华邦健康</t>
  </si>
  <si>
    <t>3013万</t>
  </si>
  <si>
    <t>鲁西化工</t>
  </si>
  <si>
    <t>3.43亿</t>
  </si>
  <si>
    <t>18.3万</t>
  </si>
  <si>
    <t>华映科技</t>
  </si>
  <si>
    <t>9.38万</t>
  </si>
  <si>
    <t>5383万</t>
  </si>
  <si>
    <t>华灿光电</t>
  </si>
  <si>
    <t>6.43万</t>
  </si>
  <si>
    <t>8.41亿</t>
  </si>
  <si>
    <t>迪安诊断</t>
  </si>
  <si>
    <t>3.42亿</t>
  </si>
  <si>
    <t>汇鸿集团</t>
  </si>
  <si>
    <t>1968万</t>
  </si>
  <si>
    <t>泰格医药</t>
  </si>
  <si>
    <t>华工科技</t>
  </si>
  <si>
    <t>3.47亿</t>
  </si>
  <si>
    <t>奥瑞金</t>
  </si>
  <si>
    <t>8.35万</t>
  </si>
  <si>
    <t>5573万</t>
  </si>
  <si>
    <t>23.6亿</t>
  </si>
  <si>
    <t>120亿</t>
  </si>
  <si>
    <t>棕榈股份</t>
  </si>
  <si>
    <t>28.2万</t>
  </si>
  <si>
    <t>9.40亿</t>
  </si>
  <si>
    <t>99.4亿</t>
  </si>
  <si>
    <t>翰宇药业</t>
  </si>
  <si>
    <t>5.86万</t>
  </si>
  <si>
    <t>5.63亿</t>
  </si>
  <si>
    <t>94.7亿</t>
  </si>
  <si>
    <t>三星医疗</t>
  </si>
  <si>
    <t>2831万</t>
  </si>
  <si>
    <t>吉比特</t>
  </si>
  <si>
    <t>7295万</t>
  </si>
  <si>
    <t>7174万</t>
  </si>
  <si>
    <t>1780万</t>
  </si>
  <si>
    <t>39.0亿</t>
  </si>
  <si>
    <t>中兵红箭</t>
  </si>
  <si>
    <t>9.65万</t>
  </si>
  <si>
    <t>3.81万</t>
  </si>
  <si>
    <t>5.83亿</t>
  </si>
  <si>
    <t>拉夏贝尔</t>
  </si>
  <si>
    <t>5.29亿</t>
  </si>
  <si>
    <t>5.48亿</t>
  </si>
  <si>
    <t>5477万</t>
  </si>
  <si>
    <t>晶盛机电</t>
  </si>
  <si>
    <t>-1.00万</t>
  </si>
  <si>
    <t>9.21亿</t>
  </si>
  <si>
    <t>华峰超纤</t>
  </si>
  <si>
    <t>3975万</t>
  </si>
  <si>
    <t>6.31亿</t>
  </si>
  <si>
    <t>93.9亿</t>
  </si>
  <si>
    <t>高新兴</t>
  </si>
  <si>
    <t>5.62亿</t>
  </si>
  <si>
    <t>79.2亿</t>
  </si>
  <si>
    <t>金财互联</t>
  </si>
  <si>
    <t>1.46万</t>
  </si>
  <si>
    <t>4598万</t>
  </si>
  <si>
    <t>4.91亿</t>
  </si>
  <si>
    <t>54.2亿</t>
  </si>
  <si>
    <t>吴江银行</t>
  </si>
  <si>
    <t>3796万</t>
  </si>
  <si>
    <t>银泰资源</t>
  </si>
  <si>
    <t>6738万</t>
  </si>
  <si>
    <t>东江环保</t>
  </si>
  <si>
    <t>5.42亿</t>
  </si>
  <si>
    <t>94.6亿</t>
  </si>
  <si>
    <t>电广传媒</t>
  </si>
  <si>
    <t>6.79万</t>
  </si>
  <si>
    <t>中天能源</t>
  </si>
  <si>
    <t>6.93万</t>
  </si>
  <si>
    <t>7797万</t>
  </si>
  <si>
    <t>3.05万</t>
  </si>
  <si>
    <t>154亿</t>
  </si>
  <si>
    <t>87.0亿</t>
  </si>
  <si>
    <t>大众公用</t>
  </si>
  <si>
    <t>4268万</t>
  </si>
  <si>
    <t>5.41万</t>
  </si>
  <si>
    <t>杰瑞股份</t>
  </si>
  <si>
    <t>8975万</t>
  </si>
  <si>
    <t>3.38万</t>
  </si>
  <si>
    <t>宜华生活</t>
  </si>
  <si>
    <t>5592万</t>
  </si>
  <si>
    <t>2.25万</t>
  </si>
  <si>
    <t>千方科技</t>
  </si>
  <si>
    <t>中恒集团</t>
  </si>
  <si>
    <t>7.88万</t>
  </si>
  <si>
    <t>34.8亿</t>
  </si>
  <si>
    <t>32.8亿</t>
  </si>
  <si>
    <t>林洋能源</t>
  </si>
  <si>
    <t>6.44万</t>
  </si>
  <si>
    <t>5588万</t>
  </si>
  <si>
    <t>3.41万</t>
  </si>
  <si>
    <t>东方国信</t>
  </si>
  <si>
    <t>6.62万</t>
  </si>
  <si>
    <t>9630万</t>
  </si>
  <si>
    <t>8.06亿</t>
  </si>
  <si>
    <t>平煤股份</t>
  </si>
  <si>
    <t>氯碱化工</t>
  </si>
  <si>
    <t>7.50亿</t>
  </si>
  <si>
    <t>99.1亿</t>
  </si>
  <si>
    <t>达安基因</t>
  </si>
  <si>
    <t>9.36万</t>
  </si>
  <si>
    <t>7.25亿</t>
  </si>
  <si>
    <t>6.94亿</t>
  </si>
  <si>
    <t>长生生物</t>
  </si>
  <si>
    <t>5726万</t>
  </si>
  <si>
    <t>9.74亿</t>
  </si>
  <si>
    <t>百川能源</t>
  </si>
  <si>
    <t>6122万</t>
  </si>
  <si>
    <t>9.64亿</t>
  </si>
  <si>
    <t>3.27亿</t>
  </si>
  <si>
    <t>51.6亿</t>
  </si>
  <si>
    <t>京威股份</t>
  </si>
  <si>
    <t>115万</t>
  </si>
  <si>
    <t>70.4万</t>
  </si>
  <si>
    <t>依顿电子</t>
  </si>
  <si>
    <t>8.84万</t>
  </si>
  <si>
    <t>誉衡药业</t>
  </si>
  <si>
    <t>3.17万</t>
  </si>
  <si>
    <t>2180万</t>
  </si>
  <si>
    <t>神州泰岳</t>
  </si>
  <si>
    <t>5.11万</t>
  </si>
  <si>
    <t>3935万</t>
  </si>
  <si>
    <t>绝味食品</t>
  </si>
  <si>
    <t>3747万</t>
  </si>
  <si>
    <t>4.10亿</t>
  </si>
  <si>
    <t>5000万</t>
  </si>
  <si>
    <t>万达信息</t>
  </si>
  <si>
    <t>开山股份</t>
  </si>
  <si>
    <t>创新股份</t>
  </si>
  <si>
    <t xml:space="preserve"> 包装材料</t>
  </si>
  <si>
    <t>6287万</t>
  </si>
  <si>
    <t>69.5亿</t>
  </si>
  <si>
    <t>恩华药业</t>
  </si>
  <si>
    <t>3.02万</t>
  </si>
  <si>
    <t>4507万</t>
  </si>
  <si>
    <t>8.62亿</t>
  </si>
  <si>
    <t>农 产 品</t>
  </si>
  <si>
    <t>3.56万</t>
  </si>
  <si>
    <t>3150万</t>
  </si>
  <si>
    <t>迈克生物</t>
  </si>
  <si>
    <t>2.29亿</t>
  </si>
  <si>
    <t>4.09万</t>
  </si>
  <si>
    <t>北部湾港</t>
  </si>
  <si>
    <t>4211万</t>
  </si>
  <si>
    <t>2.63亿</t>
  </si>
  <si>
    <t>沧州大化</t>
  </si>
  <si>
    <t>华铁股份</t>
  </si>
  <si>
    <t>3375万</t>
  </si>
  <si>
    <t>1.96万</t>
  </si>
  <si>
    <t>5.87亿</t>
  </si>
  <si>
    <t>经纬纺机</t>
  </si>
  <si>
    <t>4.78万</t>
  </si>
  <si>
    <t>2.10万</t>
  </si>
  <si>
    <t>未名医药</t>
  </si>
  <si>
    <t>7176万</t>
  </si>
  <si>
    <t>6.60亿</t>
  </si>
  <si>
    <t>90.4亿</t>
  </si>
  <si>
    <t>五矿发展</t>
  </si>
  <si>
    <t>5877万</t>
  </si>
  <si>
    <t>诺德股份</t>
  </si>
  <si>
    <t>25.4万</t>
  </si>
  <si>
    <t>3.26亿</t>
  </si>
  <si>
    <t>皇庭国际</t>
  </si>
  <si>
    <t>936万</t>
  </si>
  <si>
    <t>2.86亿</t>
  </si>
  <si>
    <t>哈药股份</t>
  </si>
  <si>
    <t>中色股份</t>
  </si>
  <si>
    <t>7582万</t>
  </si>
  <si>
    <t>-1.21万</t>
  </si>
  <si>
    <t>号百控股</t>
  </si>
  <si>
    <t>2.68万</t>
  </si>
  <si>
    <t>5001万</t>
  </si>
  <si>
    <t>7.96亿</t>
  </si>
  <si>
    <t>5.35亿</t>
  </si>
  <si>
    <t>99.6亿</t>
  </si>
  <si>
    <t>信邦制药</t>
  </si>
  <si>
    <t>6890万</t>
  </si>
  <si>
    <t>88.6亿</t>
  </si>
  <si>
    <t>东方网力</t>
  </si>
  <si>
    <t>1.39亿</t>
  </si>
  <si>
    <t>3.96亿</t>
  </si>
  <si>
    <t>68.5亿</t>
  </si>
  <si>
    <t>华业资本</t>
  </si>
  <si>
    <t>5553万</t>
  </si>
  <si>
    <t>中材国际</t>
  </si>
  <si>
    <t>7.58万</t>
  </si>
  <si>
    <t>健帆生物</t>
  </si>
  <si>
    <t>2.41万</t>
  </si>
  <si>
    <t>4.17亿</t>
  </si>
  <si>
    <t>37.4亿</t>
  </si>
  <si>
    <t>中青旅</t>
  </si>
  <si>
    <t>8923万</t>
  </si>
  <si>
    <t>7.24亿</t>
  </si>
  <si>
    <t>九阳股份</t>
  </si>
  <si>
    <t>7177万</t>
  </si>
  <si>
    <t>7.68亿</t>
  </si>
  <si>
    <t>凯莱英</t>
  </si>
  <si>
    <t>1.15万</t>
  </si>
  <si>
    <t>7322万</t>
  </si>
  <si>
    <t>4573万</t>
  </si>
  <si>
    <t>森源电气</t>
  </si>
  <si>
    <t>4864万</t>
  </si>
  <si>
    <t>1.68万</t>
  </si>
  <si>
    <t>海亮股份</t>
  </si>
  <si>
    <t>2.84万</t>
  </si>
  <si>
    <t>2446万</t>
  </si>
  <si>
    <t>1.54万</t>
  </si>
  <si>
    <t>奥特佳</t>
  </si>
  <si>
    <t>7716万</t>
  </si>
  <si>
    <t>9.93万</t>
  </si>
  <si>
    <t>鼎信通讯</t>
  </si>
  <si>
    <t>4265万</t>
  </si>
  <si>
    <t>4340万</t>
  </si>
  <si>
    <t>福能股份</t>
  </si>
  <si>
    <t>2432万</t>
  </si>
  <si>
    <t>鄂尔多斯</t>
  </si>
  <si>
    <t>9.15万</t>
  </si>
  <si>
    <t>1.29亿</t>
  </si>
  <si>
    <t>4.31万</t>
  </si>
  <si>
    <t>86.5亿</t>
  </si>
  <si>
    <t>海联金汇</t>
  </si>
  <si>
    <t>3.35万</t>
  </si>
  <si>
    <t>3900万</t>
  </si>
  <si>
    <t>太平鸟</t>
  </si>
  <si>
    <t>4489万</t>
  </si>
  <si>
    <t>5500万</t>
  </si>
  <si>
    <t>中远海特</t>
  </si>
  <si>
    <t>6999万</t>
  </si>
  <si>
    <t>5.50万</t>
  </si>
  <si>
    <t>博雅生物</t>
  </si>
  <si>
    <t>5385万</t>
  </si>
  <si>
    <t>龙元建设</t>
  </si>
  <si>
    <t>1.61亿</t>
  </si>
  <si>
    <t>8.04万</t>
  </si>
  <si>
    <t>6.09万</t>
  </si>
  <si>
    <t>9.48亿</t>
  </si>
  <si>
    <t>中粮地产</t>
  </si>
  <si>
    <t>北斗星通</t>
  </si>
  <si>
    <t>5.13亿</t>
  </si>
  <si>
    <t>66.1亿</t>
  </si>
  <si>
    <t>炼石有色</t>
  </si>
  <si>
    <t>5.60亿</t>
  </si>
  <si>
    <t>鄂武商Ａ</t>
  </si>
  <si>
    <t>2.92万</t>
  </si>
  <si>
    <t>7.69亿</t>
  </si>
  <si>
    <t>科陆电子</t>
  </si>
  <si>
    <t>8965万</t>
  </si>
  <si>
    <t>重庆燃气</t>
  </si>
  <si>
    <t>1964万</t>
  </si>
  <si>
    <t>雏鹰农牧</t>
  </si>
  <si>
    <t>9292万</t>
  </si>
  <si>
    <t>-1.48万</t>
  </si>
  <si>
    <t>盛屯矿业</t>
  </si>
  <si>
    <t>38.1万</t>
  </si>
  <si>
    <t>四川成渝</t>
  </si>
  <si>
    <t>1432万</t>
  </si>
  <si>
    <t>21.6亿</t>
  </si>
  <si>
    <t>深康佳Ａ</t>
  </si>
  <si>
    <t>6169万</t>
  </si>
  <si>
    <t>3.44万</t>
  </si>
  <si>
    <t>珍宝岛</t>
  </si>
  <si>
    <t>5363万</t>
  </si>
  <si>
    <t>视觉中国</t>
  </si>
  <si>
    <t>6782万</t>
  </si>
  <si>
    <t>7.01亿</t>
  </si>
  <si>
    <t>56.9亿</t>
  </si>
  <si>
    <t>顺网科技</t>
  </si>
  <si>
    <t>2.35亿</t>
  </si>
  <si>
    <t>5.97万</t>
  </si>
  <si>
    <t>4.63亿</t>
  </si>
  <si>
    <t>94.8亿</t>
  </si>
  <si>
    <t>东方金钰</t>
  </si>
  <si>
    <t>9.98万</t>
  </si>
  <si>
    <t>闰土股份</t>
  </si>
  <si>
    <t>7957万</t>
  </si>
  <si>
    <t>福斯特</t>
  </si>
  <si>
    <t>6314万</t>
  </si>
  <si>
    <t>中珠医疗</t>
  </si>
  <si>
    <t>3921万</t>
  </si>
  <si>
    <t>2.33万</t>
  </si>
  <si>
    <t>神州数码</t>
  </si>
  <si>
    <t>五矿稀土</t>
  </si>
  <si>
    <t>9.81亿</t>
  </si>
  <si>
    <t>浙江永强</t>
  </si>
  <si>
    <t>2896万</t>
  </si>
  <si>
    <t>18.8亿</t>
  </si>
  <si>
    <t>劲嘉股份</t>
  </si>
  <si>
    <t>9103万</t>
  </si>
  <si>
    <t>4.80万</t>
  </si>
  <si>
    <t>大富科技</t>
  </si>
  <si>
    <t>7.12亿</t>
  </si>
  <si>
    <t>东方铁塔</t>
  </si>
  <si>
    <t>盛运环保</t>
  </si>
  <si>
    <t>8.77亿</t>
  </si>
  <si>
    <t>93.4亿</t>
  </si>
  <si>
    <t>广田集团</t>
  </si>
  <si>
    <t>4424万</t>
  </si>
  <si>
    <t>深科技</t>
  </si>
  <si>
    <t>8903万</t>
  </si>
  <si>
    <t>5.17万</t>
  </si>
  <si>
    <t>万孚生物</t>
  </si>
  <si>
    <t>9780万</t>
  </si>
  <si>
    <t>84.7亿</t>
  </si>
  <si>
    <t>广誉远</t>
  </si>
  <si>
    <t>7048万</t>
  </si>
  <si>
    <t>96.8亿</t>
  </si>
  <si>
    <t>昆百大Ａ</t>
  </si>
  <si>
    <t>60.0万</t>
  </si>
  <si>
    <t>7.14亿</t>
  </si>
  <si>
    <t>44.0万</t>
  </si>
  <si>
    <t>王府井</t>
  </si>
  <si>
    <t>5389万</t>
  </si>
  <si>
    <t>7.76亿</t>
  </si>
  <si>
    <t>大豪科技</t>
  </si>
  <si>
    <t>2902万</t>
  </si>
  <si>
    <t>5100万</t>
  </si>
  <si>
    <t>荣安地产</t>
  </si>
  <si>
    <t>8432万</t>
  </si>
  <si>
    <t>31.8亿</t>
  </si>
  <si>
    <t>30.4亿</t>
  </si>
  <si>
    <t>天夏智慧</t>
  </si>
  <si>
    <t>5064万</t>
  </si>
  <si>
    <t>47.9亿</t>
  </si>
  <si>
    <t>海思科</t>
  </si>
  <si>
    <t>1786万</t>
  </si>
  <si>
    <t>62.4亿</t>
  </si>
  <si>
    <t>深圳惠程</t>
  </si>
  <si>
    <t>7.66亿</t>
  </si>
  <si>
    <t>崇达技术</t>
  </si>
  <si>
    <t>5327万</t>
  </si>
  <si>
    <t>思源电气</t>
  </si>
  <si>
    <t>国机汽车</t>
  </si>
  <si>
    <t>6102万</t>
  </si>
  <si>
    <t>九鼎投资</t>
  </si>
  <si>
    <t>4.34亿</t>
  </si>
  <si>
    <t>旗滨集团</t>
  </si>
  <si>
    <t>2.36亿</t>
  </si>
  <si>
    <t>周大生</t>
  </si>
  <si>
    <t>8739万</t>
  </si>
  <si>
    <t>7685万</t>
  </si>
  <si>
    <t>22.3亿</t>
  </si>
  <si>
    <t>迪马股份</t>
  </si>
  <si>
    <t>8128万</t>
  </si>
  <si>
    <t>宁波华翔</t>
  </si>
  <si>
    <t>8652万</t>
  </si>
  <si>
    <t>4.60亿</t>
  </si>
  <si>
    <t>新奥股份</t>
  </si>
  <si>
    <t>9.86亿</t>
  </si>
  <si>
    <t>星宇股份</t>
  </si>
  <si>
    <t>4602万</t>
  </si>
  <si>
    <t>2.76亿</t>
  </si>
  <si>
    <t>保变电气</t>
  </si>
  <si>
    <t>4.97万</t>
  </si>
  <si>
    <t>6.46万</t>
  </si>
  <si>
    <t>国瓷材料</t>
  </si>
  <si>
    <t>5.98亿</t>
  </si>
  <si>
    <t>4.11亿</t>
  </si>
  <si>
    <t>珠江啤酒</t>
  </si>
  <si>
    <t>6.80亿</t>
  </si>
  <si>
    <t>84.6亿</t>
  </si>
  <si>
    <t>黄河旋风</t>
  </si>
  <si>
    <t>35.0万</t>
  </si>
  <si>
    <t>东风汽车</t>
  </si>
  <si>
    <t>27.1万</t>
  </si>
  <si>
    <t>北方华创</t>
  </si>
  <si>
    <t>3.50亿</t>
  </si>
  <si>
    <t>智度股份</t>
  </si>
  <si>
    <t>3251万</t>
  </si>
  <si>
    <t>1.39万</t>
  </si>
  <si>
    <t>特 力Ａ</t>
  </si>
  <si>
    <t>4.64亿</t>
  </si>
  <si>
    <t>89.4亿</t>
  </si>
  <si>
    <t>电连技术</t>
  </si>
  <si>
    <t>宝信软件</t>
  </si>
  <si>
    <t>2.04万</t>
  </si>
  <si>
    <t>5.24亿</t>
  </si>
  <si>
    <t>大唐电信</t>
  </si>
  <si>
    <t>7.79万</t>
  </si>
  <si>
    <t>5.76万</t>
  </si>
  <si>
    <t>瑞茂通</t>
  </si>
  <si>
    <t>2461万</t>
  </si>
  <si>
    <t>沱牌舍得</t>
  </si>
  <si>
    <t>2.47亿</t>
  </si>
  <si>
    <t>3.37亿</t>
  </si>
  <si>
    <t>索通发展</t>
  </si>
  <si>
    <t>2.41亿</t>
  </si>
  <si>
    <t>6020万</t>
  </si>
  <si>
    <t>34.1亿</t>
  </si>
  <si>
    <t>嘉化能源</t>
  </si>
  <si>
    <t>6.41万</t>
  </si>
  <si>
    <t>5834万</t>
  </si>
  <si>
    <t>卫宁健康</t>
  </si>
  <si>
    <t>29.4万</t>
  </si>
  <si>
    <t>15.8万</t>
  </si>
  <si>
    <t>97.4亿</t>
  </si>
  <si>
    <t>东方时尚</t>
  </si>
  <si>
    <t>1918万</t>
  </si>
  <si>
    <t>老百姓</t>
  </si>
  <si>
    <t>4314万</t>
  </si>
  <si>
    <t>2.67亿</t>
  </si>
  <si>
    <t>8412万</t>
  </si>
  <si>
    <t>中新药业</t>
  </si>
  <si>
    <t>3784万</t>
  </si>
  <si>
    <t>100.0亿</t>
  </si>
  <si>
    <t>韦尔股份</t>
  </si>
  <si>
    <t>4.16亿</t>
  </si>
  <si>
    <t>红日药业</t>
  </si>
  <si>
    <t>6070万</t>
  </si>
  <si>
    <t>5.75万</t>
  </si>
  <si>
    <t>7.77万</t>
  </si>
  <si>
    <t>欧浦智网</t>
  </si>
  <si>
    <t>6.22万</t>
  </si>
  <si>
    <t>神州长城</t>
  </si>
  <si>
    <t>6182万</t>
  </si>
  <si>
    <t>7.54亿</t>
  </si>
  <si>
    <t>飞利信</t>
  </si>
  <si>
    <t>98.0亿</t>
  </si>
  <si>
    <t>通化金马</t>
  </si>
  <si>
    <t>62.8亿</t>
  </si>
  <si>
    <t>美盈森</t>
  </si>
  <si>
    <t>5.12万</t>
  </si>
  <si>
    <t>4468万</t>
  </si>
  <si>
    <t>中船科技</t>
  </si>
  <si>
    <t>7.36亿</t>
  </si>
  <si>
    <t>3.10亿</t>
  </si>
  <si>
    <t>56.7亿</t>
  </si>
  <si>
    <t>华东科技</t>
  </si>
  <si>
    <t>90.1万</t>
  </si>
  <si>
    <t>-7.31万</t>
  </si>
  <si>
    <t>72.5亿</t>
  </si>
  <si>
    <t>宏达股份</t>
  </si>
  <si>
    <t>益丰药房</t>
  </si>
  <si>
    <t>7975万</t>
  </si>
  <si>
    <t>百润股份</t>
  </si>
  <si>
    <t>2993万</t>
  </si>
  <si>
    <t>民盛金科</t>
  </si>
  <si>
    <t>1709万</t>
  </si>
  <si>
    <t>3.73亿</t>
  </si>
  <si>
    <t>贵广网络</t>
  </si>
  <si>
    <t>6.55万</t>
  </si>
  <si>
    <t>利源精制</t>
  </si>
  <si>
    <t>5.83万</t>
  </si>
  <si>
    <t>6368万</t>
  </si>
  <si>
    <t>74.3亿</t>
  </si>
  <si>
    <t>海立股份</t>
  </si>
  <si>
    <t>4.08万</t>
  </si>
  <si>
    <t>4.61亿</t>
  </si>
  <si>
    <t>贵人鸟</t>
  </si>
  <si>
    <t>3192万</t>
  </si>
  <si>
    <t>6.14亿</t>
  </si>
  <si>
    <t>正邦科技</t>
  </si>
  <si>
    <t>9522万</t>
  </si>
  <si>
    <t>7.10万</t>
  </si>
  <si>
    <t>天健集团</t>
  </si>
  <si>
    <t>4.95万</t>
  </si>
  <si>
    <t>5506万</t>
  </si>
  <si>
    <t>2.89万</t>
  </si>
  <si>
    <t>7.74亿</t>
  </si>
  <si>
    <t>86.1亿</t>
  </si>
  <si>
    <t>蓝盾股份</t>
  </si>
  <si>
    <t>8.66万</t>
  </si>
  <si>
    <t>9754万</t>
  </si>
  <si>
    <t>7.38亿</t>
  </si>
  <si>
    <t>83.7亿</t>
  </si>
  <si>
    <t>中粮生化</t>
  </si>
  <si>
    <t>西部黄金</t>
  </si>
  <si>
    <t>6.36亿</t>
  </si>
  <si>
    <t>深振业Ａ</t>
  </si>
  <si>
    <t>易见股份</t>
  </si>
  <si>
    <t>8.79万</t>
  </si>
  <si>
    <t>奥马电器</t>
  </si>
  <si>
    <t>6.35亿</t>
  </si>
  <si>
    <t>81.6亿</t>
  </si>
  <si>
    <t>日照港</t>
  </si>
  <si>
    <t>3573万</t>
  </si>
  <si>
    <t>30.8亿</t>
  </si>
  <si>
    <t>郑煤机</t>
  </si>
  <si>
    <t>36.4万</t>
  </si>
  <si>
    <t>2.75亿</t>
  </si>
  <si>
    <t>扬农化工</t>
  </si>
  <si>
    <t>3.04万</t>
  </si>
  <si>
    <t>广西广电</t>
  </si>
  <si>
    <t>2849万</t>
  </si>
  <si>
    <t>94.5亿</t>
  </si>
  <si>
    <t>红豆股份</t>
  </si>
  <si>
    <t>2966万</t>
  </si>
  <si>
    <t>鲁信创投</t>
  </si>
  <si>
    <t>7713万</t>
  </si>
  <si>
    <t>7.44亿</t>
  </si>
  <si>
    <t>新华联</t>
  </si>
  <si>
    <t>2376万</t>
  </si>
  <si>
    <t>东莞控股</t>
  </si>
  <si>
    <t>3651万</t>
  </si>
  <si>
    <t>1.55万</t>
  </si>
  <si>
    <t>盘江股份</t>
  </si>
  <si>
    <t>8.41万</t>
  </si>
  <si>
    <t>6673万</t>
  </si>
  <si>
    <t>雷科防务</t>
  </si>
  <si>
    <t>5.55万</t>
  </si>
  <si>
    <t>6605万</t>
  </si>
  <si>
    <t>7.72亿</t>
  </si>
  <si>
    <t>92.2亿</t>
  </si>
  <si>
    <t>新洋丰</t>
  </si>
  <si>
    <t>火炬电子</t>
  </si>
  <si>
    <t>69.2亿</t>
  </si>
  <si>
    <t>同济堂</t>
  </si>
  <si>
    <t>6506万</t>
  </si>
  <si>
    <t>63.9亿</t>
  </si>
  <si>
    <t>浙江众成</t>
  </si>
  <si>
    <t>7358万</t>
  </si>
  <si>
    <t>9.06亿</t>
  </si>
  <si>
    <t>8.33亿</t>
  </si>
  <si>
    <t>大众交通</t>
  </si>
  <si>
    <t>4339万</t>
  </si>
  <si>
    <t>86.3亿</t>
  </si>
  <si>
    <t>洛阳玻璃</t>
  </si>
  <si>
    <t>5.27亿</t>
  </si>
  <si>
    <t>摩恩电气</t>
  </si>
  <si>
    <t>8347万</t>
  </si>
  <si>
    <t>*ST川化</t>
  </si>
  <si>
    <t>9.37亿</t>
  </si>
  <si>
    <t>96.3亿</t>
  </si>
  <si>
    <t>科力远</t>
  </si>
  <si>
    <t>顾地科技</t>
  </si>
  <si>
    <t>5.97亿</t>
  </si>
  <si>
    <t>4.95亿</t>
  </si>
  <si>
    <t>安科生物</t>
  </si>
  <si>
    <t>1.53亿</t>
  </si>
  <si>
    <t>5.22万</t>
  </si>
  <si>
    <t>7.13亿</t>
  </si>
  <si>
    <t>84.1亿</t>
  </si>
  <si>
    <t>美晨科技</t>
  </si>
  <si>
    <t>9819万</t>
  </si>
  <si>
    <t>上实发展</t>
  </si>
  <si>
    <t>2083万</t>
  </si>
  <si>
    <t>99.0亿</t>
  </si>
  <si>
    <t>长久物流</t>
  </si>
  <si>
    <t>8185万</t>
  </si>
  <si>
    <t>5728万</t>
  </si>
  <si>
    <t>天虹股份</t>
  </si>
  <si>
    <t>国睿科技</t>
  </si>
  <si>
    <t>4.79亿</t>
  </si>
  <si>
    <t>88.7亿</t>
  </si>
  <si>
    <t>嘉凯城</t>
  </si>
  <si>
    <t>8.98万</t>
  </si>
  <si>
    <t>6426万</t>
  </si>
  <si>
    <t>工大高新</t>
  </si>
  <si>
    <t>劲胜智能</t>
  </si>
  <si>
    <t>格力地产</t>
  </si>
  <si>
    <t>6.69万</t>
  </si>
  <si>
    <t>4198万</t>
  </si>
  <si>
    <t>景嘉微</t>
  </si>
  <si>
    <t>2.70亿</t>
  </si>
  <si>
    <t>6700万</t>
  </si>
  <si>
    <t>32.0亿</t>
  </si>
  <si>
    <t>华鑫股份</t>
  </si>
  <si>
    <t>3436万</t>
  </si>
  <si>
    <t>63.8亿</t>
  </si>
  <si>
    <t>广晟有色</t>
  </si>
  <si>
    <t>1.67万</t>
  </si>
  <si>
    <t>骆驼股份</t>
  </si>
  <si>
    <t>7474万</t>
  </si>
  <si>
    <t>8.48亿</t>
  </si>
  <si>
    <t>金禾实业</t>
  </si>
  <si>
    <t>9.70万</t>
  </si>
  <si>
    <t>达实智能</t>
  </si>
  <si>
    <t>94.2亿</t>
  </si>
  <si>
    <t>杭叉集团</t>
  </si>
  <si>
    <t>6449万</t>
  </si>
  <si>
    <t>6.19亿</t>
  </si>
  <si>
    <t>8666万</t>
  </si>
  <si>
    <t>法拉电子</t>
  </si>
  <si>
    <t>台华新材</t>
  </si>
  <si>
    <t>7.14万</t>
  </si>
  <si>
    <t>6760万</t>
  </si>
  <si>
    <t>红 太 阳</t>
  </si>
  <si>
    <t>5.81亿</t>
  </si>
  <si>
    <t>5.07亿</t>
  </si>
  <si>
    <t>科森科技</t>
  </si>
  <si>
    <t>2.95亿</t>
  </si>
  <si>
    <t>7373万</t>
  </si>
  <si>
    <t>步 步 高</t>
  </si>
  <si>
    <t>1.60亿</t>
  </si>
  <si>
    <t>8.64亿</t>
  </si>
  <si>
    <t>6.92亿</t>
  </si>
  <si>
    <t>天际股份</t>
  </si>
  <si>
    <t>3136万</t>
  </si>
  <si>
    <t>9600万</t>
  </si>
  <si>
    <t>洪都航空</t>
  </si>
  <si>
    <t>8.57万</t>
  </si>
  <si>
    <t>中国武夷</t>
  </si>
  <si>
    <t>8.29万</t>
  </si>
  <si>
    <t>10.00亿</t>
  </si>
  <si>
    <t>岳阳林纸</t>
  </si>
  <si>
    <t>41.4万</t>
  </si>
  <si>
    <t>3.74亿</t>
  </si>
  <si>
    <t>16.8万</t>
  </si>
  <si>
    <t>94.9亿</t>
  </si>
  <si>
    <t>华钰矿业</t>
  </si>
  <si>
    <t>7434万</t>
  </si>
  <si>
    <t>2.83亿</t>
  </si>
  <si>
    <t>68.3亿</t>
  </si>
  <si>
    <t>美亚光电</t>
  </si>
  <si>
    <t>4040万</t>
  </si>
  <si>
    <t>61.3亿</t>
  </si>
  <si>
    <t>华宇软件</t>
  </si>
  <si>
    <t>7.61亿</t>
  </si>
  <si>
    <t>东方日升</t>
  </si>
  <si>
    <t>5332万</t>
  </si>
  <si>
    <t>68.9亿</t>
  </si>
  <si>
    <t>登海种业</t>
  </si>
  <si>
    <t>6022万</t>
  </si>
  <si>
    <t>威创股份</t>
  </si>
  <si>
    <t>7463万</t>
  </si>
  <si>
    <t>8.46亿</t>
  </si>
  <si>
    <t>远兴能源</t>
  </si>
  <si>
    <t>68.8万</t>
  </si>
  <si>
    <t>-8.99万</t>
  </si>
  <si>
    <t>91.8亿</t>
  </si>
  <si>
    <t>日月股份</t>
  </si>
  <si>
    <t>4953万</t>
  </si>
  <si>
    <t>4100万</t>
  </si>
  <si>
    <t>星网锐捷</t>
  </si>
  <si>
    <t>岭南园林</t>
  </si>
  <si>
    <t>4.92万</t>
  </si>
  <si>
    <t>63.3亿</t>
  </si>
  <si>
    <t>珠江钢琴</t>
  </si>
  <si>
    <t>864万</t>
  </si>
  <si>
    <t>9.54亿</t>
  </si>
  <si>
    <t>帝龙文化</t>
  </si>
  <si>
    <t>1.91万</t>
  </si>
  <si>
    <t>8.52亿</t>
  </si>
  <si>
    <t>中国重汽</t>
  </si>
  <si>
    <t>8.06万</t>
  </si>
  <si>
    <t>3.14万</t>
  </si>
  <si>
    <t>洲际油气</t>
  </si>
  <si>
    <t>87.9亿</t>
  </si>
  <si>
    <t>华录百纳</t>
  </si>
  <si>
    <t>8.12亿</t>
  </si>
  <si>
    <t>78.0亿</t>
  </si>
  <si>
    <t>融钰集团</t>
  </si>
  <si>
    <t>24.7万</t>
  </si>
  <si>
    <t>8.39亿</t>
  </si>
  <si>
    <t>万润股份</t>
  </si>
  <si>
    <t>海正药业</t>
  </si>
  <si>
    <t>4812万</t>
  </si>
  <si>
    <t>中体产业</t>
  </si>
  <si>
    <t>3.69亿</t>
  </si>
  <si>
    <t>8.44亿</t>
  </si>
  <si>
    <t>6.57亿</t>
  </si>
  <si>
    <t>光明地产</t>
  </si>
  <si>
    <t>3237万</t>
  </si>
  <si>
    <t>72.4亿</t>
  </si>
  <si>
    <t>赣粤高速</t>
  </si>
  <si>
    <t>4626万</t>
  </si>
  <si>
    <t>1.43万</t>
  </si>
  <si>
    <t>江河集团</t>
  </si>
  <si>
    <t>5932万</t>
  </si>
  <si>
    <t>美克家居</t>
  </si>
  <si>
    <t>9.59万</t>
  </si>
  <si>
    <t>6590万</t>
  </si>
  <si>
    <t>汉缆股份</t>
  </si>
  <si>
    <t>2113万</t>
  </si>
  <si>
    <t>-2.56万</t>
  </si>
  <si>
    <t>富临精工</t>
  </si>
  <si>
    <t>9327万</t>
  </si>
  <si>
    <t>5.10亿</t>
  </si>
  <si>
    <t>33.9亿</t>
  </si>
  <si>
    <t>建新矿业</t>
  </si>
  <si>
    <t>纽威股份</t>
  </si>
  <si>
    <t>4929万</t>
  </si>
  <si>
    <t>上柴股份</t>
  </si>
  <si>
    <t>5862万</t>
  </si>
  <si>
    <t>5.22亿</t>
  </si>
  <si>
    <t>74.8亿</t>
  </si>
  <si>
    <t>焦作万方</t>
  </si>
  <si>
    <t>8.77万</t>
  </si>
  <si>
    <t>9.99亿</t>
  </si>
  <si>
    <t>中南文化</t>
  </si>
  <si>
    <t>4386万</t>
  </si>
  <si>
    <t>8.30亿</t>
  </si>
  <si>
    <t>东风股份</t>
  </si>
  <si>
    <t>1856万</t>
  </si>
  <si>
    <t>*ST大有</t>
  </si>
  <si>
    <t>682万</t>
  </si>
  <si>
    <t>航天科技</t>
  </si>
  <si>
    <t>2.33亿</t>
  </si>
  <si>
    <t>3.23万</t>
  </si>
  <si>
    <t>97.7亿</t>
  </si>
  <si>
    <t>勤上股份</t>
  </si>
  <si>
    <t>华丽家族</t>
  </si>
  <si>
    <t>高德红外</t>
  </si>
  <si>
    <t>3787万</t>
  </si>
  <si>
    <t>6.24亿</t>
  </si>
  <si>
    <t>4.76亿</t>
  </si>
  <si>
    <t>士兰微</t>
  </si>
  <si>
    <t>83.5万</t>
  </si>
  <si>
    <t>8.29亿</t>
  </si>
  <si>
    <t>省广股份</t>
  </si>
  <si>
    <t>1.09亿</t>
  </si>
  <si>
    <t>-1.49万</t>
  </si>
  <si>
    <t>恒顺众昇</t>
  </si>
  <si>
    <t>6433万</t>
  </si>
  <si>
    <t>6.16亿</t>
  </si>
  <si>
    <t>茂业商业</t>
  </si>
  <si>
    <t>9.06万</t>
  </si>
  <si>
    <t>6471万</t>
  </si>
  <si>
    <t>6.41亿</t>
  </si>
  <si>
    <t>象屿股份</t>
  </si>
  <si>
    <t>中华企业</t>
  </si>
  <si>
    <t>2394万</t>
  </si>
  <si>
    <t>宜华健康</t>
  </si>
  <si>
    <t>3404万</t>
  </si>
  <si>
    <t>4.48亿</t>
  </si>
  <si>
    <t>3.54亿</t>
  </si>
  <si>
    <t>97.0亿</t>
  </si>
  <si>
    <t>亚厦股份</t>
  </si>
  <si>
    <t>3144万</t>
  </si>
  <si>
    <t>辰欣药业</t>
  </si>
  <si>
    <t>502万</t>
  </si>
  <si>
    <t>1.00亿</t>
  </si>
  <si>
    <t>荣之联</t>
  </si>
  <si>
    <t>93.0亿</t>
  </si>
  <si>
    <t>湖南黄金</t>
  </si>
  <si>
    <t>7258万</t>
  </si>
  <si>
    <t>黄山旅游</t>
  </si>
  <si>
    <t>4419万</t>
  </si>
  <si>
    <t>7.47亿</t>
  </si>
  <si>
    <t>中原高速</t>
  </si>
  <si>
    <t>5600万</t>
  </si>
  <si>
    <t>天马股份</t>
  </si>
  <si>
    <t>3917万</t>
  </si>
  <si>
    <t>金安国纪</t>
  </si>
  <si>
    <t>5458万</t>
  </si>
  <si>
    <t>2.46亿</t>
  </si>
  <si>
    <t>北方国际</t>
  </si>
  <si>
    <t>2.55亿</t>
  </si>
  <si>
    <t>7.24万</t>
  </si>
  <si>
    <t>95.4亿</t>
  </si>
  <si>
    <t>科达股份</t>
  </si>
  <si>
    <t>6219万</t>
  </si>
  <si>
    <t>63.6亿</t>
  </si>
  <si>
    <t>香江控股</t>
  </si>
  <si>
    <t>4058万</t>
  </si>
  <si>
    <t>34.0亿</t>
  </si>
  <si>
    <t>63.7亿</t>
  </si>
  <si>
    <t>三江购物</t>
  </si>
  <si>
    <t>5.91亿</t>
  </si>
  <si>
    <t>永太科技</t>
  </si>
  <si>
    <t>7478万</t>
  </si>
  <si>
    <t>红阳能源</t>
  </si>
  <si>
    <t>6571万</t>
  </si>
  <si>
    <t>51.4亿</t>
  </si>
  <si>
    <t>信质电机</t>
  </si>
  <si>
    <t>安徽水利</t>
  </si>
  <si>
    <t>6927万</t>
  </si>
  <si>
    <t>7.59亿</t>
  </si>
  <si>
    <t>塔牌集团</t>
  </si>
  <si>
    <t>联建光电</t>
  </si>
  <si>
    <t>5505万</t>
  </si>
  <si>
    <t>68.6亿</t>
  </si>
  <si>
    <t>大亚圣象</t>
  </si>
  <si>
    <t>6917万</t>
  </si>
  <si>
    <t>5.55亿</t>
  </si>
  <si>
    <t>宏图高科</t>
  </si>
  <si>
    <t>吉华集团</t>
  </si>
  <si>
    <t>8495万</t>
  </si>
  <si>
    <t>中航黑豹</t>
  </si>
  <si>
    <t>猛狮科技</t>
  </si>
  <si>
    <t>5.67亿</t>
  </si>
  <si>
    <t>联化科技</t>
  </si>
  <si>
    <t>5859万</t>
  </si>
  <si>
    <t>9.26亿</t>
  </si>
  <si>
    <t>6.78亿</t>
  </si>
  <si>
    <t>88.2亿</t>
  </si>
  <si>
    <t>佛山照明</t>
  </si>
  <si>
    <t>8822万</t>
  </si>
  <si>
    <t>新纶科技</t>
  </si>
  <si>
    <t>2.99亿</t>
  </si>
  <si>
    <t>埃斯顿</t>
  </si>
  <si>
    <t>7904万</t>
  </si>
  <si>
    <t>8.37亿</t>
  </si>
  <si>
    <t>2.81亿</t>
  </si>
  <si>
    <t>40.4亿</t>
  </si>
  <si>
    <t>华胜天成</t>
  </si>
  <si>
    <t>南京高科</t>
  </si>
  <si>
    <t>3636万</t>
  </si>
  <si>
    <t>合众思壮</t>
  </si>
  <si>
    <t>6.88万</t>
  </si>
  <si>
    <t>1.11亿</t>
  </si>
  <si>
    <t>7.33亿</t>
  </si>
  <si>
    <t>64.3亿</t>
  </si>
  <si>
    <t>科达利</t>
  </si>
  <si>
    <t>3500万</t>
  </si>
  <si>
    <t>商赢环球</t>
  </si>
  <si>
    <t>50.8亿</t>
  </si>
  <si>
    <t>湘电股份</t>
  </si>
  <si>
    <t>9.46亿</t>
  </si>
  <si>
    <t>开立医疗</t>
  </si>
  <si>
    <t>联创电子</t>
  </si>
  <si>
    <t>3.95亿</t>
  </si>
  <si>
    <t>84.3亿</t>
  </si>
  <si>
    <t>柘中股份</t>
  </si>
  <si>
    <t>9578万</t>
  </si>
  <si>
    <t>7980万</t>
  </si>
  <si>
    <t>涪陵榨菜</t>
  </si>
  <si>
    <t>6485万</t>
  </si>
  <si>
    <t>7.89亿</t>
  </si>
  <si>
    <t>大同煤业</t>
  </si>
  <si>
    <t>9705万</t>
  </si>
  <si>
    <t>7.64万</t>
  </si>
  <si>
    <t>宜通世纪</t>
  </si>
  <si>
    <t>6.15万</t>
  </si>
  <si>
    <t>78.3亿</t>
  </si>
  <si>
    <t>太极股份</t>
  </si>
  <si>
    <t>8146万</t>
  </si>
  <si>
    <t>3.92亿</t>
  </si>
  <si>
    <t>创维数字</t>
  </si>
  <si>
    <t>2247万</t>
  </si>
  <si>
    <t>53.7亿</t>
  </si>
  <si>
    <t>爱康科技</t>
  </si>
  <si>
    <t>7525万</t>
  </si>
  <si>
    <t>-2.78万</t>
  </si>
  <si>
    <t>9.25万</t>
  </si>
  <si>
    <t>中电广通</t>
  </si>
  <si>
    <t>3345万</t>
  </si>
  <si>
    <t>银河生物</t>
  </si>
  <si>
    <t>75.2亿</t>
  </si>
  <si>
    <t>银之杰</t>
  </si>
  <si>
    <t>7.07亿</t>
  </si>
  <si>
    <t>58.8亿</t>
  </si>
  <si>
    <t>杭氧股份</t>
  </si>
  <si>
    <t>7.50万</t>
  </si>
  <si>
    <t>9.65亿</t>
  </si>
  <si>
    <t>思创医惠</t>
  </si>
  <si>
    <t>8.08亿</t>
  </si>
  <si>
    <t>4.94亿</t>
  </si>
  <si>
    <t>72.2亿</t>
  </si>
  <si>
    <t>中原环保</t>
  </si>
  <si>
    <t>4.51万</t>
  </si>
  <si>
    <t>6.50亿</t>
  </si>
  <si>
    <t>当升科技</t>
  </si>
  <si>
    <t>海欣股份</t>
  </si>
  <si>
    <t>3280万</t>
  </si>
  <si>
    <t>华联控股</t>
  </si>
  <si>
    <t>金龙机电</t>
  </si>
  <si>
    <t>1.51万</t>
  </si>
  <si>
    <t>2222万</t>
  </si>
  <si>
    <t>7.48亿</t>
  </si>
  <si>
    <t>赤天化</t>
  </si>
  <si>
    <t>4497万</t>
  </si>
  <si>
    <t>64.5亿</t>
  </si>
  <si>
    <t>深物业A</t>
  </si>
  <si>
    <t>7695万</t>
  </si>
  <si>
    <t>陕鼓动力</t>
  </si>
  <si>
    <t>4067万</t>
  </si>
  <si>
    <t>慈文传媒</t>
  </si>
  <si>
    <t>8025万</t>
  </si>
  <si>
    <t>3.15亿</t>
  </si>
  <si>
    <t>87.7亿</t>
  </si>
  <si>
    <t>三峡新材</t>
  </si>
  <si>
    <t>5614万</t>
  </si>
  <si>
    <t>宝鹰股份</t>
  </si>
  <si>
    <t>6.91万</t>
  </si>
  <si>
    <t>露笑科技</t>
  </si>
  <si>
    <t>7.35亿</t>
  </si>
  <si>
    <t>福星股份</t>
  </si>
  <si>
    <t>4159万</t>
  </si>
  <si>
    <t>云赛智联</t>
  </si>
  <si>
    <t>7.83万</t>
  </si>
  <si>
    <t>6689万</t>
  </si>
  <si>
    <t>75.3亿</t>
  </si>
  <si>
    <t>安阳钢铁</t>
  </si>
  <si>
    <t>69.3万</t>
  </si>
  <si>
    <t>八一钢铁</t>
  </si>
  <si>
    <t>57.1万</t>
  </si>
  <si>
    <t>8.89亿</t>
  </si>
  <si>
    <t>北京文化</t>
  </si>
  <si>
    <t>9535万</t>
  </si>
  <si>
    <t>中孚实业</t>
  </si>
  <si>
    <t>华舟应急</t>
  </si>
  <si>
    <t>34.4亿</t>
  </si>
  <si>
    <t>华北高速</t>
  </si>
  <si>
    <t>苏交科</t>
  </si>
  <si>
    <t>6645万</t>
  </si>
  <si>
    <t>70.7亿</t>
  </si>
  <si>
    <t>瀚蓝环境</t>
  </si>
  <si>
    <t>南山控股</t>
  </si>
  <si>
    <t>1663万</t>
  </si>
  <si>
    <t>45.7亿</t>
  </si>
  <si>
    <t>万马股份</t>
  </si>
  <si>
    <t>9.01万</t>
  </si>
  <si>
    <t>富奥股份</t>
  </si>
  <si>
    <t>3167万</t>
  </si>
  <si>
    <t>恒立液压</t>
  </si>
  <si>
    <t>9464万</t>
  </si>
  <si>
    <t>6.30亿</t>
  </si>
  <si>
    <t>通富微电</t>
  </si>
  <si>
    <t>3.29亿</t>
  </si>
  <si>
    <t>川恒股份</t>
  </si>
  <si>
    <t>6.48万</t>
  </si>
  <si>
    <t>吉艾科技</t>
  </si>
  <si>
    <t>6469万</t>
  </si>
  <si>
    <t>杰赛科技</t>
  </si>
  <si>
    <t>5.16亿</t>
  </si>
  <si>
    <t>5.12亿</t>
  </si>
  <si>
    <t>重庆百货</t>
  </si>
  <si>
    <t>4584万</t>
  </si>
  <si>
    <t>顺鑫农业</t>
  </si>
  <si>
    <t>5.71亿</t>
  </si>
  <si>
    <t>爱施德</t>
  </si>
  <si>
    <t>8.38万</t>
  </si>
  <si>
    <t>9374万</t>
  </si>
  <si>
    <t>顺威股份</t>
  </si>
  <si>
    <t>7.20亿</t>
  </si>
  <si>
    <t>得润电子</t>
  </si>
  <si>
    <t>4.03亿</t>
  </si>
  <si>
    <t>新集能源</t>
  </si>
  <si>
    <t>8085万</t>
  </si>
  <si>
    <t>云天化</t>
  </si>
  <si>
    <t>97.2亿</t>
  </si>
  <si>
    <t>华孚时尚</t>
  </si>
  <si>
    <t>3.80万</t>
  </si>
  <si>
    <t>银鸽投资</t>
  </si>
  <si>
    <t>4228万</t>
  </si>
  <si>
    <t>8.25亿</t>
  </si>
  <si>
    <t>75.5亿</t>
  </si>
  <si>
    <t>数据港</t>
  </si>
  <si>
    <t>9.04万</t>
  </si>
  <si>
    <t>4.96亿</t>
  </si>
  <si>
    <t>5.16万</t>
  </si>
  <si>
    <t>5265万</t>
  </si>
  <si>
    <t>鲁 泰Ａ</t>
  </si>
  <si>
    <t>6824万</t>
  </si>
  <si>
    <t>5.61亿</t>
  </si>
  <si>
    <t>69.4亿</t>
  </si>
  <si>
    <t>凯撒旅游</t>
  </si>
  <si>
    <t>8191万</t>
  </si>
  <si>
    <t>34.9亿</t>
  </si>
  <si>
    <t>开滦股份</t>
  </si>
  <si>
    <t>88.5亿</t>
  </si>
  <si>
    <t>美利云</t>
  </si>
  <si>
    <t>6.95亿</t>
  </si>
  <si>
    <t>51.8亿</t>
  </si>
  <si>
    <t>华仁药业</t>
  </si>
  <si>
    <t>5.46万</t>
  </si>
  <si>
    <t>9.84亿</t>
  </si>
  <si>
    <t>中顺洁柔</t>
  </si>
  <si>
    <t>7.58亿</t>
  </si>
  <si>
    <t>中航重机</t>
  </si>
  <si>
    <t>天顺风能</t>
  </si>
  <si>
    <t>6914万</t>
  </si>
  <si>
    <t>章源钨业</t>
  </si>
  <si>
    <t>6.95万</t>
  </si>
  <si>
    <t>扬杰科技</t>
  </si>
  <si>
    <t>4.72亿</t>
  </si>
  <si>
    <t>55.4亿</t>
  </si>
  <si>
    <t>立思辰</t>
  </si>
  <si>
    <t>6.23万</t>
  </si>
  <si>
    <t>8081万</t>
  </si>
  <si>
    <t>8.73亿</t>
  </si>
  <si>
    <t>5.84亿</t>
  </si>
  <si>
    <t>75.8亿</t>
  </si>
  <si>
    <t>大商股份</t>
  </si>
  <si>
    <t>7452万</t>
  </si>
  <si>
    <t>深深房Ａ</t>
  </si>
  <si>
    <t>8.92亿</t>
  </si>
  <si>
    <t>航天机电</t>
  </si>
  <si>
    <t>6115万</t>
  </si>
  <si>
    <t>天山股份</t>
  </si>
  <si>
    <t>-1.19万</t>
  </si>
  <si>
    <t>中洲控股</t>
  </si>
  <si>
    <t>826万</t>
  </si>
  <si>
    <t>6.65亿</t>
  </si>
  <si>
    <t>82.5亿</t>
  </si>
  <si>
    <t>*ST锐电</t>
  </si>
  <si>
    <t>5300万</t>
  </si>
  <si>
    <t>-10.8万</t>
  </si>
  <si>
    <t>56.6亿</t>
  </si>
  <si>
    <t>宁波韵升</t>
  </si>
  <si>
    <t>6.38万</t>
  </si>
  <si>
    <t>昊华能源</t>
  </si>
  <si>
    <t>新宝股份</t>
  </si>
  <si>
    <t>2176万</t>
  </si>
  <si>
    <t>2.13亿</t>
  </si>
  <si>
    <t>金贵银业</t>
  </si>
  <si>
    <t>7982万</t>
  </si>
  <si>
    <t>3.11亿</t>
  </si>
  <si>
    <t>61.7亿</t>
  </si>
  <si>
    <t>康欣新材</t>
  </si>
  <si>
    <t>81.3亿</t>
  </si>
  <si>
    <t>尤夫股份</t>
  </si>
  <si>
    <t>3.98亿</t>
  </si>
  <si>
    <t>天音控股</t>
  </si>
  <si>
    <t>9.59亿</t>
  </si>
  <si>
    <t>艾华集团</t>
  </si>
  <si>
    <t>4315万</t>
  </si>
  <si>
    <t>8438万</t>
  </si>
  <si>
    <t>华讯方舟</t>
  </si>
  <si>
    <t>77.2亿</t>
  </si>
  <si>
    <t>平潭发展</t>
  </si>
  <si>
    <t>力帆股份</t>
  </si>
  <si>
    <t>浙江美大</t>
  </si>
  <si>
    <t>5510万</t>
  </si>
  <si>
    <t>横店影视</t>
  </si>
  <si>
    <t>海南瑞泽</t>
  </si>
  <si>
    <t>2.50亿</t>
  </si>
  <si>
    <t>9.76亿</t>
  </si>
  <si>
    <t>康尼机电</t>
  </si>
  <si>
    <t>6.74万</t>
  </si>
  <si>
    <t>4.80亿</t>
  </si>
  <si>
    <t>利群股份</t>
  </si>
  <si>
    <t>冠城大通</t>
  </si>
  <si>
    <t>5688万</t>
  </si>
  <si>
    <t>兰石重装</t>
  </si>
  <si>
    <t>恒源煤电</t>
  </si>
  <si>
    <t>23.0万</t>
  </si>
  <si>
    <t>2.51亿</t>
  </si>
  <si>
    <t>赢时胜</t>
  </si>
  <si>
    <t>7.43亿</t>
  </si>
  <si>
    <t>盈峰环境</t>
  </si>
  <si>
    <t>23.9万</t>
  </si>
  <si>
    <t>74.9亿</t>
  </si>
  <si>
    <t>亚邦股份</t>
  </si>
  <si>
    <t>8679万</t>
  </si>
  <si>
    <t>5.76亿</t>
  </si>
  <si>
    <t>拓维信息</t>
  </si>
  <si>
    <t>9.29亿</t>
  </si>
  <si>
    <t>富控互动</t>
  </si>
  <si>
    <t>5287万</t>
  </si>
  <si>
    <t>中源协和</t>
  </si>
  <si>
    <t>万业企业</t>
  </si>
  <si>
    <t>7501万</t>
  </si>
  <si>
    <t>漳泽电力</t>
  </si>
  <si>
    <t>8.73万</t>
  </si>
  <si>
    <t>3101万</t>
  </si>
  <si>
    <t>80.2亿</t>
  </si>
  <si>
    <t>双林股份</t>
  </si>
  <si>
    <t>朗玛信息</t>
  </si>
  <si>
    <t>3.35亿</t>
  </si>
  <si>
    <t>易华录</t>
  </si>
  <si>
    <t>3.70亿</t>
  </si>
  <si>
    <t>3.05亿</t>
  </si>
  <si>
    <t>海峡股份</t>
  </si>
  <si>
    <t>2.08万</t>
  </si>
  <si>
    <t>大地传媒</t>
  </si>
  <si>
    <t>2338万</t>
  </si>
  <si>
    <t>1.00万</t>
  </si>
  <si>
    <t>甘肃电投</t>
  </si>
  <si>
    <t>52.4万</t>
  </si>
  <si>
    <t>28.4万</t>
  </si>
  <si>
    <t>9.71亿</t>
  </si>
  <si>
    <t>重庆啤酒</t>
  </si>
  <si>
    <t>6474万</t>
  </si>
  <si>
    <t>苏州科达</t>
  </si>
  <si>
    <t>8662万</t>
  </si>
  <si>
    <t>华昌达</t>
  </si>
  <si>
    <t>8.26万</t>
  </si>
  <si>
    <t>4.30万</t>
  </si>
  <si>
    <t>5.45亿</t>
  </si>
  <si>
    <t>45.2亿</t>
  </si>
  <si>
    <t>海翔药业</t>
  </si>
  <si>
    <t>3338万</t>
  </si>
  <si>
    <t>9.39亿</t>
  </si>
  <si>
    <t>吉电股份</t>
  </si>
  <si>
    <t>7027万</t>
  </si>
  <si>
    <t>6.19万</t>
  </si>
  <si>
    <t>益佰制药</t>
  </si>
  <si>
    <t>*ST智慧</t>
  </si>
  <si>
    <t>7.57万</t>
  </si>
  <si>
    <t>4078万</t>
  </si>
  <si>
    <t>*ST吉恩</t>
  </si>
  <si>
    <t>山煤国际</t>
  </si>
  <si>
    <t>9.53万</t>
  </si>
  <si>
    <t>19.8亿</t>
  </si>
  <si>
    <t>京运通</t>
  </si>
  <si>
    <t>2715万</t>
  </si>
  <si>
    <t>安泰科技</t>
  </si>
  <si>
    <t>7895万</t>
  </si>
  <si>
    <t>93.7亿</t>
  </si>
  <si>
    <t>航天动力</t>
  </si>
  <si>
    <t>8862万</t>
  </si>
  <si>
    <t>6.38亿</t>
  </si>
  <si>
    <t>综艺股份</t>
  </si>
  <si>
    <t>6986万</t>
  </si>
  <si>
    <t>兔 宝 宝</t>
  </si>
  <si>
    <t>德赛电池</t>
  </si>
  <si>
    <t>贝因美</t>
  </si>
  <si>
    <t>9945万</t>
  </si>
  <si>
    <t>金圆股份</t>
  </si>
  <si>
    <t>7728万</t>
  </si>
  <si>
    <t>7.15亿</t>
  </si>
  <si>
    <t>3.01亿</t>
  </si>
  <si>
    <t>海宁皮城</t>
  </si>
  <si>
    <t>3220万</t>
  </si>
  <si>
    <t>92.4亿</t>
  </si>
  <si>
    <t>吉视传媒</t>
  </si>
  <si>
    <t>8.63万</t>
  </si>
  <si>
    <t>2979万</t>
  </si>
  <si>
    <t>4.12万</t>
  </si>
  <si>
    <t>中国科传</t>
  </si>
  <si>
    <t>南京熊猫</t>
  </si>
  <si>
    <t>6934万</t>
  </si>
  <si>
    <t>78.7亿</t>
  </si>
  <si>
    <t>福建高速</t>
  </si>
  <si>
    <t>3072万</t>
  </si>
  <si>
    <t>卧龙电气</t>
  </si>
  <si>
    <t>4733万</t>
  </si>
  <si>
    <t>92.1亿</t>
  </si>
  <si>
    <t>兰花科创</t>
  </si>
  <si>
    <t>9.44万</t>
  </si>
  <si>
    <t>中再资环</t>
  </si>
  <si>
    <t>科华恒盛</t>
  </si>
  <si>
    <t>9418万</t>
  </si>
  <si>
    <t>2.79亿</t>
  </si>
  <si>
    <t>88.0亿</t>
  </si>
  <si>
    <t>中钢国际</t>
  </si>
  <si>
    <t>9045万</t>
  </si>
  <si>
    <t>江丰电子</t>
  </si>
  <si>
    <t>5469万</t>
  </si>
  <si>
    <t>胜宏科技</t>
  </si>
  <si>
    <t>8970万</t>
  </si>
  <si>
    <t>42.4亿</t>
  </si>
  <si>
    <t>一心堂</t>
  </si>
  <si>
    <t>6330万</t>
  </si>
  <si>
    <t>5.21亿</t>
  </si>
  <si>
    <t>2.84亿</t>
  </si>
  <si>
    <t>京汉股份</t>
  </si>
  <si>
    <t>7.80亿</t>
  </si>
  <si>
    <t>承德露露</t>
  </si>
  <si>
    <t>24.1万</t>
  </si>
  <si>
    <t>冠福股份</t>
  </si>
  <si>
    <t>32.9万</t>
  </si>
  <si>
    <t>48.7亿</t>
  </si>
  <si>
    <t>煌上煌</t>
  </si>
  <si>
    <t>起步股份</t>
  </si>
  <si>
    <t>5508万</t>
  </si>
  <si>
    <t>4700万</t>
  </si>
  <si>
    <t>梦网集团</t>
  </si>
  <si>
    <t>72.7亿</t>
  </si>
  <si>
    <t>华光股份</t>
  </si>
  <si>
    <t>5.59亿</t>
  </si>
  <si>
    <t>柳州医药</t>
  </si>
  <si>
    <t>5039万</t>
  </si>
  <si>
    <t>7460万</t>
  </si>
  <si>
    <t>42.7亿</t>
  </si>
  <si>
    <t>众信旅游</t>
  </si>
  <si>
    <t>4850万</t>
  </si>
  <si>
    <t>57.3亿</t>
  </si>
  <si>
    <t>三元股份</t>
  </si>
  <si>
    <t>3055万</t>
  </si>
  <si>
    <t>8.85亿</t>
  </si>
  <si>
    <t>鸿特精密</t>
  </si>
  <si>
    <t>国脉科技</t>
  </si>
  <si>
    <t>唐德影视</t>
  </si>
  <si>
    <t>3697万</t>
  </si>
  <si>
    <t>康盛股份</t>
  </si>
  <si>
    <t>3794万</t>
  </si>
  <si>
    <t>5.54亿</t>
  </si>
  <si>
    <t>赢合科技</t>
  </si>
  <si>
    <t>47.5亿</t>
  </si>
  <si>
    <t>桂林三金</t>
  </si>
  <si>
    <t>2363万</t>
  </si>
  <si>
    <t>5.90亿</t>
  </si>
  <si>
    <t>5.33亿</t>
  </si>
  <si>
    <t>国际医学</t>
  </si>
  <si>
    <t>楚天高速</t>
  </si>
  <si>
    <t>5201万</t>
  </si>
  <si>
    <t>5.62万</t>
  </si>
  <si>
    <t>深 赛 格</t>
  </si>
  <si>
    <t>7963万</t>
  </si>
  <si>
    <t>星辉娱乐</t>
  </si>
  <si>
    <t>1.73亿</t>
  </si>
  <si>
    <t>7.35万</t>
  </si>
  <si>
    <t>69.3亿</t>
  </si>
  <si>
    <t>艾格拉斯</t>
  </si>
  <si>
    <t>科士达</t>
  </si>
  <si>
    <t>4709万</t>
  </si>
  <si>
    <t>98.2亿</t>
  </si>
  <si>
    <t>光电股份</t>
  </si>
  <si>
    <t>2599万</t>
  </si>
  <si>
    <t>5.09亿</t>
  </si>
  <si>
    <t>浙江鼎力</t>
  </si>
  <si>
    <t>5043万</t>
  </si>
  <si>
    <t>4623万</t>
  </si>
  <si>
    <t>远大控股</t>
  </si>
  <si>
    <t>6478万</t>
  </si>
  <si>
    <t>70.4亿</t>
  </si>
  <si>
    <t>恒邦股份</t>
  </si>
  <si>
    <t>8444万</t>
  </si>
  <si>
    <t>西藏城投</t>
  </si>
  <si>
    <t>1.97亿</t>
  </si>
  <si>
    <t>围海股份</t>
  </si>
  <si>
    <t>5530万</t>
  </si>
  <si>
    <t>盛路通信</t>
  </si>
  <si>
    <t>7.62亿</t>
  </si>
  <si>
    <t>55.7亿</t>
  </si>
  <si>
    <t>浙江医药</t>
  </si>
  <si>
    <t>5364万</t>
  </si>
  <si>
    <t>9.36亿</t>
  </si>
  <si>
    <t>瑞斯康达</t>
  </si>
  <si>
    <t>5680万</t>
  </si>
  <si>
    <t>葵花药业</t>
  </si>
  <si>
    <t>8913万</t>
  </si>
  <si>
    <t>融捷股份</t>
  </si>
  <si>
    <t>滨化股份</t>
  </si>
  <si>
    <t>茂业通信</t>
  </si>
  <si>
    <t>74.2亿</t>
  </si>
  <si>
    <t>全志科技</t>
  </si>
  <si>
    <t>44.5亿</t>
  </si>
  <si>
    <t>怡球资源</t>
  </si>
  <si>
    <t>43.2万</t>
  </si>
  <si>
    <t>-1.90万</t>
  </si>
  <si>
    <t>东方通信</t>
  </si>
  <si>
    <t>78.8亿</t>
  </si>
  <si>
    <t>江苏吴中</t>
  </si>
  <si>
    <t>7453万</t>
  </si>
  <si>
    <t>6.74亿</t>
  </si>
  <si>
    <t>96.5亿</t>
  </si>
  <si>
    <t>深大通</t>
  </si>
  <si>
    <t>7888万</t>
  </si>
  <si>
    <t>共进股份</t>
  </si>
  <si>
    <t>8208万</t>
  </si>
  <si>
    <t>*ST三泰</t>
  </si>
  <si>
    <t>79.4亿</t>
  </si>
  <si>
    <t>盾安环境</t>
  </si>
  <si>
    <t>4.44亿</t>
  </si>
  <si>
    <t>皖能电力</t>
  </si>
  <si>
    <t>8861万</t>
  </si>
  <si>
    <t>天舟文化</t>
  </si>
  <si>
    <t>8.89万</t>
  </si>
  <si>
    <t>8.45亿</t>
  </si>
  <si>
    <t>92.6亿</t>
  </si>
  <si>
    <t>海马汽车</t>
  </si>
  <si>
    <t>66.0万</t>
  </si>
  <si>
    <t>众生药业</t>
  </si>
  <si>
    <t>5.29万</t>
  </si>
  <si>
    <t>8.14亿</t>
  </si>
  <si>
    <t>81.9亿</t>
  </si>
  <si>
    <t>柳 工</t>
  </si>
  <si>
    <t>9.43万</t>
  </si>
  <si>
    <t>8597万</t>
  </si>
  <si>
    <t>5.45万</t>
  </si>
  <si>
    <t>奥佳华</t>
  </si>
  <si>
    <t>7969万</t>
  </si>
  <si>
    <t>2.89亿</t>
  </si>
  <si>
    <t>陕西黑猫</t>
  </si>
  <si>
    <t>聚龙股份</t>
  </si>
  <si>
    <t>7746万</t>
  </si>
  <si>
    <t>5.50亿</t>
  </si>
  <si>
    <t>78.5亿</t>
  </si>
  <si>
    <t>宝钛股份</t>
  </si>
  <si>
    <t>同力水泥</t>
  </si>
  <si>
    <t>28.7万</t>
  </si>
  <si>
    <t>4.27亿</t>
  </si>
  <si>
    <t>航天工程</t>
  </si>
  <si>
    <t>2681万</t>
  </si>
  <si>
    <t>8877万</t>
  </si>
  <si>
    <t>中科金财</t>
  </si>
  <si>
    <t>74.0亿</t>
  </si>
  <si>
    <t>健友股份</t>
  </si>
  <si>
    <t>3305万</t>
  </si>
  <si>
    <t>4.24亿</t>
  </si>
  <si>
    <t>6350万</t>
  </si>
  <si>
    <t>捷顺科技</t>
  </si>
  <si>
    <t>2121万</t>
  </si>
  <si>
    <t>46.9亿</t>
  </si>
  <si>
    <t>山东海化</t>
  </si>
  <si>
    <t>太原重工</t>
  </si>
  <si>
    <t>3544万</t>
  </si>
  <si>
    <t>永兴特钢</t>
  </si>
  <si>
    <t>东软载波</t>
  </si>
  <si>
    <t>2.56万</t>
  </si>
  <si>
    <t>59.0亿</t>
  </si>
  <si>
    <t>兄弟科技</t>
  </si>
  <si>
    <t>9892万</t>
  </si>
  <si>
    <t>57.4亿</t>
  </si>
  <si>
    <t>汉得信息</t>
  </si>
  <si>
    <t>6.40万</t>
  </si>
  <si>
    <t>77.6亿</t>
  </si>
  <si>
    <t>金信诺</t>
  </si>
  <si>
    <t>东百集团</t>
  </si>
  <si>
    <t>3913万</t>
  </si>
  <si>
    <t>8.98亿</t>
  </si>
  <si>
    <t>中核钛白</t>
  </si>
  <si>
    <t>伊力特</t>
  </si>
  <si>
    <t>6.54万</t>
  </si>
  <si>
    <t>4.41亿</t>
  </si>
  <si>
    <t>道氏技术</t>
  </si>
  <si>
    <t>2.55万</t>
  </si>
  <si>
    <t>52.1亿</t>
  </si>
  <si>
    <t>友阿股份</t>
  </si>
  <si>
    <t>20.8万</t>
  </si>
  <si>
    <t>潮宏基</t>
  </si>
  <si>
    <t>4329万</t>
  </si>
  <si>
    <t>银都股份</t>
  </si>
  <si>
    <t>6600万</t>
  </si>
  <si>
    <t>南方传媒</t>
  </si>
  <si>
    <t>2456万</t>
  </si>
  <si>
    <t>鸿利智汇</t>
  </si>
  <si>
    <t>6957万</t>
  </si>
  <si>
    <t>75.4亿</t>
  </si>
  <si>
    <t>西藏矿业</t>
  </si>
  <si>
    <t>91.7亿</t>
  </si>
  <si>
    <t>生 意 宝</t>
  </si>
  <si>
    <t>8690万</t>
  </si>
  <si>
    <t>2.52亿</t>
  </si>
  <si>
    <t>洁美科技</t>
  </si>
  <si>
    <t>4.79万</t>
  </si>
  <si>
    <t>2.56亿</t>
  </si>
  <si>
    <t>5820万</t>
  </si>
  <si>
    <t>天润数娱</t>
  </si>
  <si>
    <t>8148万</t>
  </si>
  <si>
    <t>4.73亿</t>
  </si>
  <si>
    <t>新日恒力</t>
  </si>
  <si>
    <t>7603万</t>
  </si>
  <si>
    <t>赤峰黄金</t>
  </si>
  <si>
    <t>8.19万</t>
  </si>
  <si>
    <t>6.10亿</t>
  </si>
  <si>
    <t>85.6亿</t>
  </si>
  <si>
    <t>普邦股份</t>
  </si>
  <si>
    <t>6372万</t>
  </si>
  <si>
    <t>4.27万</t>
  </si>
  <si>
    <t>7.28万</t>
  </si>
  <si>
    <t>永吉股份</t>
  </si>
  <si>
    <t>8926万</t>
  </si>
  <si>
    <t>4.22亿</t>
  </si>
  <si>
    <t>4216万</t>
  </si>
  <si>
    <t>金龙汽车</t>
  </si>
  <si>
    <t>4.20万</t>
  </si>
  <si>
    <t>盛达矿业</t>
  </si>
  <si>
    <t>3584万</t>
  </si>
  <si>
    <t>7.23亿</t>
  </si>
  <si>
    <t>99.7亿</t>
  </si>
  <si>
    <t>春兴精工</t>
  </si>
  <si>
    <t>8416万</t>
  </si>
  <si>
    <t>6.84亿</t>
  </si>
  <si>
    <t>60.5亿</t>
  </si>
  <si>
    <t>新黄浦</t>
  </si>
  <si>
    <t>7712万</t>
  </si>
  <si>
    <t>银河电子</t>
  </si>
  <si>
    <t>6991万</t>
  </si>
  <si>
    <t>99.5亿</t>
  </si>
  <si>
    <t>华远地产</t>
  </si>
  <si>
    <t>4889万</t>
  </si>
  <si>
    <t>7.03万</t>
  </si>
  <si>
    <t>99.2亿</t>
  </si>
  <si>
    <t>广日股份</t>
  </si>
  <si>
    <t>2759万</t>
  </si>
  <si>
    <t>S*ST前锋</t>
  </si>
  <si>
    <t>7560万</t>
  </si>
  <si>
    <t>37.9亿</t>
  </si>
  <si>
    <t>德尔未来</t>
  </si>
  <si>
    <t>5513万</t>
  </si>
  <si>
    <t>新宙邦</t>
  </si>
  <si>
    <t>3.78亿</t>
  </si>
  <si>
    <t>康达尔</t>
  </si>
  <si>
    <t>1499万</t>
  </si>
  <si>
    <t>3.91亿</t>
  </si>
  <si>
    <t>98.9亿</t>
  </si>
  <si>
    <t>3.85亿</t>
  </si>
  <si>
    <t>97.5亿</t>
  </si>
  <si>
    <t>福成股份</t>
  </si>
  <si>
    <t>3213万</t>
  </si>
  <si>
    <t>三峡水利</t>
  </si>
  <si>
    <t>5984万</t>
  </si>
  <si>
    <t>9.93亿</t>
  </si>
  <si>
    <t>98.8亿</t>
  </si>
  <si>
    <t>8.88亿</t>
  </si>
  <si>
    <t>88.4亿</t>
  </si>
  <si>
    <t>正海磁材</t>
  </si>
  <si>
    <t>老白干酒</t>
  </si>
  <si>
    <t>98.7亿</t>
  </si>
  <si>
    <t>78.9亿</t>
  </si>
  <si>
    <t>欧比特</t>
  </si>
  <si>
    <t>西王食品</t>
  </si>
  <si>
    <t>4544万</t>
  </si>
  <si>
    <t>81.7亿</t>
  </si>
  <si>
    <t>华联股份</t>
  </si>
  <si>
    <t>2935万</t>
  </si>
  <si>
    <t>80.1亿</t>
  </si>
  <si>
    <t>中国软件</t>
  </si>
  <si>
    <t>新 华 都</t>
  </si>
  <si>
    <t>82.7亿</t>
  </si>
  <si>
    <t>好莱客</t>
  </si>
  <si>
    <t>2665万</t>
  </si>
  <si>
    <t>98.3亿</t>
  </si>
  <si>
    <t>8900万</t>
  </si>
  <si>
    <t>飞乐音响</t>
  </si>
  <si>
    <t>成飞集成</t>
  </si>
  <si>
    <t>航天电器</t>
  </si>
  <si>
    <t>9.81万</t>
  </si>
  <si>
    <t>4.29亿</t>
  </si>
  <si>
    <t>置信电气</t>
  </si>
  <si>
    <t>3698万</t>
  </si>
  <si>
    <t>顺发恒业</t>
  </si>
  <si>
    <t>1805万</t>
  </si>
  <si>
    <t>新 海 宜</t>
  </si>
  <si>
    <t>9.33亿</t>
  </si>
  <si>
    <t>66.5亿</t>
  </si>
  <si>
    <t>朗新科技</t>
  </si>
  <si>
    <t>9297万</t>
  </si>
  <si>
    <t>亚盛集团</t>
  </si>
  <si>
    <t>26.3万</t>
  </si>
  <si>
    <t>三湘印象</t>
  </si>
  <si>
    <t>1132万</t>
  </si>
  <si>
    <t>97.8亿</t>
  </si>
  <si>
    <t>64.9亿</t>
  </si>
  <si>
    <t>国新能源</t>
  </si>
  <si>
    <t>1431万</t>
  </si>
  <si>
    <t>恒银金融</t>
  </si>
  <si>
    <t>7000万</t>
  </si>
  <si>
    <t>摩登大道</t>
  </si>
  <si>
    <t>9944万</t>
  </si>
  <si>
    <t>2.43亿</t>
  </si>
  <si>
    <t>53.3亿</t>
  </si>
  <si>
    <t>洲明科技</t>
  </si>
  <si>
    <t>电魂网络</t>
  </si>
  <si>
    <t>6000万</t>
  </si>
  <si>
    <t>梦舟股份</t>
  </si>
  <si>
    <t>97.3亿</t>
  </si>
  <si>
    <t>京蓝科技</t>
  </si>
  <si>
    <t>6.51亿</t>
  </si>
  <si>
    <t>美尚生态</t>
  </si>
  <si>
    <t>6.77万</t>
  </si>
  <si>
    <t>6.01亿</t>
  </si>
  <si>
    <t>酒鬼酒</t>
  </si>
  <si>
    <t>南国置业</t>
  </si>
  <si>
    <t>96.9亿</t>
  </si>
  <si>
    <t>中央商场</t>
  </si>
  <si>
    <t>4266万</t>
  </si>
  <si>
    <t>雪迪龙</t>
  </si>
  <si>
    <t>3.46亿</t>
  </si>
  <si>
    <t>华仪电气</t>
  </si>
  <si>
    <t>5080万</t>
  </si>
  <si>
    <t>67.1亿</t>
  </si>
  <si>
    <t>四创电子</t>
  </si>
  <si>
    <t>1.06万</t>
  </si>
  <si>
    <t>83.1亿</t>
  </si>
  <si>
    <t>浙富控股</t>
  </si>
  <si>
    <t>4254万</t>
  </si>
  <si>
    <t>杰克股份</t>
  </si>
  <si>
    <t>4510万</t>
  </si>
  <si>
    <t>96.6亿</t>
  </si>
  <si>
    <t>5167万</t>
  </si>
  <si>
    <t>浙江世宝</t>
  </si>
  <si>
    <t>8192万</t>
  </si>
  <si>
    <t>96.4亿</t>
  </si>
  <si>
    <t>华北制药</t>
  </si>
  <si>
    <t>1599万</t>
  </si>
  <si>
    <t>通用股份</t>
  </si>
  <si>
    <t>8931万</t>
  </si>
  <si>
    <t>7.27亿</t>
  </si>
  <si>
    <t>96.2亿</t>
  </si>
  <si>
    <t>富春环保</t>
  </si>
  <si>
    <t>7.47万</t>
  </si>
  <si>
    <t>信达地产</t>
  </si>
  <si>
    <t>7991万</t>
  </si>
  <si>
    <t>湖南天雁</t>
  </si>
  <si>
    <t>7.37亿</t>
  </si>
  <si>
    <t>一汽富维</t>
  </si>
  <si>
    <t>康缘药业</t>
  </si>
  <si>
    <t>4131万</t>
  </si>
  <si>
    <t>中文在线</t>
  </si>
  <si>
    <t>7595万</t>
  </si>
  <si>
    <t>*ST重钢</t>
  </si>
  <si>
    <t>东珠景观</t>
  </si>
  <si>
    <t>5690万</t>
  </si>
  <si>
    <t>万通地产</t>
  </si>
  <si>
    <t>983万</t>
  </si>
  <si>
    <t>美邦服饰</t>
  </si>
  <si>
    <t>1459万</t>
  </si>
  <si>
    <t>95.2亿</t>
  </si>
  <si>
    <t>智云股份</t>
  </si>
  <si>
    <t>51.0亿</t>
  </si>
  <si>
    <t>金达威</t>
  </si>
  <si>
    <t>95.1亿</t>
  </si>
  <si>
    <t>陕天然气</t>
  </si>
  <si>
    <t>2392万</t>
  </si>
  <si>
    <t>95.0亿</t>
  </si>
  <si>
    <t>中国汽研</t>
  </si>
  <si>
    <t>2064万</t>
  </si>
  <si>
    <t>9.61亿</t>
  </si>
  <si>
    <t>金通灵</t>
  </si>
  <si>
    <t>5.56亿</t>
  </si>
  <si>
    <t>61.6亿</t>
  </si>
  <si>
    <t>兴森科技</t>
  </si>
  <si>
    <t>6361万</t>
  </si>
  <si>
    <t>63.0亿</t>
  </si>
  <si>
    <t>山河智能</t>
  </si>
  <si>
    <t>6.04亿</t>
  </si>
  <si>
    <t>天业股份</t>
  </si>
  <si>
    <t>7.82万</t>
  </si>
  <si>
    <t>8369万</t>
  </si>
  <si>
    <t>7.87亿</t>
  </si>
  <si>
    <t>哈工智能</t>
  </si>
  <si>
    <t>6.11亿</t>
  </si>
  <si>
    <t>94.4亿</t>
  </si>
  <si>
    <t>禾望电气</t>
  </si>
  <si>
    <t>6544万</t>
  </si>
  <si>
    <t>西藏天路</t>
  </si>
  <si>
    <t>上海凤凰</t>
  </si>
  <si>
    <t>3937万</t>
  </si>
  <si>
    <t>43.8亿</t>
  </si>
  <si>
    <t>和佳股份</t>
  </si>
  <si>
    <t>46.8万</t>
  </si>
  <si>
    <t>23.6万</t>
  </si>
  <si>
    <t>7.88亿</t>
  </si>
  <si>
    <t>新经典</t>
  </si>
  <si>
    <t>6509万</t>
  </si>
  <si>
    <t>94.3亿</t>
  </si>
  <si>
    <t>3336万</t>
  </si>
  <si>
    <t>腾邦国际</t>
  </si>
  <si>
    <t>4945万</t>
  </si>
  <si>
    <t>80.5亿</t>
  </si>
  <si>
    <t>泰豪科技</t>
  </si>
  <si>
    <t>4095万</t>
  </si>
  <si>
    <t>94.1亿</t>
  </si>
  <si>
    <t>航发科技</t>
  </si>
  <si>
    <t>锦江投资</t>
  </si>
  <si>
    <t>2225万</t>
  </si>
  <si>
    <t>5.52亿</t>
  </si>
  <si>
    <t>94.0亿</t>
  </si>
  <si>
    <t>66.6亿</t>
  </si>
  <si>
    <t>鼎龙股份</t>
  </si>
  <si>
    <t>5298万</t>
  </si>
  <si>
    <t>64.1亿</t>
  </si>
  <si>
    <t>昇兴股份</t>
  </si>
  <si>
    <t>2506万</t>
  </si>
  <si>
    <t>高能环境</t>
  </si>
  <si>
    <t>6.62亿</t>
  </si>
  <si>
    <t>长江传媒</t>
  </si>
  <si>
    <t>4202万</t>
  </si>
  <si>
    <t>上海能源</t>
  </si>
  <si>
    <t>4338万</t>
  </si>
  <si>
    <t>93.8亿</t>
  </si>
  <si>
    <t>力源信息</t>
  </si>
  <si>
    <t>5408万</t>
  </si>
  <si>
    <t>6.58亿</t>
  </si>
  <si>
    <t>兴发集团</t>
  </si>
  <si>
    <t>6.16万</t>
  </si>
  <si>
    <t>93.6亿</t>
  </si>
  <si>
    <t>史丹利</t>
  </si>
  <si>
    <t>9.08万</t>
  </si>
  <si>
    <t>7294万</t>
  </si>
  <si>
    <t>4.77万</t>
  </si>
  <si>
    <t>93.5亿</t>
  </si>
  <si>
    <t>57.1亿</t>
  </si>
  <si>
    <t>长江润发</t>
  </si>
  <si>
    <t>7972万</t>
  </si>
  <si>
    <t>有研新材</t>
  </si>
  <si>
    <t>93.3亿</t>
  </si>
  <si>
    <t>N华阳</t>
  </si>
  <si>
    <t>93.2亿</t>
  </si>
  <si>
    <t>7310万</t>
  </si>
  <si>
    <t>九牧王</t>
  </si>
  <si>
    <t>7870万</t>
  </si>
  <si>
    <t>金一文化</t>
  </si>
  <si>
    <t>2194万</t>
  </si>
  <si>
    <t>6.48亿</t>
  </si>
  <si>
    <t>现代投资</t>
  </si>
  <si>
    <t>5.82万</t>
  </si>
  <si>
    <t>3563万</t>
  </si>
  <si>
    <t>上海梅林</t>
  </si>
  <si>
    <t>8829万</t>
  </si>
  <si>
    <t>银江股份</t>
  </si>
  <si>
    <t>34.6万</t>
  </si>
  <si>
    <t>6.56亿</t>
  </si>
  <si>
    <t>哈三联</t>
  </si>
  <si>
    <t>5277万</t>
  </si>
  <si>
    <t>23.2亿</t>
  </si>
  <si>
    <t>三诺生物</t>
  </si>
  <si>
    <t>7210万</t>
  </si>
  <si>
    <t>利君股份</t>
  </si>
  <si>
    <t>7881万</t>
  </si>
  <si>
    <t>罗 牛 山</t>
  </si>
  <si>
    <t>75.7万</t>
  </si>
  <si>
    <t>49.5万</t>
  </si>
  <si>
    <t>理工环科</t>
  </si>
  <si>
    <t>66.9亿</t>
  </si>
  <si>
    <t>先河环保</t>
  </si>
  <si>
    <t>41.5万</t>
  </si>
  <si>
    <t>3.44亿</t>
  </si>
  <si>
    <t>92.7亿</t>
  </si>
  <si>
    <t>2.96亿</t>
  </si>
  <si>
    <t>79.7亿</t>
  </si>
  <si>
    <t>华贸物流</t>
  </si>
  <si>
    <t>9.11亿</t>
  </si>
  <si>
    <t>84.0亿</t>
  </si>
  <si>
    <t>山东路桥</t>
  </si>
  <si>
    <t>维维股份</t>
  </si>
  <si>
    <t>68.7万</t>
  </si>
  <si>
    <t>42.9万</t>
  </si>
  <si>
    <t>上海电影</t>
  </si>
  <si>
    <t>4625万</t>
  </si>
  <si>
    <t>紫江企业</t>
  </si>
  <si>
    <t>6514万</t>
  </si>
  <si>
    <t>87.5亿</t>
  </si>
  <si>
    <t>紫鑫药业</t>
  </si>
  <si>
    <t>73.9亿</t>
  </si>
  <si>
    <t>方大集团</t>
  </si>
  <si>
    <t>5.78万</t>
  </si>
  <si>
    <t>4508万</t>
  </si>
  <si>
    <t>江中药业</t>
  </si>
  <si>
    <t>7873万</t>
  </si>
  <si>
    <t>广州酒家</t>
  </si>
  <si>
    <t>一汽夏利</t>
  </si>
  <si>
    <t>双星新材</t>
  </si>
  <si>
    <t>2566万</t>
  </si>
  <si>
    <t>西陇科学</t>
  </si>
  <si>
    <t>4091万</t>
  </si>
  <si>
    <t>5.85亿</t>
  </si>
  <si>
    <t>91.9亿</t>
  </si>
  <si>
    <t>康旗股份</t>
  </si>
  <si>
    <t>美亚柏科</t>
  </si>
  <si>
    <t>54.7亿</t>
  </si>
  <si>
    <t>金字火腿</t>
  </si>
  <si>
    <t>3308万</t>
  </si>
  <si>
    <t>57.8亿</t>
  </si>
  <si>
    <t>中利集团</t>
  </si>
  <si>
    <t>5541万</t>
  </si>
  <si>
    <t>鲍斯股份</t>
  </si>
  <si>
    <t>5070万</t>
  </si>
  <si>
    <t>9136万</t>
  </si>
  <si>
    <t>*ST中安</t>
  </si>
  <si>
    <t>91.6亿</t>
  </si>
  <si>
    <t>53.9亿</t>
  </si>
  <si>
    <t>科华生物</t>
  </si>
  <si>
    <t>9649万</t>
  </si>
  <si>
    <t>4.56亿</t>
  </si>
  <si>
    <t>81.4亿</t>
  </si>
  <si>
    <t>昆药集团</t>
  </si>
  <si>
    <t>4.81万</t>
  </si>
  <si>
    <t>5589万</t>
  </si>
  <si>
    <t>久其软件</t>
  </si>
  <si>
    <t>9862万</t>
  </si>
  <si>
    <t>7.11亿</t>
  </si>
  <si>
    <t>2.74亿</t>
  </si>
  <si>
    <t>上海贝岭</t>
  </si>
  <si>
    <t>联创互联</t>
  </si>
  <si>
    <t>1.96亿</t>
  </si>
  <si>
    <t>56.2亿</t>
  </si>
  <si>
    <t>飞凯材料</t>
  </si>
  <si>
    <t>91.2亿</t>
  </si>
  <si>
    <t>延华智能</t>
  </si>
  <si>
    <t>4188万</t>
  </si>
  <si>
    <t>电科院</t>
  </si>
  <si>
    <t>9.18万</t>
  </si>
  <si>
    <t>71.8亿</t>
  </si>
  <si>
    <t>梅雁吉祥</t>
  </si>
  <si>
    <t>-2.05万</t>
  </si>
  <si>
    <t>91.1亿</t>
  </si>
  <si>
    <t>中钨高新</t>
  </si>
  <si>
    <t>5843万</t>
  </si>
  <si>
    <t>91.0亿</t>
  </si>
  <si>
    <t>软控股份</t>
  </si>
  <si>
    <t>90.9亿</t>
  </si>
  <si>
    <t>阳光照明</t>
  </si>
  <si>
    <t>4473万</t>
  </si>
  <si>
    <t>中国天楹</t>
  </si>
  <si>
    <t>90.8亿</t>
  </si>
  <si>
    <t>北部湾旅</t>
  </si>
  <si>
    <t>2819万</t>
  </si>
  <si>
    <t>3.49亿</t>
  </si>
  <si>
    <t>靖远煤电</t>
  </si>
  <si>
    <t>9.50万</t>
  </si>
  <si>
    <t>3757万</t>
  </si>
  <si>
    <t>-1.34万</t>
  </si>
  <si>
    <t>5.02万</t>
  </si>
  <si>
    <t>华峰氨纶</t>
  </si>
  <si>
    <t>3384万</t>
  </si>
  <si>
    <t>90.7亿</t>
  </si>
  <si>
    <t>设计总院</t>
  </si>
  <si>
    <t>8120万</t>
  </si>
  <si>
    <t>22.7亿</t>
  </si>
  <si>
    <t>华东电脑</t>
  </si>
  <si>
    <t>4215万</t>
  </si>
  <si>
    <t>90.5亿</t>
  </si>
  <si>
    <t>杭锅股份</t>
  </si>
  <si>
    <t>4.94万</t>
  </si>
  <si>
    <t>6054万</t>
  </si>
  <si>
    <t>7.39亿</t>
  </si>
  <si>
    <t>中材节能</t>
  </si>
  <si>
    <t>锦富技术</t>
  </si>
  <si>
    <t>9.82万</t>
  </si>
  <si>
    <t>8.42亿</t>
  </si>
  <si>
    <t>马应龙</t>
  </si>
  <si>
    <t>新疆天业</t>
  </si>
  <si>
    <t>4168万</t>
  </si>
  <si>
    <t>澳洋顺昌</t>
  </si>
  <si>
    <t>9.07万</t>
  </si>
  <si>
    <t>8251万</t>
  </si>
  <si>
    <t>83.0亿</t>
  </si>
  <si>
    <t>锦州港</t>
  </si>
  <si>
    <t>1300万</t>
  </si>
  <si>
    <t>ST常林</t>
  </si>
  <si>
    <t>2213万</t>
  </si>
  <si>
    <t>6.40亿</t>
  </si>
  <si>
    <t>鹏辉能源</t>
  </si>
  <si>
    <t>通宇通讯</t>
  </si>
  <si>
    <t>7056万</t>
  </si>
  <si>
    <t>二六三</t>
  </si>
  <si>
    <t>76.7万</t>
  </si>
  <si>
    <t>48.7万</t>
  </si>
  <si>
    <t>7.84亿</t>
  </si>
  <si>
    <t>苏州高新</t>
  </si>
  <si>
    <t>2837万</t>
  </si>
  <si>
    <t>数字政通</t>
  </si>
  <si>
    <t>8.87万</t>
  </si>
  <si>
    <t>4.25亿</t>
  </si>
  <si>
    <t>57.6亿</t>
  </si>
  <si>
    <t>东诚药业</t>
  </si>
  <si>
    <t>5465万</t>
  </si>
  <si>
    <t>振东制药</t>
  </si>
  <si>
    <t>4137万</t>
  </si>
  <si>
    <t>70.6亿</t>
  </si>
  <si>
    <t>亚太股份</t>
  </si>
  <si>
    <t>89.7亿</t>
  </si>
  <si>
    <t>83.4亿</t>
  </si>
  <si>
    <t>嘉事堂</t>
  </si>
  <si>
    <t>2838万</t>
  </si>
  <si>
    <t>89.6亿</t>
  </si>
  <si>
    <t>2.49亿</t>
  </si>
  <si>
    <t>89.2亿</t>
  </si>
  <si>
    <t>当代东方</t>
  </si>
  <si>
    <t>7.44万</t>
  </si>
  <si>
    <t>7.93亿</t>
  </si>
  <si>
    <t>47.1亿</t>
  </si>
  <si>
    <t>千山药机</t>
  </si>
  <si>
    <t>时代新材</t>
  </si>
  <si>
    <t>3446万</t>
  </si>
  <si>
    <t>73.7亿</t>
  </si>
  <si>
    <t>方正科技</t>
  </si>
  <si>
    <t>4530万</t>
  </si>
  <si>
    <t>6.86万</t>
  </si>
  <si>
    <t>海特高新</t>
  </si>
  <si>
    <t>7.57亿</t>
  </si>
  <si>
    <t>6.59亿</t>
  </si>
  <si>
    <t>77.8亿</t>
  </si>
  <si>
    <t>四川九洲</t>
  </si>
  <si>
    <t>华鼎股份</t>
  </si>
  <si>
    <t>1372万</t>
  </si>
  <si>
    <t>恒泰艾普</t>
  </si>
  <si>
    <t>龙马环卫</t>
  </si>
  <si>
    <t>6065万</t>
  </si>
  <si>
    <t>33.4亿</t>
  </si>
  <si>
    <t>科恒股份</t>
  </si>
  <si>
    <t>6.96万</t>
  </si>
  <si>
    <t>8195万</t>
  </si>
  <si>
    <t>62.0亿</t>
  </si>
  <si>
    <t>天宸股份</t>
  </si>
  <si>
    <t>1753万</t>
  </si>
  <si>
    <t>89.1亿</t>
  </si>
  <si>
    <t>青岛金王</t>
  </si>
  <si>
    <t>7.33万</t>
  </si>
  <si>
    <t xml:space="preserve"> 工艺商品</t>
  </si>
  <si>
    <t>79.9亿</t>
  </si>
  <si>
    <t>国星光电</t>
  </si>
  <si>
    <t>博汇纸业</t>
  </si>
  <si>
    <t>88.9亿</t>
  </si>
  <si>
    <t>华银电力</t>
  </si>
  <si>
    <t>3096万</t>
  </si>
  <si>
    <t>-1.24万</t>
  </si>
  <si>
    <t>8.28亿</t>
  </si>
  <si>
    <t>41.3亿</t>
  </si>
  <si>
    <t>莱茵体育</t>
  </si>
  <si>
    <t>天海防务</t>
  </si>
  <si>
    <t>7.06万</t>
  </si>
  <si>
    <t>53.6亿</t>
  </si>
  <si>
    <t>弘亚数控</t>
  </si>
  <si>
    <t>5306万</t>
  </si>
  <si>
    <t>S佳通</t>
  </si>
  <si>
    <t>潜能恒信</t>
  </si>
  <si>
    <t>英唐智控</t>
  </si>
  <si>
    <t>5133万</t>
  </si>
  <si>
    <t>一拖股份</t>
  </si>
  <si>
    <t>5048万</t>
  </si>
  <si>
    <t>5.94亿</t>
  </si>
  <si>
    <t>楚江新材</t>
  </si>
  <si>
    <t>大丰实业</t>
  </si>
  <si>
    <t>9170万</t>
  </si>
  <si>
    <t>5180万</t>
  </si>
  <si>
    <t>百隆东方</t>
  </si>
  <si>
    <t>2079万</t>
  </si>
  <si>
    <t>豫光金铅</t>
  </si>
  <si>
    <t>4515万</t>
  </si>
  <si>
    <t>71.7亿</t>
  </si>
  <si>
    <t>智慧农业</t>
  </si>
  <si>
    <t>黑猫股份</t>
  </si>
  <si>
    <t>73.6亿</t>
  </si>
  <si>
    <t>国民技术</t>
  </si>
  <si>
    <t>88.1亿</t>
  </si>
  <si>
    <t>赛摩电气</t>
  </si>
  <si>
    <t>润达医疗</t>
  </si>
  <si>
    <t>日海通讯</t>
  </si>
  <si>
    <t>3.12亿</t>
  </si>
  <si>
    <t>通裕重工</t>
  </si>
  <si>
    <t>4076万</t>
  </si>
  <si>
    <t>-7.04万</t>
  </si>
  <si>
    <t>岭南控股</t>
  </si>
  <si>
    <t>4107万</t>
  </si>
  <si>
    <t>金利科技</t>
  </si>
  <si>
    <t>87.6亿</t>
  </si>
  <si>
    <t>康力电梯</t>
  </si>
  <si>
    <t>2854万</t>
  </si>
  <si>
    <t>润和软件</t>
  </si>
  <si>
    <t>7227万</t>
  </si>
  <si>
    <t>普洛药业</t>
  </si>
  <si>
    <t>远达环保</t>
  </si>
  <si>
    <t>美好置业</t>
  </si>
  <si>
    <t>2750万</t>
  </si>
  <si>
    <t>87.3亿</t>
  </si>
  <si>
    <t>86.6亿</t>
  </si>
  <si>
    <t>皖维高新</t>
  </si>
  <si>
    <t>4402万</t>
  </si>
  <si>
    <t>87.2亿</t>
  </si>
  <si>
    <t>精测电子</t>
  </si>
  <si>
    <t>7396万</t>
  </si>
  <si>
    <t>2000万</t>
  </si>
  <si>
    <t>华建集团</t>
  </si>
  <si>
    <t>2820万</t>
  </si>
  <si>
    <t>4.32亿</t>
  </si>
  <si>
    <t>壹桥股份</t>
  </si>
  <si>
    <t>6791万</t>
  </si>
  <si>
    <t>京新药业</t>
  </si>
  <si>
    <t>4303万</t>
  </si>
  <si>
    <t>86.9亿</t>
  </si>
  <si>
    <t>宝通科技</t>
  </si>
  <si>
    <t>沪电股份</t>
  </si>
  <si>
    <t>海利生物</t>
  </si>
  <si>
    <t>1943万</t>
  </si>
  <si>
    <t>6.44亿</t>
  </si>
  <si>
    <t>86.8亿</t>
  </si>
  <si>
    <t>天通股份</t>
  </si>
  <si>
    <t>8.20亿</t>
  </si>
  <si>
    <t>新华制药</t>
  </si>
  <si>
    <t>森特股份</t>
  </si>
  <si>
    <t>5112万</t>
  </si>
  <si>
    <t>6251万</t>
  </si>
  <si>
    <t>抚顺特钢</t>
  </si>
  <si>
    <t>4048万</t>
  </si>
  <si>
    <t>86.7亿</t>
  </si>
  <si>
    <t>开元股份</t>
  </si>
  <si>
    <t>4730万</t>
  </si>
  <si>
    <t>风华高科</t>
  </si>
  <si>
    <t>电子城</t>
  </si>
  <si>
    <t>1766万</t>
  </si>
  <si>
    <t>7.99亿</t>
  </si>
  <si>
    <t>白云电器</t>
  </si>
  <si>
    <t>3454万</t>
  </si>
  <si>
    <t>畅联股份</t>
  </si>
  <si>
    <t>9.12万</t>
  </si>
  <si>
    <t>9217万</t>
  </si>
  <si>
    <t>海天精工</t>
  </si>
  <si>
    <t>2748万</t>
  </si>
  <si>
    <t>5220万</t>
  </si>
  <si>
    <t>赛轮金宇</t>
  </si>
  <si>
    <t>4264万</t>
  </si>
  <si>
    <t>-1.83万</t>
  </si>
  <si>
    <t>广汇物流</t>
  </si>
  <si>
    <t>世运电路</t>
  </si>
  <si>
    <t>8190万</t>
  </si>
  <si>
    <t>8880万</t>
  </si>
  <si>
    <t>海伦哲</t>
  </si>
  <si>
    <t>3993万</t>
  </si>
  <si>
    <t>荣泰健康</t>
  </si>
  <si>
    <t>9085万</t>
  </si>
  <si>
    <t>86.2亿</t>
  </si>
  <si>
    <t>云意电气</t>
  </si>
  <si>
    <t>82.9亿</t>
  </si>
  <si>
    <t>星普医科</t>
  </si>
  <si>
    <t>2696万</t>
  </si>
  <si>
    <t>43.7亿</t>
  </si>
  <si>
    <t>晋西车轴</t>
  </si>
  <si>
    <t>7421万</t>
  </si>
  <si>
    <t>-1.31万</t>
  </si>
  <si>
    <t>三雄极光</t>
  </si>
  <si>
    <t>1.36万</t>
  </si>
  <si>
    <t>华电能源</t>
  </si>
  <si>
    <t>1617万</t>
  </si>
  <si>
    <t>高升控股</t>
  </si>
  <si>
    <t>3285万</t>
  </si>
  <si>
    <t>5.11亿</t>
  </si>
  <si>
    <t>85.8亿</t>
  </si>
  <si>
    <t>同济科技</t>
  </si>
  <si>
    <t>6.25亿</t>
  </si>
  <si>
    <t>沃尔核材</t>
  </si>
  <si>
    <t>风范股份</t>
  </si>
  <si>
    <t>3209万</t>
  </si>
  <si>
    <t>辉丰股份</t>
  </si>
  <si>
    <t>广东鸿图</t>
  </si>
  <si>
    <t>7488万</t>
  </si>
  <si>
    <t>59.9亿</t>
  </si>
  <si>
    <t>荣晟环保</t>
  </si>
  <si>
    <t>3168万</t>
  </si>
  <si>
    <t>隆华节能</t>
  </si>
  <si>
    <t>36.1万</t>
  </si>
  <si>
    <t>31.2万</t>
  </si>
  <si>
    <t>5.15亿</t>
  </si>
  <si>
    <t>50.0亿</t>
  </si>
  <si>
    <t>精达股份</t>
  </si>
  <si>
    <t>3899万</t>
  </si>
  <si>
    <t>绿盟科技</t>
  </si>
  <si>
    <t>4635万</t>
  </si>
  <si>
    <t>54.6亿</t>
  </si>
  <si>
    <t>拓斯达</t>
  </si>
  <si>
    <t>3262万</t>
  </si>
  <si>
    <t>万东医疗</t>
  </si>
  <si>
    <t>4.85亿</t>
  </si>
  <si>
    <t>76.7亿</t>
  </si>
  <si>
    <t>名家汇</t>
  </si>
  <si>
    <t>85.5亿</t>
  </si>
  <si>
    <t>海印股份</t>
  </si>
  <si>
    <t>1900万</t>
  </si>
  <si>
    <t>花园生物</t>
  </si>
  <si>
    <t>中牧股份</t>
  </si>
  <si>
    <t>2970万</t>
  </si>
  <si>
    <t>武汉凡谷</t>
  </si>
  <si>
    <t>宗申动力</t>
  </si>
  <si>
    <t>富瀚微</t>
  </si>
  <si>
    <t>4444万</t>
  </si>
  <si>
    <t>1111万</t>
  </si>
  <si>
    <t>双塔食品</t>
  </si>
  <si>
    <t>3608万</t>
  </si>
  <si>
    <t>76.1亿</t>
  </si>
  <si>
    <t>亚太药业</t>
  </si>
  <si>
    <t>7183万</t>
  </si>
  <si>
    <t>旷达科技</t>
  </si>
  <si>
    <t>2550万</t>
  </si>
  <si>
    <t>黑牛食品</t>
  </si>
  <si>
    <t>巨力索具</t>
  </si>
  <si>
    <t>85.1亿</t>
  </si>
  <si>
    <t>8.81亿</t>
  </si>
  <si>
    <t>益生股份</t>
  </si>
  <si>
    <t>3245万</t>
  </si>
  <si>
    <t>大连电瓷</t>
  </si>
  <si>
    <t>85.0亿</t>
  </si>
  <si>
    <t>江海股份</t>
  </si>
  <si>
    <t>84.9亿</t>
  </si>
  <si>
    <t>慈星股份</t>
  </si>
  <si>
    <t>5846万</t>
  </si>
  <si>
    <t>和而泰</t>
  </si>
  <si>
    <t>65.2亿</t>
  </si>
  <si>
    <t>西部创业</t>
  </si>
  <si>
    <t>3831万</t>
  </si>
  <si>
    <t>永鼎股份</t>
  </si>
  <si>
    <t>6495万</t>
  </si>
  <si>
    <t>中恒电气</t>
  </si>
  <si>
    <t>4570万</t>
  </si>
  <si>
    <t>祁连山</t>
  </si>
  <si>
    <t>万和电气</t>
  </si>
  <si>
    <t>6794万</t>
  </si>
  <si>
    <t>锌业股份</t>
  </si>
  <si>
    <t>福安药业</t>
  </si>
  <si>
    <t>4524万</t>
  </si>
  <si>
    <t>星源材质</t>
  </si>
  <si>
    <t>仙琚制药</t>
  </si>
  <si>
    <t>1.67亿</t>
  </si>
  <si>
    <t>9.16亿</t>
  </si>
  <si>
    <t>中葡股份</t>
  </si>
  <si>
    <t>84.5亿</t>
  </si>
  <si>
    <t>75.1亿</t>
  </si>
  <si>
    <t>青山纸业</t>
  </si>
  <si>
    <t>5660万</t>
  </si>
  <si>
    <t>珠海港</t>
  </si>
  <si>
    <t>龙大肉食</t>
  </si>
  <si>
    <t>1976万</t>
  </si>
  <si>
    <t>7.56亿</t>
  </si>
  <si>
    <t>汉钟精机</t>
  </si>
  <si>
    <t>红旗连锁</t>
  </si>
  <si>
    <t>华泰股份</t>
  </si>
  <si>
    <t>5735万</t>
  </si>
  <si>
    <t>凌云股份</t>
  </si>
  <si>
    <t>8029万</t>
  </si>
  <si>
    <t>84.2亿</t>
  </si>
  <si>
    <t>拓邦股份</t>
  </si>
  <si>
    <t>罗普斯金</t>
  </si>
  <si>
    <t>2349万</t>
  </si>
  <si>
    <t>81.2亿</t>
  </si>
  <si>
    <t>金城医药</t>
  </si>
  <si>
    <t>3673万</t>
  </si>
  <si>
    <t>合纵科技</t>
  </si>
  <si>
    <t>碳元科技</t>
  </si>
  <si>
    <t>5200万</t>
  </si>
  <si>
    <t>英洛华</t>
  </si>
  <si>
    <t>银禧科技</t>
  </si>
  <si>
    <t>5.06亿</t>
  </si>
  <si>
    <t>双良节能</t>
  </si>
  <si>
    <t>-1.76万</t>
  </si>
  <si>
    <t>云南城投</t>
  </si>
  <si>
    <t>新安股份</t>
  </si>
  <si>
    <t>6.79亿</t>
  </si>
  <si>
    <t>80.6亿</t>
  </si>
  <si>
    <t>远 望 谷</t>
  </si>
  <si>
    <t>思维列控</t>
  </si>
  <si>
    <t>6967万</t>
  </si>
  <si>
    <t>6520万</t>
  </si>
  <si>
    <t>得邦照明</t>
  </si>
  <si>
    <t>6.01万</t>
  </si>
  <si>
    <t>83.6亿</t>
  </si>
  <si>
    <t>青青稞酒</t>
  </si>
  <si>
    <t>中来股份</t>
  </si>
  <si>
    <t>4567万</t>
  </si>
  <si>
    <t>83.5亿</t>
  </si>
  <si>
    <t>金固股份</t>
  </si>
  <si>
    <t>华媒控股</t>
  </si>
  <si>
    <t>4646万</t>
  </si>
  <si>
    <t>赛为智能</t>
  </si>
  <si>
    <t>博威合金</t>
  </si>
  <si>
    <t>6.27亿</t>
  </si>
  <si>
    <t>75.0亿</t>
  </si>
  <si>
    <t>当代明诚</t>
  </si>
  <si>
    <t>海兰信</t>
  </si>
  <si>
    <t>5.61万</t>
  </si>
  <si>
    <t>83.2亿</t>
  </si>
  <si>
    <t>富安娜</t>
  </si>
  <si>
    <t>2879万</t>
  </si>
  <si>
    <t>8.71亿</t>
  </si>
  <si>
    <t>可立克</t>
  </si>
  <si>
    <t>6593万</t>
  </si>
  <si>
    <t>1.23万</t>
  </si>
  <si>
    <t>4.26亿</t>
  </si>
  <si>
    <t>*ST弘高</t>
  </si>
  <si>
    <t>4.15亿</t>
  </si>
  <si>
    <t>全通教育</t>
  </si>
  <si>
    <t>6.34亿</t>
  </si>
  <si>
    <t>51.2亿</t>
  </si>
  <si>
    <t>海 利 得</t>
  </si>
  <si>
    <t>3228万</t>
  </si>
  <si>
    <t>东港股份</t>
  </si>
  <si>
    <t>9697万</t>
  </si>
  <si>
    <t>北新路桥</t>
  </si>
  <si>
    <t>耐威科技</t>
  </si>
  <si>
    <t>82.8亿</t>
  </si>
  <si>
    <t>7229万</t>
  </si>
  <si>
    <t>东方能源</t>
  </si>
  <si>
    <t>8884万</t>
  </si>
  <si>
    <t>6.66亿</t>
  </si>
  <si>
    <t>50.1亿</t>
  </si>
  <si>
    <t>游久游戏</t>
  </si>
  <si>
    <t>6.90万</t>
  </si>
  <si>
    <t>6832万</t>
  </si>
  <si>
    <t>新华龙</t>
  </si>
  <si>
    <t>3322万</t>
  </si>
  <si>
    <t>5.43亿</t>
  </si>
  <si>
    <t>76.0亿</t>
  </si>
  <si>
    <t>索菱股份</t>
  </si>
  <si>
    <t>兆新股份</t>
  </si>
  <si>
    <t>82.6亿</t>
  </si>
  <si>
    <t>55.0亿</t>
  </si>
  <si>
    <t>博实股份</t>
  </si>
  <si>
    <t>4041万</t>
  </si>
  <si>
    <t>64.4亿</t>
  </si>
  <si>
    <t>长青集团</t>
  </si>
  <si>
    <t>4.59亿</t>
  </si>
  <si>
    <t>山大华特</t>
  </si>
  <si>
    <t>鸣志电器</t>
  </si>
  <si>
    <t>8542万</t>
  </si>
  <si>
    <t>8000万</t>
  </si>
  <si>
    <t>黑牡丹</t>
  </si>
  <si>
    <t>2001万</t>
  </si>
  <si>
    <t>上峰水泥</t>
  </si>
  <si>
    <t>精工钢构</t>
  </si>
  <si>
    <t>36.3万</t>
  </si>
  <si>
    <t>-1.46万</t>
  </si>
  <si>
    <t>新易盛</t>
  </si>
  <si>
    <t>银轮股份</t>
  </si>
  <si>
    <t>6431万</t>
  </si>
  <si>
    <t>钱江摩托</t>
  </si>
  <si>
    <t>1754万</t>
  </si>
  <si>
    <t>同兴达</t>
  </si>
  <si>
    <t>9.60万</t>
  </si>
  <si>
    <t>青海春天</t>
  </si>
  <si>
    <t>4045万</t>
  </si>
  <si>
    <t>通策医疗</t>
  </si>
  <si>
    <t>3.21亿</t>
  </si>
  <si>
    <t>通灵珠宝</t>
  </si>
  <si>
    <t>6421万</t>
  </si>
  <si>
    <t>8512万</t>
  </si>
  <si>
    <t>ST生化</t>
  </si>
  <si>
    <t>4192万</t>
  </si>
  <si>
    <t>万安科技</t>
  </si>
  <si>
    <t>4.35亿</t>
  </si>
  <si>
    <t>亚星锚链</t>
  </si>
  <si>
    <t>8389万</t>
  </si>
  <si>
    <t>方大化工</t>
  </si>
  <si>
    <t>韶能股份</t>
  </si>
  <si>
    <t>3064万</t>
  </si>
  <si>
    <t>古越龙山</t>
  </si>
  <si>
    <t>7077万</t>
  </si>
  <si>
    <t>华西能源</t>
  </si>
  <si>
    <t>3931万</t>
  </si>
  <si>
    <t>飞天诚信</t>
  </si>
  <si>
    <t>7.42万</t>
  </si>
  <si>
    <t>38.5亿</t>
  </si>
  <si>
    <t>富春股份</t>
  </si>
  <si>
    <t>2.23亿</t>
  </si>
  <si>
    <t>中润资源</t>
  </si>
  <si>
    <t>金徽酒</t>
  </si>
  <si>
    <t>来伊份</t>
  </si>
  <si>
    <t>继峰股份</t>
  </si>
  <si>
    <t>5651万</t>
  </si>
  <si>
    <t>快乐购</t>
  </si>
  <si>
    <t>振华科技</t>
  </si>
  <si>
    <t>贤丰控股</t>
  </si>
  <si>
    <t>欢瑞世纪</t>
  </si>
  <si>
    <t>2633万</t>
  </si>
  <si>
    <t>81.0亿</t>
  </si>
  <si>
    <t>3.56亿</t>
  </si>
  <si>
    <t>常山药业</t>
  </si>
  <si>
    <t>52.8亿</t>
  </si>
  <si>
    <t>吴通控股</t>
  </si>
  <si>
    <t>80.8亿</t>
  </si>
  <si>
    <t>48.8亿</t>
  </si>
  <si>
    <t>海航创新</t>
  </si>
  <si>
    <t>60.4亿</t>
  </si>
  <si>
    <t>云图控股</t>
  </si>
  <si>
    <t>2263万</t>
  </si>
  <si>
    <t>36.7亿</t>
  </si>
  <si>
    <t>汉鼎宇佑</t>
  </si>
  <si>
    <t>3196万</t>
  </si>
  <si>
    <t>东方网络</t>
  </si>
  <si>
    <t>56.8亿</t>
  </si>
  <si>
    <t>超图软件</t>
  </si>
  <si>
    <t>7445万</t>
  </si>
  <si>
    <t>大连重工</t>
  </si>
  <si>
    <t>2218万</t>
  </si>
  <si>
    <t>新北洋</t>
  </si>
  <si>
    <t>5282万</t>
  </si>
  <si>
    <t>5.74亿</t>
  </si>
  <si>
    <t>九强生物</t>
  </si>
  <si>
    <t>7830万</t>
  </si>
  <si>
    <t>天康生物</t>
  </si>
  <si>
    <t>4250万</t>
  </si>
  <si>
    <t>59.4亿</t>
  </si>
  <si>
    <t>新文化</t>
  </si>
  <si>
    <t>7646万</t>
  </si>
  <si>
    <t>歌力思</t>
  </si>
  <si>
    <t>2779万</t>
  </si>
  <si>
    <t>罗莱生活</t>
  </si>
  <si>
    <t>1813万</t>
  </si>
  <si>
    <t>家家悦</t>
  </si>
  <si>
    <t>6561万</t>
  </si>
  <si>
    <t>20.1亿</t>
  </si>
  <si>
    <t>中通客车</t>
  </si>
  <si>
    <t>普利制药</t>
  </si>
  <si>
    <t>4670万</t>
  </si>
  <si>
    <t>80.4亿</t>
  </si>
  <si>
    <t>3053万</t>
  </si>
  <si>
    <t>振芯科技</t>
  </si>
  <si>
    <t>7623万</t>
  </si>
  <si>
    <t>迅游科技</t>
  </si>
  <si>
    <t>47.8亿</t>
  </si>
  <si>
    <t>文峰股份</t>
  </si>
  <si>
    <t>2476万</t>
  </si>
  <si>
    <t>*ST 中绒</t>
  </si>
  <si>
    <t>4989万</t>
  </si>
  <si>
    <t>千红制药</t>
  </si>
  <si>
    <t>2358万</t>
  </si>
  <si>
    <t>8.53亿</t>
  </si>
  <si>
    <t>恒宝股份</t>
  </si>
  <si>
    <t>53.9万</t>
  </si>
  <si>
    <t>交运股份</t>
  </si>
  <si>
    <t>3715万</t>
  </si>
  <si>
    <t>金卡智能</t>
  </si>
  <si>
    <t>泰和新材</t>
  </si>
  <si>
    <t>6413万</t>
  </si>
  <si>
    <t>79.8亿</t>
  </si>
  <si>
    <t>北京利尔</t>
  </si>
  <si>
    <t>上海凯宝</t>
  </si>
  <si>
    <t>59.6亿</t>
  </si>
  <si>
    <t>希努尔</t>
  </si>
  <si>
    <t>1852万</t>
  </si>
  <si>
    <t>强生控股</t>
  </si>
  <si>
    <t>3395万</t>
  </si>
  <si>
    <t>江山化工</t>
  </si>
  <si>
    <t>54.3亿</t>
  </si>
  <si>
    <t>正业科技</t>
  </si>
  <si>
    <t>7006万</t>
  </si>
  <si>
    <t>景兴纸业</t>
  </si>
  <si>
    <t>久之洋</t>
  </si>
  <si>
    <t>2997万</t>
  </si>
  <si>
    <t>4710万</t>
  </si>
  <si>
    <t>新开源</t>
  </si>
  <si>
    <t>38.1亿</t>
  </si>
  <si>
    <t>道道全</t>
  </si>
  <si>
    <t>79.1亿</t>
  </si>
  <si>
    <t>2500万</t>
  </si>
  <si>
    <t>中电鑫龙</t>
  </si>
  <si>
    <t>3346万</t>
  </si>
  <si>
    <t>金鸿控股</t>
  </si>
  <si>
    <t>6404万</t>
  </si>
  <si>
    <t>77.7亿</t>
  </si>
  <si>
    <t>石化机械</t>
  </si>
  <si>
    <t>凯撒文化</t>
  </si>
  <si>
    <t>3770万</t>
  </si>
  <si>
    <t>72.8亿</t>
  </si>
  <si>
    <t>泰达股份</t>
  </si>
  <si>
    <t>9338万</t>
  </si>
  <si>
    <t>78.4亿</t>
  </si>
  <si>
    <t>国光电器</t>
  </si>
  <si>
    <t>天壕环境</t>
  </si>
  <si>
    <t>6.33亿</t>
  </si>
  <si>
    <t>55.2亿</t>
  </si>
  <si>
    <t>赫美集团</t>
  </si>
  <si>
    <t>多伦科技</t>
  </si>
  <si>
    <t>5260万</t>
  </si>
  <si>
    <t>鼎汉技术</t>
  </si>
  <si>
    <t>9.28万</t>
  </si>
  <si>
    <t>洪涛股份</t>
  </si>
  <si>
    <t>3850万</t>
  </si>
  <si>
    <t>9.13亿</t>
  </si>
  <si>
    <t>57.5亿</t>
  </si>
  <si>
    <t>思美传媒</t>
  </si>
  <si>
    <t>超声电子</t>
  </si>
  <si>
    <t>8.09万</t>
  </si>
  <si>
    <t>杭州解百</t>
  </si>
  <si>
    <t>威华股份</t>
  </si>
  <si>
    <t>78.2亿</t>
  </si>
  <si>
    <t>高鸿股份</t>
  </si>
  <si>
    <t>佛塑科技</t>
  </si>
  <si>
    <t>9565万</t>
  </si>
  <si>
    <t>9.67亿</t>
  </si>
  <si>
    <t>东方海洋</t>
  </si>
  <si>
    <t>6.88亿</t>
  </si>
  <si>
    <t>54.1亿</t>
  </si>
  <si>
    <t>天圣制药</t>
  </si>
  <si>
    <t>骅威文化</t>
  </si>
  <si>
    <t>4968万</t>
  </si>
  <si>
    <t>海洋王</t>
  </si>
  <si>
    <t>3580万</t>
  </si>
  <si>
    <t>中毅达</t>
  </si>
  <si>
    <t>3958万</t>
  </si>
  <si>
    <t>2.47万</t>
  </si>
  <si>
    <t>3.76亿</t>
  </si>
  <si>
    <t>神州易桥</t>
  </si>
  <si>
    <t>华测检测</t>
  </si>
  <si>
    <t>9542万</t>
  </si>
  <si>
    <t>四环生物</t>
  </si>
  <si>
    <t>1885万</t>
  </si>
  <si>
    <t>77.9亿</t>
  </si>
  <si>
    <t>东土科技</t>
  </si>
  <si>
    <t>6875万</t>
  </si>
  <si>
    <t>新华医疗</t>
  </si>
  <si>
    <t>东方市场</t>
  </si>
  <si>
    <t>134万</t>
  </si>
  <si>
    <t>80.7万</t>
  </si>
  <si>
    <t>精华制药</t>
  </si>
  <si>
    <t>4705万</t>
  </si>
  <si>
    <t>新世界</t>
  </si>
  <si>
    <t>6.47亿</t>
  </si>
  <si>
    <t>冠豪高新</t>
  </si>
  <si>
    <t>3470万</t>
  </si>
  <si>
    <t>豫能控股</t>
  </si>
  <si>
    <t>44.7亿</t>
  </si>
  <si>
    <t>金力泰</t>
  </si>
  <si>
    <t>国中水务</t>
  </si>
  <si>
    <t>天润曲轴</t>
  </si>
  <si>
    <t>9120万</t>
  </si>
  <si>
    <t>禾丰牧业</t>
  </si>
  <si>
    <t>2307万</t>
  </si>
  <si>
    <t>皮阿诺</t>
  </si>
  <si>
    <t>斯太尔</t>
  </si>
  <si>
    <t>2443万</t>
  </si>
  <si>
    <t>-1.40万</t>
  </si>
  <si>
    <t>创意信息</t>
  </si>
  <si>
    <t>6853万</t>
  </si>
  <si>
    <t>数码科技</t>
  </si>
  <si>
    <t>6223万</t>
  </si>
  <si>
    <t>7.04万</t>
  </si>
  <si>
    <t>皇氏集团</t>
  </si>
  <si>
    <t>7.60万</t>
  </si>
  <si>
    <t>7032万</t>
  </si>
  <si>
    <t>48.4亿</t>
  </si>
  <si>
    <t>华东重机</t>
  </si>
  <si>
    <t>3821万</t>
  </si>
  <si>
    <t>齐心集团</t>
  </si>
  <si>
    <t>67.4亿</t>
  </si>
  <si>
    <t>渤海活塞</t>
  </si>
  <si>
    <t>3866万</t>
  </si>
  <si>
    <t>9.51亿</t>
  </si>
  <si>
    <t>5.25亿</t>
  </si>
  <si>
    <t>晋亿实业</t>
  </si>
  <si>
    <t>9835万</t>
  </si>
  <si>
    <t>万盛股份</t>
  </si>
  <si>
    <t>3432万</t>
  </si>
  <si>
    <t>基蛋生物</t>
  </si>
  <si>
    <t>3300万</t>
  </si>
  <si>
    <t>腾达建设</t>
  </si>
  <si>
    <t>2387万</t>
  </si>
  <si>
    <t>72.0亿</t>
  </si>
  <si>
    <t>三 力 士</t>
  </si>
  <si>
    <t>7116万</t>
  </si>
  <si>
    <t>55.1亿</t>
  </si>
  <si>
    <t>东睦股份</t>
  </si>
  <si>
    <t>6468万</t>
  </si>
  <si>
    <t>3.87亿</t>
  </si>
  <si>
    <t>云南锗业</t>
  </si>
  <si>
    <t>77.1亿</t>
  </si>
  <si>
    <t>北信源</t>
  </si>
  <si>
    <t>6029万</t>
  </si>
  <si>
    <t>7.74万</t>
  </si>
  <si>
    <t>55.5亿</t>
  </si>
  <si>
    <t>曙光股份</t>
  </si>
  <si>
    <t>万润科技</t>
  </si>
  <si>
    <t>5.89万</t>
  </si>
  <si>
    <t>5493万</t>
  </si>
  <si>
    <t>银邦股份</t>
  </si>
  <si>
    <t>诺 普 信</t>
  </si>
  <si>
    <t>7523万</t>
  </si>
  <si>
    <t>7.10亿</t>
  </si>
  <si>
    <t>我武生物</t>
  </si>
  <si>
    <t>安凯客车</t>
  </si>
  <si>
    <t>101万</t>
  </si>
  <si>
    <t>59.7万</t>
  </si>
  <si>
    <t>兆丰股份</t>
  </si>
  <si>
    <t>6668万</t>
  </si>
  <si>
    <t>1668万</t>
  </si>
  <si>
    <t>兰州民百</t>
  </si>
  <si>
    <t>2262万</t>
  </si>
  <si>
    <t>天邦股份</t>
  </si>
  <si>
    <t>9.63万</t>
  </si>
  <si>
    <t>9466万</t>
  </si>
  <si>
    <t>7.73亿</t>
  </si>
  <si>
    <t>76.5亿</t>
  </si>
  <si>
    <t>3.82亿</t>
  </si>
  <si>
    <t>37.8亿</t>
  </si>
  <si>
    <t>航天通信</t>
  </si>
  <si>
    <t>湖北广电</t>
  </si>
  <si>
    <t>3458万</t>
  </si>
  <si>
    <t>中航电测</t>
  </si>
  <si>
    <t>3089万</t>
  </si>
  <si>
    <t>云南能投</t>
  </si>
  <si>
    <t>航民股份</t>
  </si>
  <si>
    <t>5648万</t>
  </si>
  <si>
    <t>华达科技</t>
  </si>
  <si>
    <t>7777万</t>
  </si>
  <si>
    <t>4000万</t>
  </si>
  <si>
    <t>安徽合力</t>
  </si>
  <si>
    <t>3742万</t>
  </si>
  <si>
    <t>亚太科技</t>
  </si>
  <si>
    <t>51.7亿</t>
  </si>
  <si>
    <t>美康生物</t>
  </si>
  <si>
    <t>纳川股份</t>
  </si>
  <si>
    <t>舒泰神</t>
  </si>
  <si>
    <t>3766万</t>
  </si>
  <si>
    <t>新华传媒</t>
  </si>
  <si>
    <t>千禾味业</t>
  </si>
  <si>
    <t>7570万</t>
  </si>
  <si>
    <t>广聚能源</t>
  </si>
  <si>
    <t>1550万</t>
  </si>
  <si>
    <t>卫信康</t>
  </si>
  <si>
    <t>6.63万</t>
  </si>
  <si>
    <t>6300万</t>
  </si>
  <si>
    <t>实达集团</t>
  </si>
  <si>
    <t>4136万</t>
  </si>
  <si>
    <t>厦门港务</t>
  </si>
  <si>
    <t>3.14亿</t>
  </si>
  <si>
    <t>江苏雷利</t>
  </si>
  <si>
    <t>2527万</t>
  </si>
  <si>
    <t>仁和药业</t>
  </si>
  <si>
    <t>7093万</t>
  </si>
  <si>
    <t>6.04万</t>
  </si>
  <si>
    <t>西藏药业</t>
  </si>
  <si>
    <t>3862万</t>
  </si>
  <si>
    <t>75.7亿</t>
  </si>
  <si>
    <t>海南高速</t>
  </si>
  <si>
    <t>洽洽食品</t>
  </si>
  <si>
    <t>3543万</t>
  </si>
  <si>
    <t>绿城水务</t>
  </si>
  <si>
    <t>75.6亿</t>
  </si>
  <si>
    <t>中泰桥梁</t>
  </si>
  <si>
    <t>赣能股份</t>
  </si>
  <si>
    <t>6685万</t>
  </si>
  <si>
    <t>八菱科技</t>
  </si>
  <si>
    <t>2515万</t>
  </si>
  <si>
    <t>览海投资</t>
  </si>
  <si>
    <t>8007万</t>
  </si>
  <si>
    <t>5.77亿</t>
  </si>
  <si>
    <t>50.2亿</t>
  </si>
  <si>
    <t>麦格米特</t>
  </si>
  <si>
    <t>6013万</t>
  </si>
  <si>
    <t>4450万</t>
  </si>
  <si>
    <t>冰川网络</t>
  </si>
  <si>
    <t>3511万</t>
  </si>
  <si>
    <t>2968万</t>
  </si>
  <si>
    <t>新泉股份</t>
  </si>
  <si>
    <t>3985万</t>
  </si>
  <si>
    <t>普利特</t>
  </si>
  <si>
    <t>1590万</t>
  </si>
  <si>
    <t>华电重工</t>
  </si>
  <si>
    <t>1931万</t>
  </si>
  <si>
    <t>天房发展</t>
  </si>
  <si>
    <t>5551万</t>
  </si>
  <si>
    <t>赛升药业</t>
  </si>
  <si>
    <t>5007万</t>
  </si>
  <si>
    <t>8448万</t>
  </si>
  <si>
    <t>加加食品</t>
  </si>
  <si>
    <t>4.37亿</t>
  </si>
  <si>
    <t>39.0万</t>
  </si>
  <si>
    <t>29.9万</t>
  </si>
  <si>
    <t>晶方科技</t>
  </si>
  <si>
    <t>4801万</t>
  </si>
  <si>
    <t>特发信息</t>
  </si>
  <si>
    <t>九洲药业</t>
  </si>
  <si>
    <t>2290万</t>
  </si>
  <si>
    <t>金晶科技</t>
  </si>
  <si>
    <t>3760万</t>
  </si>
  <si>
    <t>73.8亿</t>
  </si>
  <si>
    <t>普莱柯</t>
  </si>
  <si>
    <t>1187万</t>
  </si>
  <si>
    <t>东南网架</t>
  </si>
  <si>
    <t>8365万</t>
  </si>
  <si>
    <t>58.9亿</t>
  </si>
  <si>
    <t>华懋科技</t>
  </si>
  <si>
    <t>2114万</t>
  </si>
  <si>
    <t>永安药业</t>
  </si>
  <si>
    <t>东富龙</t>
  </si>
  <si>
    <t>39.8亿</t>
  </si>
  <si>
    <t>尚荣医疗</t>
  </si>
  <si>
    <t>厦门空港</t>
  </si>
  <si>
    <t>2754万</t>
  </si>
  <si>
    <t>金杯汽车</t>
  </si>
  <si>
    <t>5374万</t>
  </si>
  <si>
    <t>74.7亿</t>
  </si>
  <si>
    <t>迪森股份</t>
  </si>
  <si>
    <t>74.6亿</t>
  </si>
  <si>
    <t>秦安股份</t>
  </si>
  <si>
    <t>5632万</t>
  </si>
  <si>
    <t>莱宝高科</t>
  </si>
  <si>
    <t>7064万</t>
  </si>
  <si>
    <t>7.06亿</t>
  </si>
  <si>
    <t>74.4亿</t>
  </si>
  <si>
    <t>东方锆业</t>
  </si>
  <si>
    <t>6.21亿</t>
  </si>
  <si>
    <t>58.4亿</t>
  </si>
  <si>
    <t>广东甘化</t>
  </si>
  <si>
    <t>四方股份</t>
  </si>
  <si>
    <t>3347万</t>
  </si>
  <si>
    <t>中科信息</t>
  </si>
  <si>
    <t>浦东建设</t>
  </si>
  <si>
    <t>1947万</t>
  </si>
  <si>
    <t>6.93亿</t>
  </si>
  <si>
    <t>勘设股份</t>
  </si>
  <si>
    <t>3104万</t>
  </si>
  <si>
    <t>步森股份</t>
  </si>
  <si>
    <t>太安堂</t>
  </si>
  <si>
    <t>5377万</t>
  </si>
  <si>
    <t>巴安水务</t>
  </si>
  <si>
    <t>50.3亿</t>
  </si>
  <si>
    <t>恒华科技</t>
  </si>
  <si>
    <t>3407万</t>
  </si>
  <si>
    <t>38.7亿</t>
  </si>
  <si>
    <t>恒信东方</t>
  </si>
  <si>
    <t>金诚信</t>
  </si>
  <si>
    <t>4054万</t>
  </si>
  <si>
    <t>天沃科技</t>
  </si>
  <si>
    <t>7.09万</t>
  </si>
  <si>
    <t>7101万</t>
  </si>
  <si>
    <t>5.68亿</t>
  </si>
  <si>
    <t>财信发展</t>
  </si>
  <si>
    <t>4514万</t>
  </si>
  <si>
    <t>日出东方</t>
  </si>
  <si>
    <t>7841万</t>
  </si>
  <si>
    <t>安正时尚</t>
  </si>
  <si>
    <t>5453万</t>
  </si>
  <si>
    <t>7126万</t>
  </si>
  <si>
    <t>上工申贝</t>
  </si>
  <si>
    <t>2271万</t>
  </si>
  <si>
    <t>中昌数据</t>
  </si>
  <si>
    <t>3004万</t>
  </si>
  <si>
    <t>4.57亿</t>
  </si>
  <si>
    <t>2.85亿</t>
  </si>
  <si>
    <t>七 匹 狼</t>
  </si>
  <si>
    <t>4313万</t>
  </si>
  <si>
    <t>曲美家居</t>
  </si>
  <si>
    <t>2318万</t>
  </si>
  <si>
    <t>坚朗五金</t>
  </si>
  <si>
    <t>4735万</t>
  </si>
  <si>
    <t>8039万</t>
  </si>
  <si>
    <t>博世科</t>
  </si>
  <si>
    <t>5.86亿</t>
  </si>
  <si>
    <t>凯盛科技</t>
  </si>
  <si>
    <t>7657万</t>
  </si>
  <si>
    <t>7.41亿</t>
  </si>
  <si>
    <t>天翔环境</t>
  </si>
  <si>
    <t>7.52万</t>
  </si>
  <si>
    <t>胜利股份</t>
  </si>
  <si>
    <t>73.4亿</t>
  </si>
  <si>
    <t>55.6亿</t>
  </si>
  <si>
    <t>双环传动</t>
  </si>
  <si>
    <t>2939万</t>
  </si>
  <si>
    <t>6.77亿</t>
  </si>
  <si>
    <t>玉龙股份</t>
  </si>
  <si>
    <t>1626万</t>
  </si>
  <si>
    <t>亿阳信通</t>
  </si>
  <si>
    <t>73.1亿</t>
  </si>
  <si>
    <t>65.6亿</t>
  </si>
  <si>
    <t>鑫茂科技</t>
  </si>
  <si>
    <t>宝胜股份</t>
  </si>
  <si>
    <t>8489万</t>
  </si>
  <si>
    <t>金冠电气</t>
  </si>
  <si>
    <t>8919万</t>
  </si>
  <si>
    <t>7406万</t>
  </si>
  <si>
    <t>XD时代出</t>
  </si>
  <si>
    <t>3603万</t>
  </si>
  <si>
    <t>73.0亿</t>
  </si>
  <si>
    <t>任子行</t>
  </si>
  <si>
    <t>2.37亿</t>
  </si>
  <si>
    <t>久立特材</t>
  </si>
  <si>
    <t>4542万</t>
  </si>
  <si>
    <t>惠达卫浴</t>
  </si>
  <si>
    <t>7533万</t>
  </si>
  <si>
    <t>7104万</t>
  </si>
  <si>
    <t>欧普康视</t>
  </si>
  <si>
    <t>8154万</t>
  </si>
  <si>
    <t>3060万</t>
  </si>
  <si>
    <t>三棵树</t>
  </si>
  <si>
    <t>*ST沈机</t>
  </si>
  <si>
    <t>7.65亿</t>
  </si>
  <si>
    <t>万泽股份</t>
  </si>
  <si>
    <t>1310万</t>
  </si>
  <si>
    <t>雅克科技</t>
  </si>
  <si>
    <t>38.3亿</t>
  </si>
  <si>
    <t>红蜻蜓</t>
  </si>
  <si>
    <t>2650万</t>
  </si>
  <si>
    <t>永清环保</t>
  </si>
  <si>
    <t>6.49亿</t>
  </si>
  <si>
    <t>5.95亿</t>
  </si>
  <si>
    <t>北纬科技</t>
  </si>
  <si>
    <t>56.4亿</t>
  </si>
  <si>
    <t>创业软件</t>
  </si>
  <si>
    <t>5653万</t>
  </si>
  <si>
    <t>天汽模</t>
  </si>
  <si>
    <t>羚锐制药</t>
  </si>
  <si>
    <t>4679万</t>
  </si>
  <si>
    <t>5.92亿</t>
  </si>
  <si>
    <t>兰生股份</t>
  </si>
  <si>
    <t>1992万</t>
  </si>
  <si>
    <t>德豪润达</t>
  </si>
  <si>
    <t>浪潮软件</t>
  </si>
  <si>
    <t>三圣股份</t>
  </si>
  <si>
    <t>新时达</t>
  </si>
  <si>
    <t>6036万</t>
  </si>
  <si>
    <t>天保基建</t>
  </si>
  <si>
    <t>4065万</t>
  </si>
  <si>
    <t>创新医疗</t>
  </si>
  <si>
    <t>5729万</t>
  </si>
  <si>
    <t>1.76万</t>
  </si>
  <si>
    <t>云南旅游</t>
  </si>
  <si>
    <t>3218万</t>
  </si>
  <si>
    <t>7.31亿</t>
  </si>
  <si>
    <t>70.0亿</t>
  </si>
  <si>
    <t>奥康国际</t>
  </si>
  <si>
    <t>2136万</t>
  </si>
  <si>
    <t>世荣兆业</t>
  </si>
  <si>
    <t>2584万</t>
  </si>
  <si>
    <t>冠农股份</t>
  </si>
  <si>
    <t>7.85亿</t>
  </si>
  <si>
    <t>艾德生物</t>
  </si>
  <si>
    <t>9682万</t>
  </si>
  <si>
    <t>全信股份</t>
  </si>
  <si>
    <t>7288万</t>
  </si>
  <si>
    <t>9333万</t>
  </si>
  <si>
    <t>福晶科技</t>
  </si>
  <si>
    <t>9.47万</t>
  </si>
  <si>
    <t>山推股份</t>
  </si>
  <si>
    <t>5240万</t>
  </si>
  <si>
    <t>国栋建设</t>
  </si>
  <si>
    <t>6840万</t>
  </si>
  <si>
    <t>8.11万</t>
  </si>
  <si>
    <t>志邦股份</t>
  </si>
  <si>
    <t>9398万</t>
  </si>
  <si>
    <t>中路股份</t>
  </si>
  <si>
    <t>2355万</t>
  </si>
  <si>
    <t>53.1亿</t>
  </si>
  <si>
    <t>宣亚国际</t>
  </si>
  <si>
    <t>云内动力</t>
  </si>
  <si>
    <t>3661万</t>
  </si>
  <si>
    <t>睿康股份</t>
  </si>
  <si>
    <t>2532万</t>
  </si>
  <si>
    <t>7.18亿</t>
  </si>
  <si>
    <t>三全食品</t>
  </si>
  <si>
    <t>3135万</t>
  </si>
  <si>
    <t>71.4亿</t>
  </si>
  <si>
    <t>*ST海润</t>
  </si>
  <si>
    <t>3455万</t>
  </si>
  <si>
    <t>-6.02万</t>
  </si>
  <si>
    <t>71.3亿</t>
  </si>
  <si>
    <t>天泽信息</t>
  </si>
  <si>
    <t>7.62万</t>
  </si>
  <si>
    <t>山西焦化</t>
  </si>
  <si>
    <t>71.2亿</t>
  </si>
  <si>
    <t>61.1亿</t>
  </si>
  <si>
    <t>坤彩科技</t>
  </si>
  <si>
    <t>6317万</t>
  </si>
  <si>
    <t>9000万</t>
  </si>
  <si>
    <t>绿茵生态</t>
  </si>
  <si>
    <t>云海金属</t>
  </si>
  <si>
    <t>49.6亿</t>
  </si>
  <si>
    <t>银龙股份</t>
  </si>
  <si>
    <t>9824万</t>
  </si>
  <si>
    <t>合肥百货</t>
  </si>
  <si>
    <t>4950万</t>
  </si>
  <si>
    <t>7.79亿</t>
  </si>
  <si>
    <t>明泰铝业</t>
  </si>
  <si>
    <t>雄韬股份</t>
  </si>
  <si>
    <t>榕基软件</t>
  </si>
  <si>
    <t>人民同泰</t>
  </si>
  <si>
    <t>杭州园林</t>
  </si>
  <si>
    <t>3200万</t>
  </si>
  <si>
    <t>辰安科技</t>
  </si>
  <si>
    <t>2241万</t>
  </si>
  <si>
    <t>焦点科技</t>
  </si>
  <si>
    <t>唐人神</t>
  </si>
  <si>
    <t>7.40万</t>
  </si>
  <si>
    <t>53.2亿</t>
  </si>
  <si>
    <t>万 家 乐</t>
  </si>
  <si>
    <t>2569万</t>
  </si>
  <si>
    <t>巨轮智能</t>
  </si>
  <si>
    <t>-2.55万</t>
  </si>
  <si>
    <t>60.0亿</t>
  </si>
  <si>
    <t>普路通</t>
  </si>
  <si>
    <t>8568万</t>
  </si>
  <si>
    <t>35.7亿</t>
  </si>
  <si>
    <t>华英农业</t>
  </si>
  <si>
    <t>56.0亿</t>
  </si>
  <si>
    <t>远光软件</t>
  </si>
  <si>
    <t>7278万</t>
  </si>
  <si>
    <t>中航地产</t>
  </si>
  <si>
    <t>2741万</t>
  </si>
  <si>
    <t>70.5亿</t>
  </si>
  <si>
    <t>华控赛格</t>
  </si>
  <si>
    <t>海峡环保</t>
  </si>
  <si>
    <t>天富能源</t>
  </si>
  <si>
    <t>3587万</t>
  </si>
  <si>
    <t>轻纺城</t>
  </si>
  <si>
    <t>1965万</t>
  </si>
  <si>
    <t>西宁特钢</t>
  </si>
  <si>
    <t>7531万</t>
  </si>
  <si>
    <t>70.3亿</t>
  </si>
  <si>
    <t>梦百合</t>
  </si>
  <si>
    <t>3663万</t>
  </si>
  <si>
    <t>8235万</t>
  </si>
  <si>
    <t>东凌国际</t>
  </si>
  <si>
    <t>4224万</t>
  </si>
  <si>
    <t>永利股份</t>
  </si>
  <si>
    <t>*ST丹科</t>
  </si>
  <si>
    <t>1607万</t>
  </si>
  <si>
    <t>汇金股份</t>
  </si>
  <si>
    <t>博迈科</t>
  </si>
  <si>
    <t>4053万</t>
  </si>
  <si>
    <t>5870万</t>
  </si>
  <si>
    <t>汇洁股份</t>
  </si>
  <si>
    <t>3107万</t>
  </si>
  <si>
    <t>3.89亿</t>
  </si>
  <si>
    <t>天威视讯</t>
  </si>
  <si>
    <t>6770万</t>
  </si>
  <si>
    <t>楚天科技</t>
  </si>
  <si>
    <t>众合科技</t>
  </si>
  <si>
    <t>6630万</t>
  </si>
  <si>
    <t>广东明珠</t>
  </si>
  <si>
    <t>9431万</t>
  </si>
  <si>
    <t>科大国创</t>
  </si>
  <si>
    <t>智慧松德</t>
  </si>
  <si>
    <t>2998万</t>
  </si>
  <si>
    <t>69.8亿</t>
  </si>
  <si>
    <t>华力创通</t>
  </si>
  <si>
    <t>4325万</t>
  </si>
  <si>
    <t>43.6亿</t>
  </si>
  <si>
    <t>喜临门</t>
  </si>
  <si>
    <t>3371万</t>
  </si>
  <si>
    <t>海达股份</t>
  </si>
  <si>
    <t>5671万</t>
  </si>
  <si>
    <t>56.3亿</t>
  </si>
  <si>
    <t>芭田股份</t>
  </si>
  <si>
    <t>53.8亿</t>
  </si>
  <si>
    <t>巴士在线</t>
  </si>
  <si>
    <t>1353万</t>
  </si>
  <si>
    <t>恒顺醋业</t>
  </si>
  <si>
    <t>6362万</t>
  </si>
  <si>
    <t>东方创业</t>
  </si>
  <si>
    <t>1551万</t>
  </si>
  <si>
    <t>大西洋</t>
  </si>
  <si>
    <t>69.6亿</t>
  </si>
  <si>
    <t>漫步者</t>
  </si>
  <si>
    <t>5.88亿</t>
  </si>
  <si>
    <t>2.68亿</t>
  </si>
  <si>
    <t>津滨发展</t>
  </si>
  <si>
    <t>3406万</t>
  </si>
  <si>
    <t>利尔化学</t>
  </si>
  <si>
    <t>建科院</t>
  </si>
  <si>
    <t>3667万</t>
  </si>
  <si>
    <t>卫光生物</t>
  </si>
  <si>
    <t>金石资源</t>
  </si>
  <si>
    <t>9.77万</t>
  </si>
  <si>
    <t>双杰电气</t>
  </si>
  <si>
    <t>大港股份</t>
  </si>
  <si>
    <t>博瑞传播</t>
  </si>
  <si>
    <t>46.5亿</t>
  </si>
  <si>
    <t>凯利泰</t>
  </si>
  <si>
    <t>北化股份</t>
  </si>
  <si>
    <t>力生制药</t>
  </si>
  <si>
    <t>69.1亿</t>
  </si>
  <si>
    <t>冠昊生物</t>
  </si>
  <si>
    <t>捷捷微电</t>
  </si>
  <si>
    <t>9360万</t>
  </si>
  <si>
    <t>拓尔思</t>
  </si>
  <si>
    <t>5851万</t>
  </si>
  <si>
    <t>4.71亿</t>
  </si>
  <si>
    <t>天银机电</t>
  </si>
  <si>
    <t>元力股份</t>
  </si>
  <si>
    <t>589万</t>
  </si>
  <si>
    <t>中颖电子</t>
  </si>
  <si>
    <t>香雪制药</t>
  </si>
  <si>
    <t>威海广泰</t>
  </si>
  <si>
    <t>3662万</t>
  </si>
  <si>
    <t>宁波东力</t>
  </si>
  <si>
    <t>2567万</t>
  </si>
  <si>
    <t>雪人股份</t>
  </si>
  <si>
    <t>金龙羽</t>
  </si>
  <si>
    <t>8956万</t>
  </si>
  <si>
    <t>吉林化纤</t>
  </si>
  <si>
    <t>1922万</t>
  </si>
  <si>
    <t>东湖高新</t>
  </si>
  <si>
    <t>58.2亿</t>
  </si>
  <si>
    <t>中原特钢</t>
  </si>
  <si>
    <t>6956万</t>
  </si>
  <si>
    <t>溢多利</t>
  </si>
  <si>
    <t>同有科技</t>
  </si>
  <si>
    <t>证通电子</t>
  </si>
  <si>
    <t>中信海直</t>
  </si>
  <si>
    <t>中装建设</t>
  </si>
  <si>
    <t>5487万</t>
  </si>
  <si>
    <t>飞荣达</t>
  </si>
  <si>
    <t>5115万</t>
  </si>
  <si>
    <t>68.1亿</t>
  </si>
  <si>
    <t>星星科技</t>
  </si>
  <si>
    <t>3.79亿</t>
  </si>
  <si>
    <t>光华科技</t>
  </si>
  <si>
    <t>6772万</t>
  </si>
  <si>
    <t>*ST华泽</t>
  </si>
  <si>
    <t>34.7亿</t>
  </si>
  <si>
    <t>天原集团</t>
  </si>
  <si>
    <t>永贵电器</t>
  </si>
  <si>
    <t>5055万</t>
  </si>
  <si>
    <t>42.0亿</t>
  </si>
  <si>
    <t>宁波高发</t>
  </si>
  <si>
    <t>5577万</t>
  </si>
  <si>
    <t>4900万</t>
  </si>
  <si>
    <t>探路者</t>
  </si>
  <si>
    <t>6751万</t>
  </si>
  <si>
    <t>山东药玻</t>
  </si>
  <si>
    <t>维尔利</t>
  </si>
  <si>
    <t>钢研高纳</t>
  </si>
  <si>
    <t>67.6亿</t>
  </si>
  <si>
    <t>孚日股份</t>
  </si>
  <si>
    <t>9.08亿</t>
  </si>
  <si>
    <t>康达新材</t>
  </si>
  <si>
    <t>恒星科技</t>
  </si>
  <si>
    <t>2080万</t>
  </si>
  <si>
    <t>申达股份</t>
  </si>
  <si>
    <t>3131万</t>
  </si>
  <si>
    <t>明家联合</t>
  </si>
  <si>
    <t>6709万</t>
  </si>
  <si>
    <t>汉王科技</t>
  </si>
  <si>
    <t>海特生物</t>
  </si>
  <si>
    <t>博腾股份</t>
  </si>
  <si>
    <t>6.49万</t>
  </si>
  <si>
    <t>67.2亿</t>
  </si>
  <si>
    <t>46.8亿</t>
  </si>
  <si>
    <t>九安医疗</t>
  </si>
  <si>
    <t>92.1万</t>
  </si>
  <si>
    <t>42.8万</t>
  </si>
  <si>
    <t>东尼电子</t>
  </si>
  <si>
    <t>暴风集团</t>
  </si>
  <si>
    <t>中设集团</t>
  </si>
  <si>
    <t>3031万</t>
  </si>
  <si>
    <t>易联众</t>
  </si>
  <si>
    <t>惠而浦</t>
  </si>
  <si>
    <t>1348万</t>
  </si>
  <si>
    <t>46.6亿</t>
  </si>
  <si>
    <t>悦达投资</t>
  </si>
  <si>
    <t>2878万</t>
  </si>
  <si>
    <t>8.51亿</t>
  </si>
  <si>
    <t>8.50亿</t>
  </si>
  <si>
    <t>永安行</t>
  </si>
  <si>
    <t>66.8亿</t>
  </si>
  <si>
    <t>2400万</t>
  </si>
  <si>
    <t>众业达</t>
  </si>
  <si>
    <t>6044万</t>
  </si>
  <si>
    <t>中核科技</t>
  </si>
  <si>
    <t>6765万</t>
  </si>
  <si>
    <t>3.83亿</t>
  </si>
  <si>
    <t>银河磁体</t>
  </si>
  <si>
    <t>7954万</t>
  </si>
  <si>
    <t>掌阅科技</t>
  </si>
  <si>
    <t>144万</t>
  </si>
  <si>
    <t>景峰医药</t>
  </si>
  <si>
    <t>1336万</t>
  </si>
  <si>
    <t>41.8亿</t>
  </si>
  <si>
    <t>开润股份</t>
  </si>
  <si>
    <t>6467万</t>
  </si>
  <si>
    <t>3001万</t>
  </si>
  <si>
    <t>*ST爱富</t>
  </si>
  <si>
    <t>4560万</t>
  </si>
  <si>
    <t>粤 传 媒</t>
  </si>
  <si>
    <t>4.34万</t>
  </si>
  <si>
    <t>2487万</t>
  </si>
  <si>
    <t>祥源文化</t>
  </si>
  <si>
    <t>3909万</t>
  </si>
  <si>
    <t>6.52亿</t>
  </si>
  <si>
    <t>城市传媒</t>
  </si>
  <si>
    <t>1905万</t>
  </si>
  <si>
    <t>7.02亿</t>
  </si>
  <si>
    <t>宁波富达</t>
  </si>
  <si>
    <t>833万</t>
  </si>
  <si>
    <t>金牛化工</t>
  </si>
  <si>
    <t>3624万</t>
  </si>
  <si>
    <t>中超控股</t>
  </si>
  <si>
    <t>5923万</t>
  </si>
  <si>
    <t>太极集团</t>
  </si>
  <si>
    <t>3421万</t>
  </si>
  <si>
    <t>中航三鑫</t>
  </si>
  <si>
    <t>9479万</t>
  </si>
  <si>
    <t>66.4亿</t>
  </si>
  <si>
    <t>华测导航</t>
  </si>
  <si>
    <t>2980万</t>
  </si>
  <si>
    <t>*ST郑煤</t>
  </si>
  <si>
    <t>2758万</t>
  </si>
  <si>
    <t>66.3亿</t>
  </si>
  <si>
    <t>菲达环保</t>
  </si>
  <si>
    <t>5.47亿</t>
  </si>
  <si>
    <t>瑞贝卡</t>
  </si>
  <si>
    <t>2608万</t>
  </si>
  <si>
    <t>渤海股份</t>
  </si>
  <si>
    <t>5.88万</t>
  </si>
  <si>
    <t>鸿博股份</t>
  </si>
  <si>
    <t>48.5亿</t>
  </si>
  <si>
    <t>罗平锌电</t>
  </si>
  <si>
    <t>4897万</t>
  </si>
  <si>
    <t>奇信股份</t>
  </si>
  <si>
    <t>9244万</t>
  </si>
  <si>
    <t>福达股份</t>
  </si>
  <si>
    <t>3609万</t>
  </si>
  <si>
    <t>渝 开 发</t>
  </si>
  <si>
    <t>7852万</t>
  </si>
  <si>
    <t>申华控股</t>
  </si>
  <si>
    <t>2887万</t>
  </si>
  <si>
    <t>66.0亿</t>
  </si>
  <si>
    <t>上海新阳</t>
  </si>
  <si>
    <t>9246万</t>
  </si>
  <si>
    <t>8907万</t>
  </si>
  <si>
    <t>金麒麟</t>
  </si>
  <si>
    <t>4311万</t>
  </si>
  <si>
    <t>5250万</t>
  </si>
  <si>
    <t>英威腾</t>
  </si>
  <si>
    <t>3578万</t>
  </si>
  <si>
    <t>65.9亿</t>
  </si>
  <si>
    <t>49.2亿</t>
  </si>
  <si>
    <t>司尔特</t>
  </si>
  <si>
    <t>6901万</t>
  </si>
  <si>
    <t>武汉控股</t>
  </si>
  <si>
    <t>9.75万</t>
  </si>
  <si>
    <t>65.8亿</t>
  </si>
  <si>
    <t>广信股份</t>
  </si>
  <si>
    <t>3009万</t>
  </si>
  <si>
    <t>健盛集团</t>
  </si>
  <si>
    <t>1678万</t>
  </si>
  <si>
    <t>好想你</t>
  </si>
  <si>
    <t>南京医药</t>
  </si>
  <si>
    <t>5341万</t>
  </si>
  <si>
    <t>辉隆股份</t>
  </si>
  <si>
    <t>65.7亿</t>
  </si>
  <si>
    <t>航新科技</t>
  </si>
  <si>
    <t>5329万</t>
  </si>
  <si>
    <t>韩建河山</t>
  </si>
  <si>
    <t>2.93亿</t>
  </si>
  <si>
    <t>精锻科技</t>
  </si>
  <si>
    <t>4520万</t>
  </si>
  <si>
    <t>3.75亿</t>
  </si>
  <si>
    <t>乐心医疗</t>
  </si>
  <si>
    <t>4736万</t>
  </si>
  <si>
    <t>新力金融</t>
  </si>
  <si>
    <t>5356万</t>
  </si>
  <si>
    <t>涪陵电力</t>
  </si>
  <si>
    <t>2806万</t>
  </si>
  <si>
    <t>杭电股份</t>
  </si>
  <si>
    <t>2498万</t>
  </si>
  <si>
    <t>联创光电</t>
  </si>
  <si>
    <t>6.92万</t>
  </si>
  <si>
    <t>海航投资</t>
  </si>
  <si>
    <t>6089万</t>
  </si>
  <si>
    <t>天润乳业</t>
  </si>
  <si>
    <t>8950万</t>
  </si>
  <si>
    <t>伊之密</t>
  </si>
  <si>
    <t>43.3亿</t>
  </si>
  <si>
    <t>冰轮环境</t>
  </si>
  <si>
    <t>中房股份</t>
  </si>
  <si>
    <t>乾照光电</t>
  </si>
  <si>
    <t>宏大爆破</t>
  </si>
  <si>
    <t>4016万</t>
  </si>
  <si>
    <t>龙力生物</t>
  </si>
  <si>
    <t>4.98亿</t>
  </si>
  <si>
    <t>獐子岛</t>
  </si>
  <si>
    <t>1395万</t>
  </si>
  <si>
    <t>红相电力</t>
  </si>
  <si>
    <t>9960万</t>
  </si>
  <si>
    <t>广宇发展</t>
  </si>
  <si>
    <t>6.99万</t>
  </si>
  <si>
    <t>长荣股份</t>
  </si>
  <si>
    <t>2477万</t>
  </si>
  <si>
    <t>国祯环保</t>
  </si>
  <si>
    <t>6.89万</t>
  </si>
  <si>
    <t>新南洋</t>
  </si>
  <si>
    <t>5331万</t>
  </si>
  <si>
    <t>65.0亿</t>
  </si>
  <si>
    <t>宁夏建材</t>
  </si>
  <si>
    <t>耀皮玻璃</t>
  </si>
  <si>
    <t>1596万</t>
  </si>
  <si>
    <t>51.9亿</t>
  </si>
  <si>
    <t>彩虹股份</t>
  </si>
  <si>
    <t>6484万</t>
  </si>
  <si>
    <t>远大智能</t>
  </si>
  <si>
    <t>8.96万</t>
  </si>
  <si>
    <t>6033万</t>
  </si>
  <si>
    <t>-1.10万</t>
  </si>
  <si>
    <t>9.42亿</t>
  </si>
  <si>
    <t>烽火电子</t>
  </si>
  <si>
    <t>国恩股份</t>
  </si>
  <si>
    <t>4079万</t>
  </si>
  <si>
    <t>8700万</t>
  </si>
  <si>
    <t>绿庭投资</t>
  </si>
  <si>
    <t>4306万</t>
  </si>
  <si>
    <t>亚宝药业</t>
  </si>
  <si>
    <t>英飞拓</t>
  </si>
  <si>
    <t>2797万</t>
  </si>
  <si>
    <t>麦捷科技</t>
  </si>
  <si>
    <t>5702万</t>
  </si>
  <si>
    <t>航天长峰</t>
  </si>
  <si>
    <t>6262万</t>
  </si>
  <si>
    <t>良信电器</t>
  </si>
  <si>
    <t>1765万</t>
  </si>
  <si>
    <t>44.8亿</t>
  </si>
  <si>
    <t>正平股份</t>
  </si>
  <si>
    <t>7624万</t>
  </si>
  <si>
    <t>江南化工</t>
  </si>
  <si>
    <t>64.6亿</t>
  </si>
  <si>
    <t>*ST众和</t>
  </si>
  <si>
    <t>伟星股份</t>
  </si>
  <si>
    <t>2134万</t>
  </si>
  <si>
    <t>百利科技</t>
  </si>
  <si>
    <t>3193万</t>
  </si>
  <si>
    <t>宏润建设</t>
  </si>
  <si>
    <t>1240万</t>
  </si>
  <si>
    <t>长亮科技</t>
  </si>
  <si>
    <t>5172万</t>
  </si>
  <si>
    <t>华微电子</t>
  </si>
  <si>
    <t>雪榕生物</t>
  </si>
  <si>
    <t>9534万</t>
  </si>
  <si>
    <t>兴民智通</t>
  </si>
  <si>
    <t>5.14亿</t>
  </si>
  <si>
    <t>蓝海华腾</t>
  </si>
  <si>
    <t>3555万</t>
  </si>
  <si>
    <t>9389万</t>
  </si>
  <si>
    <t>京山轻机</t>
  </si>
  <si>
    <t>5939万</t>
  </si>
  <si>
    <t>联合光电</t>
  </si>
  <si>
    <t>8555万</t>
  </si>
  <si>
    <t>2140万</t>
  </si>
  <si>
    <t>阳煤化工</t>
  </si>
  <si>
    <t>7742万</t>
  </si>
  <si>
    <t>亚士创能</t>
  </si>
  <si>
    <t>2944万</t>
  </si>
  <si>
    <t>金石东方</t>
  </si>
  <si>
    <t>989万</t>
  </si>
  <si>
    <t>3945万</t>
  </si>
  <si>
    <t>天成自控</t>
  </si>
  <si>
    <t>1178万</t>
  </si>
  <si>
    <t>方盛制药</t>
  </si>
  <si>
    <t>2474万</t>
  </si>
  <si>
    <t>2.69亿</t>
  </si>
  <si>
    <t>江苏阳光</t>
  </si>
  <si>
    <t>3180万</t>
  </si>
  <si>
    <t>嘉应制药</t>
  </si>
  <si>
    <t>1060万</t>
  </si>
  <si>
    <t>拓日新能</t>
  </si>
  <si>
    <t>8538万</t>
  </si>
  <si>
    <t>63.1亿</t>
  </si>
  <si>
    <t>栖霞建设</t>
  </si>
  <si>
    <t>2433万</t>
  </si>
  <si>
    <t>中百集团</t>
  </si>
  <si>
    <t>4564万</t>
  </si>
  <si>
    <t>冀东装备</t>
  </si>
  <si>
    <t>龙宇燃油</t>
  </si>
  <si>
    <t>大晟文化</t>
  </si>
  <si>
    <t>3748万</t>
  </si>
  <si>
    <t>28.8亿</t>
  </si>
  <si>
    <t>高乐股份</t>
  </si>
  <si>
    <t>5402万</t>
  </si>
  <si>
    <t>9.47亿</t>
  </si>
  <si>
    <t>大冷股份</t>
  </si>
  <si>
    <t>5583万</t>
  </si>
  <si>
    <t>博深工具</t>
  </si>
  <si>
    <t>9521万</t>
  </si>
  <si>
    <t>2.22万</t>
  </si>
  <si>
    <t>久远银海</t>
  </si>
  <si>
    <t>6004万</t>
  </si>
  <si>
    <t>三川智慧</t>
  </si>
  <si>
    <t>天宇股份</t>
  </si>
  <si>
    <t>世纪鼎利</t>
  </si>
  <si>
    <t>金牌厨柜</t>
  </si>
  <si>
    <t>4628万</t>
  </si>
  <si>
    <t>1700万</t>
  </si>
  <si>
    <t>广博股份</t>
  </si>
  <si>
    <t>1906万</t>
  </si>
  <si>
    <t>会稽山</t>
  </si>
  <si>
    <t>2881万</t>
  </si>
  <si>
    <t>4.97亿</t>
  </si>
  <si>
    <t>信雅达</t>
  </si>
  <si>
    <t>贵研铂业</t>
  </si>
  <si>
    <t>8805万</t>
  </si>
  <si>
    <t>安彩高科</t>
  </si>
  <si>
    <t>1802万</t>
  </si>
  <si>
    <t>国科微</t>
  </si>
  <si>
    <t>2794万</t>
  </si>
  <si>
    <t>华西股份</t>
  </si>
  <si>
    <t>2883万</t>
  </si>
  <si>
    <t>宏创控股</t>
  </si>
  <si>
    <t>3369万</t>
  </si>
  <si>
    <t>华鹏飞</t>
  </si>
  <si>
    <t>8.60万</t>
  </si>
  <si>
    <t>德新交运</t>
  </si>
  <si>
    <t>263万</t>
  </si>
  <si>
    <t>3334万</t>
  </si>
  <si>
    <t>首商股份</t>
  </si>
  <si>
    <t>5314万</t>
  </si>
  <si>
    <t>运达科技</t>
  </si>
  <si>
    <t>亚翔集成</t>
  </si>
  <si>
    <t>华资实业</t>
  </si>
  <si>
    <t>柏堡龙</t>
  </si>
  <si>
    <t>1667万</t>
  </si>
  <si>
    <t>7466万</t>
  </si>
  <si>
    <t>中原内配</t>
  </si>
  <si>
    <t>6643万</t>
  </si>
  <si>
    <t>厚普股份</t>
  </si>
  <si>
    <t>7015万</t>
  </si>
  <si>
    <t>37.3亿</t>
  </si>
  <si>
    <t>优博讯</t>
  </si>
  <si>
    <t>石大胜华</t>
  </si>
  <si>
    <t>5452万</t>
  </si>
  <si>
    <t>上海钢联</t>
  </si>
  <si>
    <t>6422万</t>
  </si>
  <si>
    <t>58.6亿</t>
  </si>
  <si>
    <t>天和防务</t>
  </si>
  <si>
    <t>62.1亿</t>
  </si>
  <si>
    <t>通宝能源</t>
  </si>
  <si>
    <t>1332万</t>
  </si>
  <si>
    <t>广电网络</t>
  </si>
  <si>
    <t>三丰智能</t>
  </si>
  <si>
    <t>33.5亿</t>
  </si>
  <si>
    <t>亿晶光电</t>
  </si>
  <si>
    <t>4392万</t>
  </si>
  <si>
    <t>4.60万</t>
  </si>
  <si>
    <t>雅百特</t>
  </si>
  <si>
    <t>7.46亿</t>
  </si>
  <si>
    <t>27.1亿</t>
  </si>
  <si>
    <t>南 京 港</t>
  </si>
  <si>
    <t>3170万</t>
  </si>
  <si>
    <t>41.5亿</t>
  </si>
  <si>
    <t>皇马科技</t>
  </si>
  <si>
    <t>62.7亿</t>
  </si>
  <si>
    <t>超华科技</t>
  </si>
  <si>
    <t>4517万</t>
  </si>
  <si>
    <t>9.32亿</t>
  </si>
  <si>
    <t>44.3亿</t>
  </si>
  <si>
    <t>尖峰集团</t>
  </si>
  <si>
    <t>江山股份</t>
  </si>
  <si>
    <t>苏州固锝</t>
  </si>
  <si>
    <t>7193万</t>
  </si>
  <si>
    <t>科迪乳业</t>
  </si>
  <si>
    <t>2749万</t>
  </si>
  <si>
    <t>嘉麟杰</t>
  </si>
  <si>
    <t>强力新材</t>
  </si>
  <si>
    <t>4117万</t>
  </si>
  <si>
    <t>雷柏科技</t>
  </si>
  <si>
    <t>4751万</t>
  </si>
  <si>
    <t>金盾股份</t>
  </si>
  <si>
    <t>2112万</t>
  </si>
  <si>
    <t>6066万</t>
  </si>
  <si>
    <t>德美化工</t>
  </si>
  <si>
    <t>46.7亿</t>
  </si>
  <si>
    <t>傲农生物</t>
  </si>
  <si>
    <t>365万</t>
  </si>
  <si>
    <t>丹邦科技</t>
  </si>
  <si>
    <t>2804万</t>
  </si>
  <si>
    <t>保隆科技</t>
  </si>
  <si>
    <t>2928万</t>
  </si>
  <si>
    <t>北大医药</t>
  </si>
  <si>
    <t>3010万</t>
  </si>
  <si>
    <t>应流股份</t>
  </si>
  <si>
    <t>5089万</t>
  </si>
  <si>
    <t>美菱电器</t>
  </si>
  <si>
    <t>4334万</t>
  </si>
  <si>
    <t>江南水务</t>
  </si>
  <si>
    <t>益民集团</t>
  </si>
  <si>
    <t>2309万</t>
  </si>
  <si>
    <t>再升科技</t>
  </si>
  <si>
    <t>4332万</t>
  </si>
  <si>
    <t>三利谱</t>
  </si>
  <si>
    <t>6229万</t>
  </si>
  <si>
    <t>1997万</t>
  </si>
  <si>
    <t>长缆科技</t>
  </si>
  <si>
    <t>大禹节水</t>
  </si>
  <si>
    <t>盛讯达</t>
  </si>
  <si>
    <t>大 东 南</t>
  </si>
  <si>
    <t>广生堂</t>
  </si>
  <si>
    <t>海利尔</t>
  </si>
  <si>
    <t>6540万</t>
  </si>
  <si>
    <t>天桥起重</t>
  </si>
  <si>
    <t>1641万</t>
  </si>
  <si>
    <t>新疆众和</t>
  </si>
  <si>
    <t>5082万</t>
  </si>
  <si>
    <t>8.34亿</t>
  </si>
  <si>
    <t>大冶特钢</t>
  </si>
  <si>
    <t>7654万</t>
  </si>
  <si>
    <t>天药股份</t>
  </si>
  <si>
    <t>3011万</t>
  </si>
  <si>
    <t>远方信息</t>
  </si>
  <si>
    <t>寿仙谷</t>
  </si>
  <si>
    <t>3495万</t>
  </si>
  <si>
    <t>德奥通航</t>
  </si>
  <si>
    <t>吉大通信</t>
  </si>
  <si>
    <t>连云港</t>
  </si>
  <si>
    <t>3302万</t>
  </si>
  <si>
    <t>宏达矿业</t>
  </si>
  <si>
    <t>5217万</t>
  </si>
  <si>
    <t>龙江交通</t>
  </si>
  <si>
    <t>867万</t>
  </si>
  <si>
    <t>龙星化工</t>
  </si>
  <si>
    <t>南华生物</t>
  </si>
  <si>
    <t>弘信电子</t>
  </si>
  <si>
    <t>2600万</t>
  </si>
  <si>
    <t>读者传媒</t>
  </si>
  <si>
    <t>阳光股份</t>
  </si>
  <si>
    <t>松芝股份</t>
  </si>
  <si>
    <t>莱美药业</t>
  </si>
  <si>
    <t>5864万</t>
  </si>
  <si>
    <t>航天晨光</t>
  </si>
  <si>
    <t>迪瑞医疗</t>
  </si>
  <si>
    <t>6621万</t>
  </si>
  <si>
    <t>*ST烯碳</t>
  </si>
  <si>
    <t>浙江仙通</t>
  </si>
  <si>
    <t>4928万</t>
  </si>
  <si>
    <t>6768万</t>
  </si>
  <si>
    <t>珠江实业</t>
  </si>
  <si>
    <t>4068万</t>
  </si>
  <si>
    <t>集友股份</t>
  </si>
  <si>
    <t>3400万</t>
  </si>
  <si>
    <t>星网宇达</t>
  </si>
  <si>
    <t>6131万</t>
  </si>
  <si>
    <t>3800万</t>
  </si>
  <si>
    <t>富瑞特装</t>
  </si>
  <si>
    <t>9588万</t>
  </si>
  <si>
    <t>新天然气</t>
  </si>
  <si>
    <t>3134万</t>
  </si>
  <si>
    <t>60.7亿</t>
  </si>
  <si>
    <t>8563万</t>
  </si>
  <si>
    <t>道明光学</t>
  </si>
  <si>
    <t>惠博普</t>
  </si>
  <si>
    <t>2366万</t>
  </si>
  <si>
    <t>宁波海运</t>
  </si>
  <si>
    <t>金浦钛业</t>
  </si>
  <si>
    <t>4592万</t>
  </si>
  <si>
    <t>津膜科技</t>
  </si>
  <si>
    <t>天奇股份</t>
  </si>
  <si>
    <t>8177万</t>
  </si>
  <si>
    <t>拉芳家化</t>
  </si>
  <si>
    <t>量子高科</t>
  </si>
  <si>
    <t>9516万</t>
  </si>
  <si>
    <t>花王股份</t>
  </si>
  <si>
    <t>全 聚 德</t>
  </si>
  <si>
    <t>2040万</t>
  </si>
  <si>
    <t>深深宝Ａ</t>
  </si>
  <si>
    <t>鸿路钢构</t>
  </si>
  <si>
    <t>2785万</t>
  </si>
  <si>
    <t>蓝帆医疗</t>
  </si>
  <si>
    <t>康德莱</t>
  </si>
  <si>
    <t>7890万</t>
  </si>
  <si>
    <t>天华院</t>
  </si>
  <si>
    <t>穗恒运Ａ</t>
  </si>
  <si>
    <t>1279万</t>
  </si>
  <si>
    <t>金轮股份</t>
  </si>
  <si>
    <t>8678万</t>
  </si>
  <si>
    <t>金智科技</t>
  </si>
  <si>
    <t>52.3亿</t>
  </si>
  <si>
    <t>东易日盛</t>
  </si>
  <si>
    <t>6313万</t>
  </si>
  <si>
    <t>7490万</t>
  </si>
  <si>
    <t>德威新材</t>
  </si>
  <si>
    <t>4712万</t>
  </si>
  <si>
    <t>3.48万</t>
  </si>
  <si>
    <t>7.95亿</t>
  </si>
  <si>
    <t>太辰光</t>
  </si>
  <si>
    <t>5750万</t>
  </si>
  <si>
    <t>灵康药业</t>
  </si>
  <si>
    <t>8047万</t>
  </si>
  <si>
    <t>8645万</t>
  </si>
  <si>
    <t>常铝股份</t>
  </si>
  <si>
    <t>6894万</t>
  </si>
  <si>
    <t>雪 莱 特</t>
  </si>
  <si>
    <t>100万</t>
  </si>
  <si>
    <t>55.4万</t>
  </si>
  <si>
    <t>浙江富润</t>
  </si>
  <si>
    <t>永高股份</t>
  </si>
  <si>
    <t>1085万</t>
  </si>
  <si>
    <t>幸福蓝海</t>
  </si>
  <si>
    <t>4299万</t>
  </si>
  <si>
    <t>59.8亿</t>
  </si>
  <si>
    <t>四方冷链</t>
  </si>
  <si>
    <t>6636万</t>
  </si>
  <si>
    <t>峨眉山Ａ</t>
  </si>
  <si>
    <t>2045万</t>
  </si>
  <si>
    <t>中环装备</t>
  </si>
  <si>
    <t>西部资源</t>
  </si>
  <si>
    <t>7202万</t>
  </si>
  <si>
    <t>兴化股份</t>
  </si>
  <si>
    <t>7692万</t>
  </si>
  <si>
    <t>万林股份</t>
  </si>
  <si>
    <t>深纺织Ａ</t>
  </si>
  <si>
    <t>3764万</t>
  </si>
  <si>
    <t>59.5亿</t>
  </si>
  <si>
    <t>国检集团</t>
  </si>
  <si>
    <t>2558万</t>
  </si>
  <si>
    <t>金枫酒业</t>
  </si>
  <si>
    <t>金路集团</t>
  </si>
  <si>
    <t>8981万</t>
  </si>
  <si>
    <t>59.3亿</t>
  </si>
  <si>
    <t>常熟汽饰</t>
  </si>
  <si>
    <t>川大智胜</t>
  </si>
  <si>
    <t>长江通信</t>
  </si>
  <si>
    <t>东华科技</t>
  </si>
  <si>
    <t>8313万</t>
  </si>
  <si>
    <t>合康新能</t>
  </si>
  <si>
    <t>3178万</t>
  </si>
  <si>
    <t>上海物贸</t>
  </si>
  <si>
    <t>博晖创新</t>
  </si>
  <si>
    <t>5270万</t>
  </si>
  <si>
    <t>保税科技</t>
  </si>
  <si>
    <t>40.3万</t>
  </si>
  <si>
    <t>金山股份</t>
  </si>
  <si>
    <t>1503万</t>
  </si>
  <si>
    <t>百川股份</t>
  </si>
  <si>
    <t>5970万</t>
  </si>
  <si>
    <t>丽鹏股份</t>
  </si>
  <si>
    <t>4406万</t>
  </si>
  <si>
    <t>莎普爱思</t>
  </si>
  <si>
    <t>3943万</t>
  </si>
  <si>
    <t>58.7亿</t>
  </si>
  <si>
    <t>西仪股份</t>
  </si>
  <si>
    <t>6370万</t>
  </si>
  <si>
    <t>博彦科技</t>
  </si>
  <si>
    <t>9371万</t>
  </si>
  <si>
    <t>井神股份</t>
  </si>
  <si>
    <t>凯中精密</t>
  </si>
  <si>
    <t>58.5亿</t>
  </si>
  <si>
    <t>7143万</t>
  </si>
  <si>
    <t>文化长城</t>
  </si>
  <si>
    <t>长青股份</t>
  </si>
  <si>
    <t>6878万</t>
  </si>
  <si>
    <t>理邦仪器</t>
  </si>
  <si>
    <t>太阳电缆</t>
  </si>
  <si>
    <t>7153万</t>
  </si>
  <si>
    <t>易尚展示</t>
  </si>
  <si>
    <t>4829万</t>
  </si>
  <si>
    <t>7658万</t>
  </si>
  <si>
    <t>创力集团</t>
  </si>
  <si>
    <t>2573万</t>
  </si>
  <si>
    <t>盈方微</t>
  </si>
  <si>
    <t>2.04亿</t>
  </si>
  <si>
    <t>罗顿发展</t>
  </si>
  <si>
    <t>新大洲Ａ</t>
  </si>
  <si>
    <t>4967万</t>
  </si>
  <si>
    <t>华明装备</t>
  </si>
  <si>
    <t>3486万</t>
  </si>
  <si>
    <t>透景生命</t>
  </si>
  <si>
    <t>1500万</t>
  </si>
  <si>
    <t>宋都股份</t>
  </si>
  <si>
    <t>1731万</t>
  </si>
  <si>
    <t>中视传媒</t>
  </si>
  <si>
    <t>3.31亿</t>
  </si>
  <si>
    <t>神剑股份</t>
  </si>
  <si>
    <t>2325万</t>
  </si>
  <si>
    <t>方正电机</t>
  </si>
  <si>
    <t>6936万</t>
  </si>
  <si>
    <t>日发精机</t>
  </si>
  <si>
    <t>2039万</t>
  </si>
  <si>
    <t>石英股份</t>
  </si>
  <si>
    <t>9905万</t>
  </si>
  <si>
    <t>南风股份</t>
  </si>
  <si>
    <t>47.6亿</t>
  </si>
  <si>
    <t>桂东电力</t>
  </si>
  <si>
    <t>8622万</t>
  </si>
  <si>
    <t>7.29万</t>
  </si>
  <si>
    <t>中 关 村</t>
  </si>
  <si>
    <t>3467万</t>
  </si>
  <si>
    <t>7.53亿</t>
  </si>
  <si>
    <t>吉药控股</t>
  </si>
  <si>
    <t>2695万</t>
  </si>
  <si>
    <t>华扬联众</t>
  </si>
  <si>
    <t>5483万</t>
  </si>
  <si>
    <t>全新好</t>
  </si>
  <si>
    <t>51.5亿</t>
  </si>
  <si>
    <t>浔兴股份</t>
  </si>
  <si>
    <t>4862万</t>
  </si>
  <si>
    <t>地尔汉宇</t>
  </si>
  <si>
    <t>2793万</t>
  </si>
  <si>
    <t>徐家汇</t>
  </si>
  <si>
    <t>8620万</t>
  </si>
  <si>
    <t>新天科技</t>
  </si>
  <si>
    <t>4786万</t>
  </si>
  <si>
    <t>康芝药业</t>
  </si>
  <si>
    <t>湖南发展</t>
  </si>
  <si>
    <t>4763万</t>
  </si>
  <si>
    <t>中电电机</t>
  </si>
  <si>
    <t>486万</t>
  </si>
  <si>
    <t>2240万</t>
  </si>
  <si>
    <t>成都路桥</t>
  </si>
  <si>
    <t>3343万</t>
  </si>
  <si>
    <t>新乡化纤</t>
  </si>
  <si>
    <t>1850万</t>
  </si>
  <si>
    <t>亿利达</t>
  </si>
  <si>
    <t>2693万</t>
  </si>
  <si>
    <t>36.8亿</t>
  </si>
  <si>
    <t>腾信股份</t>
  </si>
  <si>
    <t>新澳股份</t>
  </si>
  <si>
    <t>4661万</t>
  </si>
  <si>
    <t>中通国脉</t>
  </si>
  <si>
    <t>57.2亿</t>
  </si>
  <si>
    <t>新开普</t>
  </si>
  <si>
    <t>9280万</t>
  </si>
  <si>
    <t>比音勒芬</t>
  </si>
  <si>
    <t>2315万</t>
  </si>
  <si>
    <t>2667万</t>
  </si>
  <si>
    <t>依米康</t>
  </si>
  <si>
    <t>3527万</t>
  </si>
  <si>
    <t>中亚股份</t>
  </si>
  <si>
    <t>6622万</t>
  </si>
  <si>
    <t>7782万</t>
  </si>
  <si>
    <t>神奇制药</t>
  </si>
  <si>
    <t>5223万</t>
  </si>
  <si>
    <t>宝钢包装</t>
  </si>
  <si>
    <t>3658万</t>
  </si>
  <si>
    <t>3.13亿</t>
  </si>
  <si>
    <t>濮耐股份</t>
  </si>
  <si>
    <t>5150万</t>
  </si>
  <si>
    <t>华谊嘉信</t>
  </si>
  <si>
    <t>4649万</t>
  </si>
  <si>
    <t>澳洋科技</t>
  </si>
  <si>
    <t>2317万</t>
  </si>
  <si>
    <t>泰胜风能</t>
  </si>
  <si>
    <t>1407万</t>
  </si>
  <si>
    <t>三联虹普</t>
  </si>
  <si>
    <t>5354万</t>
  </si>
  <si>
    <t>贵糖股份</t>
  </si>
  <si>
    <t>4352万</t>
  </si>
  <si>
    <t>新国都</t>
  </si>
  <si>
    <t>7618万</t>
  </si>
  <si>
    <t>安井食品</t>
  </si>
  <si>
    <t>6854万</t>
  </si>
  <si>
    <t>5401万</t>
  </si>
  <si>
    <t>乐凯胶片</t>
  </si>
  <si>
    <t>7932万</t>
  </si>
  <si>
    <t>长海股份</t>
  </si>
  <si>
    <t>纵横通信</t>
  </si>
  <si>
    <t>鹿港文化</t>
  </si>
  <si>
    <t>5844万</t>
  </si>
  <si>
    <t>北京科锐</t>
  </si>
  <si>
    <t>京投发展</t>
  </si>
  <si>
    <t>汉威科技</t>
  </si>
  <si>
    <t>43.0亿</t>
  </si>
  <si>
    <t>渤海轮渡</t>
  </si>
  <si>
    <t>5712万</t>
  </si>
  <si>
    <t>贵航股份</t>
  </si>
  <si>
    <t>文山电力</t>
  </si>
  <si>
    <t>四通新材</t>
  </si>
  <si>
    <t>4594万</t>
  </si>
  <si>
    <t>6240万</t>
  </si>
  <si>
    <t>启迪设计</t>
  </si>
  <si>
    <t>3439万</t>
  </si>
  <si>
    <t>正丹股份</t>
  </si>
  <si>
    <t>9049万</t>
  </si>
  <si>
    <t>7200万</t>
  </si>
  <si>
    <t>江泉实业</t>
  </si>
  <si>
    <t>7004万</t>
  </si>
  <si>
    <t>卓翼科技</t>
  </si>
  <si>
    <t>9453万</t>
  </si>
  <si>
    <t>深桑达Ａ</t>
  </si>
  <si>
    <t>2947万</t>
  </si>
  <si>
    <t>元成股份</t>
  </si>
  <si>
    <t>复旦复华</t>
  </si>
  <si>
    <t>富祥股份</t>
  </si>
  <si>
    <t>5898万</t>
  </si>
  <si>
    <t>皖天然气</t>
  </si>
  <si>
    <t>7282万</t>
  </si>
  <si>
    <t>8400万</t>
  </si>
  <si>
    <t>英 力 特</t>
  </si>
  <si>
    <t>4638万</t>
  </si>
  <si>
    <t>3.03亿</t>
  </si>
  <si>
    <t>广安爱众</t>
  </si>
  <si>
    <t>4437万</t>
  </si>
  <si>
    <t>42.1亿</t>
  </si>
  <si>
    <t>朗姿股份</t>
  </si>
  <si>
    <t>2226万</t>
  </si>
  <si>
    <t>汇冠股份</t>
  </si>
  <si>
    <t>西部材料</t>
  </si>
  <si>
    <t>瑞特股份</t>
  </si>
  <si>
    <t>6833万</t>
  </si>
  <si>
    <t>睿能科技</t>
  </si>
  <si>
    <t>佳讯飞鸿</t>
  </si>
  <si>
    <t>3781万</t>
  </si>
  <si>
    <t>和晶科技</t>
  </si>
  <si>
    <t>5205万</t>
  </si>
  <si>
    <t>新宏泰</t>
  </si>
  <si>
    <t>7046万</t>
  </si>
  <si>
    <t>天域生态</t>
  </si>
  <si>
    <t>4318万</t>
  </si>
  <si>
    <t>美 欣 达</t>
  </si>
  <si>
    <t>1793万</t>
  </si>
  <si>
    <t>6199万</t>
  </si>
  <si>
    <t>长航凤凰</t>
  </si>
  <si>
    <t>精准信息</t>
  </si>
  <si>
    <t>5953万</t>
  </si>
  <si>
    <t>文科园林</t>
  </si>
  <si>
    <t>7770万</t>
  </si>
  <si>
    <t>泸天化</t>
  </si>
  <si>
    <t>7053万</t>
  </si>
  <si>
    <t>中矿资源</t>
  </si>
  <si>
    <t>兰太实业</t>
  </si>
  <si>
    <t>申通地铁</t>
  </si>
  <si>
    <t>1914万</t>
  </si>
  <si>
    <t>济民制药</t>
  </si>
  <si>
    <t>1140万</t>
  </si>
  <si>
    <t>沈阳化工</t>
  </si>
  <si>
    <t>2969万</t>
  </si>
  <si>
    <t>冀凯股份</t>
  </si>
  <si>
    <t>1031万</t>
  </si>
  <si>
    <t>东北制药</t>
  </si>
  <si>
    <t>9382万</t>
  </si>
  <si>
    <t>世纪星源</t>
  </si>
  <si>
    <t>7324万</t>
  </si>
  <si>
    <t>凯恩股份</t>
  </si>
  <si>
    <t>瑞普生物</t>
  </si>
  <si>
    <t>4165万</t>
  </si>
  <si>
    <t>27.8亿</t>
  </si>
  <si>
    <t>北巴传媒</t>
  </si>
  <si>
    <t>3179万</t>
  </si>
  <si>
    <t>爱乐达</t>
  </si>
  <si>
    <t>6895万</t>
  </si>
  <si>
    <t>1725万</t>
  </si>
  <si>
    <t>秦川机床</t>
  </si>
  <si>
    <t>9.13万</t>
  </si>
  <si>
    <t>西泵股份</t>
  </si>
  <si>
    <t>3361万</t>
  </si>
  <si>
    <t>新宁物流</t>
  </si>
  <si>
    <t>7842万</t>
  </si>
  <si>
    <t>中海达</t>
  </si>
  <si>
    <t>6902万</t>
  </si>
  <si>
    <t>丽江旅游</t>
  </si>
  <si>
    <t>3043万</t>
  </si>
  <si>
    <t>智光电气</t>
  </si>
  <si>
    <t>深圳新星</t>
  </si>
  <si>
    <t>8001万</t>
  </si>
  <si>
    <t>洪城水业</t>
  </si>
  <si>
    <t>7905万</t>
  </si>
  <si>
    <t>湖北宜化</t>
  </si>
  <si>
    <t>5979万</t>
  </si>
  <si>
    <t>54.5亿</t>
  </si>
  <si>
    <t>深南电A</t>
  </si>
  <si>
    <t>1027万</t>
  </si>
  <si>
    <t>嘉寓股份</t>
  </si>
  <si>
    <t>9173万</t>
  </si>
  <si>
    <t>*ST青松</t>
  </si>
  <si>
    <t>5181万</t>
  </si>
  <si>
    <t>-3.86万</t>
  </si>
  <si>
    <t>硕贝德</t>
  </si>
  <si>
    <t>音飞储存</t>
  </si>
  <si>
    <t>联得装备</t>
  </si>
  <si>
    <t>7207万</t>
  </si>
  <si>
    <t>金陵药业</t>
  </si>
  <si>
    <t>6504万</t>
  </si>
  <si>
    <t>*ST松江</t>
  </si>
  <si>
    <t>1581万</t>
  </si>
  <si>
    <t>五洲新春</t>
  </si>
  <si>
    <t>3490万</t>
  </si>
  <si>
    <t>5060万</t>
  </si>
  <si>
    <t>金雷风电</t>
  </si>
  <si>
    <t>4565万</t>
  </si>
  <si>
    <t>聚飞光电</t>
  </si>
  <si>
    <t>仙坛股份</t>
  </si>
  <si>
    <t>2672万</t>
  </si>
  <si>
    <t>54.0亿</t>
  </si>
  <si>
    <t>8184万</t>
  </si>
  <si>
    <t>美达股份</t>
  </si>
  <si>
    <t>4363万</t>
  </si>
  <si>
    <t>深华发Ａ</t>
  </si>
  <si>
    <t>英科医疗</t>
  </si>
  <si>
    <t>9724万</t>
  </si>
  <si>
    <t>2431万</t>
  </si>
  <si>
    <t>百花村</t>
  </si>
  <si>
    <t>1238万</t>
  </si>
  <si>
    <t>凯瑞德</t>
  </si>
  <si>
    <t>9227万</t>
  </si>
  <si>
    <t>银宝山新</t>
  </si>
  <si>
    <t>4191万</t>
  </si>
  <si>
    <t>重庆路桥</t>
  </si>
  <si>
    <t>2630万</t>
  </si>
  <si>
    <t>苏利股份</t>
  </si>
  <si>
    <t>3443万</t>
  </si>
  <si>
    <t>3750万</t>
  </si>
  <si>
    <t>波导股份</t>
  </si>
  <si>
    <t>国联水产</t>
  </si>
  <si>
    <t>2442万</t>
  </si>
  <si>
    <t>南威软件</t>
  </si>
  <si>
    <t>6969万</t>
  </si>
  <si>
    <t>群兴玩具</t>
  </si>
  <si>
    <t>飞亚达Ａ</t>
  </si>
  <si>
    <t>4333万</t>
  </si>
  <si>
    <t>莱茵生物</t>
  </si>
  <si>
    <t>丰林集团</t>
  </si>
  <si>
    <t>乐金健康</t>
  </si>
  <si>
    <t>北京君正</t>
  </si>
  <si>
    <t>9903万</t>
  </si>
  <si>
    <t>中国海诚</t>
  </si>
  <si>
    <t>2055万</t>
  </si>
  <si>
    <t>浩云科技</t>
  </si>
  <si>
    <t>1605万</t>
  </si>
  <si>
    <t>8049万</t>
  </si>
  <si>
    <t>回天新材</t>
  </si>
  <si>
    <t>4397万</t>
  </si>
  <si>
    <t>东方电子</t>
  </si>
  <si>
    <t>2531万</t>
  </si>
  <si>
    <t>好当家</t>
  </si>
  <si>
    <t>-1.08万</t>
  </si>
  <si>
    <t>8.56万</t>
  </si>
  <si>
    <t>路畅科技</t>
  </si>
  <si>
    <t>博云新材</t>
  </si>
  <si>
    <t>乾景园林</t>
  </si>
  <si>
    <t>7.72万</t>
  </si>
  <si>
    <t>*ST平能</t>
  </si>
  <si>
    <t>1722万</t>
  </si>
  <si>
    <t>清源股份</t>
  </si>
  <si>
    <t>6845万</t>
  </si>
  <si>
    <t>人人乐</t>
  </si>
  <si>
    <t>同洲电子</t>
  </si>
  <si>
    <t>7065万</t>
  </si>
  <si>
    <t>中电环保</t>
  </si>
  <si>
    <t>交大昂立</t>
  </si>
  <si>
    <t>雪峰科技</t>
  </si>
  <si>
    <t>翔鹭钨业</t>
  </si>
  <si>
    <t>盛天网络</t>
  </si>
  <si>
    <t>8831万</t>
  </si>
  <si>
    <t>8554万</t>
  </si>
  <si>
    <t>启明信息</t>
  </si>
  <si>
    <t>赛托生物</t>
  </si>
  <si>
    <t>4871万</t>
  </si>
  <si>
    <t>华昌化工</t>
  </si>
  <si>
    <t>4988万</t>
  </si>
  <si>
    <t>云煤能源</t>
  </si>
  <si>
    <t>8.28万</t>
  </si>
  <si>
    <t>4398万</t>
  </si>
  <si>
    <t>9.90亿</t>
  </si>
  <si>
    <t>百利电气</t>
  </si>
  <si>
    <t>52.7亿</t>
  </si>
  <si>
    <t>艾迪精密</t>
  </si>
  <si>
    <t>9321万</t>
  </si>
  <si>
    <t>瑞尔特</t>
  </si>
  <si>
    <t>3299万</t>
  </si>
  <si>
    <t>奥克股份</t>
  </si>
  <si>
    <t>英搏尔</t>
  </si>
  <si>
    <t>7008万</t>
  </si>
  <si>
    <t>1890万</t>
  </si>
  <si>
    <t>新筑股份</t>
  </si>
  <si>
    <t>2765万</t>
  </si>
  <si>
    <t>新华百货</t>
  </si>
  <si>
    <t>1578万</t>
  </si>
  <si>
    <t>金种子酒</t>
  </si>
  <si>
    <t>信捷电气</t>
  </si>
  <si>
    <t>3514万</t>
  </si>
  <si>
    <t>南方汇通</t>
  </si>
  <si>
    <t>国光股份</t>
  </si>
  <si>
    <t>3431万</t>
  </si>
  <si>
    <t>7500万</t>
  </si>
  <si>
    <t>1875万</t>
  </si>
  <si>
    <t>万顺股份</t>
  </si>
  <si>
    <t>1809万</t>
  </si>
  <si>
    <t>35.1亿</t>
  </si>
  <si>
    <t>*ST上普</t>
  </si>
  <si>
    <t>1563万</t>
  </si>
  <si>
    <t>52.4亿</t>
  </si>
  <si>
    <t>建研集团</t>
  </si>
  <si>
    <t>8102万</t>
  </si>
  <si>
    <t>齐峰新材</t>
  </si>
  <si>
    <t>6716万</t>
  </si>
  <si>
    <t>安妮股份</t>
  </si>
  <si>
    <t>键桥通讯</t>
  </si>
  <si>
    <t>2118万</t>
  </si>
  <si>
    <t>长源电力</t>
  </si>
  <si>
    <t>1923万</t>
  </si>
  <si>
    <t>华统股份</t>
  </si>
  <si>
    <t>5717万</t>
  </si>
  <si>
    <t>1.79亿</t>
  </si>
  <si>
    <t>4467万</t>
  </si>
  <si>
    <t>长城影视</t>
  </si>
  <si>
    <t>株冶集团</t>
  </si>
  <si>
    <t>1616万</t>
  </si>
  <si>
    <t>姚记扑克</t>
  </si>
  <si>
    <t>2778万</t>
  </si>
  <si>
    <t>雅本化学</t>
  </si>
  <si>
    <t>2963万</t>
  </si>
  <si>
    <t>升达林业</t>
  </si>
  <si>
    <t>3019万</t>
  </si>
  <si>
    <t>秀强股份</t>
  </si>
  <si>
    <t>3419万</t>
  </si>
  <si>
    <t>道恩股份</t>
  </si>
  <si>
    <t>2073万</t>
  </si>
  <si>
    <t>悦心健康</t>
  </si>
  <si>
    <t>戴维医疗</t>
  </si>
  <si>
    <t>9.83万</t>
  </si>
  <si>
    <t>天龙集团</t>
  </si>
  <si>
    <t>9704万</t>
  </si>
  <si>
    <t>岱勒新材</t>
  </si>
  <si>
    <t>8240万</t>
  </si>
  <si>
    <t>2060万</t>
  </si>
  <si>
    <t>天喻信息</t>
  </si>
  <si>
    <t>苏大维格</t>
  </si>
  <si>
    <t>6375万</t>
  </si>
  <si>
    <t>中成股份</t>
  </si>
  <si>
    <t>3865万</t>
  </si>
  <si>
    <t>万年青</t>
  </si>
  <si>
    <t>7956万</t>
  </si>
  <si>
    <t>元祖股份</t>
  </si>
  <si>
    <t>4452万</t>
  </si>
  <si>
    <t>新联电子</t>
  </si>
  <si>
    <t>1586万</t>
  </si>
  <si>
    <t>48.6亿</t>
  </si>
  <si>
    <t>天业通联</t>
  </si>
  <si>
    <t>天津磁卡</t>
  </si>
  <si>
    <t>6267万</t>
  </si>
  <si>
    <t>正元智慧</t>
  </si>
  <si>
    <t>6238万</t>
  </si>
  <si>
    <t>6667万</t>
  </si>
  <si>
    <t>凯美特气</t>
  </si>
  <si>
    <t>8730万</t>
  </si>
  <si>
    <t>微光股份</t>
  </si>
  <si>
    <t>8087万</t>
  </si>
  <si>
    <t>中环环保</t>
  </si>
  <si>
    <t>鲁抗医药</t>
  </si>
  <si>
    <t>永安林业</t>
  </si>
  <si>
    <t>1801万</t>
  </si>
  <si>
    <t>赞宇科技</t>
  </si>
  <si>
    <t>3893万</t>
  </si>
  <si>
    <t>青龙管业</t>
  </si>
  <si>
    <t>42.5亿</t>
  </si>
  <si>
    <t>大恒科技</t>
  </si>
  <si>
    <t>凤凰股份</t>
  </si>
  <si>
    <t>广东榕泰</t>
  </si>
  <si>
    <t>2583万</t>
  </si>
  <si>
    <t>菲利华</t>
  </si>
  <si>
    <t>5538万</t>
  </si>
  <si>
    <t>宝馨科技</t>
  </si>
  <si>
    <t>2452万</t>
  </si>
  <si>
    <t>蓝黛传动</t>
  </si>
  <si>
    <t>7652万</t>
  </si>
  <si>
    <t>英派斯</t>
  </si>
  <si>
    <t>燕塘乳业</t>
  </si>
  <si>
    <t>6088万</t>
  </si>
  <si>
    <t>厦门信达</t>
  </si>
  <si>
    <t>4773万</t>
  </si>
  <si>
    <t>模塑科技</t>
  </si>
  <si>
    <t>5274万</t>
  </si>
  <si>
    <t>6.97亿</t>
  </si>
  <si>
    <t>佛慈制药</t>
  </si>
  <si>
    <t>2962万</t>
  </si>
  <si>
    <t>五洲交通</t>
  </si>
  <si>
    <t>2755万</t>
  </si>
  <si>
    <t>广州浪奇</t>
  </si>
  <si>
    <t>中国中期</t>
  </si>
  <si>
    <t>6797万</t>
  </si>
  <si>
    <t>麦达数字</t>
  </si>
  <si>
    <t>3021万</t>
  </si>
  <si>
    <t>长方集团</t>
  </si>
  <si>
    <t>2264万</t>
  </si>
  <si>
    <t>33.2亿</t>
  </si>
  <si>
    <t>三垒股份</t>
  </si>
  <si>
    <t>意华股份</t>
  </si>
  <si>
    <t>朗科智能</t>
  </si>
  <si>
    <t>4260万</t>
  </si>
  <si>
    <t>龙头股份</t>
  </si>
  <si>
    <t>4355万</t>
  </si>
  <si>
    <t>苏奥传感</t>
  </si>
  <si>
    <t>5323万</t>
  </si>
  <si>
    <t>秋林集团</t>
  </si>
  <si>
    <t>1201万</t>
  </si>
  <si>
    <t>*ST中富</t>
  </si>
  <si>
    <t>2522万</t>
  </si>
  <si>
    <t>太空板业</t>
  </si>
  <si>
    <t>天孚通信</t>
  </si>
  <si>
    <t>7105万</t>
  </si>
  <si>
    <t>友邦吊顶</t>
  </si>
  <si>
    <t>2547万</t>
  </si>
  <si>
    <t>8763万</t>
  </si>
  <si>
    <t>2603万</t>
  </si>
  <si>
    <t>天创时尚</t>
  </si>
  <si>
    <t>2675万</t>
  </si>
  <si>
    <t>田中精机</t>
  </si>
  <si>
    <t>7054万</t>
  </si>
  <si>
    <t>金溢科技</t>
  </si>
  <si>
    <t>2952万</t>
  </si>
  <si>
    <t>建研院</t>
  </si>
  <si>
    <t>8800万</t>
  </si>
  <si>
    <t>2200万</t>
  </si>
  <si>
    <t>华铭智能</t>
  </si>
  <si>
    <t>5437万</t>
  </si>
  <si>
    <t>高伟达</t>
  </si>
  <si>
    <t>9934万</t>
  </si>
  <si>
    <t>昌红科技</t>
  </si>
  <si>
    <t>3182万</t>
  </si>
  <si>
    <t>海源机械</t>
  </si>
  <si>
    <t>50.6亿</t>
  </si>
  <si>
    <t>朗科科技</t>
  </si>
  <si>
    <t>3081万</t>
  </si>
  <si>
    <t>沃华医药</t>
  </si>
  <si>
    <t>6629万</t>
  </si>
  <si>
    <t>48.9亿</t>
  </si>
  <si>
    <t>华塑控股</t>
  </si>
  <si>
    <t>天源迪科</t>
  </si>
  <si>
    <t>9.24万</t>
  </si>
  <si>
    <t>新野纺织</t>
  </si>
  <si>
    <t>派思股份</t>
  </si>
  <si>
    <t>6384万</t>
  </si>
  <si>
    <t>东方嘉盛</t>
  </si>
  <si>
    <t>3453万</t>
  </si>
  <si>
    <t>汉森制药</t>
  </si>
  <si>
    <t>1474万</t>
  </si>
  <si>
    <t>梅轮电梯</t>
  </si>
  <si>
    <t>7700万</t>
  </si>
  <si>
    <t>华天酒店</t>
  </si>
  <si>
    <t>1670万</t>
  </si>
  <si>
    <t>7.19亿</t>
  </si>
  <si>
    <t>恒通科技</t>
  </si>
  <si>
    <t>6390万</t>
  </si>
  <si>
    <t>万马科技</t>
  </si>
  <si>
    <t>3350万</t>
  </si>
  <si>
    <t>金河生物</t>
  </si>
  <si>
    <t>2026万</t>
  </si>
  <si>
    <t>奥拓电子</t>
  </si>
  <si>
    <t>利德曼</t>
  </si>
  <si>
    <t>8008万</t>
  </si>
  <si>
    <t>华茂股份</t>
  </si>
  <si>
    <t>2016万</t>
  </si>
  <si>
    <t>9.44亿</t>
  </si>
  <si>
    <t>9.43亿</t>
  </si>
  <si>
    <t>凯龙股份</t>
  </si>
  <si>
    <t>5640万</t>
  </si>
  <si>
    <t>中衡设计</t>
  </si>
  <si>
    <t>华通热力</t>
  </si>
  <si>
    <t>迪贝电气</t>
  </si>
  <si>
    <t>上海九百</t>
  </si>
  <si>
    <t>粤 水 电</t>
  </si>
  <si>
    <t>4084万</t>
  </si>
  <si>
    <t>亚泰国际</t>
  </si>
  <si>
    <t>4312万</t>
  </si>
  <si>
    <t>克明面业</t>
  </si>
  <si>
    <t>1758万</t>
  </si>
  <si>
    <t>宁波建工</t>
  </si>
  <si>
    <t>3493万</t>
  </si>
  <si>
    <t>华意压缩</t>
  </si>
  <si>
    <t>出版传媒</t>
  </si>
  <si>
    <t>永东股份</t>
  </si>
  <si>
    <t>2982万</t>
  </si>
  <si>
    <t>8483万</t>
  </si>
  <si>
    <t>金岭矿业</t>
  </si>
  <si>
    <t>梦洁股份</t>
  </si>
  <si>
    <t>7935万</t>
  </si>
  <si>
    <t>瑞和股份</t>
  </si>
  <si>
    <t>常青股份</t>
  </si>
  <si>
    <t>3311万</t>
  </si>
  <si>
    <t>德尔股份</t>
  </si>
  <si>
    <t>4633万</t>
  </si>
  <si>
    <t>诺力股份</t>
  </si>
  <si>
    <t>2901万</t>
  </si>
  <si>
    <t>9303万</t>
  </si>
  <si>
    <t>广弘控股</t>
  </si>
  <si>
    <t>1488万</t>
  </si>
  <si>
    <t>华斯股份</t>
  </si>
  <si>
    <t>7702万</t>
  </si>
  <si>
    <t>合兴包装</t>
  </si>
  <si>
    <t>1693万</t>
  </si>
  <si>
    <t>炬华科技</t>
  </si>
  <si>
    <t>2339万</t>
  </si>
  <si>
    <t>昊志机电</t>
  </si>
  <si>
    <t>8112万</t>
  </si>
  <si>
    <t>道森股份</t>
  </si>
  <si>
    <t>9853万</t>
  </si>
  <si>
    <t>美尔雅</t>
  </si>
  <si>
    <t>新亚制程</t>
  </si>
  <si>
    <t>3105万</t>
  </si>
  <si>
    <t>众兴菌业</t>
  </si>
  <si>
    <t>2865万</t>
  </si>
  <si>
    <t>盛洋科技</t>
  </si>
  <si>
    <t>9592万</t>
  </si>
  <si>
    <t>银星能源</t>
  </si>
  <si>
    <t>科远股份</t>
  </si>
  <si>
    <t>2850万</t>
  </si>
  <si>
    <t>珠江控股</t>
  </si>
  <si>
    <t>四川美丰</t>
  </si>
  <si>
    <t>4413万</t>
  </si>
  <si>
    <t>科信技术</t>
  </si>
  <si>
    <t>中科电气</t>
  </si>
  <si>
    <t>闽发铝业</t>
  </si>
  <si>
    <t>2116万</t>
  </si>
  <si>
    <t>三维通信</t>
  </si>
  <si>
    <t>34.2万</t>
  </si>
  <si>
    <t>北陆药业</t>
  </si>
  <si>
    <t>4855万</t>
  </si>
  <si>
    <t>赛意信息</t>
  </si>
  <si>
    <t>中富通</t>
  </si>
  <si>
    <t>武进不锈</t>
  </si>
  <si>
    <t>4420万</t>
  </si>
  <si>
    <t>5050万</t>
  </si>
  <si>
    <t>科泰电源</t>
  </si>
  <si>
    <t>6.14万</t>
  </si>
  <si>
    <t>9449万</t>
  </si>
  <si>
    <t>创业黑马</t>
  </si>
  <si>
    <t>6800万</t>
  </si>
  <si>
    <t>汇纳科技</t>
  </si>
  <si>
    <t>8551万</t>
  </si>
  <si>
    <t>大元泵业</t>
  </si>
  <si>
    <t>8380万</t>
  </si>
  <si>
    <t>2100万</t>
  </si>
  <si>
    <t>五洋科技</t>
  </si>
  <si>
    <t>8959万</t>
  </si>
  <si>
    <t>平治信息</t>
  </si>
  <si>
    <t>8435万</t>
  </si>
  <si>
    <t>金洲管道</t>
  </si>
  <si>
    <t>如通股份</t>
  </si>
  <si>
    <t>5084万</t>
  </si>
  <si>
    <t>原尚股份</t>
  </si>
  <si>
    <t>8827万</t>
  </si>
  <si>
    <t>2207万</t>
  </si>
  <si>
    <t>华脉科技</t>
  </si>
  <si>
    <t>宜安科技</t>
  </si>
  <si>
    <t>3442万</t>
  </si>
  <si>
    <t>黔源电力</t>
  </si>
  <si>
    <t>陇神戎发</t>
  </si>
  <si>
    <t>嘉诚国际</t>
  </si>
  <si>
    <t>国芳集团</t>
  </si>
  <si>
    <t>79.1万</t>
  </si>
  <si>
    <t>春风动力</t>
  </si>
  <si>
    <t>8266万</t>
  </si>
  <si>
    <t>3333万</t>
  </si>
  <si>
    <t>川金诺</t>
  </si>
  <si>
    <t>9336万</t>
  </si>
  <si>
    <t>3793万</t>
  </si>
  <si>
    <t>龙洲股份</t>
  </si>
  <si>
    <t>5974万</t>
  </si>
  <si>
    <t>科林环保</t>
  </si>
  <si>
    <t>皖通科技</t>
  </si>
  <si>
    <t>7425万</t>
  </si>
  <si>
    <t>动力源</t>
  </si>
  <si>
    <t>7140万</t>
  </si>
  <si>
    <t>醋化股份</t>
  </si>
  <si>
    <t>斯莱克</t>
  </si>
  <si>
    <t>3910万</t>
  </si>
  <si>
    <t>新能泰山</t>
  </si>
  <si>
    <t>长江投资</t>
  </si>
  <si>
    <t>新宏泽</t>
  </si>
  <si>
    <t>快克股份</t>
  </si>
  <si>
    <t>2296万</t>
  </si>
  <si>
    <t>2990万</t>
  </si>
  <si>
    <t>移为通信</t>
  </si>
  <si>
    <t>中新科技</t>
  </si>
  <si>
    <t>盛弘股份</t>
  </si>
  <si>
    <t>9123万</t>
  </si>
  <si>
    <t>2281万</t>
  </si>
  <si>
    <t>南宁百货</t>
  </si>
  <si>
    <t>2145万</t>
  </si>
  <si>
    <t>海陆重工</t>
  </si>
  <si>
    <t>3678万</t>
  </si>
  <si>
    <t>报 喜 鸟</t>
  </si>
  <si>
    <t>2277万</t>
  </si>
  <si>
    <t>中国高科</t>
  </si>
  <si>
    <t>2653万</t>
  </si>
  <si>
    <t>东方通</t>
  </si>
  <si>
    <t>润欣科技</t>
  </si>
  <si>
    <t>3755万</t>
  </si>
  <si>
    <t>龙溪股份</t>
  </si>
  <si>
    <t>9404万</t>
  </si>
  <si>
    <t>中持股份</t>
  </si>
  <si>
    <t>2561万</t>
  </si>
  <si>
    <t>华铁科技</t>
  </si>
  <si>
    <t>雄塑科技</t>
  </si>
  <si>
    <t>7600万</t>
  </si>
  <si>
    <t>卧龙地产</t>
  </si>
  <si>
    <t>2555万</t>
  </si>
  <si>
    <t>积成电子</t>
  </si>
  <si>
    <t>6758万</t>
  </si>
  <si>
    <t>康拓红外</t>
  </si>
  <si>
    <t>3623万</t>
  </si>
  <si>
    <t>高争民爆</t>
  </si>
  <si>
    <t>博敏电子</t>
  </si>
  <si>
    <t>5610万</t>
  </si>
  <si>
    <t>星云股份</t>
  </si>
  <si>
    <t>数字认证</t>
  </si>
  <si>
    <t>大东方</t>
  </si>
  <si>
    <t>3415万</t>
  </si>
  <si>
    <t>博创科技</t>
  </si>
  <si>
    <t>8267万</t>
  </si>
  <si>
    <t>3411万</t>
  </si>
  <si>
    <t>安记食品</t>
  </si>
  <si>
    <t>2050万</t>
  </si>
  <si>
    <t>3450万</t>
  </si>
  <si>
    <t>三孚股份</t>
  </si>
  <si>
    <t>3756万</t>
  </si>
  <si>
    <t>合锻智能</t>
  </si>
  <si>
    <t>1067万</t>
  </si>
  <si>
    <t>科融环境</t>
  </si>
  <si>
    <t>鲁阳节能</t>
  </si>
  <si>
    <t>4186万</t>
  </si>
  <si>
    <t>28.5亿</t>
  </si>
  <si>
    <t>常宝股份</t>
  </si>
  <si>
    <t>3655万</t>
  </si>
  <si>
    <t>千金药业</t>
  </si>
  <si>
    <t>5246万</t>
  </si>
  <si>
    <t>维宏股份</t>
  </si>
  <si>
    <t>5682万</t>
  </si>
  <si>
    <t>1479万</t>
  </si>
  <si>
    <t>风神股份</t>
  </si>
  <si>
    <t>2574万</t>
  </si>
  <si>
    <t>凤凰光学</t>
  </si>
  <si>
    <t>1253万</t>
  </si>
  <si>
    <t>中潜股份</t>
  </si>
  <si>
    <t>5981万</t>
  </si>
  <si>
    <t>泰山石油</t>
  </si>
  <si>
    <t>7118万</t>
  </si>
  <si>
    <t>荃银高科</t>
  </si>
  <si>
    <t>维科精华</t>
  </si>
  <si>
    <t>吉林高速</t>
  </si>
  <si>
    <t>847万</t>
  </si>
  <si>
    <t>永和智控</t>
  </si>
  <si>
    <t>亚通股份</t>
  </si>
  <si>
    <t>4144万</t>
  </si>
  <si>
    <t>东方电热</t>
  </si>
  <si>
    <t>百洋股份</t>
  </si>
  <si>
    <t>1494万</t>
  </si>
  <si>
    <t>康普顿</t>
  </si>
  <si>
    <t>2232万</t>
  </si>
  <si>
    <t>8540万</t>
  </si>
  <si>
    <t>明牌珠宝</t>
  </si>
  <si>
    <t>4389万</t>
  </si>
  <si>
    <t>远东传动</t>
  </si>
  <si>
    <t>5496万</t>
  </si>
  <si>
    <t>33.1亿</t>
  </si>
  <si>
    <t>重庆港九</t>
  </si>
  <si>
    <t>1720万</t>
  </si>
  <si>
    <t>红墙股份</t>
  </si>
  <si>
    <t>6016万</t>
  </si>
  <si>
    <t>华金资本</t>
  </si>
  <si>
    <t>3351万</t>
  </si>
  <si>
    <t>天能重工</t>
  </si>
  <si>
    <t>7390万</t>
  </si>
  <si>
    <t>安诺其</t>
  </si>
  <si>
    <t>4258万</t>
  </si>
  <si>
    <t>英飞特</t>
  </si>
  <si>
    <t>2.14亿</t>
  </si>
  <si>
    <t>川仪股份</t>
  </si>
  <si>
    <t>31.0亿</t>
  </si>
  <si>
    <t>鲁商置业</t>
  </si>
  <si>
    <t>2289万</t>
  </si>
  <si>
    <t>长春经开</t>
  </si>
  <si>
    <t>2357万</t>
  </si>
  <si>
    <t>激智科技</t>
  </si>
  <si>
    <t>4153万</t>
  </si>
  <si>
    <t>2985万</t>
  </si>
  <si>
    <t>岳阳兴长</t>
  </si>
  <si>
    <t>2684万</t>
  </si>
  <si>
    <t>奥普光电</t>
  </si>
  <si>
    <t>4982万</t>
  </si>
  <si>
    <t>新疆浩源</t>
  </si>
  <si>
    <t>奥 特 迅</t>
  </si>
  <si>
    <t>3632万</t>
  </si>
  <si>
    <t>*ST厦工</t>
  </si>
  <si>
    <t>1448万</t>
  </si>
  <si>
    <t>美丽生态</t>
  </si>
  <si>
    <t>圣达生物</t>
  </si>
  <si>
    <t>华荣股份</t>
  </si>
  <si>
    <t>4860万</t>
  </si>
  <si>
    <t>8277万</t>
  </si>
  <si>
    <t>东方钽业</t>
  </si>
  <si>
    <t>英维克</t>
  </si>
  <si>
    <t>4924万</t>
  </si>
  <si>
    <t>奥联电子</t>
  </si>
  <si>
    <t>传艺科技</t>
  </si>
  <si>
    <t>5103万</t>
  </si>
  <si>
    <t>3591万</t>
  </si>
  <si>
    <t>网达软件</t>
  </si>
  <si>
    <t>3773万</t>
  </si>
  <si>
    <t>浙商中拓</t>
  </si>
  <si>
    <t>2639万</t>
  </si>
  <si>
    <t>澳柯玛</t>
  </si>
  <si>
    <t>7.77亿</t>
  </si>
  <si>
    <t>大理药业</t>
  </si>
  <si>
    <t>晨光生物</t>
  </si>
  <si>
    <t>4375万</t>
  </si>
  <si>
    <t>3.67亿</t>
  </si>
  <si>
    <t>*ST坊展</t>
  </si>
  <si>
    <t>4793万</t>
  </si>
  <si>
    <t>电光科技</t>
  </si>
  <si>
    <t>2762万</t>
  </si>
  <si>
    <t>江化微</t>
  </si>
  <si>
    <t>8706万</t>
  </si>
  <si>
    <t>华正新材</t>
  </si>
  <si>
    <t>5342万</t>
  </si>
  <si>
    <t>3235万</t>
  </si>
  <si>
    <t>中房地产</t>
  </si>
  <si>
    <t>8012万</t>
  </si>
  <si>
    <t>银座股份</t>
  </si>
  <si>
    <t>7578万</t>
  </si>
  <si>
    <t>德联集团</t>
  </si>
  <si>
    <t>江南高纤</t>
  </si>
  <si>
    <t>9.20万</t>
  </si>
  <si>
    <t>哈森股份</t>
  </si>
  <si>
    <t>8349万</t>
  </si>
  <si>
    <t>龙津药业</t>
  </si>
  <si>
    <t>5707万</t>
  </si>
  <si>
    <t>漳州发展</t>
  </si>
  <si>
    <t>5617万</t>
  </si>
  <si>
    <t>联发股份</t>
  </si>
  <si>
    <t>4102万</t>
  </si>
  <si>
    <t>翠微股份</t>
  </si>
  <si>
    <t>1623万</t>
  </si>
  <si>
    <t>富煌钢构</t>
  </si>
  <si>
    <t>8997万</t>
  </si>
  <si>
    <t>金利华电</t>
  </si>
  <si>
    <t>840万</t>
  </si>
  <si>
    <t>世龙实业</t>
  </si>
  <si>
    <t>8161万</t>
  </si>
  <si>
    <t>顺灏股份</t>
  </si>
  <si>
    <t>1191万</t>
  </si>
  <si>
    <t>新华锦</t>
  </si>
  <si>
    <t>盛通股份</t>
  </si>
  <si>
    <t>997万</t>
  </si>
  <si>
    <t>建设机械</t>
  </si>
  <si>
    <t>3483万</t>
  </si>
  <si>
    <t>39.4亿</t>
  </si>
  <si>
    <t>爱普股份</t>
  </si>
  <si>
    <t>1963万</t>
  </si>
  <si>
    <t>中闽能源</t>
  </si>
  <si>
    <t>1773万</t>
  </si>
  <si>
    <t>百合花</t>
  </si>
  <si>
    <t>3316万</t>
  </si>
  <si>
    <t>艾比森</t>
  </si>
  <si>
    <t>御银股份</t>
  </si>
  <si>
    <t>环能科技</t>
  </si>
  <si>
    <t>向日葵</t>
  </si>
  <si>
    <t>1869万</t>
  </si>
  <si>
    <t>46.3亿</t>
  </si>
  <si>
    <t>英特集团</t>
  </si>
  <si>
    <t>1036万</t>
  </si>
  <si>
    <t>46.4亿</t>
  </si>
  <si>
    <t>昭衍新药</t>
  </si>
  <si>
    <t>8180万</t>
  </si>
  <si>
    <t>敦煌种业</t>
  </si>
  <si>
    <t>9.35万</t>
  </si>
  <si>
    <t>8205万</t>
  </si>
  <si>
    <t>三星新材</t>
  </si>
  <si>
    <t>8776万</t>
  </si>
  <si>
    <t>奥维通信</t>
  </si>
  <si>
    <t>南大光电</t>
  </si>
  <si>
    <t>鹭燕医药</t>
  </si>
  <si>
    <t>6944万</t>
  </si>
  <si>
    <t>天宝食品</t>
  </si>
  <si>
    <t>永创智能</t>
  </si>
  <si>
    <t>4538万</t>
  </si>
  <si>
    <t>濮阳惠成</t>
  </si>
  <si>
    <t>9224万</t>
  </si>
  <si>
    <t>永艺股份</t>
  </si>
  <si>
    <t>2472万</t>
  </si>
  <si>
    <t>四方精创</t>
  </si>
  <si>
    <t>9129万</t>
  </si>
  <si>
    <t>6686万</t>
  </si>
  <si>
    <t>海南椰岛</t>
  </si>
  <si>
    <t>4373万</t>
  </si>
  <si>
    <t>海越股份</t>
  </si>
  <si>
    <t>2991万</t>
  </si>
  <si>
    <t>东北电气</t>
  </si>
  <si>
    <t>鼎捷软件</t>
  </si>
  <si>
    <t>4753万</t>
  </si>
  <si>
    <t>铭普光磁</t>
  </si>
  <si>
    <t>73.1万</t>
  </si>
  <si>
    <t>*ST佳电</t>
  </si>
  <si>
    <t>3137万</t>
  </si>
  <si>
    <t>上海沪工</t>
  </si>
  <si>
    <t>爱仕达</t>
  </si>
  <si>
    <t>3385万</t>
  </si>
  <si>
    <t>海量数据</t>
  </si>
  <si>
    <t>利民股份</t>
  </si>
  <si>
    <t>银信科技</t>
  </si>
  <si>
    <t>7509万</t>
  </si>
  <si>
    <t>科林电气</t>
  </si>
  <si>
    <t>电工合金</t>
  </si>
  <si>
    <t>麦迪电气</t>
  </si>
  <si>
    <t>5725万</t>
  </si>
  <si>
    <t>佳士科技</t>
  </si>
  <si>
    <t>2326万</t>
  </si>
  <si>
    <t>引力传媒</t>
  </si>
  <si>
    <t>2449万</t>
  </si>
  <si>
    <t>9736万</t>
  </si>
  <si>
    <t>青岛双星</t>
  </si>
  <si>
    <t>2938万</t>
  </si>
  <si>
    <t>吉宏股份</t>
  </si>
  <si>
    <t>2288万</t>
  </si>
  <si>
    <t>东材科技</t>
  </si>
  <si>
    <t>2395万</t>
  </si>
  <si>
    <t>宝莫股份</t>
  </si>
  <si>
    <t>林州重机</t>
  </si>
  <si>
    <t>2120万</t>
  </si>
  <si>
    <t>凯普生物</t>
  </si>
  <si>
    <t>6521万</t>
  </si>
  <si>
    <t>9102万</t>
  </si>
  <si>
    <t>2245万</t>
  </si>
  <si>
    <t>空港股份</t>
  </si>
  <si>
    <t>2591万</t>
  </si>
  <si>
    <t>保龄宝</t>
  </si>
  <si>
    <t>3441万</t>
  </si>
  <si>
    <t>邦宝益智</t>
  </si>
  <si>
    <t>4714万</t>
  </si>
  <si>
    <t>5280万</t>
  </si>
  <si>
    <t>瀛通通讯</t>
  </si>
  <si>
    <t>3068万</t>
  </si>
  <si>
    <t>欧亚集团</t>
  </si>
  <si>
    <t>3907万</t>
  </si>
  <si>
    <t>东信和平</t>
  </si>
  <si>
    <t>20.4万</t>
  </si>
  <si>
    <t>华源控股</t>
  </si>
  <si>
    <t>6310万</t>
  </si>
  <si>
    <t>凌霄泵业</t>
  </si>
  <si>
    <t>7747万</t>
  </si>
  <si>
    <t>1937万</t>
  </si>
  <si>
    <t>华宏科技</t>
  </si>
  <si>
    <t>7668万</t>
  </si>
  <si>
    <t>全筑股份</t>
  </si>
  <si>
    <t>多喜爱</t>
  </si>
  <si>
    <t>6148万</t>
  </si>
  <si>
    <t>5616万</t>
  </si>
  <si>
    <t>神农基因</t>
  </si>
  <si>
    <t>3739万</t>
  </si>
  <si>
    <t>腾龙股份</t>
  </si>
  <si>
    <t>邦讯技术</t>
  </si>
  <si>
    <t>新坐标</t>
  </si>
  <si>
    <t>6108万</t>
  </si>
  <si>
    <t>至纯科技</t>
  </si>
  <si>
    <t>8092万</t>
  </si>
  <si>
    <t>久联发展</t>
  </si>
  <si>
    <t>2352万</t>
  </si>
  <si>
    <t>界龙实业</t>
  </si>
  <si>
    <t>北方股份</t>
  </si>
  <si>
    <t>2802万</t>
  </si>
  <si>
    <t>众源新材</t>
  </si>
  <si>
    <t>3110万</t>
  </si>
  <si>
    <t>特一药业</t>
  </si>
  <si>
    <t>通合科技</t>
  </si>
  <si>
    <t>4642万</t>
  </si>
  <si>
    <t>5093万</t>
  </si>
  <si>
    <t>金银河</t>
  </si>
  <si>
    <t>7468万</t>
  </si>
  <si>
    <t>1868万</t>
  </si>
  <si>
    <t>博信股份</t>
  </si>
  <si>
    <t>迪威视讯</t>
  </si>
  <si>
    <t>5176万</t>
  </si>
  <si>
    <t>维力医疗</t>
  </si>
  <si>
    <t>科锐国际</t>
  </si>
  <si>
    <t>9567万</t>
  </si>
  <si>
    <t>海汽集团</t>
  </si>
  <si>
    <t>3779万</t>
  </si>
  <si>
    <t>太阳鸟</t>
  </si>
  <si>
    <t>5399万</t>
  </si>
  <si>
    <t>润邦股份</t>
  </si>
  <si>
    <t>2669万</t>
  </si>
  <si>
    <t>金发拉比</t>
  </si>
  <si>
    <t>3598万</t>
  </si>
  <si>
    <t>44.6亿</t>
  </si>
  <si>
    <t>6955万</t>
  </si>
  <si>
    <t>农发种业</t>
  </si>
  <si>
    <t>2521万</t>
  </si>
  <si>
    <t>-1.17万</t>
  </si>
  <si>
    <t>黑芝麻</t>
  </si>
  <si>
    <t>59.1万</t>
  </si>
  <si>
    <t>35.8万</t>
  </si>
  <si>
    <t>如意集团</t>
  </si>
  <si>
    <t>1784万</t>
  </si>
  <si>
    <t>两面针</t>
  </si>
  <si>
    <t>6842万</t>
  </si>
  <si>
    <t>5.35万</t>
  </si>
  <si>
    <t>三六五网</t>
  </si>
  <si>
    <t>8608万</t>
  </si>
  <si>
    <t>天马科技</t>
  </si>
  <si>
    <t>7420万</t>
  </si>
  <si>
    <t>佐力药业</t>
  </si>
  <si>
    <t>4147万</t>
  </si>
  <si>
    <t>海德股份</t>
  </si>
  <si>
    <t>7843万</t>
  </si>
  <si>
    <t>盐津铺子</t>
  </si>
  <si>
    <t>9796万</t>
  </si>
  <si>
    <t>3100万</t>
  </si>
  <si>
    <t>中马传动</t>
  </si>
  <si>
    <t>8667万</t>
  </si>
  <si>
    <t>5333万</t>
  </si>
  <si>
    <t>数源科技</t>
  </si>
  <si>
    <t>旭光股份</t>
  </si>
  <si>
    <t>7609万</t>
  </si>
  <si>
    <t>英联股份</t>
  </si>
  <si>
    <t>双一科技</t>
  </si>
  <si>
    <t>6984万</t>
  </si>
  <si>
    <t>1734万</t>
  </si>
  <si>
    <t>浩丰科技</t>
  </si>
  <si>
    <t>5778万</t>
  </si>
  <si>
    <t>星光农机</t>
  </si>
  <si>
    <t>安源煤业</t>
  </si>
  <si>
    <t>1941万</t>
  </si>
  <si>
    <t>弘讯科技</t>
  </si>
  <si>
    <t>天目湖</t>
  </si>
  <si>
    <t>联泰环保</t>
  </si>
  <si>
    <t>5334万</t>
  </si>
  <si>
    <t>民和股份</t>
  </si>
  <si>
    <t>4388万</t>
  </si>
  <si>
    <t>快意电梯</t>
  </si>
  <si>
    <t>3576万</t>
  </si>
  <si>
    <t>8370万</t>
  </si>
  <si>
    <t>得利斯</t>
  </si>
  <si>
    <t>1676万</t>
  </si>
  <si>
    <t>特 尔 佳</t>
  </si>
  <si>
    <t>1104万</t>
  </si>
  <si>
    <t>恒泰实达</t>
  </si>
  <si>
    <t>3424万</t>
  </si>
  <si>
    <t>6095万</t>
  </si>
  <si>
    <t>北特科技</t>
  </si>
  <si>
    <t>三五互联</t>
  </si>
  <si>
    <t>4995万</t>
  </si>
  <si>
    <t>今天国际</t>
  </si>
  <si>
    <t>7107万</t>
  </si>
  <si>
    <t>长春燃气</t>
  </si>
  <si>
    <t>3575万</t>
  </si>
  <si>
    <t>金杯电工</t>
  </si>
  <si>
    <t>深中华A</t>
  </si>
  <si>
    <t>初灵信息</t>
  </si>
  <si>
    <t>吉鑫科技</t>
  </si>
  <si>
    <t>1932万</t>
  </si>
  <si>
    <t>金新农</t>
  </si>
  <si>
    <t>1603万</t>
  </si>
  <si>
    <t>四川金顶</t>
  </si>
  <si>
    <t>5788万</t>
  </si>
  <si>
    <t>神思电子</t>
  </si>
  <si>
    <t>圣邦股份</t>
  </si>
  <si>
    <t>5837万</t>
  </si>
  <si>
    <t>赛隆药业</t>
  </si>
  <si>
    <t>华平股份</t>
  </si>
  <si>
    <t>2934万</t>
  </si>
  <si>
    <t>美芝股份</t>
  </si>
  <si>
    <t>2534万</t>
  </si>
  <si>
    <t>国创高新</t>
  </si>
  <si>
    <t>诚益通</t>
  </si>
  <si>
    <t>7635万</t>
  </si>
  <si>
    <t>4129万</t>
  </si>
  <si>
    <t>*ST嘉陵</t>
  </si>
  <si>
    <t>3660万</t>
  </si>
  <si>
    <t>香溢融通</t>
  </si>
  <si>
    <t>3763万</t>
  </si>
  <si>
    <t>精伦电子</t>
  </si>
  <si>
    <t>亚夏汽车</t>
  </si>
  <si>
    <t>50.5万</t>
  </si>
  <si>
    <t>西藏旅游</t>
  </si>
  <si>
    <t>3130万</t>
  </si>
  <si>
    <t>浙江广厦</t>
  </si>
  <si>
    <t>莲花健康</t>
  </si>
  <si>
    <t>福瑞股份</t>
  </si>
  <si>
    <t>37.7亿</t>
  </si>
  <si>
    <t>绵石投资</t>
  </si>
  <si>
    <t>2707万</t>
  </si>
  <si>
    <t>贝斯特</t>
  </si>
  <si>
    <t>广东骏亚</t>
  </si>
  <si>
    <t>广电电气</t>
  </si>
  <si>
    <t>3244万</t>
  </si>
  <si>
    <t>中捷资源</t>
  </si>
  <si>
    <t>1389万</t>
  </si>
  <si>
    <t>黔轮胎Ａ</t>
  </si>
  <si>
    <t>7.75亿</t>
  </si>
  <si>
    <t>安控科技</t>
  </si>
  <si>
    <t>1597万</t>
  </si>
  <si>
    <t>天马精化</t>
  </si>
  <si>
    <t>6185万</t>
  </si>
  <si>
    <t>奇精机械</t>
  </si>
  <si>
    <t>京能置业</t>
  </si>
  <si>
    <t>北玻股份</t>
  </si>
  <si>
    <t>1414万</t>
  </si>
  <si>
    <t>和胜股份</t>
  </si>
  <si>
    <t>塞力斯</t>
  </si>
  <si>
    <t>3241万</t>
  </si>
  <si>
    <t>5094万</t>
  </si>
  <si>
    <t>1274万</t>
  </si>
  <si>
    <t>桂发祥</t>
  </si>
  <si>
    <t>泛微网络</t>
  </si>
  <si>
    <t>双箭股份</t>
  </si>
  <si>
    <t>7277万</t>
  </si>
  <si>
    <t>凯发电气</t>
  </si>
  <si>
    <t>3596万</t>
  </si>
  <si>
    <t>茶花股份</t>
  </si>
  <si>
    <t>阳谷华泰</t>
  </si>
  <si>
    <t>3777万</t>
  </si>
  <si>
    <t>山东矿机</t>
  </si>
  <si>
    <t>6076万</t>
  </si>
  <si>
    <t>大通燃气</t>
  </si>
  <si>
    <t>新光药业</t>
  </si>
  <si>
    <t>9880万</t>
  </si>
  <si>
    <t>亚玛顿</t>
  </si>
  <si>
    <t>3270万</t>
  </si>
  <si>
    <t>天玑科技</t>
  </si>
  <si>
    <t>顶点软件</t>
  </si>
  <si>
    <t>5811万</t>
  </si>
  <si>
    <t>8587万</t>
  </si>
  <si>
    <t>2105万</t>
  </si>
  <si>
    <t>真视通</t>
  </si>
  <si>
    <t>3341万</t>
  </si>
  <si>
    <t>7131万</t>
  </si>
  <si>
    <t>新劲刚</t>
  </si>
  <si>
    <t>广宇集团</t>
  </si>
  <si>
    <t>3496万</t>
  </si>
  <si>
    <t>龙韵股份</t>
  </si>
  <si>
    <t>3610万</t>
  </si>
  <si>
    <t>正川股份</t>
  </si>
  <si>
    <t>天地源</t>
  </si>
  <si>
    <t>1666万</t>
  </si>
  <si>
    <t>佳隆股份</t>
  </si>
  <si>
    <t>1556万</t>
  </si>
  <si>
    <t>浙江东日</t>
  </si>
  <si>
    <t>新五丰</t>
  </si>
  <si>
    <t>易明医药</t>
  </si>
  <si>
    <t>4743万</t>
  </si>
  <si>
    <t>光洋股份</t>
  </si>
  <si>
    <t>2621万</t>
  </si>
  <si>
    <t>日机密封</t>
  </si>
  <si>
    <t>2563万</t>
  </si>
  <si>
    <t>晨曦航空</t>
  </si>
  <si>
    <t>9040万</t>
  </si>
  <si>
    <t>2260万</t>
  </si>
  <si>
    <t>龙泉股份</t>
  </si>
  <si>
    <t>2399万</t>
  </si>
  <si>
    <t>扬子新材</t>
  </si>
  <si>
    <t>大千生态</t>
  </si>
  <si>
    <t>2175万</t>
  </si>
  <si>
    <t>湘潭电化</t>
  </si>
  <si>
    <t>4531万</t>
  </si>
  <si>
    <t>中光防雷</t>
  </si>
  <si>
    <t>8363万</t>
  </si>
  <si>
    <t>佳沃股份</t>
  </si>
  <si>
    <t>7212万</t>
  </si>
  <si>
    <t>9839万</t>
  </si>
  <si>
    <t>金明精机</t>
  </si>
  <si>
    <t>1946万</t>
  </si>
  <si>
    <t>中青宝</t>
  </si>
  <si>
    <t>4447万</t>
  </si>
  <si>
    <t>宝利国际</t>
  </si>
  <si>
    <t>9.22亿</t>
  </si>
  <si>
    <t>永新股份</t>
  </si>
  <si>
    <t>新界泵业</t>
  </si>
  <si>
    <t>3620万</t>
  </si>
  <si>
    <t>东风科技</t>
  </si>
  <si>
    <t>3896万</t>
  </si>
  <si>
    <t>威龙股份</t>
  </si>
  <si>
    <t>3798万</t>
  </si>
  <si>
    <t>9261万</t>
  </si>
  <si>
    <t>民生控股</t>
  </si>
  <si>
    <t>亚威股份</t>
  </si>
  <si>
    <t>1534万</t>
  </si>
  <si>
    <t>安居宝</t>
  </si>
  <si>
    <t>3477万</t>
  </si>
  <si>
    <t>超讯通信</t>
  </si>
  <si>
    <t>3240万</t>
  </si>
  <si>
    <t>好利来</t>
  </si>
  <si>
    <t>930万</t>
  </si>
  <si>
    <t>2258万</t>
  </si>
  <si>
    <t>蓝丰生化</t>
  </si>
  <si>
    <t>达刚路机</t>
  </si>
  <si>
    <t>2337万</t>
  </si>
  <si>
    <t>帝王洁具</t>
  </si>
  <si>
    <t>3767万</t>
  </si>
  <si>
    <t>8638万</t>
  </si>
  <si>
    <t>中旗股份</t>
  </si>
  <si>
    <t>7335万</t>
  </si>
  <si>
    <t>1835万</t>
  </si>
  <si>
    <t>易成新能</t>
  </si>
  <si>
    <t>2801万</t>
  </si>
  <si>
    <t>中远海科</t>
  </si>
  <si>
    <t>2915万</t>
  </si>
  <si>
    <t>洪汇新材</t>
  </si>
  <si>
    <t>6015万</t>
  </si>
  <si>
    <t>3707万</t>
  </si>
  <si>
    <t>哈尔斯</t>
  </si>
  <si>
    <t>3357万</t>
  </si>
  <si>
    <t>德创环保</t>
  </si>
  <si>
    <t>健民集团</t>
  </si>
  <si>
    <t>3539万</t>
  </si>
  <si>
    <t>江山欧派</t>
  </si>
  <si>
    <t>3506万</t>
  </si>
  <si>
    <t>8082万</t>
  </si>
  <si>
    <t>2021万</t>
  </si>
  <si>
    <t>星期六</t>
  </si>
  <si>
    <t>6488万</t>
  </si>
  <si>
    <t>振华股份</t>
  </si>
  <si>
    <t>3832万</t>
  </si>
  <si>
    <t>光一科技</t>
  </si>
  <si>
    <t>3198万</t>
  </si>
  <si>
    <t>汇嘉时代</t>
  </si>
  <si>
    <t>南通锻压</t>
  </si>
  <si>
    <t>岷江水电</t>
  </si>
  <si>
    <t>7074万</t>
  </si>
  <si>
    <t>兆日科技</t>
  </si>
  <si>
    <t>泰禾光电</t>
  </si>
  <si>
    <t>7375万</t>
  </si>
  <si>
    <t>2659万</t>
  </si>
  <si>
    <t>张家界</t>
  </si>
  <si>
    <t>1987万</t>
  </si>
  <si>
    <t>东晶电子</t>
  </si>
  <si>
    <t>3296万</t>
  </si>
  <si>
    <t>熙菱信息</t>
  </si>
  <si>
    <t>山东华鹏</t>
  </si>
  <si>
    <t>1540万</t>
  </si>
  <si>
    <t>广济药业</t>
  </si>
  <si>
    <t>钱江水利</t>
  </si>
  <si>
    <t>5177万</t>
  </si>
  <si>
    <t>安靠智电</t>
  </si>
  <si>
    <t>广百股份</t>
  </si>
  <si>
    <t>1441万</t>
  </si>
  <si>
    <t>澄星股份</t>
  </si>
  <si>
    <t>2425万</t>
  </si>
  <si>
    <t>祥和实业</t>
  </si>
  <si>
    <t>9620万</t>
  </si>
  <si>
    <t>哈空调</t>
  </si>
  <si>
    <t>1665万</t>
  </si>
  <si>
    <t>龙蟠科技</t>
  </si>
  <si>
    <t>4643万</t>
  </si>
  <si>
    <t>中泰股份</t>
  </si>
  <si>
    <t>1993万</t>
  </si>
  <si>
    <t>8413万</t>
  </si>
  <si>
    <t>宝莱特</t>
  </si>
  <si>
    <t>8647万</t>
  </si>
  <si>
    <t>康强电子</t>
  </si>
  <si>
    <t>1751万</t>
  </si>
  <si>
    <t>南京公用</t>
  </si>
  <si>
    <t>2054万</t>
  </si>
  <si>
    <t>海鸥卫浴</t>
  </si>
  <si>
    <t>2451万</t>
  </si>
  <si>
    <t>红 宝 丽</t>
  </si>
  <si>
    <t>2397万</t>
  </si>
  <si>
    <t>长春一东</t>
  </si>
  <si>
    <t>9790万</t>
  </si>
  <si>
    <t>国电南自</t>
  </si>
  <si>
    <t>1426万</t>
  </si>
  <si>
    <t>达安股份</t>
  </si>
  <si>
    <t>3392万</t>
  </si>
  <si>
    <t>万集科技</t>
  </si>
  <si>
    <t>2670万</t>
  </si>
  <si>
    <t>南兴装备</t>
  </si>
  <si>
    <t>3836万</t>
  </si>
  <si>
    <t>蓝晓科技</t>
  </si>
  <si>
    <t>5056万</t>
  </si>
  <si>
    <t>8460万</t>
  </si>
  <si>
    <t>金桥信息</t>
  </si>
  <si>
    <t>2863万</t>
  </si>
  <si>
    <t>东安动力</t>
  </si>
  <si>
    <t>3420万</t>
  </si>
  <si>
    <t>嘉欣丝绸</t>
  </si>
  <si>
    <t>恒为科技</t>
  </si>
  <si>
    <t>东音股份</t>
  </si>
  <si>
    <t>恒天海龙</t>
  </si>
  <si>
    <t>通达动力</t>
  </si>
  <si>
    <t>*ST昌鱼</t>
  </si>
  <si>
    <t>4094万</t>
  </si>
  <si>
    <t>劲拓股份</t>
  </si>
  <si>
    <t>4442万</t>
  </si>
  <si>
    <t>宝德股份</t>
  </si>
  <si>
    <t>2745万</t>
  </si>
  <si>
    <t>朗源股份</t>
  </si>
  <si>
    <t>6008万</t>
  </si>
  <si>
    <t>安泰集团</t>
  </si>
  <si>
    <t>4017万</t>
  </si>
  <si>
    <t>金海环境</t>
  </si>
  <si>
    <t>9301万</t>
  </si>
  <si>
    <t>汉邦高科</t>
  </si>
  <si>
    <t>6152万</t>
  </si>
  <si>
    <t>40.6亿</t>
  </si>
  <si>
    <t>9150万</t>
  </si>
  <si>
    <t>优德精密</t>
  </si>
  <si>
    <t>9883万</t>
  </si>
  <si>
    <t>6104万</t>
  </si>
  <si>
    <t>建艺集团</t>
  </si>
  <si>
    <t>9852万</t>
  </si>
  <si>
    <t>3710万</t>
  </si>
  <si>
    <t>福日电子</t>
  </si>
  <si>
    <t>2698万</t>
  </si>
  <si>
    <t>天科股份</t>
  </si>
  <si>
    <t>华联综超</t>
  </si>
  <si>
    <t>4143万</t>
  </si>
  <si>
    <t>山东威达</t>
  </si>
  <si>
    <t>2763万</t>
  </si>
  <si>
    <t>中元股份</t>
  </si>
  <si>
    <t>4526万</t>
  </si>
  <si>
    <t>渝三峡Ａ</t>
  </si>
  <si>
    <t>2163万</t>
  </si>
  <si>
    <t>襄阳轴承</t>
  </si>
  <si>
    <t>9235万</t>
  </si>
  <si>
    <t>中京电子</t>
  </si>
  <si>
    <t>7983万</t>
  </si>
  <si>
    <t>*ST墨龙</t>
  </si>
  <si>
    <t>2029万</t>
  </si>
  <si>
    <t>中宠股份</t>
  </si>
  <si>
    <t>9251万</t>
  </si>
  <si>
    <t>立霸股份</t>
  </si>
  <si>
    <t>742万</t>
  </si>
  <si>
    <t>7688万</t>
  </si>
  <si>
    <t>狮头股份</t>
  </si>
  <si>
    <t>417万</t>
  </si>
  <si>
    <t>湖南投资</t>
  </si>
  <si>
    <t>2829万</t>
  </si>
  <si>
    <t>*ST宝实</t>
  </si>
  <si>
    <t>7.64亿</t>
  </si>
  <si>
    <t>乐山电力</t>
  </si>
  <si>
    <t>2760万</t>
  </si>
  <si>
    <t>利安隆</t>
  </si>
  <si>
    <t>5247万</t>
  </si>
  <si>
    <t>金莱特</t>
  </si>
  <si>
    <t>科力尔</t>
  </si>
  <si>
    <t>6078万</t>
  </si>
  <si>
    <t>8360万</t>
  </si>
  <si>
    <t>1760万</t>
  </si>
  <si>
    <t>通光线缆</t>
  </si>
  <si>
    <t>华菱星马</t>
  </si>
  <si>
    <t>8287万</t>
  </si>
  <si>
    <t>光韵达</t>
  </si>
  <si>
    <t>6137万</t>
  </si>
  <si>
    <t>中科新材</t>
  </si>
  <si>
    <t>3221万</t>
  </si>
  <si>
    <t>苏常柴Ａ</t>
  </si>
  <si>
    <t>1197万</t>
  </si>
  <si>
    <t>*ST天成</t>
  </si>
  <si>
    <t>9435万</t>
  </si>
  <si>
    <t>百大集团</t>
  </si>
  <si>
    <t>2789万</t>
  </si>
  <si>
    <t>泰嘉股份</t>
  </si>
  <si>
    <t>世纪瑞尔</t>
  </si>
  <si>
    <t>1913万</t>
  </si>
  <si>
    <t>5.40亿</t>
  </si>
  <si>
    <t>九洲电气</t>
  </si>
  <si>
    <t>5795万</t>
  </si>
  <si>
    <t>大龙地产</t>
  </si>
  <si>
    <t>1730万</t>
  </si>
  <si>
    <t>捷荣技术</t>
  </si>
  <si>
    <t>4405万</t>
  </si>
  <si>
    <t>*ST大控</t>
  </si>
  <si>
    <t>陕西金叶</t>
  </si>
  <si>
    <t>4008万</t>
  </si>
  <si>
    <t>硅宝科技</t>
  </si>
  <si>
    <t>6.37万</t>
  </si>
  <si>
    <t>易德龙</t>
  </si>
  <si>
    <t>蓝科高新</t>
  </si>
  <si>
    <t>1315万</t>
  </si>
  <si>
    <t>铜峰电子</t>
  </si>
  <si>
    <t>8741万</t>
  </si>
  <si>
    <t>-1.20万</t>
  </si>
  <si>
    <t>和顺电气</t>
  </si>
  <si>
    <t>厦华电子</t>
  </si>
  <si>
    <t>中大力德</t>
  </si>
  <si>
    <t>森霸股份</t>
  </si>
  <si>
    <t>广泽股份</t>
  </si>
  <si>
    <t>1087万</t>
  </si>
  <si>
    <t>龙源技术</t>
  </si>
  <si>
    <t>合肥城建</t>
  </si>
  <si>
    <t>6438万</t>
  </si>
  <si>
    <t>联明股份</t>
  </si>
  <si>
    <t>南纺股份</t>
  </si>
  <si>
    <t>5630万</t>
  </si>
  <si>
    <t>丝路视觉</t>
  </si>
  <si>
    <t>2780万</t>
  </si>
  <si>
    <t>山东地矿</t>
  </si>
  <si>
    <t>9.80万</t>
  </si>
  <si>
    <t>7472万</t>
  </si>
  <si>
    <t>海泰发展</t>
  </si>
  <si>
    <t>2374万</t>
  </si>
  <si>
    <t>清水源</t>
  </si>
  <si>
    <t>9871万</t>
  </si>
  <si>
    <t>红星发展</t>
  </si>
  <si>
    <t>美格智能</t>
  </si>
  <si>
    <t>广信材料</t>
  </si>
  <si>
    <t>6916万</t>
  </si>
  <si>
    <t>荣华实业</t>
  </si>
  <si>
    <t>4212万</t>
  </si>
  <si>
    <t>长白山</t>
  </si>
  <si>
    <t>1417万</t>
  </si>
  <si>
    <t>创元科技</t>
  </si>
  <si>
    <t>泰合健康</t>
  </si>
  <si>
    <t>恒大高新</t>
  </si>
  <si>
    <t>三维工程</t>
  </si>
  <si>
    <t>四通股份</t>
  </si>
  <si>
    <t>8840万</t>
  </si>
  <si>
    <t>9728万</t>
  </si>
  <si>
    <t>百傲化学</t>
  </si>
  <si>
    <t>4907万</t>
  </si>
  <si>
    <t>九华旅游</t>
  </si>
  <si>
    <t>1736万</t>
  </si>
  <si>
    <t>南方轴承</t>
  </si>
  <si>
    <t>汇源通信</t>
  </si>
  <si>
    <t>1112万</t>
  </si>
  <si>
    <t>万里马</t>
  </si>
  <si>
    <t>4745万</t>
  </si>
  <si>
    <t>7800万</t>
  </si>
  <si>
    <t>汇金科技</t>
  </si>
  <si>
    <t>大立科技</t>
  </si>
  <si>
    <t>3772万</t>
  </si>
  <si>
    <t>长高集团</t>
  </si>
  <si>
    <t>2169万</t>
  </si>
  <si>
    <t>蓝英装备</t>
  </si>
  <si>
    <t>4952万</t>
  </si>
  <si>
    <t>南宁糖业</t>
  </si>
  <si>
    <t>4550万</t>
  </si>
  <si>
    <t>江苏神通</t>
  </si>
  <si>
    <t>2415万</t>
  </si>
  <si>
    <t>瑞丰光电</t>
  </si>
  <si>
    <t>2257万</t>
  </si>
  <si>
    <t>隆基机械</t>
  </si>
  <si>
    <t>郴电国际</t>
  </si>
  <si>
    <t>启迪古汉</t>
  </si>
  <si>
    <t>1501万</t>
  </si>
  <si>
    <t>北京城乡</t>
  </si>
  <si>
    <t>神开股份</t>
  </si>
  <si>
    <t>安车检测</t>
  </si>
  <si>
    <t>5828万</t>
  </si>
  <si>
    <t>6725万</t>
  </si>
  <si>
    <t>飞力达</t>
  </si>
  <si>
    <t>8.81万</t>
  </si>
  <si>
    <t>9258万</t>
  </si>
  <si>
    <t>通程控股</t>
  </si>
  <si>
    <t>1851万</t>
  </si>
  <si>
    <t>森远股份</t>
  </si>
  <si>
    <t>4237万</t>
  </si>
  <si>
    <t>广和通</t>
  </si>
  <si>
    <t>高斯贝尔</t>
  </si>
  <si>
    <t>3383万</t>
  </si>
  <si>
    <t>4180万</t>
  </si>
  <si>
    <t>宏辉果蔬</t>
  </si>
  <si>
    <t>3335万</t>
  </si>
  <si>
    <t>天瑞仪器</t>
  </si>
  <si>
    <t>中钢天源</t>
  </si>
  <si>
    <t>6196万</t>
  </si>
  <si>
    <t>国风塑业</t>
  </si>
  <si>
    <t>维格娜丝</t>
  </si>
  <si>
    <t>5563万</t>
  </si>
  <si>
    <t>瑞凌股份</t>
  </si>
  <si>
    <t>华伍股份</t>
  </si>
  <si>
    <t>1066万</t>
  </si>
  <si>
    <t>通产丽星</t>
  </si>
  <si>
    <t>国投中鲁</t>
  </si>
  <si>
    <t>威帝股份</t>
  </si>
  <si>
    <t>莫高股份</t>
  </si>
  <si>
    <t>兴业股份</t>
  </si>
  <si>
    <t>5040万</t>
  </si>
  <si>
    <t>9.57亿</t>
  </si>
  <si>
    <t>山鼎设计</t>
  </si>
  <si>
    <t>8320万</t>
  </si>
  <si>
    <t>2470万</t>
  </si>
  <si>
    <t>第一医药</t>
  </si>
  <si>
    <t>1311万</t>
  </si>
  <si>
    <t>栋梁新材</t>
  </si>
  <si>
    <t>贵绳股份</t>
  </si>
  <si>
    <t>7951万</t>
  </si>
  <si>
    <t>三元达</t>
  </si>
  <si>
    <t>5228万</t>
  </si>
  <si>
    <t>天安新材</t>
  </si>
  <si>
    <t>8807万</t>
  </si>
  <si>
    <t>3668万</t>
  </si>
  <si>
    <t>辉煌科技</t>
  </si>
  <si>
    <t>迦南科技</t>
  </si>
  <si>
    <t>世名科技</t>
  </si>
  <si>
    <t>8790万</t>
  </si>
  <si>
    <t>5208万</t>
  </si>
  <si>
    <t>雄帝科技</t>
  </si>
  <si>
    <t>4162万</t>
  </si>
  <si>
    <t>长城电工</t>
  </si>
  <si>
    <t>4133万</t>
  </si>
  <si>
    <t>日上集团</t>
  </si>
  <si>
    <t>3117万</t>
  </si>
  <si>
    <t>鲁银投资</t>
  </si>
  <si>
    <t>建新股份</t>
  </si>
  <si>
    <t>4902万</t>
  </si>
  <si>
    <t>先锋电子</t>
  </si>
  <si>
    <t>3642万</t>
  </si>
  <si>
    <t>明星电缆</t>
  </si>
  <si>
    <t>1270万</t>
  </si>
  <si>
    <t>辅仁药业</t>
  </si>
  <si>
    <t>3114万</t>
  </si>
  <si>
    <t>雪浪环境</t>
  </si>
  <si>
    <t>6367万</t>
  </si>
  <si>
    <t>熊猫金控</t>
  </si>
  <si>
    <t>江苏索普</t>
  </si>
  <si>
    <t>7966万</t>
  </si>
  <si>
    <t>津劝业</t>
  </si>
  <si>
    <t>1830万</t>
  </si>
  <si>
    <t>闽东电力</t>
  </si>
  <si>
    <t>新朋股份</t>
  </si>
  <si>
    <t>2711万</t>
  </si>
  <si>
    <t>西藏发展</t>
  </si>
  <si>
    <t>4231万</t>
  </si>
  <si>
    <t>安硕信息</t>
  </si>
  <si>
    <t>海默科技</t>
  </si>
  <si>
    <t>2946万</t>
  </si>
  <si>
    <t>名雕股份</t>
  </si>
  <si>
    <t>6825万</t>
  </si>
  <si>
    <t>富满电子</t>
  </si>
  <si>
    <t>2535万</t>
  </si>
  <si>
    <t>南岭民爆</t>
  </si>
  <si>
    <t>3161万</t>
  </si>
  <si>
    <t>宏达新材</t>
  </si>
  <si>
    <t>1959万</t>
  </si>
  <si>
    <t>三变科技</t>
  </si>
  <si>
    <t>2333万</t>
  </si>
  <si>
    <t>西安饮食</t>
  </si>
  <si>
    <t>3248万</t>
  </si>
  <si>
    <t>杭齿前进</t>
  </si>
  <si>
    <t>1260万</t>
  </si>
  <si>
    <t>*ST东海A</t>
  </si>
  <si>
    <t>3955万</t>
  </si>
  <si>
    <t>麦趣尔</t>
  </si>
  <si>
    <t>7810万</t>
  </si>
  <si>
    <t>8204万</t>
  </si>
  <si>
    <t>中广天择</t>
  </si>
  <si>
    <t>粤宏远Ａ</t>
  </si>
  <si>
    <t>2367万</t>
  </si>
  <si>
    <t>阳普医疗</t>
  </si>
  <si>
    <t>轴研科技</t>
  </si>
  <si>
    <t>6578万</t>
  </si>
  <si>
    <t>神马股份</t>
  </si>
  <si>
    <t>光库科技</t>
  </si>
  <si>
    <t>司太立</t>
  </si>
  <si>
    <t>6465万</t>
  </si>
  <si>
    <t>太龙药业</t>
  </si>
  <si>
    <t>4013万</t>
  </si>
  <si>
    <t>山东章鼓</t>
  </si>
  <si>
    <t>945万</t>
  </si>
  <si>
    <t>柯利达</t>
  </si>
  <si>
    <t>2499万</t>
  </si>
  <si>
    <t>恒基达鑫</t>
  </si>
  <si>
    <t>6082万</t>
  </si>
  <si>
    <t>兴业科技</t>
  </si>
  <si>
    <t>铁流股份</t>
  </si>
  <si>
    <t>5997万</t>
  </si>
  <si>
    <t>先进数通</t>
  </si>
  <si>
    <t>3948万</t>
  </si>
  <si>
    <t>5061万</t>
  </si>
  <si>
    <t>荣科科技</t>
  </si>
  <si>
    <t>6069万</t>
  </si>
  <si>
    <t>能科股份</t>
  </si>
  <si>
    <t>2839万</t>
  </si>
  <si>
    <t>东方电缆</t>
  </si>
  <si>
    <t>1185万</t>
  </si>
  <si>
    <t>国泰集团</t>
  </si>
  <si>
    <t>5528万</t>
  </si>
  <si>
    <t>9.28亿</t>
  </si>
  <si>
    <t>雷鸣科化</t>
  </si>
  <si>
    <t>长川科技</t>
  </si>
  <si>
    <t>4330万</t>
  </si>
  <si>
    <t>7619万</t>
  </si>
  <si>
    <t>万通智控</t>
  </si>
  <si>
    <t>9.66万</t>
  </si>
  <si>
    <t>佩蒂股份</t>
  </si>
  <si>
    <t>万里石</t>
  </si>
  <si>
    <t>4253万</t>
  </si>
  <si>
    <t>9689万</t>
  </si>
  <si>
    <t>青海华鼎</t>
  </si>
  <si>
    <t>1661万</t>
  </si>
  <si>
    <t>赛象科技</t>
  </si>
  <si>
    <t>2365万</t>
  </si>
  <si>
    <t>宁波热电</t>
  </si>
  <si>
    <t>2410万</t>
  </si>
  <si>
    <t>科蓝软件</t>
  </si>
  <si>
    <t>3286万</t>
  </si>
  <si>
    <t>湘邮科技</t>
  </si>
  <si>
    <t>3381万</t>
  </si>
  <si>
    <t>乐凯新材</t>
  </si>
  <si>
    <t>5896万</t>
  </si>
  <si>
    <t>7575万</t>
  </si>
  <si>
    <t>康跃科技</t>
  </si>
  <si>
    <t>5697万</t>
  </si>
  <si>
    <t>6168万</t>
  </si>
  <si>
    <t>恒润股份</t>
  </si>
  <si>
    <t>海联讯</t>
  </si>
  <si>
    <t>恒锋工具</t>
  </si>
  <si>
    <t>2501万</t>
  </si>
  <si>
    <t>8.75亿</t>
  </si>
  <si>
    <t>京天利</t>
  </si>
  <si>
    <t>创源文化</t>
  </si>
  <si>
    <t>三维丝</t>
  </si>
  <si>
    <t>雷曼股份</t>
  </si>
  <si>
    <t>华自科技</t>
  </si>
  <si>
    <t>3147万</t>
  </si>
  <si>
    <t>9097万</t>
  </si>
  <si>
    <t>川环科技</t>
  </si>
  <si>
    <t>3197万</t>
  </si>
  <si>
    <t>6135万</t>
  </si>
  <si>
    <t>3066万</t>
  </si>
  <si>
    <t>康隆达</t>
  </si>
  <si>
    <t>9.18亿</t>
  </si>
  <si>
    <t>路通视信</t>
  </si>
  <si>
    <t>4309万</t>
  </si>
  <si>
    <t>鲁北化工</t>
  </si>
  <si>
    <t>3504万</t>
  </si>
  <si>
    <t>惠天热电</t>
  </si>
  <si>
    <t>1135万</t>
  </si>
  <si>
    <t>朗迪集团</t>
  </si>
  <si>
    <t>9472万</t>
  </si>
  <si>
    <t>2368万</t>
  </si>
  <si>
    <t>澄天伟业</t>
  </si>
  <si>
    <t>*ST新城</t>
  </si>
  <si>
    <t>博济医药</t>
  </si>
  <si>
    <t>6492万</t>
  </si>
  <si>
    <t>华星创业</t>
  </si>
  <si>
    <t>曲江文旅</t>
  </si>
  <si>
    <t>2544万</t>
  </si>
  <si>
    <t>36.5亿</t>
  </si>
  <si>
    <t>博思软件</t>
  </si>
  <si>
    <t>7203万</t>
  </si>
  <si>
    <t>4214万</t>
  </si>
  <si>
    <t>丰元股份</t>
  </si>
  <si>
    <t>9220万</t>
  </si>
  <si>
    <t>9691万</t>
  </si>
  <si>
    <t>5365万</t>
  </si>
  <si>
    <t>九鼎新材</t>
  </si>
  <si>
    <t>金陵饭店</t>
  </si>
  <si>
    <t>开能环保</t>
  </si>
  <si>
    <t>亚振家居</t>
  </si>
  <si>
    <t>3165万</t>
  </si>
  <si>
    <t>5475万</t>
  </si>
  <si>
    <t>诚邦股份</t>
  </si>
  <si>
    <t>三特索道</t>
  </si>
  <si>
    <t>2322万</t>
  </si>
  <si>
    <t>宏昌电子</t>
  </si>
  <si>
    <t>春兰股份</t>
  </si>
  <si>
    <t>开尔新材</t>
  </si>
  <si>
    <t>7127万</t>
  </si>
  <si>
    <t>香山股份</t>
  </si>
  <si>
    <t>7798万</t>
  </si>
  <si>
    <t>2767万</t>
  </si>
  <si>
    <t>开创国际</t>
  </si>
  <si>
    <t>1248万</t>
  </si>
  <si>
    <t>爱司凯</t>
  </si>
  <si>
    <t>9486万</t>
  </si>
  <si>
    <t>三超新材</t>
  </si>
  <si>
    <t>8446万</t>
  </si>
  <si>
    <t>三祥新材</t>
  </si>
  <si>
    <t>茂化实华</t>
  </si>
  <si>
    <t>欣龙控股</t>
  </si>
  <si>
    <t>金花股份</t>
  </si>
  <si>
    <t>2015万</t>
  </si>
  <si>
    <t>云投生态</t>
  </si>
  <si>
    <t>浪莎股份</t>
  </si>
  <si>
    <t>843万</t>
  </si>
  <si>
    <t>9722万</t>
  </si>
  <si>
    <t>美力科技</t>
  </si>
  <si>
    <t>4474万</t>
  </si>
  <si>
    <t>纳尔股份</t>
  </si>
  <si>
    <t>9.00亿</t>
  </si>
  <si>
    <t>同为股份</t>
  </si>
  <si>
    <t>5400万</t>
  </si>
  <si>
    <t>美诺华</t>
  </si>
  <si>
    <t>4757万</t>
  </si>
  <si>
    <t>东杰智能</t>
  </si>
  <si>
    <t>8426万</t>
  </si>
  <si>
    <t>海得控制</t>
  </si>
  <si>
    <t>1406万</t>
  </si>
  <si>
    <t>华中数控</t>
  </si>
  <si>
    <t>宝鼎科技</t>
  </si>
  <si>
    <t>3215万</t>
  </si>
  <si>
    <t>先锋新材</t>
  </si>
  <si>
    <t>利达光电</t>
  </si>
  <si>
    <t>35.9亿</t>
  </si>
  <si>
    <t>凯众股份</t>
  </si>
  <si>
    <t>4890万</t>
  </si>
  <si>
    <t>精功科技</t>
  </si>
  <si>
    <t>合诚股份</t>
  </si>
  <si>
    <t>3160万</t>
  </si>
  <si>
    <t>泰晶科技</t>
  </si>
  <si>
    <t>2836万</t>
  </si>
  <si>
    <t>浙江震元</t>
  </si>
  <si>
    <t>5345万</t>
  </si>
  <si>
    <t>江苏舜天</t>
  </si>
  <si>
    <t>3201万</t>
  </si>
  <si>
    <t>太化股份</t>
  </si>
  <si>
    <t>2426万</t>
  </si>
  <si>
    <t>四方达</t>
  </si>
  <si>
    <t>3807万</t>
  </si>
  <si>
    <t>苏试试验</t>
  </si>
  <si>
    <t>1547万</t>
  </si>
  <si>
    <t>6392万</t>
  </si>
  <si>
    <t>智动力</t>
  </si>
  <si>
    <t>三鑫医疗</t>
  </si>
  <si>
    <t>7115万</t>
  </si>
  <si>
    <t>海欣食品</t>
  </si>
  <si>
    <t>7180万</t>
  </si>
  <si>
    <t>金健米业</t>
  </si>
  <si>
    <t>2435万</t>
  </si>
  <si>
    <t>6.42亿</t>
  </si>
  <si>
    <t>东方中科</t>
  </si>
  <si>
    <t>3874万</t>
  </si>
  <si>
    <t>2834万</t>
  </si>
  <si>
    <t>安 纳 达</t>
  </si>
  <si>
    <t>5911万</t>
  </si>
  <si>
    <t>星湖科技</t>
  </si>
  <si>
    <t>1513万</t>
  </si>
  <si>
    <t>大湖股份</t>
  </si>
  <si>
    <t>我乐家居</t>
  </si>
  <si>
    <t>天目药业</t>
  </si>
  <si>
    <t>4828万</t>
  </si>
  <si>
    <t>益盛药业</t>
  </si>
  <si>
    <t>*ST昌九</t>
  </si>
  <si>
    <t>3932万</t>
  </si>
  <si>
    <t>合金投资</t>
  </si>
  <si>
    <t>5977万</t>
  </si>
  <si>
    <t>智能自控</t>
  </si>
  <si>
    <t>8.40万</t>
  </si>
  <si>
    <t>3056万</t>
  </si>
  <si>
    <t>信息发展</t>
  </si>
  <si>
    <t>3534万</t>
  </si>
  <si>
    <t>6830万</t>
  </si>
  <si>
    <t>2860万</t>
  </si>
  <si>
    <t>诺邦股份</t>
  </si>
  <si>
    <t>2418万</t>
  </si>
  <si>
    <t>国旅联合</t>
  </si>
  <si>
    <t>城地股份</t>
  </si>
  <si>
    <t>5580万</t>
  </si>
  <si>
    <t>和仁科技</t>
  </si>
  <si>
    <t>8945万</t>
  </si>
  <si>
    <t>*ST紫学</t>
  </si>
  <si>
    <t>3313万</t>
  </si>
  <si>
    <t>汉商集团</t>
  </si>
  <si>
    <t>2340万</t>
  </si>
  <si>
    <t>京泉华</t>
  </si>
  <si>
    <t>35.2亿</t>
  </si>
  <si>
    <t>福建水泥</t>
  </si>
  <si>
    <t>4547万</t>
  </si>
  <si>
    <t>棒杰股份</t>
  </si>
  <si>
    <t>ST云维</t>
  </si>
  <si>
    <t>星帅尔</t>
  </si>
  <si>
    <t>7598万</t>
  </si>
  <si>
    <t>格尔软件</t>
  </si>
  <si>
    <t>3545万</t>
  </si>
  <si>
    <t>6100万</t>
  </si>
  <si>
    <t>1525万</t>
  </si>
  <si>
    <t>延江股份</t>
  </si>
  <si>
    <t>4788万</t>
  </si>
  <si>
    <t>圣龙股份</t>
  </si>
  <si>
    <t>5562万</t>
  </si>
  <si>
    <t>萃华珠宝</t>
  </si>
  <si>
    <t>1115万</t>
  </si>
  <si>
    <t>福鞍股份</t>
  </si>
  <si>
    <t>1820万</t>
  </si>
  <si>
    <t>7786万</t>
  </si>
  <si>
    <t>华锋股份</t>
  </si>
  <si>
    <t>东方银星</t>
  </si>
  <si>
    <t>438万</t>
  </si>
  <si>
    <t>江南嘉捷</t>
  </si>
  <si>
    <t>光正集团</t>
  </si>
  <si>
    <t>新日股份</t>
  </si>
  <si>
    <t>8860万</t>
  </si>
  <si>
    <t>上海洗霸</t>
  </si>
  <si>
    <t>7372万</t>
  </si>
  <si>
    <t>1843万</t>
  </si>
  <si>
    <t>汇金通</t>
  </si>
  <si>
    <t>5619万</t>
  </si>
  <si>
    <t>4377万</t>
  </si>
  <si>
    <t>环球印务</t>
  </si>
  <si>
    <t>1530万</t>
  </si>
  <si>
    <t>高盟新材</t>
  </si>
  <si>
    <t>1076万</t>
  </si>
  <si>
    <t>黄山胶囊</t>
  </si>
  <si>
    <t>2167万</t>
  </si>
  <si>
    <t>通达股份</t>
  </si>
  <si>
    <t>2002万</t>
  </si>
  <si>
    <t>康斯特</t>
  </si>
  <si>
    <t>4132万</t>
  </si>
  <si>
    <t>4152万</t>
  </si>
  <si>
    <t>正海生物</t>
  </si>
  <si>
    <t>南风化工</t>
  </si>
  <si>
    <t>7708万</t>
  </si>
  <si>
    <t>桂林旅游</t>
  </si>
  <si>
    <t>2123万</t>
  </si>
  <si>
    <t>佳创视讯</t>
  </si>
  <si>
    <t>1335万</t>
  </si>
  <si>
    <t>万方发展</t>
  </si>
  <si>
    <t>力星股份</t>
  </si>
  <si>
    <t>绿康生化</t>
  </si>
  <si>
    <t>展鹏科技</t>
  </si>
  <si>
    <t>5787万</t>
  </si>
  <si>
    <t>正裕工业</t>
  </si>
  <si>
    <t>浩物股份</t>
  </si>
  <si>
    <t>4164万</t>
  </si>
  <si>
    <t>迪生力</t>
  </si>
  <si>
    <t>4693万</t>
  </si>
  <si>
    <t>6334万</t>
  </si>
  <si>
    <t>金瑞矿业</t>
  </si>
  <si>
    <t>2960万</t>
  </si>
  <si>
    <t>泰尔股份</t>
  </si>
  <si>
    <t>亚星化学</t>
  </si>
  <si>
    <t>5621万</t>
  </si>
  <si>
    <t>青松股份</t>
  </si>
  <si>
    <t>2044万</t>
  </si>
  <si>
    <t>江龙船艇</t>
  </si>
  <si>
    <t>2817万</t>
  </si>
  <si>
    <t>今飞凯达</t>
  </si>
  <si>
    <t>5699万</t>
  </si>
  <si>
    <t>5550万</t>
  </si>
  <si>
    <t>恒通股份</t>
  </si>
  <si>
    <t>7900万</t>
  </si>
  <si>
    <t>明星电力</t>
  </si>
  <si>
    <t>4035万</t>
  </si>
  <si>
    <t>杰恩设计</t>
  </si>
  <si>
    <t>1058万</t>
  </si>
  <si>
    <t>共达电声</t>
  </si>
  <si>
    <t>鹏翎股份</t>
  </si>
  <si>
    <t>1554万</t>
  </si>
  <si>
    <t>*ST昆机</t>
  </si>
  <si>
    <t>思特奇</t>
  </si>
  <si>
    <t>7851万</t>
  </si>
  <si>
    <t>8765万</t>
  </si>
  <si>
    <t>2191万</t>
  </si>
  <si>
    <t>GQY视讯</t>
  </si>
  <si>
    <t>35.3万</t>
  </si>
  <si>
    <t>延长化建</t>
  </si>
  <si>
    <t>6.08亿</t>
  </si>
  <si>
    <t>威星智能</t>
  </si>
  <si>
    <t>5714万</t>
  </si>
  <si>
    <t>久吾高科</t>
  </si>
  <si>
    <t>2576万</t>
  </si>
  <si>
    <t>深天地Ａ</t>
  </si>
  <si>
    <t>1239万</t>
  </si>
  <si>
    <t>六国化工</t>
  </si>
  <si>
    <t>金鹰股份</t>
  </si>
  <si>
    <t>2721万</t>
  </si>
  <si>
    <t>沙河股份</t>
  </si>
  <si>
    <t>日播时尚</t>
  </si>
  <si>
    <t>4319万</t>
  </si>
  <si>
    <t>和科达</t>
  </si>
  <si>
    <t>通葡股份</t>
  </si>
  <si>
    <t>3940万</t>
  </si>
  <si>
    <t>海螺型材</t>
  </si>
  <si>
    <t>2458万</t>
  </si>
  <si>
    <t>诚迈科技</t>
  </si>
  <si>
    <t>7024万</t>
  </si>
  <si>
    <t>友讯达</t>
  </si>
  <si>
    <t>安奈儿</t>
  </si>
  <si>
    <t>9740万</t>
  </si>
  <si>
    <t>镇海股份</t>
  </si>
  <si>
    <t>3325万</t>
  </si>
  <si>
    <t>易世达</t>
  </si>
  <si>
    <t>2129万</t>
  </si>
  <si>
    <t>9030万</t>
  </si>
  <si>
    <t>宝色股份</t>
  </si>
  <si>
    <t>6094万</t>
  </si>
  <si>
    <t>6610万</t>
  </si>
  <si>
    <t>克来机电</t>
  </si>
  <si>
    <t>三木集团</t>
  </si>
  <si>
    <t>*ST德力</t>
  </si>
  <si>
    <t>3194万</t>
  </si>
  <si>
    <t>*ST中基</t>
  </si>
  <si>
    <t>4353万</t>
  </si>
  <si>
    <t>中孚信息</t>
  </si>
  <si>
    <t>8278万</t>
  </si>
  <si>
    <t>霞客环保</t>
  </si>
  <si>
    <t>科斯伍德</t>
  </si>
  <si>
    <t>贝肯能源</t>
  </si>
  <si>
    <t>6018万</t>
  </si>
  <si>
    <t>2930万</t>
  </si>
  <si>
    <t>麦迪科技</t>
  </si>
  <si>
    <t>3499万</t>
  </si>
  <si>
    <t>8093万</t>
  </si>
  <si>
    <t>大庆华科</t>
  </si>
  <si>
    <t>2151万</t>
  </si>
  <si>
    <t>金刚玻璃</t>
  </si>
  <si>
    <t>3277万</t>
  </si>
  <si>
    <t>立昂技术</t>
  </si>
  <si>
    <t>2570万</t>
  </si>
  <si>
    <t>法兰泰克</t>
  </si>
  <si>
    <t>6637万</t>
  </si>
  <si>
    <t>先达股份</t>
  </si>
  <si>
    <t>6278万</t>
  </si>
  <si>
    <t>*ST云网</t>
  </si>
  <si>
    <t>2790万</t>
  </si>
  <si>
    <t>国美通讯</t>
  </si>
  <si>
    <t>4587万</t>
  </si>
  <si>
    <t>全柴动力</t>
  </si>
  <si>
    <t>2032万</t>
  </si>
  <si>
    <t>开开实业</t>
  </si>
  <si>
    <t>1669万</t>
  </si>
  <si>
    <t>嘉澳环保</t>
  </si>
  <si>
    <t>4060万</t>
  </si>
  <si>
    <t>元隆雅图</t>
  </si>
  <si>
    <t>7536万</t>
  </si>
  <si>
    <t>1884万</t>
  </si>
  <si>
    <t>大金重工</t>
  </si>
  <si>
    <t>佳发安泰</t>
  </si>
  <si>
    <t>4028万</t>
  </si>
  <si>
    <t>1800万</t>
  </si>
  <si>
    <t>鲁亿通</t>
  </si>
  <si>
    <t>1052万</t>
  </si>
  <si>
    <t>4543万</t>
  </si>
  <si>
    <t>高澜股份</t>
  </si>
  <si>
    <t>3856万</t>
  </si>
  <si>
    <t>6665万</t>
  </si>
  <si>
    <t>聚隆科技</t>
  </si>
  <si>
    <t>7250万</t>
  </si>
  <si>
    <t>国际实业</t>
  </si>
  <si>
    <t>2295万</t>
  </si>
  <si>
    <t>中能电气</t>
  </si>
  <si>
    <t>30.8万</t>
  </si>
  <si>
    <t>ST慧球</t>
  </si>
  <si>
    <t>4589万</t>
  </si>
  <si>
    <t>天龙股份</t>
  </si>
  <si>
    <t>5268万</t>
  </si>
  <si>
    <t>福建金森</t>
  </si>
  <si>
    <t>8398万</t>
  </si>
  <si>
    <t>圣阳股份</t>
  </si>
  <si>
    <t>红宇新材</t>
  </si>
  <si>
    <t>王子新材</t>
  </si>
  <si>
    <t>8422万</t>
  </si>
  <si>
    <t>2346万</t>
  </si>
  <si>
    <t>9.15亿</t>
  </si>
  <si>
    <t>仁智股份</t>
  </si>
  <si>
    <t>1522万</t>
  </si>
  <si>
    <t>新通联</t>
  </si>
  <si>
    <t>6500万</t>
  </si>
  <si>
    <t>宇顺电子</t>
  </si>
  <si>
    <t>晨化股份</t>
  </si>
  <si>
    <t>双环科技</t>
  </si>
  <si>
    <t>2062万</t>
  </si>
  <si>
    <t>奥翔药业</t>
  </si>
  <si>
    <t>7820万</t>
  </si>
  <si>
    <t>大连友谊</t>
  </si>
  <si>
    <t>同德化工</t>
  </si>
  <si>
    <t>3877万</t>
  </si>
  <si>
    <t>创兴资源</t>
  </si>
  <si>
    <t>4779万</t>
  </si>
  <si>
    <t>上海亚虹</t>
  </si>
  <si>
    <t>5318万</t>
  </si>
  <si>
    <t>中威电子</t>
  </si>
  <si>
    <t>2920万</t>
  </si>
  <si>
    <t>爱迪尔</t>
  </si>
  <si>
    <t>华立股份</t>
  </si>
  <si>
    <t>1935万</t>
  </si>
  <si>
    <t>6670万</t>
  </si>
  <si>
    <t>达志科技</t>
  </si>
  <si>
    <t>3141万</t>
  </si>
  <si>
    <t>2107万</t>
  </si>
  <si>
    <t>乐通股份</t>
  </si>
  <si>
    <t>1620万</t>
  </si>
  <si>
    <t>精艺股份</t>
  </si>
  <si>
    <t>1785万</t>
  </si>
  <si>
    <t>丰原药业</t>
  </si>
  <si>
    <t>4203万</t>
  </si>
  <si>
    <t>32.4亿</t>
  </si>
  <si>
    <t>苏州恒久</t>
  </si>
  <si>
    <t>3003万</t>
  </si>
  <si>
    <t>8785万</t>
  </si>
  <si>
    <t>同达创业</t>
  </si>
  <si>
    <t>ST景谷</t>
  </si>
  <si>
    <t>1450万</t>
  </si>
  <si>
    <t>南京化纤</t>
  </si>
  <si>
    <t>三德科技</t>
  </si>
  <si>
    <t>2049万</t>
  </si>
  <si>
    <t>9121万</t>
  </si>
  <si>
    <t>新雷能</t>
  </si>
  <si>
    <t>9370万</t>
  </si>
  <si>
    <t>2889万</t>
  </si>
  <si>
    <t>九有股份</t>
  </si>
  <si>
    <t>2519万</t>
  </si>
  <si>
    <t>瑞泰科技</t>
  </si>
  <si>
    <t>2714万</t>
  </si>
  <si>
    <t>新晨科技</t>
  </si>
  <si>
    <t>5658万</t>
  </si>
  <si>
    <t>9119万</t>
  </si>
  <si>
    <t>3260万</t>
  </si>
  <si>
    <t>龙建股份</t>
  </si>
  <si>
    <t>1555万</t>
  </si>
  <si>
    <t>大烨智能</t>
  </si>
  <si>
    <t>宜宾纸业</t>
  </si>
  <si>
    <t>4796万</t>
  </si>
  <si>
    <t>南卫股份</t>
  </si>
  <si>
    <t>宁波联合</t>
  </si>
  <si>
    <t>7576万</t>
  </si>
  <si>
    <t>高新发展</t>
  </si>
  <si>
    <t>2051万</t>
  </si>
  <si>
    <t>湘油泵</t>
  </si>
  <si>
    <t>3837万</t>
  </si>
  <si>
    <t>2023万</t>
  </si>
  <si>
    <t>富临运业</t>
  </si>
  <si>
    <t>徕木股份</t>
  </si>
  <si>
    <t>9226万</t>
  </si>
  <si>
    <t>日科化学</t>
  </si>
  <si>
    <t>3818万</t>
  </si>
  <si>
    <t>宁波精达</t>
  </si>
  <si>
    <t>欣天科技</t>
  </si>
  <si>
    <t>三房巷</t>
  </si>
  <si>
    <t>1157万</t>
  </si>
  <si>
    <t>*ST京城</t>
  </si>
  <si>
    <t>444万</t>
  </si>
  <si>
    <t>潍柴重机</t>
  </si>
  <si>
    <t>1961万</t>
  </si>
  <si>
    <t>ST山水</t>
  </si>
  <si>
    <t>747万</t>
  </si>
  <si>
    <t>祥龙电业</t>
  </si>
  <si>
    <t>1878万</t>
  </si>
  <si>
    <t>通润装备</t>
  </si>
  <si>
    <t>1755万</t>
  </si>
  <si>
    <t>光莆股份</t>
  </si>
  <si>
    <t>2895万</t>
  </si>
  <si>
    <t>东方新星</t>
  </si>
  <si>
    <t>神力股份</t>
  </si>
  <si>
    <t>6061万</t>
  </si>
  <si>
    <t>西安旅游</t>
  </si>
  <si>
    <t>6050万</t>
  </si>
  <si>
    <t>万讯自控</t>
  </si>
  <si>
    <t>9760万</t>
  </si>
  <si>
    <t>ST新梅</t>
  </si>
  <si>
    <t>1613万</t>
  </si>
  <si>
    <t>农尚环境</t>
  </si>
  <si>
    <t>三维股份</t>
  </si>
  <si>
    <t>茂硕电源</t>
  </si>
  <si>
    <t>7433万</t>
  </si>
  <si>
    <t>光力科技</t>
  </si>
  <si>
    <t>4777万</t>
  </si>
  <si>
    <t>东宝生物</t>
  </si>
  <si>
    <t>西昌电力</t>
  </si>
  <si>
    <t>1874万</t>
  </si>
  <si>
    <t>永悦科技</t>
  </si>
  <si>
    <t>4820万</t>
  </si>
  <si>
    <t>3600万</t>
  </si>
  <si>
    <t>7.86亿</t>
  </si>
  <si>
    <t>长城动漫</t>
  </si>
  <si>
    <t>3376万</t>
  </si>
  <si>
    <t>信隆健康</t>
  </si>
  <si>
    <t>3189万</t>
  </si>
  <si>
    <t>天顺股份</t>
  </si>
  <si>
    <t>3484万</t>
  </si>
  <si>
    <t>南天信息</t>
  </si>
  <si>
    <t>6297万</t>
  </si>
  <si>
    <t>钧达股份</t>
  </si>
  <si>
    <t>维业股份</t>
  </si>
  <si>
    <t>中坚科技</t>
  </si>
  <si>
    <t>4765万</t>
  </si>
  <si>
    <t>4043万</t>
  </si>
  <si>
    <t>9.53亿</t>
  </si>
  <si>
    <t>神宇股份</t>
  </si>
  <si>
    <t>百达精工</t>
  </si>
  <si>
    <t>3181万</t>
  </si>
  <si>
    <t>三夫户外</t>
  </si>
  <si>
    <t>6034万</t>
  </si>
  <si>
    <t>5148万</t>
  </si>
  <si>
    <t>华瑞股份</t>
  </si>
  <si>
    <t>3928万</t>
  </si>
  <si>
    <t>杭州高新</t>
  </si>
  <si>
    <t>1759万</t>
  </si>
  <si>
    <t>2417万</t>
  </si>
  <si>
    <t>海辰药业</t>
  </si>
  <si>
    <t>7549万</t>
  </si>
  <si>
    <t>新天药业</t>
  </si>
  <si>
    <t>6224万</t>
  </si>
  <si>
    <t>6888万</t>
  </si>
  <si>
    <t>海顺新材</t>
  </si>
  <si>
    <t>4727万</t>
  </si>
  <si>
    <t>6726万</t>
  </si>
  <si>
    <t>2404万</t>
  </si>
  <si>
    <t>ST明科</t>
  </si>
  <si>
    <t>549万</t>
  </si>
  <si>
    <t>必创科技</t>
  </si>
  <si>
    <t>诚意药业</t>
  </si>
  <si>
    <t>8520万</t>
  </si>
  <si>
    <t>2130万</t>
  </si>
  <si>
    <t>7.70亿</t>
  </si>
  <si>
    <t>会畅通讯</t>
  </si>
  <si>
    <t>5472万</t>
  </si>
  <si>
    <t>*ST金宇</t>
  </si>
  <si>
    <t>新农开发</t>
  </si>
  <si>
    <t>4685万</t>
  </si>
  <si>
    <t>联环药业</t>
  </si>
  <si>
    <t>安科瑞</t>
  </si>
  <si>
    <t>1763万</t>
  </si>
  <si>
    <t>天华超净</t>
  </si>
  <si>
    <t>中兴商业</t>
  </si>
  <si>
    <t>*ST三维</t>
  </si>
  <si>
    <t>8198万</t>
  </si>
  <si>
    <t>8.03万</t>
  </si>
  <si>
    <t>中水渔业</t>
  </si>
  <si>
    <t>1506万</t>
  </si>
  <si>
    <t>登云股份</t>
  </si>
  <si>
    <t>692万</t>
  </si>
  <si>
    <t>5457万</t>
  </si>
  <si>
    <t>康惠制药</t>
  </si>
  <si>
    <t>7084万</t>
  </si>
  <si>
    <t>9988万</t>
  </si>
  <si>
    <t>2497万</t>
  </si>
  <si>
    <t>力盛赛车</t>
  </si>
  <si>
    <t>2617万</t>
  </si>
  <si>
    <t>6316万</t>
  </si>
  <si>
    <t>1580万</t>
  </si>
  <si>
    <t>赛福天</t>
  </si>
  <si>
    <t>3595万</t>
  </si>
  <si>
    <t>恒丰纸业</t>
  </si>
  <si>
    <t>2063万</t>
  </si>
  <si>
    <t>超频三</t>
  </si>
  <si>
    <t>6381万</t>
  </si>
  <si>
    <t>国发股份</t>
  </si>
  <si>
    <t>2441万</t>
  </si>
  <si>
    <t>天铁股份</t>
  </si>
  <si>
    <t>7150万</t>
  </si>
  <si>
    <t>法 尔 胜</t>
  </si>
  <si>
    <t>3892万</t>
  </si>
  <si>
    <t>宏达高科</t>
  </si>
  <si>
    <t>3681万</t>
  </si>
  <si>
    <t>金自天正</t>
  </si>
  <si>
    <t>4034万</t>
  </si>
  <si>
    <t>恒锋信息</t>
  </si>
  <si>
    <t>5479万</t>
  </si>
  <si>
    <t>民丰特纸</t>
  </si>
  <si>
    <t>2174万</t>
  </si>
  <si>
    <t>大连热电</t>
  </si>
  <si>
    <t>汇中股份</t>
  </si>
  <si>
    <t>牧高笛</t>
  </si>
  <si>
    <t>4039万</t>
  </si>
  <si>
    <t>温州宏丰</t>
  </si>
  <si>
    <t>4061万</t>
  </si>
  <si>
    <t>仟源医药</t>
  </si>
  <si>
    <t>丰华股份</t>
  </si>
  <si>
    <t>惠伦晶体</t>
  </si>
  <si>
    <t>4177万</t>
  </si>
  <si>
    <t>9584万</t>
  </si>
  <si>
    <t>同和药业</t>
  </si>
  <si>
    <t>8130万</t>
  </si>
  <si>
    <t>凤形股份</t>
  </si>
  <si>
    <t>1919万</t>
  </si>
  <si>
    <t>世嘉科技</t>
  </si>
  <si>
    <t>3590万</t>
  </si>
  <si>
    <t>2987万</t>
  </si>
  <si>
    <t>哈高科</t>
  </si>
  <si>
    <t>2370万</t>
  </si>
  <si>
    <t>上海三毛</t>
  </si>
  <si>
    <t>3640万</t>
  </si>
  <si>
    <t>武汉中商</t>
  </si>
  <si>
    <t>横河模具</t>
  </si>
  <si>
    <t>6294万</t>
  </si>
  <si>
    <t>6086万</t>
  </si>
  <si>
    <t>双成药业</t>
  </si>
  <si>
    <t>1600万</t>
  </si>
  <si>
    <t>伟隆股份</t>
  </si>
  <si>
    <t>7.32亿</t>
  </si>
  <si>
    <t>宝光股份</t>
  </si>
  <si>
    <t>2505万</t>
  </si>
  <si>
    <t>中公高科</t>
  </si>
  <si>
    <t>6365万</t>
  </si>
  <si>
    <t>华通医药</t>
  </si>
  <si>
    <t>3635万</t>
  </si>
  <si>
    <t>仰帆控股</t>
  </si>
  <si>
    <t>892万</t>
  </si>
  <si>
    <t>新莱应材</t>
  </si>
  <si>
    <t>金太阳</t>
  </si>
  <si>
    <t>4937万</t>
  </si>
  <si>
    <t>8920万</t>
  </si>
  <si>
    <t>2230万</t>
  </si>
  <si>
    <t>梅安森</t>
  </si>
  <si>
    <t>三毛派神</t>
  </si>
  <si>
    <t>4755万</t>
  </si>
  <si>
    <t>跃岭股份</t>
  </si>
  <si>
    <t>1729万</t>
  </si>
  <si>
    <t>华凯创意</t>
  </si>
  <si>
    <t>*ST河化</t>
  </si>
  <si>
    <t>美联新材</t>
  </si>
  <si>
    <t>3686万</t>
  </si>
  <si>
    <t>川润股份</t>
  </si>
  <si>
    <t>国统股份</t>
  </si>
  <si>
    <t>3482万</t>
  </si>
  <si>
    <t>台基股份</t>
  </si>
  <si>
    <t>5736万</t>
  </si>
  <si>
    <t>德宏股份</t>
  </si>
  <si>
    <t>5856万</t>
  </si>
  <si>
    <t>北矿科技</t>
  </si>
  <si>
    <t>博闻科技</t>
  </si>
  <si>
    <t>晶瑞股份</t>
  </si>
  <si>
    <t>8825万</t>
  </si>
  <si>
    <t>2206万</t>
  </si>
  <si>
    <t>雷迪克</t>
  </si>
  <si>
    <t>9772万</t>
  </si>
  <si>
    <t>实丰文化</t>
  </si>
  <si>
    <t>亚星客车</t>
  </si>
  <si>
    <t>威 尔 泰</t>
  </si>
  <si>
    <t>1757万</t>
  </si>
  <si>
    <t>ST成城</t>
  </si>
  <si>
    <t>1022万</t>
  </si>
  <si>
    <t>容大感光</t>
  </si>
  <si>
    <t>3683万</t>
  </si>
  <si>
    <t>华升股份</t>
  </si>
  <si>
    <t>1037万</t>
  </si>
  <si>
    <t>万向德农</t>
  </si>
  <si>
    <t>2903万</t>
  </si>
  <si>
    <t>中设股份</t>
  </si>
  <si>
    <t>9212万</t>
  </si>
  <si>
    <t>1333万</t>
  </si>
  <si>
    <t>民德电子</t>
  </si>
  <si>
    <t>毅昌股份</t>
  </si>
  <si>
    <t>1281万</t>
  </si>
  <si>
    <t>山东赫达</t>
  </si>
  <si>
    <t>5382万</t>
  </si>
  <si>
    <t>9556万</t>
  </si>
  <si>
    <t>5116万</t>
  </si>
  <si>
    <t>沃特股份</t>
  </si>
  <si>
    <t>4948万</t>
  </si>
  <si>
    <t>扬帆新材</t>
  </si>
  <si>
    <t>海伦钢琴</t>
  </si>
  <si>
    <t>时代万恒</t>
  </si>
  <si>
    <t>1778万</t>
  </si>
  <si>
    <t>美思德</t>
  </si>
  <si>
    <t>5829万</t>
  </si>
  <si>
    <t>菲林格尔</t>
  </si>
  <si>
    <t>9980万</t>
  </si>
  <si>
    <t>双象股份</t>
  </si>
  <si>
    <t>4351万</t>
  </si>
  <si>
    <t>凤竹纺织</t>
  </si>
  <si>
    <t>1245万</t>
  </si>
  <si>
    <t>恒立实业</t>
  </si>
  <si>
    <t>宁波中百</t>
  </si>
  <si>
    <t>1033万</t>
  </si>
  <si>
    <t>普丽盛</t>
  </si>
  <si>
    <t>2144万</t>
  </si>
  <si>
    <t>5809万</t>
  </si>
  <si>
    <t>标准股份</t>
  </si>
  <si>
    <t>1082万</t>
  </si>
  <si>
    <t>弘业股份</t>
  </si>
  <si>
    <t>*ST新亿</t>
  </si>
  <si>
    <t>经纬电材</t>
  </si>
  <si>
    <t>1806万</t>
  </si>
  <si>
    <t>君禾股份</t>
  </si>
  <si>
    <t>8543万</t>
  </si>
  <si>
    <t>中发科技</t>
  </si>
  <si>
    <t>1313万</t>
  </si>
  <si>
    <t>理工光科</t>
  </si>
  <si>
    <t>2906万</t>
  </si>
  <si>
    <t>5567万</t>
  </si>
  <si>
    <t>1400万</t>
  </si>
  <si>
    <t>方直科技</t>
  </si>
  <si>
    <t>兴齐眼药</t>
  </si>
  <si>
    <t>4912万</t>
  </si>
  <si>
    <t>安德利</t>
  </si>
  <si>
    <t>7456万</t>
  </si>
  <si>
    <t>3990万</t>
  </si>
  <si>
    <t>惠发股份</t>
  </si>
  <si>
    <t>7387万</t>
  </si>
  <si>
    <t>吉林森工</t>
  </si>
  <si>
    <t>1980万</t>
  </si>
  <si>
    <t>湖南海利</t>
  </si>
  <si>
    <t>1496万</t>
  </si>
  <si>
    <t>华体科技</t>
  </si>
  <si>
    <t>3418万</t>
  </si>
  <si>
    <t>新美星</t>
  </si>
  <si>
    <t>3771万</t>
  </si>
  <si>
    <t>至正股份</t>
  </si>
  <si>
    <t>5423万</t>
  </si>
  <si>
    <t>1870万</t>
  </si>
  <si>
    <t>松发股份</t>
  </si>
  <si>
    <t>8938万</t>
  </si>
  <si>
    <t>4114万</t>
  </si>
  <si>
    <t>华纺股份</t>
  </si>
  <si>
    <t>4006万</t>
  </si>
  <si>
    <t>天山生物</t>
  </si>
  <si>
    <t>3340万</t>
  </si>
  <si>
    <t>钱江生化</t>
  </si>
  <si>
    <t>1368万</t>
  </si>
  <si>
    <t>博士眼镜</t>
  </si>
  <si>
    <t>9447万</t>
  </si>
  <si>
    <t>8580万</t>
  </si>
  <si>
    <t>6.83亿</t>
  </si>
  <si>
    <t>新元科技</t>
  </si>
  <si>
    <t>1099万</t>
  </si>
  <si>
    <t>3326万</t>
  </si>
  <si>
    <t>达 意 隆</t>
  </si>
  <si>
    <t>乔治白</t>
  </si>
  <si>
    <t>2012万</t>
  </si>
  <si>
    <t>通源石油</t>
  </si>
  <si>
    <t>*ST运盛</t>
  </si>
  <si>
    <t>1511万</t>
  </si>
  <si>
    <t>国机通用</t>
  </si>
  <si>
    <t>5716万</t>
  </si>
  <si>
    <t>园城黄金</t>
  </si>
  <si>
    <t>3084万</t>
  </si>
  <si>
    <t>天首发展</t>
  </si>
  <si>
    <t>金陵体育</t>
  </si>
  <si>
    <t>5153万</t>
  </si>
  <si>
    <t>7573万</t>
  </si>
  <si>
    <t>1893万</t>
  </si>
  <si>
    <t>香梨股份</t>
  </si>
  <si>
    <t>1177万</t>
  </si>
  <si>
    <t>晓程科技</t>
  </si>
  <si>
    <t>*ST沪科</t>
  </si>
  <si>
    <t>626万</t>
  </si>
  <si>
    <t>海波重科</t>
  </si>
  <si>
    <t>7520万</t>
  </si>
  <si>
    <t>4098万</t>
  </si>
  <si>
    <t>宏盛股份</t>
  </si>
  <si>
    <t>三晖电气</t>
  </si>
  <si>
    <t>5034万</t>
  </si>
  <si>
    <t>山河药辅</t>
  </si>
  <si>
    <t>2242万</t>
  </si>
  <si>
    <t>4217万</t>
  </si>
  <si>
    <t>亿通科技</t>
  </si>
  <si>
    <t>惠泉啤酒</t>
  </si>
  <si>
    <t>科新机电</t>
  </si>
  <si>
    <t>5919万</t>
  </si>
  <si>
    <t>达威股份</t>
  </si>
  <si>
    <t>4672万</t>
  </si>
  <si>
    <t>3172万</t>
  </si>
  <si>
    <t>裕兴股份</t>
  </si>
  <si>
    <t>惠威科技</t>
  </si>
  <si>
    <t>5255万</t>
  </si>
  <si>
    <t>8312万</t>
  </si>
  <si>
    <t>2078万</t>
  </si>
  <si>
    <t>林海股份</t>
  </si>
  <si>
    <t>弘宇股份</t>
  </si>
  <si>
    <t>古鳌科技</t>
  </si>
  <si>
    <t>3445万</t>
  </si>
  <si>
    <t>7336万</t>
  </si>
  <si>
    <t>1836万</t>
  </si>
  <si>
    <t>金运激光</t>
  </si>
  <si>
    <t>宜昌交运</t>
  </si>
  <si>
    <t>1538万</t>
  </si>
  <si>
    <t>金亚科技</t>
  </si>
  <si>
    <t>天鹅股份</t>
  </si>
  <si>
    <t>3653万</t>
  </si>
  <si>
    <t>滨海能源</t>
  </si>
  <si>
    <t>*ST新赛</t>
  </si>
  <si>
    <t>1829万</t>
  </si>
  <si>
    <t>海鸥股份</t>
  </si>
  <si>
    <t>8743万</t>
  </si>
  <si>
    <t>9147万</t>
  </si>
  <si>
    <t>2287万</t>
  </si>
  <si>
    <t>上海天洋</t>
  </si>
  <si>
    <t>6132万</t>
  </si>
  <si>
    <t>*ST圣莱</t>
  </si>
  <si>
    <t>太龙照明</t>
  </si>
  <si>
    <t>6315万</t>
  </si>
  <si>
    <t>1579万</t>
  </si>
  <si>
    <t>天晟新材</t>
  </si>
  <si>
    <t>集智股份</t>
  </si>
  <si>
    <t>4396万</t>
  </si>
  <si>
    <t>1200万</t>
  </si>
  <si>
    <t>6.39亿</t>
  </si>
  <si>
    <t>吉峰农机</t>
  </si>
  <si>
    <t>*ST普林</t>
  </si>
  <si>
    <t>1705万</t>
  </si>
  <si>
    <t>德艺文创</t>
  </si>
  <si>
    <t>7123万</t>
  </si>
  <si>
    <t>锐奇股份</t>
  </si>
  <si>
    <t>富邦股份</t>
  </si>
  <si>
    <t>3507万</t>
  </si>
  <si>
    <t>飞鹿股份</t>
  </si>
  <si>
    <t>鞍重股份</t>
  </si>
  <si>
    <t>4647万</t>
  </si>
  <si>
    <t>9361万</t>
  </si>
  <si>
    <t>日盈电子</t>
  </si>
  <si>
    <t>9433万</t>
  </si>
  <si>
    <t>8808万</t>
  </si>
  <si>
    <t>2202万</t>
  </si>
  <si>
    <t>科隆股份</t>
  </si>
  <si>
    <t>2373万</t>
  </si>
  <si>
    <t>5033万</t>
  </si>
  <si>
    <t>皇台酒业</t>
  </si>
  <si>
    <t>荣丰控股</t>
  </si>
  <si>
    <t>1247万</t>
  </si>
  <si>
    <t>艾艾精工</t>
  </si>
  <si>
    <t>9055万</t>
  </si>
  <si>
    <t>同益股份</t>
  </si>
  <si>
    <t>3518万</t>
  </si>
  <si>
    <t>6.26亿</t>
  </si>
  <si>
    <t>丰乐种业</t>
  </si>
  <si>
    <t>1548万</t>
  </si>
  <si>
    <t>隆盛科技</t>
  </si>
  <si>
    <t>8295万</t>
  </si>
  <si>
    <t>瑞丰高材</t>
  </si>
  <si>
    <t>3352万</t>
  </si>
  <si>
    <t>商业城</t>
  </si>
  <si>
    <t>4284万</t>
  </si>
  <si>
    <t>星徽精密</t>
  </si>
  <si>
    <t>9165万</t>
  </si>
  <si>
    <t>沪宁股份</t>
  </si>
  <si>
    <t>8420万</t>
  </si>
  <si>
    <t>兰州黄河</t>
  </si>
  <si>
    <t>1695万</t>
  </si>
  <si>
    <t>安利股份</t>
  </si>
  <si>
    <t>1149万</t>
  </si>
  <si>
    <t>ST亚太</t>
  </si>
  <si>
    <t>738万</t>
  </si>
  <si>
    <t>高科石化</t>
  </si>
  <si>
    <t>8911万</t>
  </si>
  <si>
    <t>5554万</t>
  </si>
  <si>
    <t>阿石创</t>
  </si>
  <si>
    <t>120万</t>
  </si>
  <si>
    <t>7840万</t>
  </si>
  <si>
    <t>1960万</t>
  </si>
  <si>
    <t>深冷股份</t>
  </si>
  <si>
    <t>4267万</t>
  </si>
  <si>
    <t>正虹科技</t>
  </si>
  <si>
    <t>友好集团</t>
  </si>
  <si>
    <t>2128万</t>
  </si>
  <si>
    <t>博通股份</t>
  </si>
  <si>
    <t>1119万</t>
  </si>
  <si>
    <t>6246万</t>
  </si>
  <si>
    <t>4972万</t>
  </si>
  <si>
    <t>*ST匹凸</t>
  </si>
  <si>
    <t>1004万</t>
  </si>
  <si>
    <t>*ST万里</t>
  </si>
  <si>
    <t>602万</t>
  </si>
  <si>
    <t>汇通能源</t>
  </si>
  <si>
    <t>1156万</t>
  </si>
  <si>
    <t>九典制药</t>
  </si>
  <si>
    <t>大连圣亚</t>
  </si>
  <si>
    <t>1516万</t>
  </si>
  <si>
    <t>江西长运</t>
  </si>
  <si>
    <t>2504万</t>
  </si>
  <si>
    <t>*ST宏盛</t>
  </si>
  <si>
    <t>1123万</t>
  </si>
  <si>
    <t>南华仪器</t>
  </si>
  <si>
    <t>5890万</t>
  </si>
  <si>
    <t>8160万</t>
  </si>
  <si>
    <t>中飞股份</t>
  </si>
  <si>
    <t>4795万</t>
  </si>
  <si>
    <t>9075万</t>
  </si>
  <si>
    <t>4833万</t>
  </si>
  <si>
    <t>威唐工业</t>
  </si>
  <si>
    <t>7860万</t>
  </si>
  <si>
    <t>*ST准油</t>
  </si>
  <si>
    <t>2644万</t>
  </si>
  <si>
    <t>西部牧业</t>
  </si>
  <si>
    <t>8635万</t>
  </si>
  <si>
    <t>华虹计通</t>
  </si>
  <si>
    <t>2511万</t>
  </si>
  <si>
    <t>世纪天鸿</t>
  </si>
  <si>
    <t>197万</t>
  </si>
  <si>
    <t>9335万</t>
  </si>
  <si>
    <t>2335万</t>
  </si>
  <si>
    <t>山东金泰</t>
  </si>
  <si>
    <t>绿景控股</t>
  </si>
  <si>
    <t>2539万</t>
  </si>
  <si>
    <t>*ST柳化</t>
  </si>
  <si>
    <t>ST南化</t>
  </si>
  <si>
    <t>申科股份</t>
  </si>
  <si>
    <t>2699万</t>
  </si>
  <si>
    <t>8717万</t>
  </si>
  <si>
    <t>宁波富邦</t>
  </si>
  <si>
    <t>东华测试</t>
  </si>
  <si>
    <t>7256万</t>
  </si>
  <si>
    <t>国农科技</t>
  </si>
  <si>
    <t>8296万</t>
  </si>
  <si>
    <t>同大股份</t>
  </si>
  <si>
    <t>4018万</t>
  </si>
  <si>
    <t>8274万</t>
  </si>
  <si>
    <t>*ST东数</t>
  </si>
  <si>
    <t>沃施股份</t>
  </si>
  <si>
    <t>6150万</t>
  </si>
  <si>
    <t>3236万</t>
  </si>
  <si>
    <t>N东方</t>
  </si>
  <si>
    <t>国恒退</t>
  </si>
  <si>
    <t>天龙光电</t>
  </si>
  <si>
    <t>N宇环</t>
  </si>
  <si>
    <t>新都退</t>
  </si>
  <si>
    <t>集泰股份</t>
  </si>
  <si>
    <t>欣泰退</t>
  </si>
  <si>
    <t>9873万</t>
  </si>
  <si>
    <t>丽岛新材</t>
  </si>
  <si>
    <t>5665万</t>
  </si>
  <si>
    <t>金鸿顺</t>
  </si>
  <si>
    <t>佳力图</t>
  </si>
  <si>
    <t>洛凯股份</t>
  </si>
  <si>
    <t>阿科力</t>
  </si>
  <si>
    <t>3205万</t>
  </si>
  <si>
    <t>晶华新材</t>
  </si>
  <si>
    <t>今创集团</t>
  </si>
  <si>
    <t>中曼石油</t>
  </si>
  <si>
    <t>京华激光</t>
  </si>
  <si>
    <t>地素时尚</t>
  </si>
  <si>
    <t>翔港科技</t>
  </si>
  <si>
    <t>风语筑</t>
  </si>
  <si>
    <t>金辰股份</t>
  </si>
  <si>
    <t>1889万</t>
  </si>
  <si>
    <t>泰瑞机器</t>
  </si>
  <si>
    <t>合盛硅业</t>
  </si>
  <si>
    <t>中国北车</t>
  </si>
  <si>
    <t>*ST二重</t>
  </si>
  <si>
    <t>海尔施</t>
  </si>
  <si>
    <t>财通证券</t>
  </si>
  <si>
    <t>广汽长丰</t>
  </si>
  <si>
    <t>*ST信联</t>
  </si>
  <si>
    <t>*ST北科</t>
  </si>
  <si>
    <t>*ST中川</t>
  </si>
  <si>
    <t>上药转换</t>
  </si>
  <si>
    <t>中西药业</t>
  </si>
  <si>
    <t>新湖创业</t>
  </si>
  <si>
    <t>ST鞍一工</t>
  </si>
  <si>
    <t>*ST龙科</t>
  </si>
  <si>
    <t>*ST达曼</t>
  </si>
  <si>
    <t>东方锅炉</t>
  </si>
  <si>
    <t>S*ST龙昌</t>
  </si>
  <si>
    <t>S*ST金荔</t>
  </si>
  <si>
    <t>*ST哈慈</t>
  </si>
  <si>
    <t>ST生态</t>
  </si>
  <si>
    <t>*ST数码</t>
  </si>
  <si>
    <t>*ST华圣</t>
  </si>
  <si>
    <t>*ST斯达</t>
  </si>
  <si>
    <t>*ST鞍成</t>
  </si>
  <si>
    <t>*ST花雕</t>
  </si>
  <si>
    <t>退市博元</t>
  </si>
  <si>
    <t>ST国嘉</t>
  </si>
  <si>
    <t>华联商厦</t>
  </si>
  <si>
    <t>上电股份</t>
  </si>
  <si>
    <t>PT水仙</t>
  </si>
  <si>
    <t>上实医药</t>
  </si>
  <si>
    <t>*ST上航</t>
  </si>
  <si>
    <t>太行水泥</t>
  </si>
  <si>
    <t>包头铝业</t>
  </si>
  <si>
    <t>承德钒钛</t>
  </si>
  <si>
    <t>富通昭和</t>
  </si>
  <si>
    <t>S兰铝</t>
  </si>
  <si>
    <t>S*ST国瓷</t>
  </si>
  <si>
    <t>路桥建设</t>
  </si>
  <si>
    <t>天方药业</t>
  </si>
  <si>
    <t>S山东铝</t>
  </si>
  <si>
    <t>S*ST云大</t>
  </si>
  <si>
    <t>莱钢股份</t>
  </si>
  <si>
    <t>S*ST精密</t>
  </si>
  <si>
    <t>退市长油</t>
  </si>
  <si>
    <t>*ST联谊</t>
  </si>
  <si>
    <t>武钢股份</t>
  </si>
  <si>
    <t>ST东北高</t>
  </si>
  <si>
    <t>齐鲁石化</t>
  </si>
  <si>
    <t>邯郸钢铁</t>
  </si>
  <si>
    <t>凯伦股份</t>
  </si>
  <si>
    <t>英可瑞</t>
  </si>
  <si>
    <t>永福股份</t>
  </si>
  <si>
    <t>广哈通信</t>
  </si>
  <si>
    <t>万隆光电</t>
  </si>
  <si>
    <t>6861万</t>
  </si>
  <si>
    <t>1750万</t>
  </si>
  <si>
    <t>精研科技</t>
  </si>
  <si>
    <t>聚灿光电</t>
  </si>
  <si>
    <t>侨源气体</t>
  </si>
  <si>
    <t>奥赛康</t>
  </si>
  <si>
    <t>庄园牧场</t>
  </si>
  <si>
    <t>德生科技</t>
  </si>
  <si>
    <t>华森制药</t>
  </si>
  <si>
    <t>金逸影视</t>
  </si>
  <si>
    <t>宏良股份</t>
  </si>
  <si>
    <t>慈铭体检</t>
  </si>
  <si>
    <t>胜景山河</t>
  </si>
  <si>
    <t>立立电子</t>
  </si>
  <si>
    <t>通海高科</t>
  </si>
  <si>
    <t>中原油气</t>
  </si>
  <si>
    <t>扬子石化</t>
  </si>
  <si>
    <t>*ST龙涤</t>
  </si>
  <si>
    <t>*ST长兴</t>
  </si>
  <si>
    <t>辽河油田</t>
  </si>
  <si>
    <t>*ST炎黄</t>
  </si>
  <si>
    <t>*ST创智</t>
  </si>
  <si>
    <t>*ST大菲</t>
  </si>
  <si>
    <t>*ST华信</t>
  </si>
  <si>
    <t>锦州石化</t>
  </si>
  <si>
    <t>*ST环保</t>
  </si>
  <si>
    <t>S*ST佳纸</t>
  </si>
  <si>
    <t>ST宏业</t>
  </si>
  <si>
    <t>ST银山</t>
  </si>
  <si>
    <t>*ST南华</t>
  </si>
  <si>
    <t>ST海洋</t>
  </si>
  <si>
    <t>ST九州</t>
  </si>
  <si>
    <t>*ST比特</t>
  </si>
  <si>
    <t>吉林化工</t>
  </si>
  <si>
    <t>金马集团</t>
  </si>
  <si>
    <t>PT粤金曼</t>
  </si>
  <si>
    <t>S*ST托普</t>
  </si>
  <si>
    <t>盐湖集团</t>
  </si>
  <si>
    <t>长城股份</t>
  </si>
  <si>
    <t>宏源证券</t>
  </si>
  <si>
    <t>PT南洋</t>
  </si>
  <si>
    <t>S湘火炬</t>
  </si>
  <si>
    <t>TCL通讯</t>
  </si>
  <si>
    <t>*ST猴王</t>
  </si>
  <si>
    <t>美的电器</t>
  </si>
  <si>
    <t>白云山A</t>
  </si>
  <si>
    <t>攀渝钛业</t>
  </si>
  <si>
    <t>琼民源A</t>
  </si>
  <si>
    <t>ST五环</t>
  </si>
  <si>
    <t>石油大明</t>
  </si>
  <si>
    <t>ST鑫光</t>
  </si>
  <si>
    <t>ST中侨</t>
  </si>
  <si>
    <t>PT中浩A</t>
  </si>
  <si>
    <t>*ST石化A</t>
  </si>
  <si>
    <t>PT金田A</t>
  </si>
  <si>
    <t>sh000001</t>
  </si>
  <si>
    <t>上证指数</t>
  </si>
  <si>
    <t>指数</t>
  </si>
  <si>
    <t>上指</t>
  </si>
  <si>
    <t>指</t>
  </si>
  <si>
    <t>sh000016</t>
  </si>
  <si>
    <t>上证50</t>
  </si>
  <si>
    <t>上5</t>
  </si>
  <si>
    <t>sh000905</t>
  </si>
  <si>
    <t>中证500</t>
  </si>
  <si>
    <t>中证</t>
  </si>
  <si>
    <t>sz399001</t>
  </si>
  <si>
    <t>深圳成指</t>
  </si>
  <si>
    <t>深成</t>
  </si>
  <si>
    <t>sh000300</t>
  </si>
  <si>
    <t>沪深300</t>
  </si>
  <si>
    <t>沪深</t>
  </si>
  <si>
    <t>sz399006</t>
  </si>
  <si>
    <t>创业板指</t>
  </si>
  <si>
    <t>创业</t>
  </si>
  <si>
    <t>FTSEA50</t>
  </si>
  <si>
    <t>A50指数</t>
  </si>
  <si>
    <t>期货</t>
  </si>
  <si>
    <t>A50</t>
  </si>
  <si>
    <t>期</t>
  </si>
  <si>
    <t>SGXA50</t>
  </si>
  <si>
    <t>A50期货</t>
  </si>
  <si>
    <t>A50期</t>
  </si>
  <si>
    <t>sh204001</t>
  </si>
  <si>
    <t>GC001</t>
  </si>
  <si>
    <t>回购</t>
  </si>
  <si>
    <t>GC</t>
  </si>
  <si>
    <t>购</t>
  </si>
  <si>
    <t>sh601398</t>
  </si>
  <si>
    <t>银行</t>
  </si>
  <si>
    <t>工商</t>
  </si>
  <si>
    <t>银</t>
  </si>
  <si>
    <t>sh601857</t>
  </si>
  <si>
    <t>石油</t>
  </si>
  <si>
    <t>中油</t>
  </si>
  <si>
    <t>油</t>
  </si>
  <si>
    <t>sh601939</t>
  </si>
  <si>
    <t>建设</t>
  </si>
  <si>
    <t>sh601288</t>
  </si>
  <si>
    <t>农业</t>
  </si>
  <si>
    <t>sh601988</t>
  </si>
  <si>
    <t>国银</t>
  </si>
  <si>
    <t>sh601318</t>
  </si>
  <si>
    <t>保险</t>
  </si>
  <si>
    <t>中平</t>
  </si>
  <si>
    <t>险</t>
  </si>
  <si>
    <t>sh601628</t>
  </si>
  <si>
    <t>人寿</t>
  </si>
  <si>
    <t>sh600028</t>
  </si>
  <si>
    <t>石化</t>
  </si>
  <si>
    <t>sh600036</t>
  </si>
  <si>
    <t>招银</t>
  </si>
  <si>
    <t>sh601328</t>
  </si>
  <si>
    <t>交行</t>
  </si>
  <si>
    <t>sh600519</t>
  </si>
  <si>
    <t>酿酒</t>
  </si>
  <si>
    <t>茅台</t>
  </si>
  <si>
    <t>酒</t>
  </si>
  <si>
    <t>sh600000</t>
  </si>
  <si>
    <t>浦发</t>
  </si>
  <si>
    <t>sh600016</t>
  </si>
  <si>
    <t>民生</t>
  </si>
  <si>
    <t>sh601088</t>
  </si>
  <si>
    <t>煤炭</t>
  </si>
  <si>
    <t>神华</t>
  </si>
  <si>
    <t>煤</t>
  </si>
  <si>
    <t>sh601166</t>
  </si>
  <si>
    <t>兴银</t>
  </si>
  <si>
    <t>sh601998</t>
  </si>
  <si>
    <t>信银</t>
  </si>
  <si>
    <t>sh600900</t>
  </si>
  <si>
    <t>电力</t>
  </si>
  <si>
    <t>长电</t>
  </si>
  <si>
    <t>sz000002</t>
  </si>
  <si>
    <t>房产</t>
  </si>
  <si>
    <t>万科</t>
  </si>
  <si>
    <t>产</t>
  </si>
  <si>
    <t>sh601601</t>
  </si>
  <si>
    <t>太保</t>
  </si>
  <si>
    <t>sh600104</t>
  </si>
  <si>
    <t>汽车</t>
  </si>
  <si>
    <t>上汽</t>
  </si>
  <si>
    <t>车</t>
  </si>
  <si>
    <t>sh601766</t>
  </si>
  <si>
    <t>交运</t>
  </si>
  <si>
    <t>中车</t>
  </si>
  <si>
    <t>运</t>
  </si>
  <si>
    <t>sh601668</t>
  </si>
  <si>
    <t>工建</t>
  </si>
  <si>
    <t>中筑</t>
  </si>
  <si>
    <t>建</t>
  </si>
  <si>
    <t>sh601800</t>
  </si>
  <si>
    <t>中交</t>
  </si>
  <si>
    <t>sh600030</t>
  </si>
  <si>
    <t>券商</t>
  </si>
  <si>
    <t>券</t>
  </si>
  <si>
    <t>sh601390</t>
  </si>
  <si>
    <t>中铁</t>
  </si>
  <si>
    <t>sh600837</t>
  </si>
  <si>
    <t>海通</t>
  </si>
  <si>
    <t>sh601818</t>
  </si>
  <si>
    <t>光银</t>
  </si>
  <si>
    <t>sz000333</t>
  </si>
  <si>
    <t>家电</t>
  </si>
  <si>
    <t>美的</t>
  </si>
  <si>
    <t>家</t>
  </si>
  <si>
    <t>sz000001</t>
  </si>
  <si>
    <t>平银</t>
  </si>
  <si>
    <t>sz300498</t>
  </si>
  <si>
    <t>农渔</t>
  </si>
  <si>
    <t>温氏</t>
  </si>
  <si>
    <t>渔</t>
  </si>
  <si>
    <t>sz002594</t>
  </si>
  <si>
    <t>比亚</t>
  </si>
  <si>
    <t>sz002415</t>
  </si>
  <si>
    <t>安防</t>
  </si>
  <si>
    <t>海康</t>
  </si>
  <si>
    <t>防</t>
  </si>
  <si>
    <t>sh601238</t>
  </si>
  <si>
    <t>广汽</t>
  </si>
  <si>
    <t>sh601688</t>
  </si>
  <si>
    <t>华泰</t>
  </si>
  <si>
    <t>sh601169</t>
  </si>
  <si>
    <t>京银</t>
  </si>
  <si>
    <t>sz002027</t>
  </si>
  <si>
    <t>信息</t>
  </si>
  <si>
    <t>分众</t>
  </si>
  <si>
    <t>咨</t>
  </si>
  <si>
    <t>sh601186</t>
  </si>
  <si>
    <t>铁建</t>
  </si>
  <si>
    <t>sz002736</t>
  </si>
  <si>
    <t>国信</t>
  </si>
  <si>
    <t>sh601211</t>
  </si>
  <si>
    <t>sz000651</t>
  </si>
  <si>
    <t>格力</t>
  </si>
  <si>
    <t>sz000858</t>
  </si>
  <si>
    <t>五粮</t>
  </si>
  <si>
    <t>sz001979</t>
  </si>
  <si>
    <t>蛇口</t>
  </si>
  <si>
    <t>sz000776</t>
  </si>
  <si>
    <t>sh601336</t>
  </si>
  <si>
    <t>华险</t>
  </si>
  <si>
    <t>sz000166</t>
  </si>
  <si>
    <t>申万</t>
  </si>
  <si>
    <t>sh600999</t>
  </si>
  <si>
    <t>招证</t>
  </si>
  <si>
    <t>sh601989</t>
  </si>
  <si>
    <t>船舶</t>
  </si>
  <si>
    <t>国重</t>
  </si>
  <si>
    <t>船</t>
  </si>
  <si>
    <t>sh600018</t>
  </si>
  <si>
    <t>港口</t>
  </si>
  <si>
    <t>上港</t>
  </si>
  <si>
    <t>港</t>
  </si>
  <si>
    <t>sh600919</t>
  </si>
  <si>
    <t>苏银</t>
  </si>
  <si>
    <t>sh601727</t>
  </si>
  <si>
    <t>配电</t>
  </si>
  <si>
    <t>上电</t>
  </si>
  <si>
    <t>输电</t>
  </si>
  <si>
    <t>sh600015</t>
  </si>
  <si>
    <t>夏银</t>
  </si>
  <si>
    <t>sh600606</t>
  </si>
  <si>
    <t>绿地</t>
  </si>
  <si>
    <t>sh600011</t>
  </si>
  <si>
    <t>华能</t>
  </si>
  <si>
    <t>sh600048</t>
  </si>
  <si>
    <t>保地</t>
  </si>
  <si>
    <t>sh600050</t>
  </si>
  <si>
    <t>电信</t>
  </si>
  <si>
    <t>中联</t>
  </si>
  <si>
    <t>sh600276</t>
  </si>
  <si>
    <t>医药</t>
  </si>
  <si>
    <t>恒瑞</t>
  </si>
  <si>
    <t>药</t>
  </si>
  <si>
    <t>sz002252</t>
  </si>
  <si>
    <t>莱士</t>
  </si>
  <si>
    <t>sh600887</t>
  </si>
  <si>
    <t>食品</t>
  </si>
  <si>
    <t>伊利</t>
  </si>
  <si>
    <t>食</t>
  </si>
  <si>
    <t>sh601985</t>
  </si>
  <si>
    <t>机械</t>
  </si>
  <si>
    <t>核电</t>
  </si>
  <si>
    <t>械</t>
  </si>
  <si>
    <t>sz002304</t>
  </si>
  <si>
    <t>洋河</t>
  </si>
  <si>
    <t>sz002024</t>
  </si>
  <si>
    <t>百货</t>
  </si>
  <si>
    <t>苏商</t>
  </si>
  <si>
    <t>商</t>
  </si>
  <si>
    <t>sh601006</t>
  </si>
  <si>
    <t>物流</t>
  </si>
  <si>
    <t>大秦</t>
  </si>
  <si>
    <t>物</t>
  </si>
  <si>
    <t>sh600958</t>
  </si>
  <si>
    <t>东券</t>
  </si>
  <si>
    <t>sh601111</t>
  </si>
  <si>
    <t>民航</t>
  </si>
  <si>
    <t>国航</t>
  </si>
  <si>
    <t>飞</t>
  </si>
  <si>
    <t>sh601633</t>
  </si>
  <si>
    <t>长汽</t>
  </si>
  <si>
    <t>sh601669</t>
  </si>
  <si>
    <t>电建</t>
  </si>
  <si>
    <t>sh600233</t>
  </si>
  <si>
    <t>圆通</t>
  </si>
  <si>
    <t>sh600019</t>
  </si>
  <si>
    <t>钢铁</t>
  </si>
  <si>
    <t>宝钢</t>
  </si>
  <si>
    <t>钢</t>
  </si>
  <si>
    <t>sh600010</t>
  </si>
  <si>
    <t>包钢</t>
  </si>
  <si>
    <t>sh600115</t>
  </si>
  <si>
    <t>东航</t>
  </si>
  <si>
    <t>sh600585</t>
  </si>
  <si>
    <t>水泥</t>
  </si>
  <si>
    <t>海螺</t>
  </si>
  <si>
    <t>泥</t>
  </si>
  <si>
    <t>sh601898</t>
  </si>
  <si>
    <t>中煤</t>
  </si>
  <si>
    <t>sz300104</t>
  </si>
  <si>
    <t>传媒</t>
  </si>
  <si>
    <t>乐视</t>
  </si>
  <si>
    <t>传</t>
  </si>
  <si>
    <t>sz000725</t>
  </si>
  <si>
    <t>原件</t>
  </si>
  <si>
    <t>京方</t>
  </si>
  <si>
    <t>元件</t>
  </si>
  <si>
    <t>sh600518</t>
  </si>
  <si>
    <t>康美</t>
  </si>
  <si>
    <t>sh603288</t>
  </si>
  <si>
    <t>海天</t>
  </si>
  <si>
    <t>sz002558</t>
  </si>
  <si>
    <t>软件</t>
  </si>
  <si>
    <t>世游</t>
  </si>
  <si>
    <t>软</t>
  </si>
  <si>
    <t>sz002797</t>
  </si>
  <si>
    <t>一创</t>
  </si>
  <si>
    <t>sh600340</t>
  </si>
  <si>
    <t>华幸</t>
  </si>
  <si>
    <t>sh601618</t>
  </si>
  <si>
    <t>中冶</t>
  </si>
  <si>
    <t>sh600663</t>
  </si>
  <si>
    <t>陆家</t>
  </si>
  <si>
    <t>sz002739</t>
  </si>
  <si>
    <t>院线</t>
  </si>
  <si>
    <t>sh601788</t>
  </si>
  <si>
    <t>光券</t>
  </si>
  <si>
    <t>sz000625</t>
  </si>
  <si>
    <t>长安</t>
  </si>
  <si>
    <t>sz000895</t>
  </si>
  <si>
    <t>双汇</t>
  </si>
  <si>
    <t>sh600547</t>
  </si>
  <si>
    <t>贵金</t>
  </si>
  <si>
    <t>山黄</t>
  </si>
  <si>
    <t>贵</t>
  </si>
  <si>
    <t>sh600023</t>
  </si>
  <si>
    <t>浙能</t>
  </si>
  <si>
    <t>sz000538</t>
  </si>
  <si>
    <t>白药</t>
  </si>
  <si>
    <t>sz300059</t>
  </si>
  <si>
    <t>东财</t>
  </si>
  <si>
    <t>sh601899</t>
  </si>
  <si>
    <t>紫金</t>
  </si>
  <si>
    <t>sh600029</t>
  </si>
  <si>
    <t>南方</t>
  </si>
  <si>
    <t>sh601018</t>
  </si>
  <si>
    <t>宁港</t>
  </si>
  <si>
    <t>sh600893</t>
  </si>
  <si>
    <t>航空</t>
  </si>
  <si>
    <t>航力</t>
  </si>
  <si>
    <t>航</t>
  </si>
  <si>
    <t>sz002673</t>
  </si>
  <si>
    <t>西部</t>
  </si>
  <si>
    <t>sz000413</t>
  </si>
  <si>
    <t>东旭</t>
  </si>
  <si>
    <t>sz002142</t>
  </si>
  <si>
    <t>宁银</t>
  </si>
  <si>
    <t>sh601225</t>
  </si>
  <si>
    <t>陕煤</t>
  </si>
  <si>
    <t>sz002010</t>
  </si>
  <si>
    <t>化工</t>
  </si>
  <si>
    <t>传化</t>
  </si>
  <si>
    <t>化</t>
  </si>
  <si>
    <t>sh603993</t>
  </si>
  <si>
    <t>有色</t>
  </si>
  <si>
    <t>洛钼</t>
  </si>
  <si>
    <t>色</t>
  </si>
  <si>
    <t>sz000063</t>
  </si>
  <si>
    <t>通讯</t>
  </si>
  <si>
    <t>中兴</t>
  </si>
  <si>
    <t>讯</t>
  </si>
  <si>
    <t>sh601198</t>
  </si>
  <si>
    <t>东兴</t>
  </si>
  <si>
    <t>sz000938</t>
  </si>
  <si>
    <t>紫股</t>
  </si>
  <si>
    <t>sh600688</t>
  </si>
  <si>
    <t>上石</t>
  </si>
  <si>
    <t>sh601009</t>
  </si>
  <si>
    <t>南银</t>
  </si>
  <si>
    <t>sh600637</t>
  </si>
  <si>
    <t>明珠</t>
  </si>
  <si>
    <t>sh600188</t>
  </si>
  <si>
    <t>兖煤</t>
  </si>
  <si>
    <t>sz002450</t>
  </si>
  <si>
    <t>材料</t>
  </si>
  <si>
    <t>康得</t>
  </si>
  <si>
    <t>材</t>
  </si>
  <si>
    <t>sh600690</t>
  </si>
  <si>
    <t>海尔</t>
  </si>
  <si>
    <t>sh601901</t>
  </si>
  <si>
    <t>方正</t>
  </si>
  <si>
    <t>sz000768</t>
  </si>
  <si>
    <t>航飞</t>
  </si>
  <si>
    <t>sz000783</t>
  </si>
  <si>
    <t>长券</t>
  </si>
  <si>
    <t>sh600705</t>
  </si>
  <si>
    <t>多元</t>
  </si>
  <si>
    <t>航资</t>
  </si>
  <si>
    <t>融</t>
  </si>
  <si>
    <t>sh600061</t>
  </si>
  <si>
    <t>国安</t>
  </si>
  <si>
    <t>sh600926</t>
  </si>
  <si>
    <t>杭州</t>
  </si>
  <si>
    <t>sh600795</t>
  </si>
  <si>
    <t>电电</t>
  </si>
  <si>
    <t>sh601600</t>
  </si>
  <si>
    <t>中铝</t>
  </si>
  <si>
    <t>sh601808</t>
  </si>
  <si>
    <t>海服</t>
  </si>
  <si>
    <t>sz300070</t>
  </si>
  <si>
    <t>环保</t>
  </si>
  <si>
    <t>碧水</t>
  </si>
  <si>
    <t>环</t>
  </si>
  <si>
    <t>sh600482</t>
  </si>
  <si>
    <t>国动</t>
  </si>
  <si>
    <t>sz000069</t>
  </si>
  <si>
    <t>侨城</t>
  </si>
  <si>
    <t>sz000564</t>
  </si>
  <si>
    <t>供销</t>
  </si>
  <si>
    <t>sh600871</t>
  </si>
  <si>
    <t>油服</t>
  </si>
  <si>
    <t>sz300433</t>
  </si>
  <si>
    <t>蓝思</t>
  </si>
  <si>
    <t>sh600649</t>
  </si>
  <si>
    <t>城投</t>
  </si>
  <si>
    <t>sh600196</t>
  </si>
  <si>
    <t>复星</t>
  </si>
  <si>
    <t>sh601919</t>
  </si>
  <si>
    <t>中远</t>
  </si>
  <si>
    <t>sh600221</t>
  </si>
  <si>
    <t>海航</t>
  </si>
  <si>
    <t>sh600383</t>
  </si>
  <si>
    <t>金地</t>
  </si>
  <si>
    <t>sz000046</t>
  </si>
  <si>
    <t>泛海</t>
  </si>
  <si>
    <t>sh600977</t>
  </si>
  <si>
    <t>中影</t>
  </si>
  <si>
    <t>sh600485</t>
  </si>
  <si>
    <t>信威</t>
  </si>
  <si>
    <t>sh601607</t>
  </si>
  <si>
    <t>上医</t>
  </si>
  <si>
    <t>sh600009</t>
  </si>
  <si>
    <t>机场</t>
  </si>
  <si>
    <t>sh601377</t>
  </si>
  <si>
    <t>兴券</t>
  </si>
  <si>
    <t>sh600157</t>
  </si>
  <si>
    <t>永泰</t>
  </si>
  <si>
    <t>sz300072</t>
  </si>
  <si>
    <t>三聚</t>
  </si>
  <si>
    <t>sh601991</t>
  </si>
  <si>
    <t>大唐</t>
  </si>
  <si>
    <t>sh600741</t>
  </si>
  <si>
    <t>华域</t>
  </si>
  <si>
    <t>sz300017</t>
  </si>
  <si>
    <t>网宿</t>
  </si>
  <si>
    <t>sh600362</t>
  </si>
  <si>
    <t>江铜</t>
  </si>
  <si>
    <t>sh600515</t>
  </si>
  <si>
    <t>海基</t>
  </si>
  <si>
    <t>sh600398</t>
  </si>
  <si>
    <t>纺织</t>
  </si>
  <si>
    <t>海澜</t>
  </si>
  <si>
    <t>纺</t>
  </si>
  <si>
    <t>sh600027</t>
  </si>
  <si>
    <t>华电</t>
  </si>
  <si>
    <t>sh600703</t>
  </si>
  <si>
    <t>三安</t>
  </si>
  <si>
    <t>sz000568</t>
  </si>
  <si>
    <t>泸窖</t>
  </si>
  <si>
    <t>sh601866</t>
  </si>
  <si>
    <t>海发</t>
  </si>
  <si>
    <t>sh600297</t>
  </si>
  <si>
    <t>汇汽</t>
  </si>
  <si>
    <t>sh600066</t>
  </si>
  <si>
    <t>宇通</t>
  </si>
  <si>
    <t>sz002241</t>
  </si>
  <si>
    <t>歌尔</t>
  </si>
  <si>
    <t>sz002475</t>
  </si>
  <si>
    <t>立讯</t>
  </si>
  <si>
    <t>sh601992</t>
  </si>
  <si>
    <t>金隅</t>
  </si>
  <si>
    <t>sh600309</t>
  </si>
  <si>
    <t>万华</t>
  </si>
  <si>
    <t>sh600377</t>
  </si>
  <si>
    <t>高速</t>
  </si>
  <si>
    <t>宁速</t>
  </si>
  <si>
    <t>速</t>
  </si>
  <si>
    <t>sh600031</t>
  </si>
  <si>
    <t>三一</t>
  </si>
  <si>
    <t>sh600111</t>
  </si>
  <si>
    <t>北稀</t>
  </si>
  <si>
    <t>sh600886</t>
  </si>
  <si>
    <t>投电</t>
  </si>
  <si>
    <t>sz000415</t>
  </si>
  <si>
    <t>渤海</t>
  </si>
  <si>
    <t>sz002624</t>
  </si>
  <si>
    <t>完美</t>
  </si>
  <si>
    <t>sh600535</t>
  </si>
  <si>
    <t>天士</t>
  </si>
  <si>
    <t>sz000503</t>
  </si>
  <si>
    <t>海虹</t>
  </si>
  <si>
    <t>sz002202</t>
  </si>
  <si>
    <t>金风</t>
  </si>
  <si>
    <t>sh600660</t>
  </si>
  <si>
    <t>玻璃</t>
  </si>
  <si>
    <t>福耀</t>
  </si>
  <si>
    <t>璃</t>
  </si>
  <si>
    <t>sh601888</t>
  </si>
  <si>
    <t>旅游</t>
  </si>
  <si>
    <t>中旅</t>
  </si>
  <si>
    <t>旅</t>
  </si>
  <si>
    <t>sz000839</t>
  </si>
  <si>
    <t>信安</t>
  </si>
  <si>
    <t>sh601216</t>
  </si>
  <si>
    <t>君正</t>
  </si>
  <si>
    <t>sh601611</t>
  </si>
  <si>
    <t>核建</t>
  </si>
  <si>
    <t>sh600085</t>
  </si>
  <si>
    <t>同仁</t>
  </si>
  <si>
    <t>sh601933</t>
  </si>
  <si>
    <t>永辉</t>
  </si>
  <si>
    <t>sh601555</t>
  </si>
  <si>
    <t>东吴</t>
  </si>
  <si>
    <t>sz000728</t>
  </si>
  <si>
    <t>国元</t>
  </si>
  <si>
    <t>sz002236</t>
  </si>
  <si>
    <t>大华</t>
  </si>
  <si>
    <t>sh600100</t>
  </si>
  <si>
    <t>同方</t>
  </si>
  <si>
    <t>sh600415</t>
  </si>
  <si>
    <t>小商</t>
  </si>
  <si>
    <t>sh600600</t>
  </si>
  <si>
    <t>青啤</t>
  </si>
  <si>
    <t>sh600489</t>
  </si>
  <si>
    <t>中黄</t>
  </si>
  <si>
    <t>sz000039</t>
  </si>
  <si>
    <t>金属</t>
  </si>
  <si>
    <t>中集</t>
  </si>
  <si>
    <t>金</t>
  </si>
  <si>
    <t>sz000100</t>
  </si>
  <si>
    <t>TC</t>
  </si>
  <si>
    <t>sh600369</t>
  </si>
  <si>
    <t>西南</t>
  </si>
  <si>
    <t>sz002280</t>
  </si>
  <si>
    <t>联络</t>
  </si>
  <si>
    <t>sh600271</t>
  </si>
  <si>
    <t>航信</t>
  </si>
  <si>
    <t>sh600332</t>
  </si>
  <si>
    <t>白云</t>
  </si>
  <si>
    <t>sz002411</t>
  </si>
  <si>
    <t>必康</t>
  </si>
  <si>
    <t>sz002456</t>
  </si>
  <si>
    <t>欧菲</t>
  </si>
  <si>
    <t>sh600959</t>
  </si>
  <si>
    <t>江有</t>
  </si>
  <si>
    <t>sh600685</t>
  </si>
  <si>
    <t>中船</t>
  </si>
  <si>
    <t>sh600109</t>
  </si>
  <si>
    <t>国金</t>
  </si>
  <si>
    <t>sh600623</t>
  </si>
  <si>
    <t>华集</t>
  </si>
  <si>
    <t>sh600208</t>
  </si>
  <si>
    <t>新湖</t>
  </si>
  <si>
    <t>sh600406</t>
  </si>
  <si>
    <t>国南</t>
  </si>
  <si>
    <t>sz000723</t>
  </si>
  <si>
    <t>美锦</t>
  </si>
  <si>
    <t>sh600236</t>
  </si>
  <si>
    <t>桂冠</t>
  </si>
  <si>
    <t>sz002555</t>
  </si>
  <si>
    <t>三七</t>
  </si>
  <si>
    <t>sh600715</t>
  </si>
  <si>
    <t>文投</t>
  </si>
  <si>
    <t>sz002085</t>
  </si>
  <si>
    <t>万丰</t>
  </si>
  <si>
    <t>sz002500</t>
  </si>
  <si>
    <t>山西</t>
  </si>
  <si>
    <t>sh600816</t>
  </si>
  <si>
    <t>安信</t>
  </si>
  <si>
    <t>sz002466</t>
  </si>
  <si>
    <t>天齐</t>
  </si>
  <si>
    <t>sh600068</t>
  </si>
  <si>
    <t>葛洲</t>
  </si>
  <si>
    <t>sh600074</t>
  </si>
  <si>
    <t>保千</t>
  </si>
  <si>
    <t>sz002230</t>
  </si>
  <si>
    <t>科大</t>
  </si>
  <si>
    <t>sz300033</t>
  </si>
  <si>
    <t>同花</t>
  </si>
  <si>
    <t>sh600674</t>
  </si>
  <si>
    <t>川投</t>
  </si>
  <si>
    <t>sz002310</t>
  </si>
  <si>
    <t>园林</t>
  </si>
  <si>
    <t>东园</t>
  </si>
  <si>
    <t>园</t>
  </si>
  <si>
    <t>sz000338</t>
  </si>
  <si>
    <t>潍柴</t>
  </si>
  <si>
    <t>sz000423</t>
  </si>
  <si>
    <t>东阿</t>
  </si>
  <si>
    <t>sh600118</t>
  </si>
  <si>
    <t>中卫</t>
  </si>
  <si>
    <t>sz002493</t>
  </si>
  <si>
    <t>化纤</t>
  </si>
  <si>
    <t>荣石</t>
  </si>
  <si>
    <t>纤</t>
  </si>
  <si>
    <t>sh601106</t>
  </si>
  <si>
    <t>中一</t>
  </si>
  <si>
    <t>sh601966</t>
  </si>
  <si>
    <t>玲珑</t>
  </si>
  <si>
    <t>sh600299</t>
  </si>
  <si>
    <t>农药</t>
  </si>
  <si>
    <t>安迪</t>
  </si>
  <si>
    <t>兽</t>
  </si>
  <si>
    <t>sh601158</t>
  </si>
  <si>
    <t>公用</t>
  </si>
  <si>
    <t>重水</t>
  </si>
  <si>
    <t>公</t>
  </si>
  <si>
    <t>sh600177</t>
  </si>
  <si>
    <t>雅戈</t>
  </si>
  <si>
    <t>sz300024</t>
  </si>
  <si>
    <t>机器</t>
  </si>
  <si>
    <t>sz002773</t>
  </si>
  <si>
    <t>康弘</t>
  </si>
  <si>
    <t>sh600570</t>
  </si>
  <si>
    <t>恒生</t>
  </si>
  <si>
    <t>sz002292</t>
  </si>
  <si>
    <t>奥飞</t>
  </si>
  <si>
    <t>sh601997</t>
  </si>
  <si>
    <t>贵银</t>
  </si>
  <si>
    <t>sh600998</t>
  </si>
  <si>
    <t>九州</t>
  </si>
  <si>
    <t>sh601801</t>
  </si>
  <si>
    <t>皖新</t>
  </si>
  <si>
    <t>sz300144</t>
  </si>
  <si>
    <t>宋城</t>
  </si>
  <si>
    <t>sz002075</t>
  </si>
  <si>
    <t>沙钢</t>
  </si>
  <si>
    <t>sz000792</t>
  </si>
  <si>
    <t>盐湖</t>
  </si>
  <si>
    <t>sz000963</t>
  </si>
  <si>
    <t>华东</t>
  </si>
  <si>
    <t>sh601099</t>
  </si>
  <si>
    <t>太平</t>
  </si>
  <si>
    <t>sh601021</t>
  </si>
  <si>
    <t>春秋</t>
  </si>
  <si>
    <t>sz000408</t>
  </si>
  <si>
    <t>化肥</t>
  </si>
  <si>
    <t>金源</t>
  </si>
  <si>
    <t>肥</t>
  </si>
  <si>
    <t>sz002146</t>
  </si>
  <si>
    <t>荣发</t>
  </si>
  <si>
    <t>sz002180</t>
  </si>
  <si>
    <t>艾派</t>
  </si>
  <si>
    <t>sh601811</t>
  </si>
  <si>
    <t>文轩</t>
  </si>
  <si>
    <t>sz300027</t>
  </si>
  <si>
    <t>华兄</t>
  </si>
  <si>
    <t>sz000627</t>
  </si>
  <si>
    <t>天茂</t>
  </si>
  <si>
    <t>sz000961</t>
  </si>
  <si>
    <t>南建</t>
  </si>
  <si>
    <t>sz000157</t>
  </si>
  <si>
    <t>重科</t>
  </si>
  <si>
    <t>sz300015</t>
  </si>
  <si>
    <t>爱尔</t>
  </si>
  <si>
    <t>sh600867</t>
  </si>
  <si>
    <t>通化</t>
  </si>
  <si>
    <t>sh600372</t>
  </si>
  <si>
    <t>航电</t>
  </si>
  <si>
    <t>sz000559</t>
  </si>
  <si>
    <t>万向</t>
  </si>
  <si>
    <t>sz002065</t>
  </si>
  <si>
    <t>华软</t>
  </si>
  <si>
    <t>sz000959</t>
  </si>
  <si>
    <t>首钢</t>
  </si>
  <si>
    <t>sz000876</t>
  </si>
  <si>
    <t>新希</t>
  </si>
  <si>
    <t>sh600588</t>
  </si>
  <si>
    <t>用友</t>
  </si>
  <si>
    <t>sz002007</t>
  </si>
  <si>
    <t>华兰</t>
  </si>
  <si>
    <t>sz000402</t>
  </si>
  <si>
    <t>融街</t>
  </si>
  <si>
    <t>sz002044</t>
  </si>
  <si>
    <t>医疗</t>
  </si>
  <si>
    <t>美年</t>
  </si>
  <si>
    <t>疗</t>
  </si>
  <si>
    <t>sz000709</t>
  </si>
  <si>
    <t>河钢</t>
  </si>
  <si>
    <t>sz000898</t>
  </si>
  <si>
    <t>鞍钢</t>
  </si>
  <si>
    <t>sh601098</t>
  </si>
  <si>
    <t>南传</t>
  </si>
  <si>
    <t>sz300124</t>
  </si>
  <si>
    <t>仪表</t>
  </si>
  <si>
    <t>汇川</t>
  </si>
  <si>
    <t>表</t>
  </si>
  <si>
    <t>sh603885</t>
  </si>
  <si>
    <t>吉祥</t>
  </si>
  <si>
    <t>sz002424</t>
  </si>
  <si>
    <t>贵百</t>
  </si>
  <si>
    <t>sh601163</t>
  </si>
  <si>
    <t>塑胶</t>
  </si>
  <si>
    <t>三角</t>
  </si>
  <si>
    <t>塑</t>
  </si>
  <si>
    <t>sh600820</t>
  </si>
  <si>
    <t>隧道</t>
  </si>
  <si>
    <t>sh601718</t>
  </si>
  <si>
    <t>际华</t>
  </si>
  <si>
    <t>sz000987</t>
  </si>
  <si>
    <t>越秀</t>
  </si>
  <si>
    <t>sz300251</t>
  </si>
  <si>
    <t>光线</t>
  </si>
  <si>
    <t>sz300003</t>
  </si>
  <si>
    <t>乐普</t>
  </si>
  <si>
    <t>sh600150</t>
  </si>
  <si>
    <t>sh600170</t>
  </si>
  <si>
    <t>上建</t>
  </si>
  <si>
    <t>sh600583</t>
  </si>
  <si>
    <t>海油</t>
  </si>
  <si>
    <t>sz000983</t>
  </si>
  <si>
    <t>西山</t>
  </si>
  <si>
    <t>sh600373</t>
  </si>
  <si>
    <t>文媒</t>
  </si>
  <si>
    <t>sh601880</t>
  </si>
  <si>
    <t>连港</t>
  </si>
  <si>
    <t>sh600153</t>
  </si>
  <si>
    <t>建发</t>
  </si>
  <si>
    <t>sz000540</t>
  </si>
  <si>
    <t>中天</t>
  </si>
  <si>
    <t>sh601333</t>
  </si>
  <si>
    <t>广铁</t>
  </si>
  <si>
    <t>sz300408</t>
  </si>
  <si>
    <t>三环</t>
  </si>
  <si>
    <t>sz002294</t>
  </si>
  <si>
    <t>信立</t>
  </si>
  <si>
    <t>sh600804</t>
  </si>
  <si>
    <t>鹏博</t>
  </si>
  <si>
    <t>sz000738</t>
  </si>
  <si>
    <t>航控</t>
  </si>
  <si>
    <t>sz000883</t>
  </si>
  <si>
    <t>湖能</t>
  </si>
  <si>
    <t>sh600376</t>
  </si>
  <si>
    <t>首开</t>
  </si>
  <si>
    <t>sz000750</t>
  </si>
  <si>
    <t>国海</t>
  </si>
  <si>
    <t>sz000686</t>
  </si>
  <si>
    <t>东北</t>
  </si>
  <si>
    <t>sz002506</t>
  </si>
  <si>
    <t>协鑫</t>
  </si>
  <si>
    <t>sz002074</t>
  </si>
  <si>
    <t>国轩</t>
  </si>
  <si>
    <t>sh600350</t>
  </si>
  <si>
    <t>山高</t>
  </si>
  <si>
    <t>sz002385</t>
  </si>
  <si>
    <t>大北</t>
  </si>
  <si>
    <t>sz002081</t>
  </si>
  <si>
    <t>装修</t>
  </si>
  <si>
    <t>金螳</t>
  </si>
  <si>
    <t>饰</t>
  </si>
  <si>
    <t>sh600739</t>
  </si>
  <si>
    <t>成大</t>
  </si>
  <si>
    <t>sh600352</t>
  </si>
  <si>
    <t>龙盛</t>
  </si>
  <si>
    <t>sz300182</t>
  </si>
  <si>
    <t>捷成</t>
  </si>
  <si>
    <t>sz002426</t>
  </si>
  <si>
    <t>胜利</t>
  </si>
  <si>
    <t>sh600704</t>
  </si>
  <si>
    <t>国贸</t>
  </si>
  <si>
    <t>物产</t>
  </si>
  <si>
    <t>贸</t>
  </si>
  <si>
    <t>sz300267</t>
  </si>
  <si>
    <t>尔康</t>
  </si>
  <si>
    <t>sh600754</t>
  </si>
  <si>
    <t>锦江</t>
  </si>
  <si>
    <t>sh601117</t>
  </si>
  <si>
    <t>国化</t>
  </si>
  <si>
    <t>sh603160</t>
  </si>
  <si>
    <t>汇顶</t>
  </si>
  <si>
    <t>sz000887</t>
  </si>
  <si>
    <t>中鼎</t>
  </si>
  <si>
    <t>sz002299</t>
  </si>
  <si>
    <t>圣农</t>
  </si>
  <si>
    <t>sh600498</t>
  </si>
  <si>
    <t>烽火</t>
  </si>
  <si>
    <t>sh600436</t>
  </si>
  <si>
    <t>片仔</t>
  </si>
  <si>
    <t>sz002601</t>
  </si>
  <si>
    <t>佰利</t>
  </si>
  <si>
    <t>sz000826</t>
  </si>
  <si>
    <t>启迪</t>
  </si>
  <si>
    <t>sz300122</t>
  </si>
  <si>
    <t>智飞</t>
  </si>
  <si>
    <t>sz002640</t>
  </si>
  <si>
    <t>境通</t>
  </si>
  <si>
    <t>sh600089</t>
  </si>
  <si>
    <t>特变</t>
  </si>
  <si>
    <t>sh600522</t>
  </si>
  <si>
    <t>中科</t>
  </si>
  <si>
    <t>sh601877</t>
  </si>
  <si>
    <t>正泰</t>
  </si>
  <si>
    <t>sz300418</t>
  </si>
  <si>
    <t>昆仑</t>
  </si>
  <si>
    <t>sh601872</t>
  </si>
  <si>
    <t>招轮</t>
  </si>
  <si>
    <t>sh601928</t>
  </si>
  <si>
    <t>凤凰</t>
  </si>
  <si>
    <t>sh600895</t>
  </si>
  <si>
    <t>张江</t>
  </si>
  <si>
    <t>sz002143</t>
  </si>
  <si>
    <t>印纪</t>
  </si>
  <si>
    <t>sh600549</t>
  </si>
  <si>
    <t>厦钨</t>
  </si>
  <si>
    <t>sz002563</t>
  </si>
  <si>
    <t>森马</t>
  </si>
  <si>
    <t>sz002508</t>
  </si>
  <si>
    <t>老板</t>
  </si>
  <si>
    <t>sh601179</t>
  </si>
  <si>
    <t>西电</t>
  </si>
  <si>
    <t>sz002013</t>
  </si>
  <si>
    <t>航机</t>
  </si>
  <si>
    <t>sz000008</t>
  </si>
  <si>
    <t>神铁</t>
  </si>
  <si>
    <t>sz002670</t>
  </si>
  <si>
    <t>国盛</t>
  </si>
  <si>
    <t>sh601012</t>
  </si>
  <si>
    <t>隆基</t>
  </si>
  <si>
    <t>sz000718</t>
  </si>
  <si>
    <t>苏环</t>
  </si>
  <si>
    <t>sz002131</t>
  </si>
  <si>
    <t>利欧</t>
  </si>
  <si>
    <t>sz002602</t>
  </si>
  <si>
    <t>世华</t>
  </si>
  <si>
    <t>sz002572</t>
  </si>
  <si>
    <t>木业</t>
  </si>
  <si>
    <t>索菲</t>
  </si>
  <si>
    <t>木</t>
  </si>
  <si>
    <t>sz000539</t>
  </si>
  <si>
    <t>粤电</t>
  </si>
  <si>
    <t>sz000156</t>
  </si>
  <si>
    <t>华数</t>
  </si>
  <si>
    <t>sh600026</t>
  </si>
  <si>
    <t>海能</t>
  </si>
  <si>
    <t>sz300459</t>
  </si>
  <si>
    <t>金娱</t>
  </si>
  <si>
    <t>sz002465</t>
  </si>
  <si>
    <t>海格</t>
  </si>
  <si>
    <t>sh600654</t>
  </si>
  <si>
    <t>安消</t>
  </si>
  <si>
    <t>sz000027</t>
  </si>
  <si>
    <t>深能</t>
  </si>
  <si>
    <t>sh600642</t>
  </si>
  <si>
    <t>申能</t>
  </si>
  <si>
    <t>sz300156</t>
  </si>
  <si>
    <t>神雾</t>
  </si>
  <si>
    <t>sh600566</t>
  </si>
  <si>
    <t>济川</t>
  </si>
  <si>
    <t>sh600521</t>
  </si>
  <si>
    <t>华海</t>
  </si>
  <si>
    <t>sz002517</t>
  </si>
  <si>
    <t>恺英</t>
  </si>
  <si>
    <t>sz300315</t>
  </si>
  <si>
    <t>掌趣</t>
  </si>
  <si>
    <t>sz000050</t>
  </si>
  <si>
    <t>天马</t>
  </si>
  <si>
    <t>sh600176</t>
  </si>
  <si>
    <t>巨石</t>
  </si>
  <si>
    <t>sz002153</t>
  </si>
  <si>
    <t>石基</t>
  </si>
  <si>
    <t>sz002183</t>
  </si>
  <si>
    <t>怡通</t>
  </si>
  <si>
    <t>sh600079</t>
  </si>
  <si>
    <t>人福</t>
  </si>
  <si>
    <t>sh601699</t>
  </si>
  <si>
    <t>潞安</t>
  </si>
  <si>
    <t>sh600751</t>
  </si>
  <si>
    <t>天海</t>
  </si>
  <si>
    <t>sz300296</t>
  </si>
  <si>
    <t>利亚</t>
  </si>
  <si>
    <t>sz000028</t>
  </si>
  <si>
    <t>国药</t>
  </si>
  <si>
    <t>sz300116</t>
  </si>
  <si>
    <t>坚瑞</t>
  </si>
  <si>
    <t>sz000630</t>
  </si>
  <si>
    <t>铜陵</t>
  </si>
  <si>
    <t>sz000999</t>
  </si>
  <si>
    <t>华润</t>
  </si>
  <si>
    <t>sh601958</t>
  </si>
  <si>
    <t>金钼</t>
  </si>
  <si>
    <t>sz000869</t>
  </si>
  <si>
    <t>张裕</t>
  </si>
  <si>
    <t>sh600497</t>
  </si>
  <si>
    <t>驰宏</t>
  </si>
  <si>
    <t>sz002714</t>
  </si>
  <si>
    <t>牧原</t>
  </si>
  <si>
    <t>sh600038</t>
  </si>
  <si>
    <t>中直</t>
  </si>
  <si>
    <t>sh600446</t>
  </si>
  <si>
    <t>金证</t>
  </si>
  <si>
    <t>sh603515</t>
  </si>
  <si>
    <t>欧普</t>
  </si>
  <si>
    <t>sz300159</t>
  </si>
  <si>
    <t>新研</t>
  </si>
  <si>
    <t>sz000981</t>
  </si>
  <si>
    <t>银亿</t>
  </si>
  <si>
    <t>sz300115</t>
  </si>
  <si>
    <t>长盈</t>
  </si>
  <si>
    <t>sh601128</t>
  </si>
  <si>
    <t>常银</t>
  </si>
  <si>
    <t>sh600021</t>
  </si>
  <si>
    <t>上力</t>
  </si>
  <si>
    <t>sz002815</t>
  </si>
  <si>
    <t>崇达</t>
  </si>
  <si>
    <t>sh600487</t>
  </si>
  <si>
    <t>亨通</t>
  </si>
  <si>
    <t>sh601127</t>
  </si>
  <si>
    <t>小康</t>
  </si>
  <si>
    <t>sh601155</t>
  </si>
  <si>
    <t>新城</t>
  </si>
  <si>
    <t>sz002219</t>
  </si>
  <si>
    <t>恒康</t>
  </si>
  <si>
    <t>sh601118</t>
  </si>
  <si>
    <t>海橡</t>
  </si>
  <si>
    <t>sh600936</t>
  </si>
  <si>
    <t>广西</t>
  </si>
  <si>
    <t>sh600418</t>
  </si>
  <si>
    <t>江淮</t>
  </si>
  <si>
    <t>sz000555</t>
  </si>
  <si>
    <t>神信</t>
  </si>
  <si>
    <t>sz000536</t>
  </si>
  <si>
    <t>华映</t>
  </si>
  <si>
    <t>sz002422</t>
  </si>
  <si>
    <t>科伦</t>
  </si>
  <si>
    <t>sz000671</t>
  </si>
  <si>
    <t>阳光</t>
  </si>
  <si>
    <t>sz002152</t>
  </si>
  <si>
    <t>广电</t>
  </si>
  <si>
    <t>sz000998</t>
  </si>
  <si>
    <t>隆平</t>
  </si>
  <si>
    <t>sh603658</t>
  </si>
  <si>
    <t>安图</t>
  </si>
  <si>
    <t>sh601231</t>
  </si>
  <si>
    <t>环旭</t>
  </si>
  <si>
    <t>sz000513</t>
  </si>
  <si>
    <t>丽珠</t>
  </si>
  <si>
    <t>sh600687</t>
  </si>
  <si>
    <t>刚泰</t>
  </si>
  <si>
    <t>sz300529</t>
  </si>
  <si>
    <t>健帆</t>
  </si>
  <si>
    <t>sz002008</t>
  </si>
  <si>
    <t>大族</t>
  </si>
  <si>
    <t>sz000596</t>
  </si>
  <si>
    <t>古井</t>
  </si>
  <si>
    <t>sh600908</t>
  </si>
  <si>
    <t>无锡</t>
  </si>
  <si>
    <t>sh600864</t>
  </si>
  <si>
    <t>哈投</t>
  </si>
  <si>
    <t>sz300136</t>
  </si>
  <si>
    <t>信维</t>
  </si>
  <si>
    <t>sh600682</t>
  </si>
  <si>
    <t>南新</t>
  </si>
  <si>
    <t>sz002001</t>
  </si>
  <si>
    <t>新和</t>
  </si>
  <si>
    <t>sz000012</t>
  </si>
  <si>
    <t>南玻</t>
  </si>
  <si>
    <t>sh600126</t>
  </si>
  <si>
    <t>杭钢</t>
  </si>
  <si>
    <t>sz000623</t>
  </si>
  <si>
    <t>吉林</t>
  </si>
  <si>
    <t>sh603816</t>
  </si>
  <si>
    <t>顾家</t>
  </si>
  <si>
    <t>sz300383</t>
  </si>
  <si>
    <t>光环</t>
  </si>
  <si>
    <t>sz000581</t>
  </si>
  <si>
    <t>威孚</t>
  </si>
  <si>
    <t>sh600737</t>
  </si>
  <si>
    <t>中粮</t>
  </si>
  <si>
    <t>sz000060</t>
  </si>
  <si>
    <t>中岭</t>
  </si>
  <si>
    <t>sz002249</t>
  </si>
  <si>
    <t>大洋</t>
  </si>
  <si>
    <t>sz002179</t>
  </si>
  <si>
    <t>中光</t>
  </si>
  <si>
    <t>sz000977</t>
  </si>
  <si>
    <t>浪潮</t>
  </si>
  <si>
    <t>sz002470</t>
  </si>
  <si>
    <t>金正</t>
  </si>
  <si>
    <t>sz002460</t>
  </si>
  <si>
    <t>赣锋</t>
  </si>
  <si>
    <t>sz002405</t>
  </si>
  <si>
    <t>四维</t>
  </si>
  <si>
    <t>sz000550</t>
  </si>
  <si>
    <t>江铃</t>
  </si>
  <si>
    <t>sz000937</t>
  </si>
  <si>
    <t>冀中</t>
  </si>
  <si>
    <t>sz300133</t>
  </si>
  <si>
    <t>华策</t>
  </si>
  <si>
    <t>sz002311</t>
  </si>
  <si>
    <t>海大</t>
  </si>
  <si>
    <t>sz002174</t>
  </si>
  <si>
    <t>游族</t>
  </si>
  <si>
    <t>sh601608</t>
  </si>
  <si>
    <t>信重</t>
  </si>
  <si>
    <t>sz300266</t>
  </si>
  <si>
    <t>兴源</t>
  </si>
  <si>
    <t>sz002807</t>
  </si>
  <si>
    <t>江阴</t>
  </si>
  <si>
    <t>sz002217</t>
  </si>
  <si>
    <t>合力</t>
  </si>
  <si>
    <t>sz300134</t>
  </si>
  <si>
    <t>大富</t>
  </si>
  <si>
    <t>sz002399</t>
  </si>
  <si>
    <t>海普</t>
  </si>
  <si>
    <t>sh600699</t>
  </si>
  <si>
    <t>均胜</t>
  </si>
  <si>
    <t>sz000732</t>
  </si>
  <si>
    <t>泰禾</t>
  </si>
  <si>
    <t>sz002366</t>
  </si>
  <si>
    <t>台海</t>
  </si>
  <si>
    <t>sh600827</t>
  </si>
  <si>
    <t>百联</t>
  </si>
  <si>
    <t>sz000563</t>
  </si>
  <si>
    <t>陕国</t>
  </si>
  <si>
    <t>sz002032</t>
  </si>
  <si>
    <t>苏泊</t>
  </si>
  <si>
    <t>sh600664</t>
  </si>
  <si>
    <t>哈药</t>
  </si>
  <si>
    <t>sz002701</t>
  </si>
  <si>
    <t>奥金</t>
  </si>
  <si>
    <t>sz002589</t>
  </si>
  <si>
    <t>瑞康</t>
  </si>
  <si>
    <t>sz002223</t>
  </si>
  <si>
    <t>鱼跃</t>
  </si>
  <si>
    <t>sh600648</t>
  </si>
  <si>
    <t>外高</t>
  </si>
  <si>
    <t>sz000425</t>
  </si>
  <si>
    <t>徐工</t>
  </si>
  <si>
    <t>sz300324</t>
  </si>
  <si>
    <t>旋极</t>
  </si>
  <si>
    <t>sz300113</t>
  </si>
  <si>
    <t>顺网</t>
  </si>
  <si>
    <t>sz300168</t>
  </si>
  <si>
    <t>万信</t>
  </si>
  <si>
    <t>sz000629</t>
  </si>
  <si>
    <t>sh600037</t>
  </si>
  <si>
    <t>歌华</t>
  </si>
  <si>
    <t>sz000917</t>
  </si>
  <si>
    <t>电广</t>
  </si>
  <si>
    <t>sh600317</t>
  </si>
  <si>
    <t>营口</t>
  </si>
  <si>
    <t>sh600098</t>
  </si>
  <si>
    <t>广展</t>
  </si>
  <si>
    <t>sh600875</t>
  </si>
  <si>
    <t>东电</t>
  </si>
  <si>
    <t>sh600917</t>
  </si>
  <si>
    <t>重燃</t>
  </si>
  <si>
    <t>sz002195</t>
  </si>
  <si>
    <t>二五</t>
  </si>
  <si>
    <t>sz000825</t>
  </si>
  <si>
    <t>太钢</t>
  </si>
  <si>
    <t>sz000793</t>
  </si>
  <si>
    <t>华闻</t>
  </si>
  <si>
    <t>sh600094</t>
  </si>
  <si>
    <t>名城</t>
  </si>
  <si>
    <t>sz000009</t>
  </si>
  <si>
    <t>宝安</t>
  </si>
  <si>
    <t>sh600219</t>
  </si>
  <si>
    <t>南铝</t>
  </si>
  <si>
    <t>sh600160</t>
  </si>
  <si>
    <t>巨化股份</t>
  </si>
  <si>
    <t>巨化</t>
  </si>
  <si>
    <t>sh600060</t>
  </si>
  <si>
    <t>海信</t>
  </si>
  <si>
    <t>sz002092</t>
  </si>
  <si>
    <t>中泰</t>
  </si>
  <si>
    <t>sh600320</t>
  </si>
  <si>
    <t>振华</t>
  </si>
  <si>
    <t>sh600256</t>
  </si>
  <si>
    <t>广能</t>
  </si>
  <si>
    <t>sz002491</t>
  </si>
  <si>
    <t>通鼎</t>
  </si>
  <si>
    <t>sz000935</t>
  </si>
  <si>
    <t>双马</t>
  </si>
  <si>
    <t>sz000729</t>
  </si>
  <si>
    <t>燕京</t>
  </si>
  <si>
    <t>sh601969</t>
  </si>
  <si>
    <t>海矿</t>
  </si>
  <si>
    <t>sz000547</t>
  </si>
  <si>
    <t>航发</t>
  </si>
  <si>
    <t>sz002354</t>
  </si>
  <si>
    <t>天神</t>
  </si>
  <si>
    <t>sz002129</t>
  </si>
  <si>
    <t>中环</t>
  </si>
  <si>
    <t>sz002049</t>
  </si>
  <si>
    <t>紫芯</t>
  </si>
  <si>
    <t>sh600718</t>
  </si>
  <si>
    <t>东软</t>
  </si>
  <si>
    <t>sh603000</t>
  </si>
  <si>
    <t>民网</t>
  </si>
  <si>
    <t>sh600346</t>
  </si>
  <si>
    <t>恒力</t>
  </si>
  <si>
    <t>sh600435</t>
  </si>
  <si>
    <t>北导</t>
  </si>
  <si>
    <t>sz002583</t>
  </si>
  <si>
    <t>sh600291</t>
  </si>
  <si>
    <t>西水</t>
  </si>
  <si>
    <t>sh600666</t>
  </si>
  <si>
    <t>奥德</t>
  </si>
  <si>
    <t>sh600835</t>
  </si>
  <si>
    <t>上机</t>
  </si>
  <si>
    <t>sh600808</t>
  </si>
  <si>
    <t>马钢</t>
  </si>
  <si>
    <t>sh603421</t>
  </si>
  <si>
    <t>鼎信</t>
  </si>
  <si>
    <t>sh600056</t>
  </si>
  <si>
    <t>sh600639</t>
  </si>
  <si>
    <t>金桥</t>
  </si>
  <si>
    <t>sz002221</t>
  </si>
  <si>
    <t>东能</t>
  </si>
  <si>
    <t>sz002051</t>
  </si>
  <si>
    <t>中工</t>
  </si>
  <si>
    <t>sz000813</t>
  </si>
  <si>
    <t>德展</t>
  </si>
  <si>
    <t>sh600612</t>
  </si>
  <si>
    <t>珠宝</t>
  </si>
  <si>
    <t>老凤</t>
  </si>
  <si>
    <t>珠</t>
  </si>
  <si>
    <t>sz000989</t>
  </si>
  <si>
    <t>九芝</t>
  </si>
  <si>
    <t>sh600848</t>
  </si>
  <si>
    <t>上临</t>
  </si>
  <si>
    <t>sh600012</t>
  </si>
  <si>
    <t>皖通</t>
  </si>
  <si>
    <t>sz000656</t>
  </si>
  <si>
    <t>科股</t>
  </si>
  <si>
    <t>sz000662</t>
  </si>
  <si>
    <t>天夏</t>
  </si>
  <si>
    <t>sh600500</t>
  </si>
  <si>
    <t>中化</t>
  </si>
  <si>
    <t>sz002568</t>
  </si>
  <si>
    <t>百润</t>
  </si>
  <si>
    <t>sh603019</t>
  </si>
  <si>
    <t>中曙</t>
  </si>
  <si>
    <t>sh600053</t>
  </si>
  <si>
    <t>九鼎</t>
  </si>
  <si>
    <t>sz300496</t>
  </si>
  <si>
    <t>创达</t>
  </si>
  <si>
    <t>sz300058</t>
  </si>
  <si>
    <t>蓝标</t>
  </si>
  <si>
    <t>sz002407</t>
  </si>
  <si>
    <t>多氟</t>
  </si>
  <si>
    <t>sz002147</t>
  </si>
  <si>
    <t>圆成</t>
  </si>
  <si>
    <t>sh600161</t>
  </si>
  <si>
    <t>坛生</t>
  </si>
  <si>
    <t>sz002271</t>
  </si>
  <si>
    <t>雨虹</t>
  </si>
  <si>
    <t>sz002244</t>
  </si>
  <si>
    <t>滨江</t>
  </si>
  <si>
    <t>sh603077</t>
  </si>
  <si>
    <t>和邦</t>
  </si>
  <si>
    <t>sz000061</t>
  </si>
  <si>
    <t>农产</t>
  </si>
  <si>
    <t>sh600758</t>
  </si>
  <si>
    <t>红阳</t>
  </si>
  <si>
    <t>sz000960</t>
  </si>
  <si>
    <t>锡业</t>
  </si>
  <si>
    <t>sh601139</t>
  </si>
  <si>
    <t>深燃</t>
  </si>
  <si>
    <t>sh600266</t>
  </si>
  <si>
    <t>京建</t>
  </si>
  <si>
    <t>sz002340</t>
  </si>
  <si>
    <t>格林</t>
  </si>
  <si>
    <t>sz002038</t>
  </si>
  <si>
    <t>双鹭</t>
  </si>
  <si>
    <t>sh603589</t>
  </si>
  <si>
    <t>口窖</t>
  </si>
  <si>
    <t>sz000418</t>
  </si>
  <si>
    <t>天鹅</t>
  </si>
  <si>
    <t>sh600022</t>
  </si>
  <si>
    <t>山钢</t>
  </si>
  <si>
    <t>sh601016</t>
  </si>
  <si>
    <t>节能</t>
  </si>
  <si>
    <t>sz002619</t>
  </si>
  <si>
    <t>巨龙</t>
  </si>
  <si>
    <t>sh603868</t>
  </si>
  <si>
    <t>飞科</t>
  </si>
  <si>
    <t>sz300002</t>
  </si>
  <si>
    <t>神泰</t>
  </si>
  <si>
    <t>sh600438</t>
  </si>
  <si>
    <t>通威</t>
  </si>
  <si>
    <t>sh600823</t>
  </si>
  <si>
    <t>世茂</t>
  </si>
  <si>
    <t>sh600008</t>
  </si>
  <si>
    <t>首创</t>
  </si>
  <si>
    <t>sh600811</t>
  </si>
  <si>
    <t>综合</t>
  </si>
  <si>
    <t>方团</t>
  </si>
  <si>
    <t>综</t>
  </si>
  <si>
    <t>sz000034</t>
  </si>
  <si>
    <t>神数</t>
  </si>
  <si>
    <t>sz002018</t>
  </si>
  <si>
    <t>华信</t>
  </si>
  <si>
    <t>sh603569</t>
  </si>
  <si>
    <t>长久</t>
  </si>
  <si>
    <t>sz000626</t>
  </si>
  <si>
    <t>远大</t>
  </si>
  <si>
    <t>sh601229</t>
  </si>
  <si>
    <t>上银</t>
  </si>
  <si>
    <t>板块</t>
  </si>
  <si>
    <t>板</t>
  </si>
  <si>
    <t>601398</t>
  </si>
  <si>
    <t>601939</t>
  </si>
  <si>
    <t>601857</t>
  </si>
  <si>
    <t>601288</t>
  </si>
  <si>
    <t>601988</t>
  </si>
  <si>
    <t>601318</t>
  </si>
  <si>
    <t>601628</t>
  </si>
  <si>
    <t>600028</t>
  </si>
  <si>
    <t>600519</t>
  </si>
  <si>
    <t>600036</t>
  </si>
  <si>
    <t>601328</t>
  </si>
  <si>
    <t>601088</t>
  </si>
  <si>
    <t>600000</t>
  </si>
  <si>
    <t>600104</t>
  </si>
  <si>
    <t>601166</t>
  </si>
  <si>
    <t>600900</t>
  </si>
  <si>
    <t>601601</t>
  </si>
  <si>
    <t>002415</t>
  </si>
  <si>
    <t>000333</t>
  </si>
  <si>
    <t>601998</t>
  </si>
  <si>
    <t>600016</t>
  </si>
  <si>
    <t>000002</t>
  </si>
  <si>
    <t>601766</t>
  </si>
  <si>
    <t>601668</t>
  </si>
  <si>
    <t>002352</t>
  </si>
  <si>
    <t>601800</t>
  </si>
  <si>
    <t>000651</t>
  </si>
  <si>
    <t>000858</t>
  </si>
  <si>
    <t>600030</t>
  </si>
  <si>
    <t>601390</t>
  </si>
  <si>
    <t>000001</t>
  </si>
  <si>
    <t>601818</t>
  </si>
  <si>
    <t>601211</t>
  </si>
  <si>
    <t>002594</t>
  </si>
  <si>
    <t>601336</t>
  </si>
  <si>
    <t>601238</t>
  </si>
  <si>
    <t>000725</t>
  </si>
  <si>
    <t>600276</t>
  </si>
  <si>
    <t>600837</t>
  </si>
  <si>
    <t>600887</t>
  </si>
  <si>
    <t>600019</t>
  </si>
  <si>
    <t>601186</t>
  </si>
  <si>
    <t>002304</t>
  </si>
  <si>
    <t>600018</t>
  </si>
  <si>
    <t>603993</t>
  </si>
  <si>
    <t>601688</t>
  </si>
  <si>
    <t>600050</t>
  </si>
  <si>
    <t>601881</t>
  </si>
  <si>
    <t>000617</t>
  </si>
  <si>
    <t>001979</t>
  </si>
  <si>
    <t>000776</t>
  </si>
  <si>
    <t>601229</t>
  </si>
  <si>
    <t>601169</t>
  </si>
  <si>
    <t>600999</t>
  </si>
  <si>
    <t>002024</t>
  </si>
  <si>
    <t>601006</t>
  </si>
  <si>
    <t>603288</t>
  </si>
  <si>
    <t>002027</t>
  </si>
  <si>
    <t>600585</t>
  </si>
  <si>
    <t>601111</t>
  </si>
  <si>
    <t>000063</t>
  </si>
  <si>
    <t>600048</t>
  </si>
  <si>
    <t>600010</t>
  </si>
  <si>
    <t>601669</t>
  </si>
  <si>
    <t>601600</t>
  </si>
  <si>
    <t>300498</t>
  </si>
  <si>
    <t>600015</t>
  </si>
  <si>
    <t>601989</t>
  </si>
  <si>
    <t>000166</t>
  </si>
  <si>
    <t>601985</t>
  </si>
  <si>
    <t>002736</t>
  </si>
  <si>
    <t>600309</t>
  </si>
  <si>
    <t>601633</t>
  </si>
  <si>
    <t>601727</t>
  </si>
  <si>
    <t>601618</t>
  </si>
  <si>
    <t>600011</t>
  </si>
  <si>
    <t>000024</t>
  </si>
  <si>
    <t>002252</t>
  </si>
  <si>
    <t>600518</t>
  </si>
  <si>
    <t>600958</t>
  </si>
  <si>
    <t>600115</t>
  </si>
  <si>
    <t>600690</t>
  </si>
  <si>
    <t>600919</t>
  </si>
  <si>
    <t>000538</t>
  </si>
  <si>
    <t>600703</t>
  </si>
  <si>
    <t>600606</t>
  </si>
  <si>
    <t>600340</t>
  </si>
  <si>
    <t>600196</t>
  </si>
  <si>
    <t>601899</t>
  </si>
  <si>
    <t>000568</t>
  </si>
  <si>
    <t>002558</t>
  </si>
  <si>
    <t>601933</t>
  </si>
  <si>
    <t>600029</t>
  </si>
  <si>
    <t>601898</t>
  </si>
  <si>
    <t>601225</t>
  </si>
  <si>
    <t>002142</t>
  </si>
  <si>
    <t>000895</t>
  </si>
  <si>
    <t>002450</t>
  </si>
  <si>
    <t>601018</t>
  </si>
  <si>
    <t>300433</t>
  </si>
  <si>
    <t>600009</t>
  </si>
  <si>
    <t>002230</t>
  </si>
  <si>
    <t>600663</t>
  </si>
  <si>
    <t>002236</t>
  </si>
  <si>
    <t>600023</t>
  </si>
  <si>
    <t>601901</t>
  </si>
  <si>
    <t>600893</t>
  </si>
  <si>
    <t>600741</t>
  </si>
  <si>
    <t>601788</t>
  </si>
  <si>
    <t>601888</t>
  </si>
  <si>
    <t>601919</t>
  </si>
  <si>
    <t>000069</t>
  </si>
  <si>
    <t>601878</t>
  </si>
  <si>
    <t>000625</t>
  </si>
  <si>
    <t>601009</t>
  </si>
  <si>
    <t>300676</t>
  </si>
  <si>
    <t>600688</t>
  </si>
  <si>
    <t>002466</t>
  </si>
  <si>
    <t>002475</t>
  </si>
  <si>
    <t>002241</t>
  </si>
  <si>
    <t>601992</t>
  </si>
  <si>
    <t>300072</t>
  </si>
  <si>
    <t>601607</t>
  </si>
  <si>
    <t>600660</t>
  </si>
  <si>
    <t>600795</t>
  </si>
  <si>
    <t>000938</t>
  </si>
  <si>
    <t>600362</t>
  </si>
  <si>
    <t>600233</t>
  </si>
  <si>
    <t>000338</t>
  </si>
  <si>
    <t>002460</t>
  </si>
  <si>
    <t>002120</t>
  </si>
  <si>
    <t>600188</t>
  </si>
  <si>
    <t>300104</t>
  </si>
  <si>
    <t>002739</t>
  </si>
  <si>
    <t>600816</t>
  </si>
  <si>
    <t>601991</t>
  </si>
  <si>
    <t>002456</t>
  </si>
  <si>
    <t>300070</t>
  </si>
  <si>
    <t>600031</t>
  </si>
  <si>
    <t>300059</t>
  </si>
  <si>
    <t>601212</t>
  </si>
  <si>
    <t>600297</t>
  </si>
  <si>
    <t>600061</t>
  </si>
  <si>
    <t>600547</t>
  </si>
  <si>
    <t>600515</t>
  </si>
  <si>
    <t>601012</t>
  </si>
  <si>
    <t>002310</t>
  </si>
  <si>
    <t>000039</t>
  </si>
  <si>
    <t>002673</t>
  </si>
  <si>
    <t>601377</t>
  </si>
  <si>
    <t>600111</t>
  </si>
  <si>
    <t>600066</t>
  </si>
  <si>
    <t>000413</t>
  </si>
  <si>
    <t>600221</t>
  </si>
  <si>
    <t>600637</t>
  </si>
  <si>
    <t>601808</t>
  </si>
  <si>
    <t>000768</t>
  </si>
  <si>
    <t>000783</t>
  </si>
  <si>
    <t>600705</t>
  </si>
  <si>
    <t>002010</t>
  </si>
  <si>
    <t>600383</t>
  </si>
  <si>
    <t>000963</t>
  </si>
  <si>
    <t>600886</t>
  </si>
  <si>
    <t>002555</t>
  </si>
  <si>
    <t>600926</t>
  </si>
  <si>
    <t>600377</t>
  </si>
  <si>
    <t>601877</t>
  </si>
  <si>
    <t>600516</t>
  </si>
  <si>
    <t>300124</t>
  </si>
  <si>
    <t>601198</t>
  </si>
  <si>
    <t>600068</t>
  </si>
  <si>
    <t>600390</t>
  </si>
  <si>
    <t>603799</t>
  </si>
  <si>
    <t>002202</t>
  </si>
  <si>
    <t>603858</t>
  </si>
  <si>
    <t>000898</t>
  </si>
  <si>
    <t>002008</t>
  </si>
  <si>
    <t>600487</t>
  </si>
  <si>
    <t>600809</t>
  </si>
  <si>
    <t>600398</t>
  </si>
  <si>
    <t>601326</t>
  </si>
  <si>
    <t>000709</t>
  </si>
  <si>
    <t>600332</t>
  </si>
  <si>
    <t>603833</t>
  </si>
  <si>
    <t>000792</t>
  </si>
  <si>
    <t>002625</t>
  </si>
  <si>
    <t>000100</t>
  </si>
  <si>
    <t>002797</t>
  </si>
  <si>
    <t>002624</t>
  </si>
  <si>
    <t>300136</t>
  </si>
  <si>
    <t>601866</t>
  </si>
  <si>
    <t>300122</t>
  </si>
  <si>
    <t>600482</t>
  </si>
  <si>
    <t>002508</t>
  </si>
  <si>
    <t>002044</t>
  </si>
  <si>
    <t>600157</t>
  </si>
  <si>
    <t>600085</t>
  </si>
  <si>
    <t>002714</t>
  </si>
  <si>
    <t>600871</t>
  </si>
  <si>
    <t>600600</t>
  </si>
  <si>
    <t>600027</t>
  </si>
  <si>
    <t>000423</t>
  </si>
  <si>
    <t>603160</t>
  </si>
  <si>
    <t>000839</t>
  </si>
  <si>
    <t>600682</t>
  </si>
  <si>
    <t>002468</t>
  </si>
  <si>
    <t>601228</t>
  </si>
  <si>
    <t>601216</t>
  </si>
  <si>
    <t>300408</t>
  </si>
  <si>
    <t>600485</t>
  </si>
  <si>
    <t>600674</t>
  </si>
  <si>
    <t>000046</t>
  </si>
  <si>
    <t>600959</t>
  </si>
  <si>
    <t>002146</t>
  </si>
  <si>
    <t>600715</t>
  </si>
  <si>
    <t>600522</t>
  </si>
  <si>
    <t>002411</t>
  </si>
  <si>
    <t>000415</t>
  </si>
  <si>
    <t>000728</t>
  </si>
  <si>
    <t>600406</t>
  </si>
  <si>
    <t>300015</t>
  </si>
  <si>
    <t>300003</t>
  </si>
  <si>
    <t>601155</t>
  </si>
  <si>
    <t>600535</t>
  </si>
  <si>
    <t>002085</t>
  </si>
  <si>
    <t>000627</t>
  </si>
  <si>
    <t>600339</t>
  </si>
  <si>
    <t>600909</t>
  </si>
  <si>
    <t>600415</t>
  </si>
  <si>
    <t>002601</t>
  </si>
  <si>
    <t>000826</t>
  </si>
  <si>
    <t>600438</t>
  </si>
  <si>
    <t>600867</t>
  </si>
  <si>
    <t>601880</t>
  </si>
  <si>
    <t>002773</t>
  </si>
  <si>
    <t>002493</t>
  </si>
  <si>
    <t>002608</t>
  </si>
  <si>
    <t>600685</t>
  </si>
  <si>
    <t>600089</t>
  </si>
  <si>
    <t>002572</t>
  </si>
  <si>
    <t>601718</t>
  </si>
  <si>
    <t>600208</t>
  </si>
  <si>
    <t>600236</t>
  </si>
  <si>
    <t>000959</t>
  </si>
  <si>
    <t>600489</t>
  </si>
  <si>
    <t>600100</t>
  </si>
  <si>
    <t>601375</t>
  </si>
  <si>
    <t>000723</t>
  </si>
  <si>
    <t>000488</t>
  </si>
  <si>
    <t>601555</t>
  </si>
  <si>
    <t>600998</t>
  </si>
  <si>
    <t>002050</t>
  </si>
  <si>
    <t>600498</t>
  </si>
  <si>
    <t>000402</t>
  </si>
  <si>
    <t>000157</t>
  </si>
  <si>
    <t>300296</t>
  </si>
  <si>
    <t>600219</t>
  </si>
  <si>
    <t>000408</t>
  </si>
  <si>
    <t>002065</t>
  </si>
  <si>
    <t>600436</t>
  </si>
  <si>
    <t>601333</t>
  </si>
  <si>
    <t>600271</t>
  </si>
  <si>
    <t>002075</t>
  </si>
  <si>
    <t>600109</t>
  </si>
  <si>
    <t>600177</t>
  </si>
  <si>
    <t>000564</t>
  </si>
  <si>
    <t>002271</t>
  </si>
  <si>
    <t>600176</t>
  </si>
  <si>
    <t>600699</t>
  </si>
  <si>
    <t>600704</t>
  </si>
  <si>
    <t>300024</t>
  </si>
  <si>
    <t>600808</t>
  </si>
  <si>
    <t>000050</t>
  </si>
  <si>
    <t>300033</t>
  </si>
  <si>
    <t>000596</t>
  </si>
  <si>
    <t>600588</t>
  </si>
  <si>
    <t>000786</t>
  </si>
  <si>
    <t>000540</t>
  </si>
  <si>
    <t>601117</t>
  </si>
  <si>
    <t>002217</t>
  </si>
  <si>
    <t>002405</t>
  </si>
  <si>
    <t>000553</t>
  </si>
  <si>
    <t>002294</t>
  </si>
  <si>
    <t>601997</t>
  </si>
  <si>
    <t>600170</t>
  </si>
  <si>
    <t>600150</t>
  </si>
  <si>
    <t>601158</t>
  </si>
  <si>
    <t>600338</t>
  </si>
  <si>
    <t>002032</t>
  </si>
  <si>
    <t>002640</t>
  </si>
  <si>
    <t>600153</t>
  </si>
  <si>
    <t>600352</t>
  </si>
  <si>
    <t>600549</t>
  </si>
  <si>
    <t>600977</t>
  </si>
  <si>
    <t>600570</t>
  </si>
  <si>
    <t>600118</t>
  </si>
  <si>
    <t>002602</t>
  </si>
  <si>
    <t>000807</t>
  </si>
  <si>
    <t>600369</t>
  </si>
  <si>
    <t>000998</t>
  </si>
  <si>
    <t>000559</t>
  </si>
  <si>
    <t>000883</t>
  </si>
  <si>
    <t>000983</t>
  </si>
  <si>
    <t>600373</t>
  </si>
  <si>
    <t>600497</t>
  </si>
  <si>
    <t>000513</t>
  </si>
  <si>
    <t>601611</t>
  </si>
  <si>
    <t>000630</t>
  </si>
  <si>
    <t>002180</t>
  </si>
  <si>
    <t>002092</t>
  </si>
  <si>
    <t>002340</t>
  </si>
  <si>
    <t>002500</t>
  </si>
  <si>
    <t>002384</t>
  </si>
  <si>
    <t>002841</t>
  </si>
  <si>
    <t>300418</t>
  </si>
  <si>
    <t>000876</t>
  </si>
  <si>
    <t>300450</t>
  </si>
  <si>
    <t>600299</t>
  </si>
  <si>
    <t>600566</t>
  </si>
  <si>
    <t>600804</t>
  </si>
  <si>
    <t>600008</t>
  </si>
  <si>
    <t>000418</t>
  </si>
  <si>
    <t>002635</t>
  </si>
  <si>
    <t>603589</t>
  </si>
  <si>
    <t>600820</t>
  </si>
  <si>
    <t>601231</t>
  </si>
  <si>
    <t>002179</t>
  </si>
  <si>
    <t>603868</t>
  </si>
  <si>
    <t>600528</t>
  </si>
  <si>
    <t>300115</t>
  </si>
  <si>
    <t>002311</t>
  </si>
  <si>
    <t>600291</t>
  </si>
  <si>
    <t>002081</t>
  </si>
  <si>
    <t>002583</t>
  </si>
  <si>
    <t>300017</t>
  </si>
  <si>
    <t>601699</t>
  </si>
  <si>
    <t>000028</t>
  </si>
  <si>
    <t>600848</t>
  </si>
  <si>
    <t>600372</t>
  </si>
  <si>
    <t>300266</t>
  </si>
  <si>
    <t>300251</t>
  </si>
  <si>
    <t>002670</t>
  </si>
  <si>
    <t>600350</t>
  </si>
  <si>
    <t>600754</t>
  </si>
  <si>
    <t>601099</t>
  </si>
  <si>
    <t>000981</t>
  </si>
  <si>
    <t>000825</t>
  </si>
  <si>
    <t>600376</t>
  </si>
  <si>
    <t>002013</t>
  </si>
  <si>
    <t>601021</t>
  </si>
  <si>
    <t>300144</t>
  </si>
  <si>
    <t>601179</t>
  </si>
  <si>
    <t>000060</t>
  </si>
  <si>
    <t>002074</t>
  </si>
  <si>
    <t>000999</t>
  </si>
  <si>
    <t>002422</t>
  </si>
  <si>
    <t>600578</t>
  </si>
  <si>
    <t>600777</t>
  </si>
  <si>
    <t>600827</t>
  </si>
  <si>
    <t>600038</t>
  </si>
  <si>
    <t>601098</t>
  </si>
  <si>
    <t>000980</t>
  </si>
  <si>
    <t>600739</t>
  </si>
  <si>
    <t>600583</t>
  </si>
  <si>
    <t>000539</t>
  </si>
  <si>
    <t>600642</t>
  </si>
  <si>
    <t>002143</t>
  </si>
  <si>
    <t>000671</t>
  </si>
  <si>
    <t>002517</t>
  </si>
  <si>
    <t>002001</t>
  </si>
  <si>
    <t>601106</t>
  </si>
  <si>
    <t>600056</t>
  </si>
  <si>
    <t>601958</t>
  </si>
  <si>
    <t>600004</t>
  </si>
  <si>
    <t>600022</t>
  </si>
  <si>
    <t>000623</t>
  </si>
  <si>
    <t>300116</t>
  </si>
  <si>
    <t>000656</t>
  </si>
  <si>
    <t>002470</t>
  </si>
  <si>
    <t>000661</t>
  </si>
  <si>
    <t>603986</t>
  </si>
  <si>
    <t>002465</t>
  </si>
  <si>
    <t>600584</t>
  </si>
  <si>
    <t>601872</t>
  </si>
  <si>
    <t>002007</t>
  </si>
  <si>
    <t>600895</t>
  </si>
  <si>
    <t>000987</t>
  </si>
  <si>
    <t>000629</t>
  </si>
  <si>
    <t>600346</t>
  </si>
  <si>
    <t>600392</t>
  </si>
  <si>
    <t>601118</t>
  </si>
  <si>
    <t>600160</t>
  </si>
  <si>
    <t>000425</t>
  </si>
  <si>
    <t>002426</t>
  </si>
  <si>
    <t>000703</t>
  </si>
  <si>
    <t>000027</t>
  </si>
  <si>
    <t>000066</t>
  </si>
  <si>
    <t>600884</t>
  </si>
  <si>
    <t>002831</t>
  </si>
  <si>
    <t>002019</t>
  </si>
  <si>
    <t>000932</t>
  </si>
  <si>
    <t>600026</t>
  </si>
  <si>
    <t>000869</t>
  </si>
  <si>
    <t>002153</t>
  </si>
  <si>
    <t>603885</t>
  </si>
  <si>
    <t>000778</t>
  </si>
  <si>
    <t>002385</t>
  </si>
  <si>
    <t>002424</t>
  </si>
  <si>
    <t>603019</t>
  </si>
  <si>
    <t>002745</t>
  </si>
  <si>
    <t>002509</t>
  </si>
  <si>
    <t>002359</t>
  </si>
  <si>
    <t>603515</t>
  </si>
  <si>
    <t>000887</t>
  </si>
  <si>
    <t>600649</t>
  </si>
  <si>
    <t>000008</t>
  </si>
  <si>
    <t>000581</t>
  </si>
  <si>
    <t>600074</t>
  </si>
  <si>
    <t>600525</t>
  </si>
  <si>
    <t>300699</t>
  </si>
  <si>
    <t>300027</t>
  </si>
  <si>
    <t>000977</t>
  </si>
  <si>
    <t>300142</t>
  </si>
  <si>
    <t>600874</t>
  </si>
  <si>
    <t>000960</t>
  </si>
  <si>
    <t>601801</t>
  </si>
  <si>
    <t>600879</t>
  </si>
  <si>
    <t>300182</t>
  </si>
  <si>
    <t>002127</t>
  </si>
  <si>
    <t>000750</t>
  </si>
  <si>
    <t>600521</t>
  </si>
  <si>
    <t>002839</t>
  </si>
  <si>
    <t>300186</t>
  </si>
  <si>
    <t>002573</t>
  </si>
  <si>
    <t>002195</t>
  </si>
  <si>
    <t>600875</t>
  </si>
  <si>
    <t>300156</t>
  </si>
  <si>
    <t>300274</t>
  </si>
  <si>
    <t>600021</t>
  </si>
  <si>
    <t>600260</t>
  </si>
  <si>
    <t>000686</t>
  </si>
  <si>
    <t>600155</t>
  </si>
  <si>
    <t>600266</t>
  </si>
  <si>
    <t>300558</t>
  </si>
  <si>
    <t>002078</t>
  </si>
  <si>
    <t>600623</t>
  </si>
  <si>
    <t>601928</t>
  </si>
  <si>
    <t>600885</t>
  </si>
  <si>
    <t>002410</t>
  </si>
  <si>
    <t>600079</t>
  </si>
  <si>
    <t>002285</t>
  </si>
  <si>
    <t>600320</t>
  </si>
  <si>
    <t>600315</t>
  </si>
  <si>
    <t>000937</t>
  </si>
  <si>
    <t>600409</t>
  </si>
  <si>
    <t>300308</t>
  </si>
  <si>
    <t>002147</t>
  </si>
  <si>
    <t>002366</t>
  </si>
  <si>
    <t>300267</t>
  </si>
  <si>
    <t>600511</t>
  </si>
  <si>
    <t>601966</t>
  </si>
  <si>
    <t>600282</t>
  </si>
  <si>
    <t>600633</t>
  </si>
  <si>
    <t>601000</t>
  </si>
  <si>
    <t>000961</t>
  </si>
  <si>
    <t>600967</t>
  </si>
  <si>
    <t>600161</t>
  </si>
  <si>
    <t>600179</t>
  </si>
  <si>
    <t>000738</t>
  </si>
  <si>
    <t>002563</t>
  </si>
  <si>
    <t>002589</t>
  </si>
  <si>
    <t>603225</t>
  </si>
  <si>
    <t>000990</t>
  </si>
  <si>
    <t>002051</t>
  </si>
  <si>
    <t>600598</t>
  </si>
  <si>
    <t>000997</t>
  </si>
  <si>
    <t>000710</t>
  </si>
  <si>
    <t>300355</t>
  </si>
  <si>
    <t>601969</t>
  </si>
  <si>
    <t>000800</t>
  </si>
  <si>
    <t>600201</t>
  </si>
  <si>
    <t>600258</t>
  </si>
  <si>
    <t>601608</t>
  </si>
  <si>
    <t>000401</t>
  </si>
  <si>
    <t>000939</t>
  </si>
  <si>
    <t>603228</t>
  </si>
  <si>
    <t>002223</t>
  </si>
  <si>
    <t>002506</t>
  </si>
  <si>
    <t>600567</t>
  </si>
  <si>
    <t>600298</t>
  </si>
  <si>
    <t>000503</t>
  </si>
  <si>
    <t>600317</t>
  </si>
  <si>
    <t>300197</t>
  </si>
  <si>
    <t>603816</t>
  </si>
  <si>
    <t>600435</t>
  </si>
  <si>
    <t>600718</t>
  </si>
  <si>
    <t>002219</t>
  </si>
  <si>
    <t>300383</t>
  </si>
  <si>
    <t>600500</t>
  </si>
  <si>
    <t>600256</t>
  </si>
  <si>
    <t>600183</t>
  </si>
  <si>
    <t>600167</t>
  </si>
  <si>
    <t>600582</t>
  </si>
  <si>
    <t>002129</t>
  </si>
  <si>
    <t>300014</t>
  </si>
  <si>
    <t>600612</t>
  </si>
  <si>
    <t>600787</t>
  </si>
  <si>
    <t>000732</t>
  </si>
  <si>
    <t>600307</t>
  </si>
  <si>
    <t>600012</t>
  </si>
  <si>
    <t>002174</t>
  </si>
  <si>
    <t>603369</t>
  </si>
  <si>
    <t>002399</t>
  </si>
  <si>
    <t>002176</t>
  </si>
  <si>
    <t>603355</t>
  </si>
  <si>
    <t>600490</t>
  </si>
  <si>
    <t>002110</t>
  </si>
  <si>
    <t>600418</t>
  </si>
  <si>
    <t>002408</t>
  </si>
  <si>
    <t>600801</t>
  </si>
  <si>
    <t>002244</t>
  </si>
  <si>
    <t>600666</t>
  </si>
  <si>
    <t>300628</t>
  </si>
  <si>
    <t>600548</t>
  </si>
  <si>
    <t>603603</t>
  </si>
  <si>
    <t>000156</t>
  </si>
  <si>
    <t>002512</t>
  </si>
  <si>
    <t>300315</t>
  </si>
  <si>
    <t>603658</t>
  </si>
  <si>
    <t>601689</t>
  </si>
  <si>
    <t>601168</t>
  </si>
  <si>
    <t>300618</t>
  </si>
  <si>
    <t>600426</t>
  </si>
  <si>
    <t>601233</t>
  </si>
  <si>
    <t>002503</t>
  </si>
  <si>
    <t>002049</t>
  </si>
  <si>
    <t>600166</t>
  </si>
  <si>
    <t>600643</t>
  </si>
  <si>
    <t>600037</t>
  </si>
  <si>
    <t>603077</t>
  </si>
  <si>
    <t>002128</t>
  </si>
  <si>
    <t>000793</t>
  </si>
  <si>
    <t>000878</t>
  </si>
  <si>
    <t>000933</t>
  </si>
  <si>
    <t>002212</t>
  </si>
  <si>
    <t>002292</t>
  </si>
  <si>
    <t>002665</t>
  </si>
  <si>
    <t>600614</t>
  </si>
  <si>
    <t>601127</t>
  </si>
  <si>
    <t>300145</t>
  </si>
  <si>
    <t>000921</t>
  </si>
  <si>
    <t>600823</t>
  </si>
  <si>
    <t>600648</t>
  </si>
  <si>
    <t>002002</t>
  </si>
  <si>
    <t>600835</t>
  </si>
  <si>
    <t>300376</t>
  </si>
  <si>
    <t>000600</t>
  </si>
  <si>
    <t>300222</t>
  </si>
  <si>
    <t>600060</t>
  </si>
  <si>
    <t>000040</t>
  </si>
  <si>
    <t>300459</t>
  </si>
  <si>
    <t>002603</t>
  </si>
  <si>
    <t>300133</t>
  </si>
  <si>
    <t>002280</t>
  </si>
  <si>
    <t>000426</t>
  </si>
  <si>
    <t>600873</t>
  </si>
  <si>
    <t>000012</t>
  </si>
  <si>
    <t>600098</t>
  </si>
  <si>
    <t>002439</t>
  </si>
  <si>
    <t>600717</t>
  </si>
  <si>
    <t>300146</t>
  </si>
  <si>
    <t>600545</t>
  </si>
  <si>
    <t>002302</t>
  </si>
  <si>
    <t>002249</t>
  </si>
  <si>
    <t>002080</t>
  </si>
  <si>
    <t>300088</t>
  </si>
  <si>
    <t>600737</t>
  </si>
  <si>
    <t>603899</t>
  </si>
  <si>
    <t>600639</t>
  </si>
  <si>
    <t>601588</t>
  </si>
  <si>
    <t>601163</t>
  </si>
  <si>
    <t>300601</t>
  </si>
  <si>
    <t>300324</t>
  </si>
  <si>
    <t>002038</t>
  </si>
  <si>
    <t>601003</t>
  </si>
  <si>
    <t>600779</t>
  </si>
  <si>
    <t>600687</t>
  </si>
  <si>
    <t>002210</t>
  </si>
  <si>
    <t>002152</t>
  </si>
  <si>
    <t>002389</t>
  </si>
  <si>
    <t>600175</t>
  </si>
  <si>
    <t>000717</t>
  </si>
  <si>
    <t>600120</t>
  </si>
  <si>
    <t>002681</t>
  </si>
  <si>
    <t>601258</t>
  </si>
  <si>
    <t>600811</t>
  </si>
  <si>
    <t>601139</t>
  </si>
  <si>
    <t>002600</t>
  </si>
  <si>
    <t>601949</t>
  </si>
  <si>
    <t>600094</t>
  </si>
  <si>
    <t>601200</t>
  </si>
  <si>
    <t>600755</t>
  </si>
  <si>
    <t>000009</t>
  </si>
  <si>
    <t>600062</t>
  </si>
  <si>
    <t>000923</t>
  </si>
  <si>
    <t>002183</t>
  </si>
  <si>
    <t>002354</t>
  </si>
  <si>
    <t>600388</t>
  </si>
  <si>
    <t>600007</t>
  </si>
  <si>
    <t>002131</t>
  </si>
  <si>
    <t>000062</t>
  </si>
  <si>
    <t>600126</t>
  </si>
  <si>
    <t>002018</t>
  </si>
  <si>
    <t>601811</t>
  </si>
  <si>
    <t>601128</t>
  </si>
  <si>
    <t>600572</t>
  </si>
  <si>
    <t>600348</t>
  </si>
  <si>
    <t>000591</t>
  </si>
  <si>
    <t>600872</t>
  </si>
  <si>
    <t>000761</t>
  </si>
  <si>
    <t>002542</t>
  </si>
  <si>
    <t>000712</t>
  </si>
  <si>
    <t>603866</t>
  </si>
  <si>
    <t>000729</t>
  </si>
  <si>
    <t>000950</t>
  </si>
  <si>
    <t>002372</t>
  </si>
  <si>
    <t>600466</t>
  </si>
  <si>
    <t>000820</t>
  </si>
  <si>
    <t>002221</t>
  </si>
  <si>
    <t>000550</t>
  </si>
  <si>
    <t>600277</t>
  </si>
  <si>
    <t>603888</t>
  </si>
  <si>
    <t>600864</t>
  </si>
  <si>
    <t>300159</t>
  </si>
  <si>
    <t>603233</t>
  </si>
  <si>
    <t>600863</t>
  </si>
  <si>
    <t>300055</t>
  </si>
  <si>
    <t>000970</t>
  </si>
  <si>
    <t>000429</t>
  </si>
  <si>
    <t>002185</t>
  </si>
  <si>
    <t>600862</t>
  </si>
  <si>
    <t>600881</t>
  </si>
  <si>
    <t>000813</t>
  </si>
  <si>
    <t>600673</t>
  </si>
  <si>
    <t>000078</t>
  </si>
  <si>
    <t>600782</t>
  </si>
  <si>
    <t>002273</t>
  </si>
  <si>
    <t>600477</t>
  </si>
  <si>
    <t>000598</t>
  </si>
  <si>
    <t>000158</t>
  </si>
  <si>
    <t>000088</t>
  </si>
  <si>
    <t>000566</t>
  </si>
  <si>
    <t>600622</t>
  </si>
  <si>
    <t>603882</t>
  </si>
  <si>
    <t>002807</t>
  </si>
  <si>
    <t>600751</t>
  </si>
  <si>
    <t>000089</t>
  </si>
  <si>
    <t>600597</t>
  </si>
  <si>
    <t>601011</t>
  </si>
  <si>
    <t>002491</t>
  </si>
  <si>
    <t>002268</t>
  </si>
  <si>
    <t>600143</t>
  </si>
  <si>
    <t>600499</t>
  </si>
  <si>
    <t>300616</t>
  </si>
  <si>
    <t>300038</t>
  </si>
  <si>
    <t>600393</t>
  </si>
  <si>
    <t>600575</t>
  </si>
  <si>
    <t>000881</t>
  </si>
  <si>
    <t>002299</t>
  </si>
  <si>
    <t>600420</t>
  </si>
  <si>
    <t>600507</t>
  </si>
  <si>
    <t>603113</t>
  </si>
  <si>
    <t>603305</t>
  </si>
  <si>
    <t>601619</t>
  </si>
  <si>
    <t>002444</t>
  </si>
  <si>
    <t>000059</t>
  </si>
  <si>
    <t>002901</t>
  </si>
  <si>
    <t>002505</t>
  </si>
  <si>
    <t>002056</t>
  </si>
  <si>
    <t>000022</t>
  </si>
  <si>
    <t>000968</t>
  </si>
  <si>
    <t>600604</t>
  </si>
  <si>
    <t>600226</t>
  </si>
  <si>
    <t>000690</t>
  </si>
  <si>
    <t>300058</t>
  </si>
  <si>
    <t>000935</t>
  </si>
  <si>
    <t>002818</t>
  </si>
  <si>
    <t>600839</t>
  </si>
  <si>
    <t>600908</t>
  </si>
  <si>
    <t>002648</t>
  </si>
  <si>
    <t>002497</t>
  </si>
  <si>
    <t>603766</t>
  </si>
  <si>
    <t>002699</t>
  </si>
  <si>
    <t>002287</t>
  </si>
  <si>
    <t>600231</t>
  </si>
  <si>
    <t>601952</t>
  </si>
  <si>
    <t>300496</t>
  </si>
  <si>
    <t>600939</t>
  </si>
  <si>
    <t>600446</t>
  </si>
  <si>
    <t>603000</t>
  </si>
  <si>
    <t>000718</t>
  </si>
  <si>
    <t>002091</t>
  </si>
  <si>
    <t>600797</t>
  </si>
  <si>
    <t>000989</t>
  </si>
  <si>
    <t>000547</t>
  </si>
  <si>
    <t>002138</t>
  </si>
  <si>
    <t>002709</t>
  </si>
  <si>
    <t>600380</t>
  </si>
  <si>
    <t>002035</t>
  </si>
  <si>
    <t>000400</t>
  </si>
  <si>
    <t>600745</t>
  </si>
  <si>
    <t>600728</t>
  </si>
  <si>
    <t>600039</t>
  </si>
  <si>
    <t>300001</t>
  </si>
  <si>
    <t>000748</t>
  </si>
  <si>
    <t>002434</t>
  </si>
  <si>
    <t>600325</t>
  </si>
  <si>
    <t>000587</t>
  </si>
  <si>
    <t>600270</t>
  </si>
  <si>
    <t>000563</t>
  </si>
  <si>
    <t>603568</t>
  </si>
  <si>
    <t>002281</t>
  </si>
  <si>
    <t>002429</t>
  </si>
  <si>
    <t>300317</t>
  </si>
  <si>
    <t>601016</t>
  </si>
  <si>
    <t>000685</t>
  </si>
  <si>
    <t>000979</t>
  </si>
  <si>
    <t>600655</t>
  </si>
  <si>
    <t>603198</t>
  </si>
  <si>
    <t>300203</t>
  </si>
  <si>
    <t>600312</t>
  </si>
  <si>
    <t>300068</t>
  </si>
  <si>
    <t>002108</t>
  </si>
  <si>
    <t>300064</t>
  </si>
  <si>
    <t>002611</t>
  </si>
  <si>
    <t>000555</t>
  </si>
  <si>
    <t>603730</t>
  </si>
  <si>
    <t>603556</t>
  </si>
  <si>
    <t>002407</t>
  </si>
  <si>
    <t>600125</t>
  </si>
  <si>
    <t>002595</t>
  </si>
  <si>
    <t>300207</t>
  </si>
  <si>
    <t>600869</t>
  </si>
  <si>
    <t>600667</t>
  </si>
  <si>
    <t>002004</t>
  </si>
  <si>
    <t>000830</t>
  </si>
  <si>
    <t>000536</t>
  </si>
  <si>
    <t>300323</t>
  </si>
  <si>
    <t>300244</t>
  </si>
  <si>
    <t>600981</t>
  </si>
  <si>
    <t>300347</t>
  </si>
  <si>
    <t>000988</t>
  </si>
  <si>
    <t>002701</t>
  </si>
  <si>
    <t>002431</t>
  </si>
  <si>
    <t>300199</t>
  </si>
  <si>
    <t>601567</t>
  </si>
  <si>
    <t>603444</t>
  </si>
  <si>
    <t>000519</t>
  </si>
  <si>
    <t>603157</t>
  </si>
  <si>
    <t>300316</t>
  </si>
  <si>
    <t>300180</t>
  </si>
  <si>
    <t>300098</t>
  </si>
  <si>
    <t>002530</t>
  </si>
  <si>
    <t>603323</t>
  </si>
  <si>
    <t>000975</t>
  </si>
  <si>
    <t>002672</t>
  </si>
  <si>
    <t>000917</t>
  </si>
  <si>
    <t>600856</t>
  </si>
  <si>
    <t>600635</t>
  </si>
  <si>
    <t>002353</t>
  </si>
  <si>
    <t>600978</t>
  </si>
  <si>
    <t>002373</t>
  </si>
  <si>
    <t>600252</t>
  </si>
  <si>
    <t>601222</t>
  </si>
  <si>
    <t>300166</t>
  </si>
  <si>
    <t>601666</t>
  </si>
  <si>
    <t>600618</t>
  </si>
  <si>
    <t>002030</t>
  </si>
  <si>
    <t>002680</t>
  </si>
  <si>
    <t>600681</t>
  </si>
  <si>
    <t>002662</t>
  </si>
  <si>
    <t>603328</t>
  </si>
  <si>
    <t>002437</t>
  </si>
  <si>
    <t>300002</t>
  </si>
  <si>
    <t>603517</t>
  </si>
  <si>
    <t>300168</t>
  </si>
  <si>
    <t>300257</t>
  </si>
  <si>
    <t>002812</t>
  </si>
  <si>
    <t>002262</t>
  </si>
  <si>
    <t>000061</t>
  </si>
  <si>
    <t>300463</t>
  </si>
  <si>
    <t>000582</t>
  </si>
  <si>
    <t>600230</t>
  </si>
  <si>
    <t>000976</t>
  </si>
  <si>
    <t>000666</t>
  </si>
  <si>
    <t>002581</t>
  </si>
  <si>
    <t>600058</t>
  </si>
  <si>
    <t>600110</t>
  </si>
  <si>
    <t>000056</t>
  </si>
  <si>
    <t>600664</t>
  </si>
  <si>
    <t>000758</t>
  </si>
  <si>
    <t>600640</t>
  </si>
  <si>
    <t>002390</t>
  </si>
  <si>
    <t>300367</t>
  </si>
  <si>
    <t>600240</t>
  </si>
  <si>
    <t>600970</t>
  </si>
  <si>
    <t>300529</t>
  </si>
  <si>
    <t>600138</t>
  </si>
  <si>
    <t>002242</t>
  </si>
  <si>
    <t>002821</t>
  </si>
  <si>
    <t>002358</t>
  </si>
  <si>
    <t>002203</t>
  </si>
  <si>
    <t>002239</t>
  </si>
  <si>
    <t>603421</t>
  </si>
  <si>
    <t>600483</t>
  </si>
  <si>
    <t>600295</t>
  </si>
  <si>
    <t>002537</t>
  </si>
  <si>
    <t>603877</t>
  </si>
  <si>
    <t>600428</t>
  </si>
  <si>
    <t>300294</t>
  </si>
  <si>
    <t>600491</t>
  </si>
  <si>
    <t>000031</t>
  </si>
  <si>
    <t>002151</t>
  </si>
  <si>
    <t>000697</t>
  </si>
  <si>
    <t>000501</t>
  </si>
  <si>
    <t>002121</t>
  </si>
  <si>
    <t>600917</t>
  </si>
  <si>
    <t>002477</t>
  </si>
  <si>
    <t>600711</t>
  </si>
  <si>
    <t>601107</t>
  </si>
  <si>
    <t>000016</t>
  </si>
  <si>
    <t>603567</t>
  </si>
  <si>
    <t>000681</t>
  </si>
  <si>
    <t>300113</t>
  </si>
  <si>
    <t>600086</t>
  </si>
  <si>
    <t>002440</t>
  </si>
  <si>
    <t>603806</t>
  </si>
  <si>
    <t>600568</t>
  </si>
  <si>
    <t>000034</t>
  </si>
  <si>
    <t>000831</t>
  </si>
  <si>
    <t>002489</t>
  </si>
  <si>
    <t>002191</t>
  </si>
  <si>
    <t>300134</t>
  </si>
  <si>
    <t>002545</t>
  </si>
  <si>
    <t>300090</t>
  </si>
  <si>
    <t>002482</t>
  </si>
  <si>
    <t>000021</t>
  </si>
  <si>
    <t>300482</t>
  </si>
  <si>
    <t>600771</t>
  </si>
  <si>
    <t>000560</t>
  </si>
  <si>
    <t>600859</t>
  </si>
  <si>
    <t>603025</t>
  </si>
  <si>
    <t>000517</t>
  </si>
  <si>
    <t>000662</t>
  </si>
  <si>
    <t>002653</t>
  </si>
  <si>
    <t>002168</t>
  </si>
  <si>
    <t>002815</t>
  </si>
  <si>
    <t>002028</t>
  </si>
  <si>
    <t>600335</t>
  </si>
  <si>
    <t>600053</t>
  </si>
  <si>
    <t>601636</t>
  </si>
  <si>
    <t>002867</t>
  </si>
  <si>
    <t>600565</t>
  </si>
  <si>
    <t>002048</t>
  </si>
  <si>
    <t>600803</t>
  </si>
  <si>
    <t>601799</t>
  </si>
  <si>
    <t>600550</t>
  </si>
  <si>
    <t>300285</t>
  </si>
  <si>
    <t>002461</t>
  </si>
  <si>
    <t>600172</t>
  </si>
  <si>
    <t>600006</t>
  </si>
  <si>
    <t>002371</t>
  </si>
  <si>
    <t>000676</t>
  </si>
  <si>
    <t>000025</t>
  </si>
  <si>
    <t>300679</t>
  </si>
  <si>
    <t>600845</t>
  </si>
  <si>
    <t>600198</t>
  </si>
  <si>
    <t>600180</t>
  </si>
  <si>
    <t>600702</t>
  </si>
  <si>
    <t>603612</t>
  </si>
  <si>
    <t>600273</t>
  </si>
  <si>
    <t>300253</t>
  </si>
  <si>
    <t>603377</t>
  </si>
  <si>
    <t>603883</t>
  </si>
  <si>
    <t>600329</t>
  </si>
  <si>
    <t>603501</t>
  </si>
  <si>
    <t>300026</t>
  </si>
  <si>
    <t>002711</t>
  </si>
  <si>
    <t>000018</t>
  </si>
  <si>
    <t>300287</t>
  </si>
  <si>
    <t>000766</t>
  </si>
  <si>
    <t>002303</t>
  </si>
  <si>
    <t>600072</t>
  </si>
  <si>
    <t>000727</t>
  </si>
  <si>
    <t>600331</t>
  </si>
  <si>
    <t>603939</t>
  </si>
  <si>
    <t>002568</t>
  </si>
  <si>
    <t>002647</t>
  </si>
  <si>
    <t>600996</t>
  </si>
  <si>
    <t>002501</t>
  </si>
  <si>
    <t>600619</t>
  </si>
  <si>
    <t>603555</t>
  </si>
  <si>
    <t>002157</t>
  </si>
  <si>
    <t>000090</t>
  </si>
  <si>
    <t>300297</t>
  </si>
  <si>
    <t>000930</t>
  </si>
  <si>
    <t>601069</t>
  </si>
  <si>
    <t>000006</t>
  </si>
  <si>
    <t>600093</t>
  </si>
  <si>
    <t>002668</t>
  </si>
  <si>
    <t>600017</t>
  </si>
  <si>
    <t>601717</t>
  </si>
  <si>
    <t>600486</t>
  </si>
  <si>
    <t>600936</t>
  </si>
  <si>
    <t>600400</t>
  </si>
  <si>
    <t>600783</t>
  </si>
  <si>
    <t>000620</t>
  </si>
  <si>
    <t>000828</t>
  </si>
  <si>
    <t>600395</t>
  </si>
  <si>
    <t>002413</t>
  </si>
  <si>
    <t>000902</t>
  </si>
  <si>
    <t>603678</t>
  </si>
  <si>
    <t>600090</t>
  </si>
  <si>
    <t>002522</t>
  </si>
  <si>
    <t>600611</t>
  </si>
  <si>
    <t>600876</t>
  </si>
  <si>
    <t>002451</t>
  </si>
  <si>
    <t>000155</t>
  </si>
  <si>
    <t>600478</t>
  </si>
  <si>
    <t>002694</t>
  </si>
  <si>
    <t>300009</t>
  </si>
  <si>
    <t>300237</t>
  </si>
  <si>
    <t>600748</t>
  </si>
  <si>
    <t>603569</t>
  </si>
  <si>
    <t>002419</t>
  </si>
  <si>
    <t>600562</t>
  </si>
  <si>
    <t>000918</t>
  </si>
  <si>
    <t>600701</t>
  </si>
  <si>
    <t>300083</t>
  </si>
  <si>
    <t>600185</t>
  </si>
  <si>
    <t>300474</t>
  </si>
  <si>
    <t>600621</t>
  </si>
  <si>
    <t>600259</t>
  </si>
  <si>
    <t>601311</t>
  </si>
  <si>
    <t>002597</t>
  </si>
  <si>
    <t>002421</t>
  </si>
  <si>
    <t>603298</t>
  </si>
  <si>
    <t>600563</t>
  </si>
  <si>
    <t>603055</t>
  </si>
  <si>
    <t>000525</t>
  </si>
  <si>
    <t>603626</t>
  </si>
  <si>
    <t>002251</t>
  </si>
  <si>
    <t>002759</t>
  </si>
  <si>
    <t>600316</t>
  </si>
  <si>
    <t>000797</t>
  </si>
  <si>
    <t>600963</t>
  </si>
  <si>
    <t>601020</t>
  </si>
  <si>
    <t>002690</t>
  </si>
  <si>
    <t>300271</t>
  </si>
  <si>
    <t>300118</t>
  </si>
  <si>
    <t>002041</t>
  </si>
  <si>
    <t>002308</t>
  </si>
  <si>
    <t>000683</t>
  </si>
  <si>
    <t>603218</t>
  </si>
  <si>
    <t>002396</t>
  </si>
  <si>
    <t>002717</t>
  </si>
  <si>
    <t>002678</t>
  </si>
  <si>
    <t>002247</t>
  </si>
  <si>
    <t>000951</t>
  </si>
  <si>
    <t>600759</t>
  </si>
  <si>
    <t>300291</t>
  </si>
  <si>
    <t>002622</t>
  </si>
  <si>
    <t>002643</t>
  </si>
  <si>
    <t>600267</t>
  </si>
  <si>
    <t>600158</t>
  </si>
  <si>
    <t>600708</t>
  </si>
  <si>
    <t>600269</t>
  </si>
  <si>
    <t>601886</t>
  </si>
  <si>
    <t>600337</t>
  </si>
  <si>
    <t>002498</t>
  </si>
  <si>
    <t>300432</t>
  </si>
  <si>
    <t>000688</t>
  </si>
  <si>
    <t>603699</t>
  </si>
  <si>
    <t>600841</t>
  </si>
  <si>
    <t>000612</t>
  </si>
  <si>
    <t>002445</t>
  </si>
  <si>
    <t>601515</t>
  </si>
  <si>
    <t>600403</t>
  </si>
  <si>
    <t>000901</t>
  </si>
  <si>
    <t>002638</t>
  </si>
  <si>
    <t>600503</t>
  </si>
  <si>
    <t>002414</t>
  </si>
  <si>
    <t>600460</t>
  </si>
  <si>
    <t>002400</t>
  </si>
  <si>
    <t>300208</t>
  </si>
  <si>
    <t>600828</t>
  </si>
  <si>
    <t>600057</t>
  </si>
  <si>
    <t>600675</t>
  </si>
  <si>
    <t>000150</t>
  </si>
  <si>
    <t>002375</t>
  </si>
  <si>
    <t>石油行业</t>
  </si>
  <si>
    <t>酿酒行业</t>
  </si>
  <si>
    <t>煤炭采选</t>
  </si>
  <si>
    <t>汽车行业</t>
  </si>
  <si>
    <t>电力行业</t>
  </si>
  <si>
    <t>安防设备</t>
  </si>
  <si>
    <t>家电行业</t>
  </si>
  <si>
    <t>房地产</t>
  </si>
  <si>
    <t>交运设备</t>
  </si>
  <si>
    <t>工程建设</t>
  </si>
  <si>
    <t>交运物流</t>
  </si>
  <si>
    <t>券商信托</t>
  </si>
  <si>
    <t>电子元件</t>
  </si>
  <si>
    <t>医药制造</t>
  </si>
  <si>
    <t>食品饮料</t>
  </si>
  <si>
    <t>钢铁行业</t>
  </si>
  <si>
    <t>港口水运</t>
  </si>
  <si>
    <t>有色金属</t>
  </si>
  <si>
    <t>电信运营</t>
  </si>
  <si>
    <t>多元金融</t>
  </si>
  <si>
    <t>商业百货</t>
  </si>
  <si>
    <t>电子信息</t>
  </si>
  <si>
    <t>水泥建材</t>
  </si>
  <si>
    <t>民航机场</t>
  </si>
  <si>
    <t>通讯行业</t>
  </si>
  <si>
    <t>农牧饲渔</t>
  </si>
  <si>
    <t>船舶制造</t>
  </si>
  <si>
    <t>机械行业</t>
  </si>
  <si>
    <t>化工行业</t>
  </si>
  <si>
    <t>输配电气</t>
  </si>
  <si>
    <t>贵金属</t>
  </si>
  <si>
    <t>文教休闲</t>
  </si>
  <si>
    <t>材料行业</t>
  </si>
  <si>
    <t>软件服务</t>
  </si>
  <si>
    <t>航天航空</t>
  </si>
  <si>
    <t>旅游酒店</t>
  </si>
  <si>
    <t>玻璃陶瓷</t>
  </si>
  <si>
    <t>文化传媒</t>
  </si>
  <si>
    <t>环保工程</t>
  </si>
  <si>
    <t>园林工程</t>
  </si>
  <si>
    <t>金属制品</t>
  </si>
  <si>
    <t>高速公路</t>
  </si>
  <si>
    <t>仪器仪表</t>
  </si>
  <si>
    <t>纺织服装</t>
  </si>
  <si>
    <t>木业家具</t>
  </si>
  <si>
    <t>医疗行业</t>
  </si>
  <si>
    <t>化纤行业</t>
  </si>
  <si>
    <t>造纸印刷</t>
  </si>
  <si>
    <t>化肥行业</t>
  </si>
  <si>
    <t>国际贸易</t>
  </si>
  <si>
    <t>农药兽药</t>
  </si>
  <si>
    <t>公用事业</t>
  </si>
  <si>
    <t>塑胶制品</t>
  </si>
  <si>
    <t>装修装饰</t>
  </si>
  <si>
    <t>专用设备</t>
  </si>
  <si>
    <t>珠宝首饰</t>
  </si>
  <si>
    <t>综合行业</t>
  </si>
  <si>
    <t>包装材料</t>
  </si>
  <si>
    <t>工艺商品</t>
  </si>
  <si>
    <t>多元</t>
    <phoneticPr fontId="18" type="noConversion"/>
  </si>
  <si>
    <t>木业</t>
    <phoneticPr fontId="18" type="noConversion"/>
  </si>
  <si>
    <t>造纸</t>
  </si>
  <si>
    <t>造纸</t>
    <phoneticPr fontId="18" type="noConversion"/>
  </si>
  <si>
    <t>农药</t>
    <phoneticPr fontId="18" type="noConversion"/>
  </si>
  <si>
    <t>专用</t>
  </si>
  <si>
    <t>专用</t>
    <phoneticPr fontId="18" type="noConversion"/>
  </si>
  <si>
    <t>包装</t>
  </si>
  <si>
    <t>包装</t>
    <phoneticPr fontId="18" type="noConversion"/>
  </si>
  <si>
    <t>包</t>
  </si>
  <si>
    <t>包</t>
    <phoneticPr fontId="18" type="noConversion"/>
  </si>
  <si>
    <t>艺品</t>
    <phoneticPr fontId="18" type="noConversion"/>
  </si>
  <si>
    <t>艺</t>
    <phoneticPr fontId="18" type="noConversion"/>
  </si>
  <si>
    <t>专</t>
  </si>
  <si>
    <t>专</t>
    <phoneticPr fontId="18" type="noConversion"/>
  </si>
  <si>
    <t>纸</t>
  </si>
  <si>
    <t>纸</t>
    <phoneticPr fontId="18" type="noConversion"/>
  </si>
  <si>
    <t>期货</t>
    <phoneticPr fontId="18" type="noConversion"/>
  </si>
  <si>
    <t>期</t>
    <phoneticPr fontId="18" type="noConversion"/>
  </si>
  <si>
    <t>指数</t>
    <phoneticPr fontId="18" type="noConversion"/>
  </si>
  <si>
    <t>指</t>
    <phoneticPr fontId="18" type="noConversion"/>
  </si>
  <si>
    <t>物流</t>
    <phoneticPr fontId="18" type="noConversion"/>
  </si>
  <si>
    <t>物</t>
    <phoneticPr fontId="18" type="noConversion"/>
  </si>
  <si>
    <t>文教</t>
  </si>
  <si>
    <t>文教</t>
    <phoneticPr fontId="18" type="noConversion"/>
  </si>
  <si>
    <t>文</t>
    <phoneticPr fontId="18" type="noConversion"/>
  </si>
  <si>
    <t>瓷</t>
    <phoneticPr fontId="18" type="noConversion"/>
  </si>
  <si>
    <t>玻璃</t>
    <phoneticPr fontId="18" type="noConversion"/>
  </si>
  <si>
    <t>sh510050</t>
  </si>
  <si>
    <t>50ETF</t>
  </si>
  <si>
    <t>基金</t>
  </si>
  <si>
    <t>上50E</t>
  </si>
  <si>
    <t>基</t>
  </si>
  <si>
    <t>信券</t>
  </si>
  <si>
    <t>君安</t>
  </si>
  <si>
    <t>广券</t>
  </si>
  <si>
    <t>sh600425</t>
  </si>
  <si>
    <t>青松</t>
  </si>
  <si>
    <t>sh600112</t>
  </si>
  <si>
    <t>天成</t>
  </si>
  <si>
    <t>sh600643</t>
  </si>
  <si>
    <t>爱建</t>
  </si>
  <si>
    <t>sz002416</t>
  </si>
  <si>
    <t>爱施</t>
  </si>
  <si>
    <t>sz002635</t>
  </si>
  <si>
    <t>安洁</t>
  </si>
  <si>
    <t>sh600298</t>
  </si>
  <si>
    <t>安琪</t>
  </si>
  <si>
    <t>sz000969</t>
  </si>
  <si>
    <t>安泰</t>
  </si>
  <si>
    <t>sh600397</t>
  </si>
  <si>
    <t>安源</t>
  </si>
  <si>
    <t>sh603001</t>
  </si>
  <si>
    <t>奥康</t>
  </si>
  <si>
    <t>sh600468</t>
  </si>
  <si>
    <t>百利</t>
  </si>
  <si>
    <t>sz000690</t>
  </si>
  <si>
    <t>宝新</t>
  </si>
  <si>
    <t>sh600967</t>
  </si>
  <si>
    <t>北创</t>
  </si>
  <si>
    <t>sz002371</t>
  </si>
  <si>
    <t>华创</t>
  </si>
  <si>
    <t>sz002392</t>
  </si>
  <si>
    <t>利尔</t>
  </si>
  <si>
    <t>sz000786</t>
  </si>
  <si>
    <t>北新</t>
  </si>
  <si>
    <t>sz000761</t>
  </si>
  <si>
    <t>本钢</t>
  </si>
  <si>
    <t>sh601678</t>
  </si>
  <si>
    <t>滨化</t>
  </si>
  <si>
    <t>sh600880</t>
  </si>
  <si>
    <t>博瑞</t>
  </si>
  <si>
    <t>sz002698</t>
  </si>
  <si>
    <t>博实</t>
  </si>
  <si>
    <t>sz002251</t>
  </si>
  <si>
    <t>步高</t>
  </si>
  <si>
    <t>sz000158</t>
  </si>
  <si>
    <t>常山</t>
  </si>
  <si>
    <t>sz002345</t>
  </si>
  <si>
    <t>潮宏</t>
  </si>
  <si>
    <t>sz000488</t>
  </si>
  <si>
    <t>晨鸣</t>
  </si>
  <si>
    <t>sz002190</t>
  </si>
  <si>
    <t>成飞</t>
  </si>
  <si>
    <t>sz000848</t>
  </si>
  <si>
    <t>承德</t>
  </si>
  <si>
    <t>sz002477</t>
  </si>
  <si>
    <t>雏鹰</t>
  </si>
  <si>
    <t>sz000810</t>
  </si>
  <si>
    <t>创维</t>
  </si>
  <si>
    <t>sh600874</t>
  </si>
  <si>
    <t>sz002030</t>
  </si>
  <si>
    <t>达安</t>
  </si>
  <si>
    <t>sz002512</t>
  </si>
  <si>
    <t>达华</t>
  </si>
  <si>
    <t>sh603025</t>
  </si>
  <si>
    <t>大豪</t>
  </si>
  <si>
    <t>sz002505</t>
  </si>
  <si>
    <t>大康</t>
  </si>
  <si>
    <t>sh600694</t>
  </si>
  <si>
    <t>大商</t>
  </si>
  <si>
    <t>sh600198</t>
  </si>
  <si>
    <t>sh601001</t>
  </si>
  <si>
    <t>大同</t>
  </si>
  <si>
    <t>sh600635</t>
  </si>
  <si>
    <t>大公</t>
  </si>
  <si>
    <t>sh600611</t>
  </si>
  <si>
    <t>大交</t>
  </si>
  <si>
    <t>sz002005</t>
  </si>
  <si>
    <t>德豪</t>
  </si>
  <si>
    <t>sz000049</t>
  </si>
  <si>
    <t>德赛</t>
  </si>
  <si>
    <t>sz002041</t>
  </si>
  <si>
    <t>登海</t>
  </si>
  <si>
    <t>sz300244</t>
  </si>
  <si>
    <t>迪安</t>
  </si>
  <si>
    <t>sh600565</t>
  </si>
  <si>
    <t>迪马</t>
  </si>
  <si>
    <t>sz300166</t>
  </si>
  <si>
    <t>东国</t>
  </si>
  <si>
    <t>sh600086</t>
  </si>
  <si>
    <t>东金</t>
  </si>
  <si>
    <t>sh603377</t>
  </si>
  <si>
    <t>东时</t>
  </si>
  <si>
    <t>sh600776</t>
  </si>
  <si>
    <t>东通</t>
  </si>
  <si>
    <t>sh600006</t>
  </si>
  <si>
    <t>东风</t>
  </si>
  <si>
    <t>sz002672</t>
  </si>
  <si>
    <t>东江</t>
  </si>
  <si>
    <t>sz002384</t>
  </si>
  <si>
    <t>东山</t>
  </si>
  <si>
    <t>sh600673</t>
  </si>
  <si>
    <t>东阳</t>
  </si>
  <si>
    <t>sz002011</t>
  </si>
  <si>
    <t>盾安</t>
  </si>
  <si>
    <t>sh603528</t>
  </si>
  <si>
    <t>多伦</t>
  </si>
  <si>
    <t>sz000501</t>
  </si>
  <si>
    <t>鄂武</t>
  </si>
  <si>
    <t>sh600563</t>
  </si>
  <si>
    <t>法拉</t>
  </si>
  <si>
    <t>sh600516</t>
  </si>
  <si>
    <t>方大</t>
  </si>
  <si>
    <t>sh600601</t>
  </si>
  <si>
    <t>sh600651</t>
  </si>
  <si>
    <t>飞乐</t>
  </si>
  <si>
    <t>sz300287</t>
  </si>
  <si>
    <t>飞利</t>
  </si>
  <si>
    <t>sz002681</t>
  </si>
  <si>
    <t>奋达</t>
  </si>
  <si>
    <t>sz000636</t>
  </si>
  <si>
    <t>风华</t>
  </si>
  <si>
    <t>sz000541</t>
  </si>
  <si>
    <t>佛山</t>
  </si>
  <si>
    <t>sz000973</t>
  </si>
  <si>
    <t>佛塑</t>
  </si>
  <si>
    <t>sh600483</t>
  </si>
  <si>
    <t>福能</t>
  </si>
  <si>
    <t>sh603806</t>
  </si>
  <si>
    <t>福斯</t>
  </si>
  <si>
    <t>sh600166</t>
  </si>
  <si>
    <t>福田</t>
  </si>
  <si>
    <t>sz000926</t>
  </si>
  <si>
    <t>福星</t>
  </si>
  <si>
    <t>sz002327</t>
  </si>
  <si>
    <t>富安</t>
  </si>
  <si>
    <t>sz002479</t>
  </si>
  <si>
    <t>富春</t>
  </si>
  <si>
    <t>sz002414</t>
  </si>
  <si>
    <t>高德</t>
  </si>
  <si>
    <t>sh600059</t>
  </si>
  <si>
    <t>古越</t>
  </si>
  <si>
    <t>sh600067</t>
  </si>
  <si>
    <t>冠城</t>
  </si>
  <si>
    <t>sh600433</t>
  </si>
  <si>
    <t>冠豪</t>
  </si>
  <si>
    <t>sh600251</t>
  </si>
  <si>
    <t>冠农</t>
  </si>
  <si>
    <t>sh600184</t>
  </si>
  <si>
    <t>光电</t>
  </si>
  <si>
    <t>sh600597</t>
  </si>
  <si>
    <t>光明</t>
  </si>
  <si>
    <t>sz002281</t>
  </si>
  <si>
    <t>光迅</t>
  </si>
  <si>
    <t>sh600831</t>
  </si>
  <si>
    <t>sz002410</t>
  </si>
  <si>
    <t>广联</t>
  </si>
  <si>
    <t>sh600894</t>
  </si>
  <si>
    <t>广日</t>
  </si>
  <si>
    <t>sh600259</t>
  </si>
  <si>
    <t>广晟</t>
  </si>
  <si>
    <t>sz002482</t>
  </si>
  <si>
    <t>广田</t>
  </si>
  <si>
    <t>sh603555</t>
  </si>
  <si>
    <t>贵鸟</t>
  </si>
  <si>
    <t>sh600335</t>
  </si>
  <si>
    <t>国机</t>
  </si>
  <si>
    <t>sz002093</t>
  </si>
  <si>
    <t>国脉</t>
  </si>
  <si>
    <t>sh600511</t>
  </si>
  <si>
    <t>sh600187</t>
  </si>
  <si>
    <t>国中</t>
  </si>
  <si>
    <t>sz000616</t>
  </si>
  <si>
    <t>sz000572</t>
  </si>
  <si>
    <t>海马</t>
  </si>
  <si>
    <t>sz000566</t>
  </si>
  <si>
    <t>海南</t>
  </si>
  <si>
    <t>sz002344</t>
  </si>
  <si>
    <t>海宁</t>
  </si>
  <si>
    <t>sz000078</t>
  </si>
  <si>
    <t>海王</t>
  </si>
  <si>
    <t>sh600851</t>
  </si>
  <si>
    <t>海欣</t>
  </si>
  <si>
    <t>sz000861</t>
  </si>
  <si>
    <t>海印</t>
  </si>
  <si>
    <t>sh600267</t>
  </si>
  <si>
    <t>海正</t>
  </si>
  <si>
    <t>sz002498</t>
  </si>
  <si>
    <t>汉缆</t>
  </si>
  <si>
    <t>sz300199</t>
  </si>
  <si>
    <t>翰宇</t>
  </si>
  <si>
    <t>sz002025</t>
  </si>
  <si>
    <t>航天</t>
  </si>
  <si>
    <t>sh600879</t>
  </si>
  <si>
    <t>sh603698</t>
  </si>
  <si>
    <t>sh600151</t>
  </si>
  <si>
    <t>sz002595</t>
  </si>
  <si>
    <t>豪迈</t>
  </si>
  <si>
    <t>sh600640</t>
  </si>
  <si>
    <t>号百</t>
  </si>
  <si>
    <t>sz000417</t>
  </si>
  <si>
    <t>合肥</t>
  </si>
  <si>
    <t>sz300273</t>
  </si>
  <si>
    <t>和佳</t>
  </si>
  <si>
    <t>sz000703</t>
  </si>
  <si>
    <t>恒逸</t>
  </si>
  <si>
    <t>sh600971</t>
  </si>
  <si>
    <t>恒源</t>
  </si>
  <si>
    <t>sz002056</t>
  </si>
  <si>
    <t>横店</t>
  </si>
  <si>
    <t>sz300026</t>
  </si>
  <si>
    <t>红日</t>
  </si>
  <si>
    <t>sh600122</t>
  </si>
  <si>
    <t>宏图</t>
  </si>
  <si>
    <t>sh600316</t>
  </si>
  <si>
    <t>洪都</t>
  </si>
  <si>
    <t>sz002325</t>
  </si>
  <si>
    <t>洪涛</t>
  </si>
  <si>
    <t>sz002002</t>
  </si>
  <si>
    <t>鸿达</t>
  </si>
  <si>
    <t>sz002155</t>
  </si>
  <si>
    <t>湖南</t>
  </si>
  <si>
    <t>sz002463</t>
  </si>
  <si>
    <t>沪电</t>
  </si>
  <si>
    <t>sz002004</t>
  </si>
  <si>
    <t>华邦</t>
  </si>
  <si>
    <t>农</t>
  </si>
  <si>
    <t>sh600850</t>
  </si>
  <si>
    <t>sz000727</t>
  </si>
  <si>
    <t>sh600325</t>
  </si>
  <si>
    <t>华发</t>
  </si>
  <si>
    <t>sz002064</t>
  </si>
  <si>
    <t>华峰</t>
  </si>
  <si>
    <t>sz000988</t>
  </si>
  <si>
    <t>华工</t>
  </si>
  <si>
    <t>sh600503</t>
  </si>
  <si>
    <t>华丽</t>
  </si>
  <si>
    <t>sh600426</t>
  </si>
  <si>
    <t>华鲁</t>
  </si>
  <si>
    <t>sz300291</t>
  </si>
  <si>
    <t>华录</t>
  </si>
  <si>
    <t>sh600062</t>
  </si>
  <si>
    <t>sh600410</t>
  </si>
  <si>
    <t>华胜</t>
  </si>
  <si>
    <t>sh600801</t>
  </si>
  <si>
    <t>华新</t>
  </si>
  <si>
    <t>sh600240</t>
  </si>
  <si>
    <t>华业</t>
  </si>
  <si>
    <t>sh600743</t>
  </si>
  <si>
    <t>华远</t>
  </si>
  <si>
    <t>sh600981</t>
  </si>
  <si>
    <t>汇鸿</t>
  </si>
  <si>
    <t>sh601929</t>
  </si>
  <si>
    <t>吉视</t>
  </si>
  <si>
    <t>sz000401</t>
  </si>
  <si>
    <t>冀东</t>
  </si>
  <si>
    <t>sz000600</t>
  </si>
  <si>
    <t>建投</t>
  </si>
  <si>
    <t>sh600380</t>
  </si>
  <si>
    <t>健康</t>
  </si>
  <si>
    <t>sh601886</t>
  </si>
  <si>
    <t>江河</t>
  </si>
  <si>
    <t>sh600200</t>
  </si>
  <si>
    <t>江苏</t>
  </si>
  <si>
    <t>sh600220</t>
  </si>
  <si>
    <t>sz002176</t>
  </si>
  <si>
    <t>江特</t>
  </si>
  <si>
    <t>sh600750</t>
  </si>
  <si>
    <t>江中</t>
  </si>
  <si>
    <t>sz002315</t>
  </si>
  <si>
    <t>焦点</t>
  </si>
  <si>
    <t>sz000612</t>
  </si>
  <si>
    <t>焦作</t>
  </si>
  <si>
    <t>sz002353</t>
  </si>
  <si>
    <t>杰瑞</t>
  </si>
  <si>
    <t>sz002544</t>
  </si>
  <si>
    <t>杰赛</t>
  </si>
  <si>
    <t>sh603369</t>
  </si>
  <si>
    <t>今世</t>
  </si>
  <si>
    <t>sh600143</t>
  </si>
  <si>
    <t>金发</t>
  </si>
  <si>
    <t>sz000669</t>
  </si>
  <si>
    <t>金鸿</t>
  </si>
  <si>
    <t>sh600586</t>
  </si>
  <si>
    <t>金晶</t>
  </si>
  <si>
    <t>sz000919</t>
  </si>
  <si>
    <t>金陵</t>
  </si>
  <si>
    <t>sz300032</t>
  </si>
  <si>
    <t>金龙</t>
  </si>
  <si>
    <t>sz000587</t>
  </si>
  <si>
    <t>金洲</t>
  </si>
  <si>
    <t>sz000897</t>
  </si>
  <si>
    <t>津滨</t>
  </si>
  <si>
    <t>sz000712</t>
  </si>
  <si>
    <t>锦龙</t>
  </si>
  <si>
    <t>sz002191</t>
  </si>
  <si>
    <t>劲嘉</t>
  </si>
  <si>
    <t>sh601002</t>
  </si>
  <si>
    <t>晋亿</t>
  </si>
  <si>
    <t>sh600578</t>
  </si>
  <si>
    <t>京能</t>
  </si>
  <si>
    <t>sh601908</t>
  </si>
  <si>
    <t>京运</t>
  </si>
  <si>
    <t>sh603005</t>
  </si>
  <si>
    <t>晶方</t>
  </si>
  <si>
    <t>sh600496</t>
  </si>
  <si>
    <t>精工</t>
  </si>
  <si>
    <t>sz000552</t>
  </si>
  <si>
    <t>靖远</t>
  </si>
  <si>
    <t>sz002242</t>
  </si>
  <si>
    <t>九阳</t>
  </si>
  <si>
    <t>sh600307</t>
  </si>
  <si>
    <t>酒钢</t>
  </si>
  <si>
    <t>sz002342</t>
  </si>
  <si>
    <t>巨力</t>
  </si>
  <si>
    <t>sz002444</t>
  </si>
  <si>
    <t>巨星</t>
  </si>
  <si>
    <t>sz300202</t>
  </si>
  <si>
    <t>聚龙</t>
  </si>
  <si>
    <t>sz300257</t>
  </si>
  <si>
    <t>开山</t>
  </si>
  <si>
    <t>sz000939</t>
  </si>
  <si>
    <t>凯迪</t>
  </si>
  <si>
    <t>sh600260</t>
  </si>
  <si>
    <t>凯乐</t>
  </si>
  <si>
    <t>sh600572</t>
  </si>
  <si>
    <t>康恩</t>
  </si>
  <si>
    <t>sh600557</t>
  </si>
  <si>
    <t>康缘</t>
  </si>
  <si>
    <t>sh600499</t>
  </si>
  <si>
    <t>科达</t>
  </si>
  <si>
    <t>sz002022</t>
  </si>
  <si>
    <t>科华</t>
  </si>
  <si>
    <t>sh600478</t>
  </si>
  <si>
    <t>科力</t>
  </si>
  <si>
    <t>sh600422</t>
  </si>
  <si>
    <t>昆药</t>
  </si>
  <si>
    <t>sz002106</t>
  </si>
  <si>
    <t>莱宝</t>
  </si>
  <si>
    <t>sh603355</t>
  </si>
  <si>
    <t>莱克</t>
  </si>
  <si>
    <t>sh600826</t>
  </si>
  <si>
    <t>兰生</t>
  </si>
  <si>
    <t>sh603169</t>
  </si>
  <si>
    <t>兰石</t>
  </si>
  <si>
    <t>sz300297</t>
  </si>
  <si>
    <t>蓝盾</t>
  </si>
  <si>
    <t>sh600466</t>
  </si>
  <si>
    <t>蓝光</t>
  </si>
  <si>
    <t>sh603883</t>
  </si>
  <si>
    <t>老百</t>
  </si>
  <si>
    <t>sh601777</t>
  </si>
  <si>
    <t>力帆</t>
  </si>
  <si>
    <t>sz300010</t>
  </si>
  <si>
    <t>立思</t>
  </si>
  <si>
    <t>sz002250</t>
  </si>
  <si>
    <t>联化</t>
  </si>
  <si>
    <t>sz000697</t>
  </si>
  <si>
    <t>炼石</t>
  </si>
  <si>
    <t>sz000528</t>
  </si>
  <si>
    <t xml:space="preserve">柳 </t>
  </si>
  <si>
    <t>sh600388</t>
  </si>
  <si>
    <t>龙净</t>
  </si>
  <si>
    <t>sh603766</t>
  </si>
  <si>
    <t>隆鑫</t>
  </si>
  <si>
    <t>sz000726</t>
  </si>
  <si>
    <t xml:space="preserve">鲁 </t>
  </si>
  <si>
    <t>sz000830</t>
  </si>
  <si>
    <t>鲁西</t>
  </si>
  <si>
    <t>sh600783</t>
  </si>
  <si>
    <t>鲁信</t>
  </si>
  <si>
    <t>sz002128</t>
  </si>
  <si>
    <t>露天</t>
  </si>
  <si>
    <t>sh601311</t>
  </si>
  <si>
    <t>骆驼</t>
  </si>
  <si>
    <t>sh600618</t>
  </si>
  <si>
    <t>氯碱</t>
  </si>
  <si>
    <t>sh600993</t>
  </si>
  <si>
    <t>马应</t>
  </si>
  <si>
    <t>sh600873</t>
  </si>
  <si>
    <t>梅花</t>
  </si>
  <si>
    <t>sz002269</t>
  </si>
  <si>
    <t>美邦</t>
  </si>
  <si>
    <t>sh600175</t>
  </si>
  <si>
    <t>美都</t>
  </si>
  <si>
    <t>sz000667</t>
  </si>
  <si>
    <t>美好</t>
  </si>
  <si>
    <t>sz002699</t>
  </si>
  <si>
    <t>美盛</t>
  </si>
  <si>
    <t>休</t>
  </si>
  <si>
    <t>sz002690</t>
  </si>
  <si>
    <t>美亚</t>
  </si>
  <si>
    <t>sz002123</t>
  </si>
  <si>
    <t>梦网</t>
  </si>
  <si>
    <t>sz002745</t>
  </si>
  <si>
    <t>木林</t>
  </si>
  <si>
    <t>sh600282</t>
  </si>
  <si>
    <t>南钢</t>
  </si>
  <si>
    <t>sh600064</t>
  </si>
  <si>
    <t>南京</t>
  </si>
  <si>
    <t>sh600863</t>
  </si>
  <si>
    <t>内蒙</t>
  </si>
  <si>
    <t>sz002048</t>
  </si>
  <si>
    <t>宁波</t>
  </si>
  <si>
    <t>sh600366</t>
  </si>
  <si>
    <t>sh600395</t>
  </si>
  <si>
    <t>盘江</t>
  </si>
  <si>
    <t>sh601258</t>
  </si>
  <si>
    <t>庞大</t>
  </si>
  <si>
    <t>sh600614</t>
  </si>
  <si>
    <t>鹏起</t>
  </si>
  <si>
    <t>sh600312</t>
  </si>
  <si>
    <t>平高</t>
  </si>
  <si>
    <t>sz000592</t>
  </si>
  <si>
    <t>平潭</t>
  </si>
  <si>
    <t>sh600284</t>
  </si>
  <si>
    <t>浦东</t>
  </si>
  <si>
    <t>sz002663</t>
  </si>
  <si>
    <t>普邦</t>
  </si>
  <si>
    <t>sz002029</t>
  </si>
  <si>
    <t xml:space="preserve">七 </t>
  </si>
  <si>
    <t>sz002408</t>
  </si>
  <si>
    <t>齐翔</t>
  </si>
  <si>
    <t>sh600720</t>
  </si>
  <si>
    <t>祁连</t>
  </si>
  <si>
    <t>sz002439</t>
  </si>
  <si>
    <t>启明</t>
  </si>
  <si>
    <t>sz002373</t>
  </si>
  <si>
    <t>千方</t>
  </si>
  <si>
    <t>sz002646</t>
  </si>
  <si>
    <t>青青</t>
  </si>
  <si>
    <t>sh600790</t>
  </si>
  <si>
    <t>轻纺</t>
  </si>
  <si>
    <t>sz002573</t>
  </si>
  <si>
    <t>清新</t>
  </si>
  <si>
    <t>sh600017</t>
  </si>
  <si>
    <t>日照</t>
  </si>
  <si>
    <t>sz000517</t>
  </si>
  <si>
    <t>荣安</t>
  </si>
  <si>
    <t>sz002642</t>
  </si>
  <si>
    <t>荣之</t>
  </si>
  <si>
    <t>sz002073</t>
  </si>
  <si>
    <t>软控</t>
  </si>
  <si>
    <t>sh600180</t>
  </si>
  <si>
    <t>瑞茂</t>
  </si>
  <si>
    <t>sz002440</t>
  </si>
  <si>
    <t>闰土</t>
  </si>
  <si>
    <t>sz002050</t>
  </si>
  <si>
    <t>三花</t>
  </si>
  <si>
    <t>sh600409</t>
  </si>
  <si>
    <t>三友</t>
  </si>
  <si>
    <t>sz002358</t>
  </si>
  <si>
    <t>森源</t>
  </si>
  <si>
    <t>sh600755</t>
  </si>
  <si>
    <t>厦门</t>
  </si>
  <si>
    <t>sz000680</t>
  </si>
  <si>
    <t>山推</t>
  </si>
  <si>
    <t>sh600809</t>
  </si>
  <si>
    <t>sh600884</t>
  </si>
  <si>
    <t>杉杉</t>
  </si>
  <si>
    <t>sh600171</t>
  </si>
  <si>
    <t>上海</t>
  </si>
  <si>
    <t>sh600315</t>
  </si>
  <si>
    <t>sz300039</t>
  </si>
  <si>
    <t>sh600073</t>
  </si>
  <si>
    <t>sh600748</t>
  </si>
  <si>
    <t>上实</t>
  </si>
  <si>
    <t>sz002551</t>
  </si>
  <si>
    <t>尚荣</t>
  </si>
  <si>
    <t>sz000021</t>
  </si>
  <si>
    <t>深科</t>
  </si>
  <si>
    <t>sz000062</t>
  </si>
  <si>
    <t>深圳</t>
  </si>
  <si>
    <t>sz002168</t>
  </si>
  <si>
    <t>sz000089</t>
  </si>
  <si>
    <t>sz000006</t>
  </si>
  <si>
    <t>深振</t>
  </si>
  <si>
    <t>sh600201</t>
  </si>
  <si>
    <t>生物</t>
  </si>
  <si>
    <t>sh600183</t>
  </si>
  <si>
    <t>生益</t>
  </si>
  <si>
    <t>sz002400</t>
  </si>
  <si>
    <t>省广</t>
  </si>
  <si>
    <t>sh600392</t>
  </si>
  <si>
    <t>盛和</t>
  </si>
  <si>
    <t>sh600551</t>
  </si>
  <si>
    <t>时代出版</t>
  </si>
  <si>
    <t>时代</t>
  </si>
  <si>
    <t>sh600458</t>
  </si>
  <si>
    <t>sz002588</t>
  </si>
  <si>
    <t>史丹</t>
  </si>
  <si>
    <t>sh600460</t>
  </si>
  <si>
    <t>士兰</t>
  </si>
  <si>
    <t>sz002285</t>
  </si>
  <si>
    <t>世联</t>
  </si>
  <si>
    <t>sz000681</t>
  </si>
  <si>
    <t>视觉</t>
  </si>
  <si>
    <t>sz002665</t>
  </si>
  <si>
    <t>首航</t>
  </si>
  <si>
    <t>sh600481</t>
  </si>
  <si>
    <t>双良</t>
  </si>
  <si>
    <t>sz002273</t>
  </si>
  <si>
    <t>水晶</t>
  </si>
  <si>
    <t>sz000631</t>
  </si>
  <si>
    <t>顺发</t>
  </si>
  <si>
    <t>sz000860</t>
  </si>
  <si>
    <t>顺鑫</t>
  </si>
  <si>
    <t>sz002028</t>
  </si>
  <si>
    <t>思源</t>
  </si>
  <si>
    <t>sh600039</t>
  </si>
  <si>
    <t>四川</t>
  </si>
  <si>
    <t>sh600839</t>
  </si>
  <si>
    <t>sz002503</t>
  </si>
  <si>
    <t>搜于</t>
  </si>
  <si>
    <t>sh600736</t>
  </si>
  <si>
    <t>苏州</t>
  </si>
  <si>
    <t>sz002233</t>
  </si>
  <si>
    <t>塔牌</t>
  </si>
  <si>
    <t>sz002368</t>
  </si>
  <si>
    <t>太极</t>
  </si>
  <si>
    <t>sz002078</t>
  </si>
  <si>
    <t>太阳</t>
  </si>
  <si>
    <t>sh600169</t>
  </si>
  <si>
    <t>太原</t>
  </si>
  <si>
    <t>sz000652</t>
  </si>
  <si>
    <t>泰达</t>
  </si>
  <si>
    <t>sz002254</t>
  </si>
  <si>
    <t>泰和</t>
  </si>
  <si>
    <t>sz300146</t>
  </si>
  <si>
    <t>汤臣</t>
  </si>
  <si>
    <t>sh601000</t>
  </si>
  <si>
    <t>唐山</t>
  </si>
  <si>
    <t>sh603866</t>
  </si>
  <si>
    <t>桃李</t>
  </si>
  <si>
    <t>sz000025</t>
  </si>
  <si>
    <t xml:space="preserve">特 </t>
  </si>
  <si>
    <t>sz300001</t>
  </si>
  <si>
    <t>特锐</t>
  </si>
  <si>
    <t>sh600582</t>
  </si>
  <si>
    <t>天地</t>
  </si>
  <si>
    <t>sz000090</t>
  </si>
  <si>
    <t>天健</t>
  </si>
  <si>
    <t>sh600717</t>
  </si>
  <si>
    <t>天津</t>
  </si>
  <si>
    <t>sz002122</t>
  </si>
  <si>
    <t>sz000877</t>
  </si>
  <si>
    <t>天山</t>
  </si>
  <si>
    <t>sz002238</t>
  </si>
  <si>
    <t>天威</t>
  </si>
  <si>
    <t>sz000829</t>
  </si>
  <si>
    <t>天音</t>
  </si>
  <si>
    <t>sh600125</t>
  </si>
  <si>
    <t>铁龙</t>
  </si>
  <si>
    <t>sh601233</t>
  </si>
  <si>
    <t>桐昆</t>
  </si>
  <si>
    <t>sh601689</t>
  </si>
  <si>
    <t>拓普</t>
  </si>
  <si>
    <t>sz002261</t>
  </si>
  <si>
    <t>拓维</t>
  </si>
  <si>
    <t>sh600270</t>
  </si>
  <si>
    <t>外运</t>
  </si>
  <si>
    <t>sh600575</t>
  </si>
  <si>
    <t>皖江</t>
  </si>
  <si>
    <t>sz000543</t>
  </si>
  <si>
    <t>皖能</t>
  </si>
  <si>
    <t>sz300055</t>
  </si>
  <si>
    <t>万邦</t>
  </si>
  <si>
    <t>sz002276</t>
  </si>
  <si>
    <t>万马</t>
  </si>
  <si>
    <t>sh600859</t>
  </si>
  <si>
    <t>王府</t>
  </si>
  <si>
    <t>sz002308</t>
  </si>
  <si>
    <t>威创</t>
  </si>
  <si>
    <t>sh600300</t>
  </si>
  <si>
    <t>维维</t>
  </si>
  <si>
    <t>sh603568</t>
  </si>
  <si>
    <t>伟明</t>
  </si>
  <si>
    <t>sz002268</t>
  </si>
  <si>
    <t xml:space="preserve">卫 </t>
  </si>
  <si>
    <t>sz300253</t>
  </si>
  <si>
    <t>卫宁</t>
  </si>
  <si>
    <t>sz002581</t>
  </si>
  <si>
    <t>未名</t>
  </si>
  <si>
    <t>sh601010</t>
  </si>
  <si>
    <t>文峰</t>
  </si>
  <si>
    <t>sh600580</t>
  </si>
  <si>
    <t>卧龙</t>
  </si>
  <si>
    <t>sh600058</t>
  </si>
  <si>
    <t>五矿</t>
  </si>
  <si>
    <t>sz002194</t>
  </si>
  <si>
    <t>武汉</t>
  </si>
  <si>
    <t>sh601168</t>
  </si>
  <si>
    <t>sh600773</t>
  </si>
  <si>
    <t>西藏</t>
  </si>
  <si>
    <t>sz000762</t>
  </si>
  <si>
    <t>sh600338</t>
  </si>
  <si>
    <t>sz002332</t>
  </si>
  <si>
    <t>仙琚</t>
  </si>
  <si>
    <t>sz300147</t>
  </si>
  <si>
    <t>香雪</t>
  </si>
  <si>
    <t>sh600416</t>
  </si>
  <si>
    <t>湘电</t>
  </si>
  <si>
    <t>sz000997</t>
  </si>
  <si>
    <t xml:space="preserve">新 </t>
  </si>
  <si>
    <t>sh600596</t>
  </si>
  <si>
    <t>新安</t>
  </si>
  <si>
    <t>sh600825</t>
  </si>
  <si>
    <t>新华</t>
  </si>
  <si>
    <t>sz000620</t>
  </si>
  <si>
    <t>sh600587</t>
  </si>
  <si>
    <t>sh600545</t>
  </si>
  <si>
    <t>新疆</t>
  </si>
  <si>
    <t>sh600628</t>
  </si>
  <si>
    <t>新世</t>
  </si>
  <si>
    <t>sz000778</t>
  </si>
  <si>
    <t>新兴</t>
  </si>
  <si>
    <t>sz002390</t>
  </si>
  <si>
    <t>信邦</t>
  </si>
  <si>
    <t>sh600657</t>
  </si>
  <si>
    <t>信达</t>
  </si>
  <si>
    <t>sz300043</t>
  </si>
  <si>
    <t>星辉</t>
  </si>
  <si>
    <t>sz002396</t>
  </si>
  <si>
    <t>星网</t>
  </si>
  <si>
    <t>sh600141</t>
  </si>
  <si>
    <t>兴发</t>
  </si>
  <si>
    <t>sz000598</t>
  </si>
  <si>
    <t>兴蓉</t>
  </si>
  <si>
    <t>sz000426</t>
  </si>
  <si>
    <t>兴业</t>
  </si>
  <si>
    <t>sz000400</t>
  </si>
  <si>
    <t>许继</t>
  </si>
  <si>
    <t>sh603188</t>
  </si>
  <si>
    <t>亚邦</t>
  </si>
  <si>
    <t>sh600351</t>
  </si>
  <si>
    <t>亚宝</t>
  </si>
  <si>
    <t>sz002375</t>
  </si>
  <si>
    <t>亚厦</t>
  </si>
  <si>
    <t>sh600108</t>
  </si>
  <si>
    <t>亚盛</t>
  </si>
  <si>
    <t>sh600881</t>
  </si>
  <si>
    <t>亚泰</t>
  </si>
  <si>
    <t>sz300274</t>
  </si>
  <si>
    <t>sh600348</t>
  </si>
  <si>
    <t>阳泉</t>
  </si>
  <si>
    <t>sz000800</t>
  </si>
  <si>
    <t>一汽</t>
  </si>
  <si>
    <t>sz002727</t>
  </si>
  <si>
    <t>一心</t>
  </si>
  <si>
    <t>sh603328</t>
  </si>
  <si>
    <t>依顿</t>
  </si>
  <si>
    <t>sh600978</t>
  </si>
  <si>
    <t>宜华</t>
  </si>
  <si>
    <t>sz002603</t>
  </si>
  <si>
    <t>以岭</t>
  </si>
  <si>
    <t>sz002019</t>
  </si>
  <si>
    <t>亿帆</t>
  </si>
  <si>
    <t>sh600537</t>
  </si>
  <si>
    <t>亿晶</t>
  </si>
  <si>
    <t>sh600277</t>
  </si>
  <si>
    <t>亿利</t>
  </si>
  <si>
    <t>sh600289</t>
  </si>
  <si>
    <t>亿阳</t>
  </si>
  <si>
    <t>sh600594</t>
  </si>
  <si>
    <t>益佰</t>
  </si>
  <si>
    <t>sz000806</t>
  </si>
  <si>
    <t>银河</t>
  </si>
  <si>
    <t>sz000975</t>
  </si>
  <si>
    <t>银泰</t>
  </si>
  <si>
    <t>sz300085</t>
  </si>
  <si>
    <t>银之</t>
  </si>
  <si>
    <t>sh603198</t>
  </si>
  <si>
    <t>迎驾</t>
  </si>
  <si>
    <t>sz002277</t>
  </si>
  <si>
    <t>友阿</t>
  </si>
  <si>
    <t>sz002437</t>
  </si>
  <si>
    <t>誉衡</t>
  </si>
  <si>
    <t>sh600655</t>
  </si>
  <si>
    <t>豫园</t>
  </si>
  <si>
    <t>sz002161</t>
  </si>
  <si>
    <t xml:space="preserve">远 </t>
  </si>
  <si>
    <t>sh600292</t>
  </si>
  <si>
    <t>远环</t>
  </si>
  <si>
    <t>sz002063</t>
  </si>
  <si>
    <t>远光</t>
  </si>
  <si>
    <t>sh600805</t>
  </si>
  <si>
    <t>悦达</t>
  </si>
  <si>
    <t>sz000878</t>
  </si>
  <si>
    <t>滇铜</t>
  </si>
  <si>
    <t>sz002428</t>
  </si>
  <si>
    <t>滇锗</t>
  </si>
  <si>
    <t>sz000661</t>
  </si>
  <si>
    <t>春高</t>
  </si>
  <si>
    <t>sh600584</t>
  </si>
  <si>
    <t>sh600757</t>
  </si>
  <si>
    <t>江媒</t>
  </si>
  <si>
    <t>sz300088</t>
  </si>
  <si>
    <t>信科</t>
  </si>
  <si>
    <t>sh600525</t>
  </si>
  <si>
    <t>长园</t>
  </si>
  <si>
    <t>sz002266</t>
  </si>
  <si>
    <t>浙富</t>
  </si>
  <si>
    <t>sh600120</t>
  </si>
  <si>
    <t>浙东</t>
  </si>
  <si>
    <t>sh600216</t>
  </si>
  <si>
    <t>浙医</t>
  </si>
  <si>
    <t>sz002489</t>
  </si>
  <si>
    <t>永强</t>
  </si>
  <si>
    <t>sh600633</t>
  </si>
  <si>
    <t>浙数</t>
  </si>
  <si>
    <t>sh603567</t>
  </si>
  <si>
    <t>珍岛</t>
  </si>
  <si>
    <t>sh601717</t>
  </si>
  <si>
    <t>郑煤</t>
  </si>
  <si>
    <t>sh600869</t>
  </si>
  <si>
    <t>慧能</t>
  </si>
  <si>
    <t>sz000816</t>
  </si>
  <si>
    <t>慧农</t>
  </si>
  <si>
    <t>sh600517</t>
  </si>
  <si>
    <t>置信</t>
  </si>
  <si>
    <t>sz000931</t>
  </si>
  <si>
    <t>关村</t>
  </si>
  <si>
    <t>sz000519</t>
  </si>
  <si>
    <t>中兵</t>
  </si>
  <si>
    <t>sh600970</t>
  </si>
  <si>
    <t>中材</t>
  </si>
  <si>
    <t>sh600787</t>
  </si>
  <si>
    <t>中储</t>
  </si>
  <si>
    <t>sh600536</t>
  </si>
  <si>
    <t>中软</t>
  </si>
  <si>
    <t>sz000066</t>
  </si>
  <si>
    <t>中城</t>
  </si>
  <si>
    <t>sh600862</t>
  </si>
  <si>
    <t>航高</t>
  </si>
  <si>
    <t>sh600765</t>
  </si>
  <si>
    <t>sz000777</t>
  </si>
  <si>
    <t>中核</t>
  </si>
  <si>
    <t>sh600252</t>
  </si>
  <si>
    <t>中恒</t>
  </si>
  <si>
    <t>sz000979</t>
  </si>
  <si>
    <t>中弘</t>
  </si>
  <si>
    <t>sh600872</t>
  </si>
  <si>
    <t>中炬</t>
  </si>
  <si>
    <t>sz002657</t>
  </si>
  <si>
    <t>科金</t>
  </si>
  <si>
    <t>sz000970</t>
  </si>
  <si>
    <t>科三</t>
  </si>
  <si>
    <t>sz002309</t>
  </si>
  <si>
    <t>中利</t>
  </si>
  <si>
    <t>sz000031</t>
  </si>
  <si>
    <t>粮地</t>
  </si>
  <si>
    <t>sz000930</t>
  </si>
  <si>
    <t>粮化</t>
  </si>
  <si>
    <t>sh600195</t>
  </si>
  <si>
    <t>中牧</t>
  </si>
  <si>
    <t>sh600138</t>
  </si>
  <si>
    <t>中青</t>
  </si>
  <si>
    <t>sz000758</t>
  </si>
  <si>
    <t>中色</t>
  </si>
  <si>
    <t>sz000685</t>
  </si>
  <si>
    <t>中山</t>
  </si>
  <si>
    <t>sh600088</t>
  </si>
  <si>
    <t>中视</t>
  </si>
  <si>
    <t>sh600158</t>
  </si>
  <si>
    <t>中体</t>
  </si>
  <si>
    <t>sh600528</t>
  </si>
  <si>
    <t>铁工</t>
  </si>
  <si>
    <t>sh600329</t>
  </si>
  <si>
    <t>中新</t>
  </si>
  <si>
    <t>sz000099</t>
  </si>
  <si>
    <t>中信</t>
  </si>
  <si>
    <t>sh600280</t>
  </si>
  <si>
    <t>中央</t>
  </si>
  <si>
    <t>sh600645</t>
  </si>
  <si>
    <t>中源</t>
  </si>
  <si>
    <t>sh600428</t>
  </si>
  <si>
    <t>sz002317</t>
  </si>
  <si>
    <t>众生</t>
  </si>
  <si>
    <t>sz002707</t>
  </si>
  <si>
    <t>众信</t>
  </si>
  <si>
    <t>sh600729</t>
  </si>
  <si>
    <t>重百</t>
  </si>
  <si>
    <t>sh600759</t>
  </si>
  <si>
    <t>洲油</t>
  </si>
  <si>
    <t>sz002118</t>
  </si>
  <si>
    <t>紫鑫</t>
  </si>
  <si>
    <t>sz001696</t>
  </si>
  <si>
    <t>宗申</t>
  </si>
  <si>
    <t>sh600770</t>
  </si>
  <si>
    <t>综艺</t>
  </si>
  <si>
    <t>sz002431</t>
  </si>
  <si>
    <t>棕榈</t>
  </si>
  <si>
    <t>industry</t>
    <phoneticPr fontId="18" type="noConversion"/>
  </si>
  <si>
    <t>short industry</t>
    <phoneticPr fontId="18" type="noConversion"/>
  </si>
  <si>
    <t>Output</t>
    <phoneticPr fontId="18" type="noConversion"/>
  </si>
  <si>
    <t>#</t>
    <phoneticPr fontId="18" type="noConversion"/>
  </si>
  <si>
    <t>For china all weight</t>
    <phoneticPr fontId="18" type="noConversion"/>
  </si>
  <si>
    <t>sz002352</t>
  </si>
  <si>
    <t>sh601881</t>
  </si>
  <si>
    <t>sz000617</t>
  </si>
  <si>
    <t>sz000024</t>
  </si>
  <si>
    <t>sh601878</t>
  </si>
  <si>
    <t>sz300676</t>
  </si>
  <si>
    <t>sz002120</t>
  </si>
  <si>
    <t>sh601212</t>
  </si>
  <si>
    <t>sh600390</t>
  </si>
  <si>
    <t>sh603799</t>
  </si>
  <si>
    <t>sh603858</t>
  </si>
  <si>
    <t>sh601326</t>
  </si>
  <si>
    <t>sh603833</t>
  </si>
  <si>
    <t>sz002625</t>
  </si>
  <si>
    <t>sz002468</t>
  </si>
  <si>
    <t>sh601228</t>
  </si>
  <si>
    <t>sh600339</t>
  </si>
  <si>
    <t>sh600909</t>
  </si>
  <si>
    <t>sz002608</t>
  </si>
  <si>
    <t>sh601375</t>
  </si>
  <si>
    <t>sz000553</t>
  </si>
  <si>
    <t>sz000807</t>
  </si>
  <si>
    <t>sz002841</t>
  </si>
  <si>
    <t>sz300450</t>
  </si>
  <si>
    <t>sh600777</t>
  </si>
  <si>
    <t>sz000980</t>
  </si>
  <si>
    <t>sh600004</t>
  </si>
  <si>
    <t>sh603986</t>
  </si>
  <si>
    <t>sz002831</t>
  </si>
  <si>
    <t>sz000932</t>
  </si>
  <si>
    <t>sz002509</t>
  </si>
  <si>
    <t>sz002359</t>
  </si>
  <si>
    <t>sz300699</t>
  </si>
  <si>
    <t>sz300142</t>
  </si>
  <si>
    <t>sz002127</t>
  </si>
  <si>
    <t>sz002839</t>
  </si>
  <si>
    <t>sz300186</t>
  </si>
  <si>
    <t>sh600155</t>
  </si>
  <si>
    <t>sz300558</t>
  </si>
  <si>
    <t>sh600885</t>
  </si>
  <si>
    <t>sz300308</t>
  </si>
  <si>
    <t>sh600179</t>
  </si>
  <si>
    <t>sh603225</t>
  </si>
  <si>
    <t>sz000990</t>
  </si>
  <si>
    <t>sh600598</t>
  </si>
  <si>
    <t>sz000710</t>
  </si>
  <si>
    <t>sz300355</t>
  </si>
  <si>
    <t>sh600258</t>
  </si>
  <si>
    <t>sh603228</t>
  </si>
  <si>
    <t>sh600567</t>
  </si>
  <si>
    <t>sz300197</t>
  </si>
  <si>
    <t>sh600167</t>
  </si>
  <si>
    <t>sz300014</t>
  </si>
  <si>
    <t>sh600490</t>
  </si>
  <si>
    <t>sz002110</t>
  </si>
  <si>
    <t>sz300628</t>
  </si>
  <si>
    <t>sh600548</t>
  </si>
  <si>
    <t>sh603603</t>
  </si>
  <si>
    <t>sz300618</t>
  </si>
  <si>
    <t>sz000933</t>
  </si>
  <si>
    <t>sz002212</t>
  </si>
  <si>
    <t>sz300145</t>
  </si>
  <si>
    <t>sz000921</t>
  </si>
  <si>
    <t>sz300376</t>
  </si>
  <si>
    <t>sz300222</t>
  </si>
  <si>
    <t>sz000040</t>
  </si>
  <si>
    <t>sz002302</t>
  </si>
  <si>
    <t>sz002080</t>
  </si>
  <si>
    <t>sh603899</t>
  </si>
  <si>
    <t>sh601588</t>
  </si>
  <si>
    <t>sz300601</t>
  </si>
  <si>
    <t>sh601003</t>
  </si>
  <si>
    <t>sh600779</t>
  </si>
  <si>
    <t>sz002210</t>
  </si>
  <si>
    <t>sz002389</t>
  </si>
  <si>
    <t>sz000717</t>
  </si>
  <si>
    <t>sz002600</t>
  </si>
  <si>
    <t>sh601949</t>
  </si>
  <si>
    <t>sh601200</t>
  </si>
  <si>
    <t>sz000923</t>
  </si>
  <si>
    <t>sh600007</t>
  </si>
  <si>
    <t>sz000591</t>
  </si>
  <si>
    <t>sz002542</t>
  </si>
  <si>
    <t>sz000950</t>
  </si>
  <si>
    <t>sz002372</t>
  </si>
  <si>
    <t>sz000820</t>
  </si>
  <si>
    <t>sh603888</t>
  </si>
  <si>
    <t>sh603233</t>
  </si>
  <si>
    <t>sz000429</t>
  </si>
  <si>
    <t>sz002185</t>
  </si>
  <si>
    <t>sh600782</t>
  </si>
  <si>
    <t>sh600477</t>
  </si>
  <si>
    <t>sz000088</t>
  </si>
  <si>
    <t>sh600622</t>
  </si>
  <si>
    <t>sh603882</t>
  </si>
  <si>
    <t>sh601011</t>
  </si>
  <si>
    <t>sz300616</t>
  </si>
  <si>
    <t>sz300038</t>
  </si>
  <si>
    <t>sh600393</t>
  </si>
  <si>
    <t>sz000881</t>
  </si>
  <si>
    <t>sh600420</t>
  </si>
  <si>
    <t>sh600507</t>
  </si>
  <si>
    <t>sh603113</t>
  </si>
  <si>
    <t>sh603305</t>
  </si>
  <si>
    <t>sh601619</t>
  </si>
  <si>
    <t>sz000059</t>
  </si>
  <si>
    <t>sz002901</t>
  </si>
  <si>
    <t>sz000022</t>
  </si>
  <si>
    <t>sz000968</t>
  </si>
  <si>
    <t>sh600604</t>
  </si>
  <si>
    <t>sh600226</t>
  </si>
  <si>
    <t>sz002818</t>
  </si>
  <si>
    <t>sz002648</t>
  </si>
  <si>
    <t>sz002497</t>
  </si>
  <si>
    <t>sz002287</t>
  </si>
  <si>
    <t>sh600231</t>
  </si>
  <si>
    <t>sh601952</t>
  </si>
  <si>
    <t>sh600939</t>
  </si>
  <si>
    <t>sz002091</t>
  </si>
  <si>
    <t>sh600797</t>
  </si>
  <si>
    <t>sz002138</t>
  </si>
  <si>
    <t>sz002709</t>
  </si>
  <si>
    <t>sz002035</t>
  </si>
  <si>
    <t>sh600745</t>
  </si>
  <si>
    <t>sh600728</t>
  </si>
  <si>
    <t>sz000748</t>
  </si>
  <si>
    <t>sz002434</t>
  </si>
  <si>
    <t>sz002429</t>
  </si>
  <si>
    <t>sz300317</t>
  </si>
  <si>
    <t>sz300203</t>
  </si>
  <si>
    <t>sz300068</t>
  </si>
  <si>
    <t>sz002108</t>
  </si>
  <si>
    <t>sz300064</t>
  </si>
  <si>
    <t>sz002611</t>
  </si>
  <si>
    <t>sh603730</t>
  </si>
  <si>
    <t>sh603556</t>
  </si>
  <si>
    <t>sz300207</t>
  </si>
  <si>
    <t>sh600667</t>
  </si>
  <si>
    <t>sz300323</t>
  </si>
  <si>
    <t>sz300347</t>
  </si>
  <si>
    <t>sh601567</t>
  </si>
  <si>
    <t>sh603444</t>
  </si>
  <si>
    <t>sh603157</t>
  </si>
  <si>
    <t>sz300316</t>
  </si>
  <si>
    <t>sz300180</t>
  </si>
  <si>
    <t>sz300098</t>
  </si>
  <si>
    <t>sz002530</t>
  </si>
  <si>
    <t>sh603323</t>
  </si>
  <si>
    <t>sh600856</t>
  </si>
  <si>
    <t>sh601222</t>
  </si>
  <si>
    <t>sh601666</t>
  </si>
  <si>
    <t>sz002680</t>
  </si>
  <si>
    <t>sh600681</t>
  </si>
  <si>
    <t>sz002662</t>
  </si>
  <si>
    <t>sh603517</t>
  </si>
  <si>
    <t>sz002812</t>
  </si>
  <si>
    <t>sz002262</t>
  </si>
  <si>
    <t>sz300463</t>
  </si>
  <si>
    <t>sz000582</t>
  </si>
  <si>
    <t>sh600230</t>
  </si>
  <si>
    <t>sz000976</t>
  </si>
  <si>
    <t>sz000666</t>
  </si>
  <si>
    <t>sh600110</t>
  </si>
  <si>
    <t>sz000056</t>
  </si>
  <si>
    <t>sz300367</t>
  </si>
  <si>
    <t>sz002821</t>
  </si>
  <si>
    <t>sz002203</t>
  </si>
  <si>
    <t>sz002239</t>
  </si>
  <si>
    <t>sh600295</t>
  </si>
  <si>
    <t>sz002537</t>
  </si>
  <si>
    <t>sh603877</t>
  </si>
  <si>
    <t>sz300294</t>
  </si>
  <si>
    <t>sh600491</t>
  </si>
  <si>
    <t>sz002151</t>
  </si>
  <si>
    <t>sz002121</t>
  </si>
  <si>
    <t>sh600711</t>
  </si>
  <si>
    <t>sh601107</t>
  </si>
  <si>
    <t>sz000016</t>
  </si>
  <si>
    <t>sh600568</t>
  </si>
  <si>
    <t>sz000831</t>
  </si>
  <si>
    <t>sz002545</t>
  </si>
  <si>
    <t>sz300090</t>
  </si>
  <si>
    <t>sz300482</t>
  </si>
  <si>
    <t>sh600771</t>
  </si>
  <si>
    <t>sz000560</t>
  </si>
  <si>
    <t>sz002653</t>
  </si>
  <si>
    <t>sh601636</t>
  </si>
  <si>
    <t>sz002867</t>
  </si>
  <si>
    <t>sh600803</t>
  </si>
  <si>
    <t>sh601799</t>
  </si>
  <si>
    <t>sh600550</t>
  </si>
  <si>
    <t>sz300285</t>
  </si>
  <si>
    <t>sz002461</t>
  </si>
  <si>
    <t>sh600172</t>
  </si>
  <si>
    <t>sz000676</t>
  </si>
  <si>
    <t>sz300679</t>
  </si>
  <si>
    <t>sh600845</t>
  </si>
  <si>
    <t>sh600702</t>
  </si>
  <si>
    <t>sh603612</t>
  </si>
  <si>
    <t>sh600273</t>
  </si>
  <si>
    <t>sh603501</t>
  </si>
  <si>
    <t>sz002711</t>
  </si>
  <si>
    <t>sz000018</t>
  </si>
  <si>
    <t>sz000766</t>
  </si>
  <si>
    <t>sz002303</t>
  </si>
  <si>
    <t>sh600072</t>
  </si>
  <si>
    <t>sh600331</t>
  </si>
  <si>
    <t>sh603939</t>
  </si>
  <si>
    <t>sz002647</t>
  </si>
  <si>
    <t>sh600996</t>
  </si>
  <si>
    <t>sz002501</t>
  </si>
  <si>
    <t>sh600619</t>
  </si>
  <si>
    <t>sz002157</t>
  </si>
  <si>
    <t>sh601069</t>
  </si>
  <si>
    <t>sh600093</t>
  </si>
  <si>
    <t>sz002668</t>
  </si>
  <si>
    <t>sh600486</t>
  </si>
  <si>
    <t>sh600400</t>
  </si>
  <si>
    <t>sz000828</t>
  </si>
  <si>
    <t>sz002413</t>
  </si>
  <si>
    <t>sz000902</t>
  </si>
  <si>
    <t>sh603678</t>
  </si>
  <si>
    <t>sh600090</t>
  </si>
  <si>
    <t>sz002522</t>
  </si>
  <si>
    <t>sh600876</t>
  </si>
  <si>
    <t>sz002451</t>
  </si>
  <si>
    <t>sz000155</t>
  </si>
  <si>
    <t>sz002694</t>
  </si>
  <si>
    <t>sz300009</t>
  </si>
  <si>
    <t>sz300237</t>
  </si>
  <si>
    <t>sz002419</t>
  </si>
  <si>
    <t>sh600562</t>
  </si>
  <si>
    <t>sz000918</t>
  </si>
  <si>
    <t>sh600701</t>
  </si>
  <si>
    <t>sz300083</t>
  </si>
  <si>
    <t>sh600185</t>
  </si>
  <si>
    <t>sz300474</t>
  </si>
  <si>
    <t>sh600621</t>
  </si>
  <si>
    <t>sz002597</t>
  </si>
  <si>
    <t>sz002421</t>
  </si>
  <si>
    <t>sh603298</t>
  </si>
  <si>
    <t>sh603055</t>
  </si>
  <si>
    <t>sz000525</t>
  </si>
  <si>
    <t>sh603626</t>
  </si>
  <si>
    <t>sz002759</t>
  </si>
  <si>
    <t>sz000797</t>
  </si>
  <si>
    <t>sh600963</t>
  </si>
  <si>
    <t>sh601020</t>
  </si>
  <si>
    <t>sz300271</t>
  </si>
  <si>
    <t>sz300118</t>
  </si>
  <si>
    <t>sz000683</t>
  </si>
  <si>
    <t>sh603218</t>
  </si>
  <si>
    <t>sz002717</t>
  </si>
  <si>
    <t>sz002678</t>
  </si>
  <si>
    <t>sz002247</t>
  </si>
  <si>
    <t>sz000951</t>
  </si>
  <si>
    <t>sz002622</t>
  </si>
  <si>
    <t>sz002643</t>
  </si>
  <si>
    <t>sh600708</t>
  </si>
  <si>
    <t>sh600269</t>
  </si>
  <si>
    <t>sh600337</t>
  </si>
  <si>
    <t>sz300432</t>
  </si>
  <si>
    <t>sz000688</t>
  </si>
  <si>
    <t>sh603699</t>
  </si>
  <si>
    <t>sh600841</t>
  </si>
  <si>
    <t>sz002445</t>
  </si>
  <si>
    <t>sh601515</t>
  </si>
  <si>
    <t>sh600403</t>
  </si>
  <si>
    <t>sz000901</t>
  </si>
  <si>
    <t>sz002638</t>
  </si>
  <si>
    <t>sz300208</t>
  </si>
  <si>
    <t>sh600828</t>
  </si>
  <si>
    <t>sh600057</t>
  </si>
  <si>
    <t>sh600675</t>
  </si>
  <si>
    <t>sz000150</t>
  </si>
  <si>
    <t>For China 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</si>
</sst>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4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1</v>
      </c>
      <c r="B2" t="str">
        <f xml:space="preserve"> "601398"</f>
        <v>601398</v>
      </c>
      <c r="C2" t="s">
        <v>38</v>
      </c>
      <c r="D2">
        <v>6.14</v>
      </c>
      <c r="E2">
        <v>-1.1299999999999999</v>
      </c>
      <c r="F2">
        <v>-7.0000000000000007E-2</v>
      </c>
      <c r="G2" t="s">
        <v>39</v>
      </c>
      <c r="H2">
        <v>23</v>
      </c>
      <c r="I2">
        <v>6.14</v>
      </c>
      <c r="J2">
        <v>6.15</v>
      </c>
      <c r="K2">
        <v>0</v>
      </c>
      <c r="L2">
        <v>0.06</v>
      </c>
      <c r="M2" t="s">
        <v>40</v>
      </c>
      <c r="N2">
        <v>7.15</v>
      </c>
      <c r="O2" t="s">
        <v>41</v>
      </c>
      <c r="P2">
        <v>6.22</v>
      </c>
      <c r="Q2">
        <v>6.13</v>
      </c>
      <c r="R2">
        <v>6.2</v>
      </c>
      <c r="S2">
        <v>6.21</v>
      </c>
      <c r="T2">
        <v>1.45</v>
      </c>
      <c r="U2">
        <v>0.64</v>
      </c>
      <c r="V2">
        <v>27.72</v>
      </c>
      <c r="W2" t="s">
        <v>42</v>
      </c>
      <c r="X2">
        <v>6.17</v>
      </c>
      <c r="Y2" t="s">
        <v>43</v>
      </c>
      <c r="Z2" t="s">
        <v>44</v>
      </c>
      <c r="AA2">
        <v>2.14</v>
      </c>
      <c r="AB2">
        <v>2222</v>
      </c>
      <c r="AC2">
        <v>72</v>
      </c>
      <c r="AD2">
        <v>1.18</v>
      </c>
      <c r="AE2" t="s">
        <v>45</v>
      </c>
      <c r="AF2" t="s">
        <v>46</v>
      </c>
      <c r="AG2" t="s">
        <v>47</v>
      </c>
      <c r="AH2" t="s">
        <v>48</v>
      </c>
      <c r="AI2">
        <v>0</v>
      </c>
      <c r="AJ2">
        <v>1.49</v>
      </c>
      <c r="AK2">
        <v>0.18</v>
      </c>
      <c r="AL2">
        <v>0.5</v>
      </c>
    </row>
    <row r="3" spans="1:38" x14ac:dyDescent="0.25">
      <c r="A3">
        <v>2</v>
      </c>
      <c r="B3" t="str">
        <f xml:space="preserve"> "601939"</f>
        <v>601939</v>
      </c>
      <c r="C3" t="s">
        <v>49</v>
      </c>
      <c r="D3">
        <v>7.03</v>
      </c>
      <c r="E3">
        <v>-0.56999999999999995</v>
      </c>
      <c r="F3">
        <v>-0.04</v>
      </c>
      <c r="G3" t="s">
        <v>50</v>
      </c>
      <c r="H3">
        <v>14</v>
      </c>
      <c r="I3">
        <v>7.04</v>
      </c>
      <c r="J3">
        <v>7.05</v>
      </c>
      <c r="K3">
        <v>-0.56999999999999995</v>
      </c>
      <c r="L3">
        <v>0.67</v>
      </c>
      <c r="M3" t="s">
        <v>51</v>
      </c>
      <c r="N3">
        <v>6.35</v>
      </c>
      <c r="O3" t="s">
        <v>41</v>
      </c>
      <c r="P3">
        <v>7.11</v>
      </c>
      <c r="Q3">
        <v>7.02</v>
      </c>
      <c r="R3">
        <v>7.09</v>
      </c>
      <c r="S3">
        <v>7.07</v>
      </c>
      <c r="T3">
        <v>1.27</v>
      </c>
      <c r="U3">
        <v>0.98</v>
      </c>
      <c r="V3">
        <v>21.33</v>
      </c>
      <c r="W3">
        <v>7497</v>
      </c>
      <c r="X3">
        <v>7.08</v>
      </c>
      <c r="Y3" t="s">
        <v>52</v>
      </c>
      <c r="Z3" t="s">
        <v>53</v>
      </c>
      <c r="AA3">
        <v>0.89</v>
      </c>
      <c r="AB3">
        <v>713</v>
      </c>
      <c r="AC3">
        <v>83</v>
      </c>
      <c r="AD3">
        <v>1.0900000000000001</v>
      </c>
      <c r="AE3" t="s">
        <v>54</v>
      </c>
      <c r="AF3" t="s">
        <v>55</v>
      </c>
      <c r="AG3" t="s">
        <v>56</v>
      </c>
      <c r="AH3" t="s">
        <v>57</v>
      </c>
      <c r="AI3">
        <v>-0.56999999999999995</v>
      </c>
      <c r="AJ3">
        <v>0.72</v>
      </c>
      <c r="AK3">
        <v>1.9</v>
      </c>
      <c r="AL3">
        <v>4.1100000000000003</v>
      </c>
    </row>
    <row r="4" spans="1:38" x14ac:dyDescent="0.25">
      <c r="A4">
        <v>3</v>
      </c>
      <c r="B4" t="str">
        <f xml:space="preserve"> "601857"</f>
        <v>601857</v>
      </c>
      <c r="C4" t="s">
        <v>58</v>
      </c>
      <c r="D4">
        <v>7.98</v>
      </c>
      <c r="E4">
        <v>0.13</v>
      </c>
      <c r="F4">
        <v>0.01</v>
      </c>
      <c r="G4" t="s">
        <v>59</v>
      </c>
      <c r="H4">
        <v>9</v>
      </c>
      <c r="I4">
        <v>7.97</v>
      </c>
      <c r="J4">
        <v>7.98</v>
      </c>
      <c r="K4">
        <v>0.13</v>
      </c>
      <c r="L4">
        <v>0.01</v>
      </c>
      <c r="M4" t="s">
        <v>60</v>
      </c>
      <c r="N4">
        <v>57.62</v>
      </c>
      <c r="O4" t="s">
        <v>61</v>
      </c>
      <c r="P4">
        <v>7.98</v>
      </c>
      <c r="Q4">
        <v>7.95</v>
      </c>
      <c r="R4">
        <v>7.97</v>
      </c>
      <c r="S4">
        <v>7.97</v>
      </c>
      <c r="T4">
        <v>0.38</v>
      </c>
      <c r="U4">
        <v>0.76</v>
      </c>
      <c r="V4">
        <v>-41.91</v>
      </c>
      <c r="W4" t="s">
        <v>62</v>
      </c>
      <c r="X4">
        <v>7.96</v>
      </c>
      <c r="Y4" t="s">
        <v>63</v>
      </c>
      <c r="Z4" t="s">
        <v>64</v>
      </c>
      <c r="AA4">
        <v>1.44</v>
      </c>
      <c r="AB4">
        <v>753</v>
      </c>
      <c r="AC4">
        <v>7197</v>
      </c>
      <c r="AD4">
        <v>1.23</v>
      </c>
      <c r="AE4" t="s">
        <v>65</v>
      </c>
      <c r="AF4" t="s">
        <v>66</v>
      </c>
      <c r="AG4" t="s">
        <v>67</v>
      </c>
      <c r="AH4" t="s">
        <v>68</v>
      </c>
      <c r="AI4">
        <v>-0.25</v>
      </c>
      <c r="AJ4">
        <v>-0.25</v>
      </c>
      <c r="AK4">
        <v>0.03</v>
      </c>
      <c r="AL4">
        <v>7.0000000000000007E-2</v>
      </c>
    </row>
    <row r="5" spans="1:38" x14ac:dyDescent="0.25">
      <c r="A5">
        <v>4</v>
      </c>
      <c r="B5" t="str">
        <f xml:space="preserve"> "601288"</f>
        <v>601288</v>
      </c>
      <c r="C5" t="s">
        <v>69</v>
      </c>
      <c r="D5">
        <v>3.76</v>
      </c>
      <c r="E5">
        <v>-1.05</v>
      </c>
      <c r="F5">
        <v>-0.04</v>
      </c>
      <c r="G5" t="s">
        <v>70</v>
      </c>
      <c r="H5">
        <v>580</v>
      </c>
      <c r="I5">
        <v>3.77</v>
      </c>
      <c r="J5">
        <v>3.78</v>
      </c>
      <c r="K5">
        <v>-1.05</v>
      </c>
      <c r="L5">
        <v>0.08</v>
      </c>
      <c r="M5" t="s">
        <v>71</v>
      </c>
      <c r="N5">
        <v>5.62</v>
      </c>
      <c r="O5" t="s">
        <v>41</v>
      </c>
      <c r="P5">
        <v>3.81</v>
      </c>
      <c r="Q5">
        <v>3.76</v>
      </c>
      <c r="R5">
        <v>3.8</v>
      </c>
      <c r="S5">
        <v>3.8</v>
      </c>
      <c r="T5">
        <v>1.32</v>
      </c>
      <c r="U5">
        <v>0.78</v>
      </c>
      <c r="V5">
        <v>8.56</v>
      </c>
      <c r="W5" t="s">
        <v>72</v>
      </c>
      <c r="X5">
        <v>3.79</v>
      </c>
      <c r="Y5" t="s">
        <v>73</v>
      </c>
      <c r="Z5" t="s">
        <v>74</v>
      </c>
      <c r="AA5">
        <v>2.29</v>
      </c>
      <c r="AB5" t="s">
        <v>75</v>
      </c>
      <c r="AC5">
        <v>1894</v>
      </c>
      <c r="AD5">
        <v>1</v>
      </c>
      <c r="AE5" t="s">
        <v>76</v>
      </c>
      <c r="AF5" t="s">
        <v>77</v>
      </c>
      <c r="AG5" t="s">
        <v>78</v>
      </c>
      <c r="AH5" t="s">
        <v>79</v>
      </c>
      <c r="AI5">
        <v>-0.53</v>
      </c>
      <c r="AJ5">
        <v>-2.08</v>
      </c>
      <c r="AK5">
        <v>0.27</v>
      </c>
      <c r="AL5">
        <v>0.61</v>
      </c>
    </row>
    <row r="6" spans="1:38" x14ac:dyDescent="0.25">
      <c r="A6">
        <v>5</v>
      </c>
      <c r="B6" t="str">
        <f xml:space="preserve"> "601988"</f>
        <v>601988</v>
      </c>
      <c r="C6" t="s">
        <v>80</v>
      </c>
      <c r="D6">
        <v>4.1399999999999997</v>
      </c>
      <c r="E6">
        <v>-0.48</v>
      </c>
      <c r="F6">
        <v>-0.02</v>
      </c>
      <c r="G6" t="s">
        <v>81</v>
      </c>
      <c r="H6">
        <v>150</v>
      </c>
      <c r="I6">
        <v>4.13</v>
      </c>
      <c r="J6">
        <v>4.1399999999999997</v>
      </c>
      <c r="K6">
        <v>0.24</v>
      </c>
      <c r="L6">
        <v>0.04</v>
      </c>
      <c r="M6" t="s">
        <v>82</v>
      </c>
      <c r="N6">
        <v>5.88</v>
      </c>
      <c r="O6" t="s">
        <v>41</v>
      </c>
      <c r="P6">
        <v>4.1500000000000004</v>
      </c>
      <c r="Q6">
        <v>4.12</v>
      </c>
      <c r="R6">
        <v>4.1500000000000004</v>
      </c>
      <c r="S6">
        <v>4.16</v>
      </c>
      <c r="T6">
        <v>0.72</v>
      </c>
      <c r="U6">
        <v>0.51</v>
      </c>
      <c r="V6">
        <v>-11.88</v>
      </c>
      <c r="W6" t="s">
        <v>83</v>
      </c>
      <c r="X6">
        <v>4.1399999999999997</v>
      </c>
      <c r="Y6" t="s">
        <v>84</v>
      </c>
      <c r="Z6" t="s">
        <v>85</v>
      </c>
      <c r="AA6">
        <v>1.68</v>
      </c>
      <c r="AB6" t="s">
        <v>86</v>
      </c>
      <c r="AC6" t="s">
        <v>87</v>
      </c>
      <c r="AD6">
        <v>0.94</v>
      </c>
      <c r="AE6" t="s">
        <v>88</v>
      </c>
      <c r="AF6" t="s">
        <v>77</v>
      </c>
      <c r="AG6" t="s">
        <v>89</v>
      </c>
      <c r="AH6" t="s">
        <v>90</v>
      </c>
      <c r="AI6">
        <v>0</v>
      </c>
      <c r="AJ6">
        <v>0</v>
      </c>
      <c r="AK6">
        <v>0.16</v>
      </c>
      <c r="AL6">
        <v>0.44</v>
      </c>
    </row>
    <row r="7" spans="1:38" x14ac:dyDescent="0.25">
      <c r="A7">
        <v>6</v>
      </c>
      <c r="B7" t="str">
        <f xml:space="preserve"> "601318"</f>
        <v>601318</v>
      </c>
      <c r="C7" t="s">
        <v>91</v>
      </c>
      <c r="D7">
        <v>57.08</v>
      </c>
      <c r="E7">
        <v>-0.05</v>
      </c>
      <c r="F7">
        <v>-0.03</v>
      </c>
      <c r="G7" t="s">
        <v>92</v>
      </c>
      <c r="H7">
        <v>8</v>
      </c>
      <c r="I7">
        <v>57.1</v>
      </c>
      <c r="J7">
        <v>57.11</v>
      </c>
      <c r="K7">
        <v>0.12</v>
      </c>
      <c r="L7">
        <v>0.47</v>
      </c>
      <c r="M7" t="s">
        <v>93</v>
      </c>
      <c r="N7">
        <v>12.01</v>
      </c>
      <c r="O7" t="s">
        <v>94</v>
      </c>
      <c r="P7">
        <v>57.43</v>
      </c>
      <c r="Q7">
        <v>56.73</v>
      </c>
      <c r="R7">
        <v>56.91</v>
      </c>
      <c r="S7">
        <v>57.11</v>
      </c>
      <c r="T7">
        <v>1.23</v>
      </c>
      <c r="U7">
        <v>0.66</v>
      </c>
      <c r="V7">
        <v>16.079999999999998</v>
      </c>
      <c r="W7">
        <v>505</v>
      </c>
      <c r="X7">
        <v>57.03</v>
      </c>
      <c r="Y7" t="s">
        <v>95</v>
      </c>
      <c r="Z7" t="s">
        <v>96</v>
      </c>
      <c r="AA7">
        <v>1.02</v>
      </c>
      <c r="AB7">
        <v>527</v>
      </c>
      <c r="AC7">
        <v>19</v>
      </c>
      <c r="AD7">
        <v>2.5</v>
      </c>
      <c r="AE7" t="s">
        <v>97</v>
      </c>
      <c r="AF7" t="s">
        <v>98</v>
      </c>
      <c r="AG7" t="s">
        <v>99</v>
      </c>
      <c r="AH7" t="s">
        <v>100</v>
      </c>
      <c r="AI7">
        <v>3.93</v>
      </c>
      <c r="AJ7">
        <v>6.22</v>
      </c>
      <c r="AK7">
        <v>1.91</v>
      </c>
      <c r="AL7">
        <v>4.01</v>
      </c>
    </row>
    <row r="8" spans="1:38" x14ac:dyDescent="0.25">
      <c r="A8">
        <v>7</v>
      </c>
      <c r="B8" t="str">
        <f xml:space="preserve"> "601628"</f>
        <v>601628</v>
      </c>
      <c r="C8" t="s">
        <v>101</v>
      </c>
      <c r="D8">
        <v>27.95</v>
      </c>
      <c r="E8">
        <v>-0.5</v>
      </c>
      <c r="F8">
        <v>-0.14000000000000001</v>
      </c>
      <c r="G8" t="s">
        <v>102</v>
      </c>
      <c r="H8">
        <v>11</v>
      </c>
      <c r="I8">
        <v>27.94</v>
      </c>
      <c r="J8">
        <v>27.95</v>
      </c>
      <c r="K8">
        <v>0.11</v>
      </c>
      <c r="L8">
        <v>0.05</v>
      </c>
      <c r="M8" t="s">
        <v>103</v>
      </c>
      <c r="N8">
        <v>32.270000000000003</v>
      </c>
      <c r="O8" t="s">
        <v>94</v>
      </c>
      <c r="P8">
        <v>28.15</v>
      </c>
      <c r="Q8">
        <v>27.8</v>
      </c>
      <c r="R8">
        <v>27.99</v>
      </c>
      <c r="S8">
        <v>28.09</v>
      </c>
      <c r="T8">
        <v>1.25</v>
      </c>
      <c r="U8">
        <v>0.8</v>
      </c>
      <c r="V8">
        <v>-10.89</v>
      </c>
      <c r="W8">
        <v>-199</v>
      </c>
      <c r="X8">
        <v>27.94</v>
      </c>
      <c r="Y8" t="s">
        <v>104</v>
      </c>
      <c r="Z8" t="s">
        <v>105</v>
      </c>
      <c r="AA8">
        <v>1.92</v>
      </c>
      <c r="AB8">
        <v>8</v>
      </c>
      <c r="AC8">
        <v>102</v>
      </c>
      <c r="AD8">
        <v>2.63</v>
      </c>
      <c r="AE8" t="s">
        <v>106</v>
      </c>
      <c r="AF8" t="s">
        <v>107</v>
      </c>
      <c r="AG8" t="s">
        <v>108</v>
      </c>
      <c r="AH8" t="s">
        <v>109</v>
      </c>
      <c r="AI8">
        <v>2.0099999999999998</v>
      </c>
      <c r="AJ8">
        <v>0.14000000000000001</v>
      </c>
      <c r="AK8">
        <v>0.2</v>
      </c>
      <c r="AL8">
        <v>0.39</v>
      </c>
    </row>
    <row r="9" spans="1:38" x14ac:dyDescent="0.25">
      <c r="A9">
        <v>8</v>
      </c>
      <c r="B9" t="str">
        <f xml:space="preserve"> "600028"</f>
        <v>600028</v>
      </c>
      <c r="C9" t="s">
        <v>110</v>
      </c>
      <c r="D9">
        <v>5.81</v>
      </c>
      <c r="E9">
        <v>-0.17</v>
      </c>
      <c r="F9">
        <v>-0.01</v>
      </c>
      <c r="G9" t="s">
        <v>111</v>
      </c>
      <c r="H9">
        <v>418</v>
      </c>
      <c r="I9">
        <v>5.8</v>
      </c>
      <c r="J9">
        <v>5.81</v>
      </c>
      <c r="K9">
        <v>0.17</v>
      </c>
      <c r="L9">
        <v>0.08</v>
      </c>
      <c r="M9" t="s">
        <v>112</v>
      </c>
      <c r="N9">
        <v>12.98</v>
      </c>
      <c r="O9" t="s">
        <v>61</v>
      </c>
      <c r="P9">
        <v>5.81</v>
      </c>
      <c r="Q9">
        <v>5.77</v>
      </c>
      <c r="R9">
        <v>5.81</v>
      </c>
      <c r="S9">
        <v>5.82</v>
      </c>
      <c r="T9">
        <v>0.69</v>
      </c>
      <c r="U9">
        <v>1.22</v>
      </c>
      <c r="V9">
        <v>13.66</v>
      </c>
      <c r="W9" t="s">
        <v>113</v>
      </c>
      <c r="X9">
        <v>5.79</v>
      </c>
      <c r="Y9" t="s">
        <v>114</v>
      </c>
      <c r="Z9" t="s">
        <v>115</v>
      </c>
      <c r="AA9">
        <v>2.62</v>
      </c>
      <c r="AB9">
        <v>8930</v>
      </c>
      <c r="AC9">
        <v>7587</v>
      </c>
      <c r="AD9">
        <v>1</v>
      </c>
      <c r="AE9" t="s">
        <v>116</v>
      </c>
      <c r="AF9" t="s">
        <v>117</v>
      </c>
      <c r="AG9" t="s">
        <v>118</v>
      </c>
      <c r="AH9" t="s">
        <v>119</v>
      </c>
      <c r="AI9">
        <v>-0.68</v>
      </c>
      <c r="AJ9">
        <v>-1.53</v>
      </c>
      <c r="AK9">
        <v>0.23</v>
      </c>
      <c r="AL9">
        <v>0.42</v>
      </c>
    </row>
    <row r="10" spans="1:38" x14ac:dyDescent="0.25">
      <c r="A10">
        <v>9</v>
      </c>
      <c r="B10" t="str">
        <f xml:space="preserve"> "600519"</f>
        <v>600519</v>
      </c>
      <c r="C10" t="s">
        <v>120</v>
      </c>
      <c r="D10">
        <v>556.15</v>
      </c>
      <c r="E10">
        <v>2.2200000000000002</v>
      </c>
      <c r="F10">
        <v>12.06</v>
      </c>
      <c r="G10" t="s">
        <v>121</v>
      </c>
      <c r="H10">
        <v>1</v>
      </c>
      <c r="I10">
        <v>556.4</v>
      </c>
      <c r="J10">
        <v>556.49</v>
      </c>
      <c r="K10">
        <v>0.03</v>
      </c>
      <c r="L10">
        <v>0.22</v>
      </c>
      <c r="M10" t="s">
        <v>122</v>
      </c>
      <c r="N10">
        <v>31.05</v>
      </c>
      <c r="O10" t="s">
        <v>123</v>
      </c>
      <c r="P10">
        <v>556.6</v>
      </c>
      <c r="Q10">
        <v>542.01</v>
      </c>
      <c r="R10">
        <v>545</v>
      </c>
      <c r="S10">
        <v>544.09</v>
      </c>
      <c r="T10">
        <v>2.68</v>
      </c>
      <c r="U10">
        <v>0.99</v>
      </c>
      <c r="V10">
        <v>-43.4</v>
      </c>
      <c r="W10">
        <v>-61</v>
      </c>
      <c r="X10">
        <v>550.72</v>
      </c>
      <c r="Y10" t="s">
        <v>124</v>
      </c>
      <c r="Z10" t="s">
        <v>125</v>
      </c>
      <c r="AA10">
        <v>0.82</v>
      </c>
      <c r="AB10">
        <v>1</v>
      </c>
      <c r="AC10">
        <v>1</v>
      </c>
      <c r="AD10">
        <v>10.41</v>
      </c>
      <c r="AE10" t="s">
        <v>126</v>
      </c>
      <c r="AF10" t="s">
        <v>127</v>
      </c>
      <c r="AG10" t="s">
        <v>126</v>
      </c>
      <c r="AH10" t="s">
        <v>127</v>
      </c>
      <c r="AI10">
        <v>2.98</v>
      </c>
      <c r="AJ10">
        <v>7.27</v>
      </c>
      <c r="AK10">
        <v>0.64</v>
      </c>
      <c r="AL10">
        <v>1.35</v>
      </c>
    </row>
    <row r="11" spans="1:38" x14ac:dyDescent="0.25">
      <c r="A11">
        <v>10</v>
      </c>
      <c r="B11" t="str">
        <f xml:space="preserve"> "600036"</f>
        <v>600036</v>
      </c>
      <c r="C11" t="s">
        <v>128</v>
      </c>
      <c r="D11">
        <v>26.2</v>
      </c>
      <c r="E11">
        <v>-0.64</v>
      </c>
      <c r="F11">
        <v>-0.17</v>
      </c>
      <c r="G11" t="s">
        <v>129</v>
      </c>
      <c r="H11">
        <v>484</v>
      </c>
      <c r="I11">
        <v>26.18</v>
      </c>
      <c r="J11">
        <v>26.2</v>
      </c>
      <c r="K11">
        <v>-0.19</v>
      </c>
      <c r="L11">
        <v>0.16</v>
      </c>
      <c r="M11" t="s">
        <v>130</v>
      </c>
      <c r="N11">
        <v>8.42</v>
      </c>
      <c r="O11" t="s">
        <v>41</v>
      </c>
      <c r="P11">
        <v>26.55</v>
      </c>
      <c r="Q11">
        <v>26.16</v>
      </c>
      <c r="R11">
        <v>26.37</v>
      </c>
      <c r="S11">
        <v>26.37</v>
      </c>
      <c r="T11">
        <v>1.48</v>
      </c>
      <c r="U11">
        <v>0.47</v>
      </c>
      <c r="V11">
        <v>41.06</v>
      </c>
      <c r="W11">
        <v>2716</v>
      </c>
      <c r="X11">
        <v>26.28</v>
      </c>
      <c r="Y11" t="s">
        <v>131</v>
      </c>
      <c r="Z11" t="s">
        <v>132</v>
      </c>
      <c r="AA11">
        <v>1.78</v>
      </c>
      <c r="AB11">
        <v>588</v>
      </c>
      <c r="AC11">
        <v>829</v>
      </c>
      <c r="AD11">
        <v>1.58</v>
      </c>
      <c r="AE11" t="s">
        <v>133</v>
      </c>
      <c r="AF11" t="s">
        <v>134</v>
      </c>
      <c r="AG11" t="s">
        <v>135</v>
      </c>
      <c r="AH11" t="s">
        <v>136</v>
      </c>
      <c r="AI11">
        <v>0.31</v>
      </c>
      <c r="AJ11">
        <v>3.97</v>
      </c>
      <c r="AK11">
        <v>0.63</v>
      </c>
      <c r="AL11">
        <v>1.85</v>
      </c>
    </row>
    <row r="12" spans="1:38" x14ac:dyDescent="0.25">
      <c r="A12">
        <v>11</v>
      </c>
      <c r="B12" t="str">
        <f xml:space="preserve"> "601328"</f>
        <v>601328</v>
      </c>
      <c r="C12" t="s">
        <v>137</v>
      </c>
      <c r="D12">
        <v>6.31</v>
      </c>
      <c r="E12">
        <v>-0.16</v>
      </c>
      <c r="F12">
        <v>-0.01</v>
      </c>
      <c r="G12" t="s">
        <v>138</v>
      </c>
      <c r="H12">
        <v>7</v>
      </c>
      <c r="I12">
        <v>6.32</v>
      </c>
      <c r="J12">
        <v>6.33</v>
      </c>
      <c r="K12">
        <v>-0.47</v>
      </c>
      <c r="L12">
        <v>0.16</v>
      </c>
      <c r="M12" t="s">
        <v>139</v>
      </c>
      <c r="N12">
        <v>6.01</v>
      </c>
      <c r="O12" t="s">
        <v>41</v>
      </c>
      <c r="P12">
        <v>6.36</v>
      </c>
      <c r="Q12">
        <v>6.31</v>
      </c>
      <c r="R12">
        <v>6.33</v>
      </c>
      <c r="S12">
        <v>6.32</v>
      </c>
      <c r="T12">
        <v>0.79</v>
      </c>
      <c r="U12">
        <v>0.7</v>
      </c>
      <c r="V12">
        <v>-26.35</v>
      </c>
      <c r="W12" t="s">
        <v>140</v>
      </c>
      <c r="X12">
        <v>6.34</v>
      </c>
      <c r="Y12" t="s">
        <v>141</v>
      </c>
      <c r="Z12" t="s">
        <v>142</v>
      </c>
      <c r="AA12">
        <v>1.65</v>
      </c>
      <c r="AB12">
        <v>320</v>
      </c>
      <c r="AC12">
        <v>4399</v>
      </c>
      <c r="AD12">
        <v>0.83</v>
      </c>
      <c r="AE12" t="s">
        <v>143</v>
      </c>
      <c r="AF12" t="s">
        <v>144</v>
      </c>
      <c r="AG12" t="s">
        <v>145</v>
      </c>
      <c r="AH12" t="s">
        <v>146</v>
      </c>
      <c r="AI12">
        <v>-1.1000000000000001</v>
      </c>
      <c r="AJ12">
        <v>-0.32</v>
      </c>
      <c r="AK12">
        <v>0.55000000000000004</v>
      </c>
      <c r="AL12">
        <v>1.34</v>
      </c>
    </row>
    <row r="13" spans="1:38" x14ac:dyDescent="0.25">
      <c r="A13">
        <v>12</v>
      </c>
      <c r="B13" t="str">
        <f xml:space="preserve"> "601088"</f>
        <v>601088</v>
      </c>
      <c r="C13" t="s">
        <v>147</v>
      </c>
      <c r="D13">
        <v>20.43</v>
      </c>
      <c r="E13">
        <v>0.84</v>
      </c>
      <c r="F13">
        <v>0.17</v>
      </c>
      <c r="G13" t="s">
        <v>148</v>
      </c>
      <c r="H13">
        <v>4</v>
      </c>
      <c r="I13">
        <v>20.43</v>
      </c>
      <c r="J13">
        <v>20.440000000000001</v>
      </c>
      <c r="K13">
        <v>-0.15</v>
      </c>
      <c r="L13">
        <v>0.08</v>
      </c>
      <c r="M13" t="s">
        <v>149</v>
      </c>
      <c r="N13">
        <v>8.36</v>
      </c>
      <c r="O13" t="s">
        <v>150</v>
      </c>
      <c r="P13">
        <v>20.51</v>
      </c>
      <c r="Q13">
        <v>20.3</v>
      </c>
      <c r="R13">
        <v>20.3</v>
      </c>
      <c r="S13">
        <v>20.260000000000002</v>
      </c>
      <c r="T13">
        <v>1.04</v>
      </c>
      <c r="U13">
        <v>0.56000000000000005</v>
      </c>
      <c r="V13">
        <v>58.41</v>
      </c>
      <c r="W13">
        <v>3333</v>
      </c>
      <c r="X13">
        <v>20.420000000000002</v>
      </c>
      <c r="Y13" t="s">
        <v>151</v>
      </c>
      <c r="Z13" t="s">
        <v>152</v>
      </c>
      <c r="AA13">
        <v>0.64</v>
      </c>
      <c r="AB13">
        <v>13</v>
      </c>
      <c r="AC13">
        <v>193</v>
      </c>
      <c r="AD13">
        <v>1.77</v>
      </c>
      <c r="AE13" t="s">
        <v>153</v>
      </c>
      <c r="AF13" t="s">
        <v>154</v>
      </c>
      <c r="AG13" t="s">
        <v>155</v>
      </c>
      <c r="AH13" t="s">
        <v>156</v>
      </c>
      <c r="AI13">
        <v>-0.24</v>
      </c>
      <c r="AJ13">
        <v>-3.81</v>
      </c>
      <c r="AK13">
        <v>0.3</v>
      </c>
      <c r="AL13">
        <v>0.76</v>
      </c>
    </row>
    <row r="14" spans="1:38" x14ac:dyDescent="0.25">
      <c r="A14">
        <v>13</v>
      </c>
      <c r="B14" t="str">
        <f xml:space="preserve"> "600000"</f>
        <v>600000</v>
      </c>
      <c r="C14" t="s">
        <v>157</v>
      </c>
      <c r="D14">
        <v>12.94</v>
      </c>
      <c r="E14">
        <v>-0.84</v>
      </c>
      <c r="F14">
        <v>-0.11</v>
      </c>
      <c r="G14" t="s">
        <v>158</v>
      </c>
      <c r="H14">
        <v>23</v>
      </c>
      <c r="I14">
        <v>12.94</v>
      </c>
      <c r="J14">
        <v>12.95</v>
      </c>
      <c r="K14">
        <v>-0.23</v>
      </c>
      <c r="L14">
        <v>7.0000000000000007E-2</v>
      </c>
      <c r="M14" t="s">
        <v>159</v>
      </c>
      <c r="N14">
        <v>6.74</v>
      </c>
      <c r="O14" t="s">
        <v>41</v>
      </c>
      <c r="P14">
        <v>13.08</v>
      </c>
      <c r="Q14">
        <v>12.92</v>
      </c>
      <c r="R14">
        <v>13.01</v>
      </c>
      <c r="S14">
        <v>13.05</v>
      </c>
      <c r="T14">
        <v>1.23</v>
      </c>
      <c r="U14">
        <v>0.77</v>
      </c>
      <c r="V14">
        <v>33.08</v>
      </c>
      <c r="W14">
        <v>3886</v>
      </c>
      <c r="X14">
        <v>13.01</v>
      </c>
      <c r="Y14" t="s">
        <v>160</v>
      </c>
      <c r="Z14" t="s">
        <v>161</v>
      </c>
      <c r="AA14">
        <v>1.64</v>
      </c>
      <c r="AB14">
        <v>116</v>
      </c>
      <c r="AC14">
        <v>13</v>
      </c>
      <c r="AD14">
        <v>1.02</v>
      </c>
      <c r="AE14" t="s">
        <v>162</v>
      </c>
      <c r="AF14" t="s">
        <v>163</v>
      </c>
      <c r="AG14" t="s">
        <v>164</v>
      </c>
      <c r="AH14" t="s">
        <v>165</v>
      </c>
      <c r="AI14">
        <v>-1.22</v>
      </c>
      <c r="AJ14">
        <v>0.78</v>
      </c>
      <c r="AK14">
        <v>0.2</v>
      </c>
      <c r="AL14">
        <v>0.56000000000000005</v>
      </c>
    </row>
    <row r="15" spans="1:38" x14ac:dyDescent="0.25">
      <c r="A15">
        <v>14</v>
      </c>
      <c r="B15" t="str">
        <f xml:space="preserve"> "600104"</f>
        <v>600104</v>
      </c>
      <c r="C15" t="s">
        <v>166</v>
      </c>
      <c r="D15">
        <v>31.97</v>
      </c>
      <c r="E15">
        <v>-0.44</v>
      </c>
      <c r="F15">
        <v>-0.14000000000000001</v>
      </c>
      <c r="G15" t="s">
        <v>167</v>
      </c>
      <c r="H15">
        <v>12</v>
      </c>
      <c r="I15">
        <v>31.96</v>
      </c>
      <c r="J15">
        <v>31.97</v>
      </c>
      <c r="K15">
        <v>-0.03</v>
      </c>
      <c r="L15">
        <v>0.19</v>
      </c>
      <c r="M15" t="s">
        <v>168</v>
      </c>
      <c r="N15">
        <v>11.7</v>
      </c>
      <c r="O15" t="s">
        <v>169</v>
      </c>
      <c r="P15">
        <v>32.6</v>
      </c>
      <c r="Q15">
        <v>31.87</v>
      </c>
      <c r="R15">
        <v>32.1</v>
      </c>
      <c r="S15">
        <v>32.11</v>
      </c>
      <c r="T15">
        <v>2.27</v>
      </c>
      <c r="U15">
        <v>0.51</v>
      </c>
      <c r="V15">
        <v>-42.56</v>
      </c>
      <c r="W15">
        <v>-797</v>
      </c>
      <c r="X15">
        <v>32.25</v>
      </c>
      <c r="Y15" t="s">
        <v>102</v>
      </c>
      <c r="Z15" t="s">
        <v>170</v>
      </c>
      <c r="AA15">
        <v>1.25</v>
      </c>
      <c r="AB15">
        <v>25</v>
      </c>
      <c r="AC15">
        <v>16</v>
      </c>
      <c r="AD15">
        <v>1.81</v>
      </c>
      <c r="AE15" t="s">
        <v>171</v>
      </c>
      <c r="AF15" t="s">
        <v>172</v>
      </c>
      <c r="AG15" t="s">
        <v>173</v>
      </c>
      <c r="AH15" t="s">
        <v>174</v>
      </c>
      <c r="AI15">
        <v>4.8499999999999996</v>
      </c>
      <c r="AJ15">
        <v>5.0999999999999996</v>
      </c>
      <c r="AK15">
        <v>0.92</v>
      </c>
      <c r="AL15">
        <v>2</v>
      </c>
    </row>
    <row r="16" spans="1:38" x14ac:dyDescent="0.25">
      <c r="A16">
        <v>15</v>
      </c>
      <c r="B16" t="str">
        <f xml:space="preserve"> "601166"</f>
        <v>601166</v>
      </c>
      <c r="C16" t="s">
        <v>175</v>
      </c>
      <c r="D16">
        <v>17.8</v>
      </c>
      <c r="E16">
        <v>0.23</v>
      </c>
      <c r="F16">
        <v>0.04</v>
      </c>
      <c r="G16" t="s">
        <v>176</v>
      </c>
      <c r="H16">
        <v>24</v>
      </c>
      <c r="I16">
        <v>17.78</v>
      </c>
      <c r="J16">
        <v>17.79</v>
      </c>
      <c r="K16">
        <v>0</v>
      </c>
      <c r="L16">
        <v>0.35</v>
      </c>
      <c r="M16" t="s">
        <v>177</v>
      </c>
      <c r="N16">
        <v>5.85</v>
      </c>
      <c r="O16" t="s">
        <v>41</v>
      </c>
      <c r="P16">
        <v>17.95</v>
      </c>
      <c r="Q16">
        <v>17.78</v>
      </c>
      <c r="R16">
        <v>17.79</v>
      </c>
      <c r="S16">
        <v>17.760000000000002</v>
      </c>
      <c r="T16">
        <v>0.96</v>
      </c>
      <c r="U16">
        <v>0.69</v>
      </c>
      <c r="V16">
        <v>35.409999999999997</v>
      </c>
      <c r="W16">
        <v>4739</v>
      </c>
      <c r="X16">
        <v>17.87</v>
      </c>
      <c r="Y16" t="s">
        <v>178</v>
      </c>
      <c r="Z16" t="s">
        <v>179</v>
      </c>
      <c r="AA16">
        <v>1</v>
      </c>
      <c r="AB16">
        <v>4081</v>
      </c>
      <c r="AC16">
        <v>1827</v>
      </c>
      <c r="AD16">
        <v>1.01</v>
      </c>
      <c r="AE16" t="s">
        <v>108</v>
      </c>
      <c r="AF16" t="s">
        <v>180</v>
      </c>
      <c r="AG16" t="s">
        <v>181</v>
      </c>
      <c r="AH16" t="s">
        <v>182</v>
      </c>
      <c r="AI16">
        <v>0</v>
      </c>
      <c r="AJ16">
        <v>2.65</v>
      </c>
      <c r="AK16">
        <v>1.39</v>
      </c>
      <c r="AL16">
        <v>2.91</v>
      </c>
    </row>
    <row r="17" spans="1:38" x14ac:dyDescent="0.25">
      <c r="A17">
        <v>16</v>
      </c>
      <c r="B17" t="str">
        <f xml:space="preserve"> "600900"</f>
        <v>600900</v>
      </c>
      <c r="C17" t="s">
        <v>183</v>
      </c>
      <c r="D17">
        <v>15.37</v>
      </c>
      <c r="E17">
        <v>0.13</v>
      </c>
      <c r="F17">
        <v>0.02</v>
      </c>
      <c r="G17" t="s">
        <v>184</v>
      </c>
      <c r="H17">
        <v>19</v>
      </c>
      <c r="I17">
        <v>15.36</v>
      </c>
      <c r="J17">
        <v>15.38</v>
      </c>
      <c r="K17">
        <v>-7.0000000000000007E-2</v>
      </c>
      <c r="L17">
        <v>0.12</v>
      </c>
      <c r="M17" t="s">
        <v>185</v>
      </c>
      <c r="N17">
        <v>20.86</v>
      </c>
      <c r="O17" t="s">
        <v>186</v>
      </c>
      <c r="P17">
        <v>15.41</v>
      </c>
      <c r="Q17">
        <v>15.31</v>
      </c>
      <c r="R17">
        <v>15.33</v>
      </c>
      <c r="S17">
        <v>15.35</v>
      </c>
      <c r="T17">
        <v>0.65</v>
      </c>
      <c r="U17">
        <v>0.63</v>
      </c>
      <c r="V17">
        <v>44.87</v>
      </c>
      <c r="W17">
        <v>2075</v>
      </c>
      <c r="X17">
        <v>15.36</v>
      </c>
      <c r="Y17" t="s">
        <v>187</v>
      </c>
      <c r="Z17" t="s">
        <v>188</v>
      </c>
      <c r="AA17">
        <v>1.35</v>
      </c>
      <c r="AB17">
        <v>140</v>
      </c>
      <c r="AC17">
        <v>139</v>
      </c>
      <c r="AD17">
        <v>3.15</v>
      </c>
      <c r="AE17" t="s">
        <v>189</v>
      </c>
      <c r="AF17" t="s">
        <v>190</v>
      </c>
      <c r="AG17" t="s">
        <v>191</v>
      </c>
      <c r="AH17" t="s">
        <v>192</v>
      </c>
      <c r="AI17">
        <v>0.65</v>
      </c>
      <c r="AJ17">
        <v>1.52</v>
      </c>
      <c r="AK17">
        <v>0.63</v>
      </c>
      <c r="AL17">
        <v>1.0900000000000001</v>
      </c>
    </row>
    <row r="18" spans="1:38" x14ac:dyDescent="0.25">
      <c r="A18">
        <v>17</v>
      </c>
      <c r="B18" t="str">
        <f xml:space="preserve"> "601601"</f>
        <v>601601</v>
      </c>
      <c r="C18" t="s">
        <v>193</v>
      </c>
      <c r="D18">
        <v>37.14</v>
      </c>
      <c r="E18">
        <v>-0.56000000000000005</v>
      </c>
      <c r="F18">
        <v>-0.21</v>
      </c>
      <c r="G18" t="s">
        <v>194</v>
      </c>
      <c r="H18">
        <v>16</v>
      </c>
      <c r="I18">
        <v>37.15</v>
      </c>
      <c r="J18">
        <v>37.159999999999997</v>
      </c>
      <c r="K18">
        <v>-0.11</v>
      </c>
      <c r="L18">
        <v>0.2</v>
      </c>
      <c r="M18" t="s">
        <v>195</v>
      </c>
      <c r="N18">
        <v>25.85</v>
      </c>
      <c r="O18" t="s">
        <v>94</v>
      </c>
      <c r="P18">
        <v>37.75</v>
      </c>
      <c r="Q18">
        <v>37.11</v>
      </c>
      <c r="R18">
        <v>37.5</v>
      </c>
      <c r="S18">
        <v>37.35</v>
      </c>
      <c r="T18">
        <v>1.71</v>
      </c>
      <c r="U18">
        <v>0.51</v>
      </c>
      <c r="V18">
        <v>75.34</v>
      </c>
      <c r="W18">
        <v>770</v>
      </c>
      <c r="X18">
        <v>37.409999999999997</v>
      </c>
      <c r="Y18" t="s">
        <v>196</v>
      </c>
      <c r="Z18" t="s">
        <v>197</v>
      </c>
      <c r="AA18">
        <v>1.01</v>
      </c>
      <c r="AB18">
        <v>27</v>
      </c>
      <c r="AC18">
        <v>23</v>
      </c>
      <c r="AD18">
        <v>2.69</v>
      </c>
      <c r="AE18" t="s">
        <v>198</v>
      </c>
      <c r="AF18" t="s">
        <v>199</v>
      </c>
      <c r="AG18" t="s">
        <v>200</v>
      </c>
      <c r="AH18" t="s">
        <v>201</v>
      </c>
      <c r="AI18">
        <v>3.22</v>
      </c>
      <c r="AJ18">
        <v>1.17</v>
      </c>
      <c r="AK18">
        <v>0.85</v>
      </c>
      <c r="AL18">
        <v>2.12</v>
      </c>
    </row>
    <row r="19" spans="1:38" x14ac:dyDescent="0.25">
      <c r="A19">
        <v>18</v>
      </c>
      <c r="B19" t="str">
        <f xml:space="preserve"> "002415"</f>
        <v>002415</v>
      </c>
      <c r="C19" t="s">
        <v>202</v>
      </c>
      <c r="D19">
        <v>35</v>
      </c>
      <c r="E19">
        <v>0.56999999999999995</v>
      </c>
      <c r="F19">
        <v>0.2</v>
      </c>
      <c r="G19" t="s">
        <v>203</v>
      </c>
      <c r="H19">
        <v>8923</v>
      </c>
      <c r="I19">
        <v>34.99</v>
      </c>
      <c r="J19">
        <v>35</v>
      </c>
      <c r="K19">
        <v>0.03</v>
      </c>
      <c r="L19">
        <v>0.44</v>
      </c>
      <c r="M19" t="s">
        <v>204</v>
      </c>
      <c r="N19">
        <v>49.07</v>
      </c>
      <c r="O19" t="s">
        <v>205</v>
      </c>
      <c r="P19">
        <v>35.58</v>
      </c>
      <c r="Q19">
        <v>34.6</v>
      </c>
      <c r="R19">
        <v>35.19</v>
      </c>
      <c r="S19">
        <v>34.799999999999997</v>
      </c>
      <c r="T19">
        <v>2.82</v>
      </c>
      <c r="U19">
        <v>0.67</v>
      </c>
      <c r="V19">
        <v>-68.19</v>
      </c>
      <c r="W19">
        <v>-4991</v>
      </c>
      <c r="X19">
        <v>35.08</v>
      </c>
      <c r="Y19" t="s">
        <v>206</v>
      </c>
      <c r="Z19" t="s">
        <v>207</v>
      </c>
      <c r="AA19">
        <v>1.21</v>
      </c>
      <c r="AB19">
        <v>337</v>
      </c>
      <c r="AC19">
        <v>4971</v>
      </c>
      <c r="AD19">
        <v>13.43</v>
      </c>
      <c r="AE19" t="s">
        <v>208</v>
      </c>
      <c r="AF19" t="s">
        <v>209</v>
      </c>
      <c r="AG19" t="s">
        <v>210</v>
      </c>
      <c r="AH19" t="s">
        <v>211</v>
      </c>
      <c r="AI19">
        <v>7.99</v>
      </c>
      <c r="AJ19">
        <v>11.25</v>
      </c>
      <c r="AK19">
        <v>2.19</v>
      </c>
      <c r="AL19">
        <v>3.71</v>
      </c>
    </row>
    <row r="20" spans="1:38" x14ac:dyDescent="0.25">
      <c r="A20">
        <v>19</v>
      </c>
      <c r="B20" t="str">
        <f xml:space="preserve"> "000333"</f>
        <v>000333</v>
      </c>
      <c r="C20" t="s">
        <v>212</v>
      </c>
      <c r="D20">
        <v>47.68</v>
      </c>
      <c r="E20">
        <v>0</v>
      </c>
      <c r="F20">
        <v>0</v>
      </c>
      <c r="G20" t="s">
        <v>213</v>
      </c>
      <c r="H20">
        <v>2145</v>
      </c>
      <c r="I20">
        <v>47.68</v>
      </c>
      <c r="J20">
        <v>47.69</v>
      </c>
      <c r="K20">
        <v>0.06</v>
      </c>
      <c r="L20">
        <v>0.31</v>
      </c>
      <c r="M20" t="s">
        <v>214</v>
      </c>
      <c r="N20">
        <v>14.44</v>
      </c>
      <c r="O20" t="s">
        <v>215</v>
      </c>
      <c r="P20">
        <v>48.16</v>
      </c>
      <c r="Q20">
        <v>47</v>
      </c>
      <c r="R20">
        <v>47.6</v>
      </c>
      <c r="S20">
        <v>47.68</v>
      </c>
      <c r="T20">
        <v>2.4300000000000002</v>
      </c>
      <c r="U20">
        <v>0.59</v>
      </c>
      <c r="V20">
        <v>-3.41</v>
      </c>
      <c r="W20">
        <v>-70</v>
      </c>
      <c r="X20">
        <v>47.62</v>
      </c>
      <c r="Y20" t="s">
        <v>216</v>
      </c>
      <c r="Z20" t="s">
        <v>102</v>
      </c>
      <c r="AA20">
        <v>0.72</v>
      </c>
      <c r="AB20">
        <v>155</v>
      </c>
      <c r="AC20">
        <v>410</v>
      </c>
      <c r="AD20">
        <v>4.71</v>
      </c>
      <c r="AE20" t="s">
        <v>217</v>
      </c>
      <c r="AF20" t="s">
        <v>218</v>
      </c>
      <c r="AG20" t="s">
        <v>219</v>
      </c>
      <c r="AH20" t="s">
        <v>220</v>
      </c>
      <c r="AI20">
        <v>2.19</v>
      </c>
      <c r="AJ20">
        <v>9.7899999999999991</v>
      </c>
      <c r="AK20">
        <v>1.3</v>
      </c>
      <c r="AL20">
        <v>2.95</v>
      </c>
    </row>
    <row r="21" spans="1:38" x14ac:dyDescent="0.25">
      <c r="A21">
        <v>20</v>
      </c>
      <c r="B21" t="str">
        <f xml:space="preserve"> "601998"</f>
        <v>601998</v>
      </c>
      <c r="C21" t="s">
        <v>221</v>
      </c>
      <c r="D21">
        <v>6.34</v>
      </c>
      <c r="E21">
        <v>-0.63</v>
      </c>
      <c r="F21">
        <v>-0.04</v>
      </c>
      <c r="G21" t="s">
        <v>222</v>
      </c>
      <c r="H21">
        <v>443</v>
      </c>
      <c r="I21">
        <v>6.34</v>
      </c>
      <c r="J21">
        <v>6.35</v>
      </c>
      <c r="K21">
        <v>0</v>
      </c>
      <c r="L21">
        <v>7.0000000000000007E-2</v>
      </c>
      <c r="M21" t="s">
        <v>223</v>
      </c>
      <c r="N21">
        <v>6.46</v>
      </c>
      <c r="O21" t="s">
        <v>41</v>
      </c>
      <c r="P21">
        <v>6.38</v>
      </c>
      <c r="Q21">
        <v>6.34</v>
      </c>
      <c r="R21">
        <v>6.37</v>
      </c>
      <c r="S21">
        <v>6.38</v>
      </c>
      <c r="T21">
        <v>0.63</v>
      </c>
      <c r="U21">
        <v>0.88</v>
      </c>
      <c r="V21">
        <v>-24.71</v>
      </c>
      <c r="W21" t="s">
        <v>224</v>
      </c>
      <c r="X21">
        <v>6.36</v>
      </c>
      <c r="Y21" t="s">
        <v>225</v>
      </c>
      <c r="Z21" t="s">
        <v>226</v>
      </c>
      <c r="AA21">
        <v>2.11</v>
      </c>
      <c r="AB21">
        <v>1308</v>
      </c>
      <c r="AC21">
        <v>4393</v>
      </c>
      <c r="AD21">
        <v>0.91</v>
      </c>
      <c r="AE21" t="s">
        <v>227</v>
      </c>
      <c r="AF21" t="s">
        <v>228</v>
      </c>
      <c r="AG21" t="s">
        <v>229</v>
      </c>
      <c r="AH21" t="s">
        <v>230</v>
      </c>
      <c r="AI21">
        <v>-0.94</v>
      </c>
      <c r="AJ21">
        <v>0.48</v>
      </c>
      <c r="AK21">
        <v>0.2</v>
      </c>
      <c r="AL21">
        <v>0.47</v>
      </c>
    </row>
    <row r="22" spans="1:38" x14ac:dyDescent="0.25">
      <c r="A22">
        <v>21</v>
      </c>
      <c r="B22" t="str">
        <f xml:space="preserve"> "600016"</f>
        <v>600016</v>
      </c>
      <c r="C22" t="s">
        <v>231</v>
      </c>
      <c r="D22">
        <v>8.17</v>
      </c>
      <c r="E22">
        <v>0.12</v>
      </c>
      <c r="F22">
        <v>0.01</v>
      </c>
      <c r="G22" t="s">
        <v>232</v>
      </c>
      <c r="H22">
        <v>50</v>
      </c>
      <c r="I22">
        <v>8.16</v>
      </c>
      <c r="J22">
        <v>8.17</v>
      </c>
      <c r="K22">
        <v>0.12</v>
      </c>
      <c r="L22">
        <v>0.1</v>
      </c>
      <c r="M22" t="s">
        <v>233</v>
      </c>
      <c r="N22">
        <v>5.31</v>
      </c>
      <c r="O22" t="s">
        <v>41</v>
      </c>
      <c r="P22">
        <v>8.19</v>
      </c>
      <c r="Q22">
        <v>8.16</v>
      </c>
      <c r="R22">
        <v>8.16</v>
      </c>
      <c r="S22">
        <v>8.16</v>
      </c>
      <c r="T22">
        <v>0.37</v>
      </c>
      <c r="U22">
        <v>0.48</v>
      </c>
      <c r="V22">
        <v>-44.21</v>
      </c>
      <c r="W22" t="s">
        <v>234</v>
      </c>
      <c r="X22">
        <v>8.17</v>
      </c>
      <c r="Y22" t="s">
        <v>235</v>
      </c>
      <c r="Z22" t="s">
        <v>236</v>
      </c>
      <c r="AA22">
        <v>1.23</v>
      </c>
      <c r="AB22">
        <v>8714</v>
      </c>
      <c r="AC22">
        <v>2406</v>
      </c>
      <c r="AD22">
        <v>0.85</v>
      </c>
      <c r="AE22" t="s">
        <v>237</v>
      </c>
      <c r="AF22" t="s">
        <v>238</v>
      </c>
      <c r="AG22" t="s">
        <v>239</v>
      </c>
      <c r="AH22" t="s">
        <v>240</v>
      </c>
      <c r="AI22">
        <v>0.12</v>
      </c>
      <c r="AJ22">
        <v>2.25</v>
      </c>
      <c r="AK22">
        <v>0.49</v>
      </c>
      <c r="AL22">
        <v>1.1599999999999999</v>
      </c>
    </row>
    <row r="23" spans="1:38" x14ac:dyDescent="0.25">
      <c r="A23">
        <v>22</v>
      </c>
      <c r="B23" t="str">
        <f xml:space="preserve"> "000002"</f>
        <v>000002</v>
      </c>
      <c r="C23" t="s">
        <v>241</v>
      </c>
      <c r="D23">
        <v>26.93</v>
      </c>
      <c r="E23">
        <v>-0.63</v>
      </c>
      <c r="F23">
        <v>-0.17</v>
      </c>
      <c r="G23" t="s">
        <v>242</v>
      </c>
      <c r="H23">
        <v>2118</v>
      </c>
      <c r="I23">
        <v>26.93</v>
      </c>
      <c r="J23">
        <v>26.94</v>
      </c>
      <c r="K23">
        <v>0</v>
      </c>
      <c r="L23">
        <v>0.34</v>
      </c>
      <c r="M23" t="s">
        <v>243</v>
      </c>
      <c r="N23">
        <v>20.350000000000001</v>
      </c>
      <c r="O23" t="s">
        <v>244</v>
      </c>
      <c r="P23">
        <v>27.58</v>
      </c>
      <c r="Q23">
        <v>26.81</v>
      </c>
      <c r="R23">
        <v>27.2</v>
      </c>
      <c r="S23">
        <v>27.1</v>
      </c>
      <c r="T23">
        <v>2.84</v>
      </c>
      <c r="U23">
        <v>0.75</v>
      </c>
      <c r="V23">
        <v>51.89</v>
      </c>
      <c r="W23">
        <v>2590</v>
      </c>
      <c r="X23">
        <v>27.13</v>
      </c>
      <c r="Y23" t="s">
        <v>245</v>
      </c>
      <c r="Z23" t="s">
        <v>246</v>
      </c>
      <c r="AA23">
        <v>1.1399999999999999</v>
      </c>
      <c r="AB23">
        <v>2187</v>
      </c>
      <c r="AC23">
        <v>419</v>
      </c>
      <c r="AD23">
        <v>2.86</v>
      </c>
      <c r="AE23" t="s">
        <v>173</v>
      </c>
      <c r="AF23" t="s">
        <v>247</v>
      </c>
      <c r="AG23" t="s">
        <v>248</v>
      </c>
      <c r="AH23" t="s">
        <v>249</v>
      </c>
      <c r="AI23">
        <v>1.28</v>
      </c>
      <c r="AJ23">
        <v>1.97</v>
      </c>
      <c r="AK23">
        <v>1.1399999999999999</v>
      </c>
      <c r="AL23">
        <v>2.61</v>
      </c>
    </row>
    <row r="24" spans="1:38" x14ac:dyDescent="0.25">
      <c r="A24">
        <v>23</v>
      </c>
      <c r="B24" t="str">
        <f xml:space="preserve"> "601766"</f>
        <v>601766</v>
      </c>
      <c r="C24" t="s">
        <v>250</v>
      </c>
      <c r="D24">
        <v>9.8699999999999992</v>
      </c>
      <c r="E24">
        <v>0.41</v>
      </c>
      <c r="F24">
        <v>0.04</v>
      </c>
      <c r="G24" t="s">
        <v>251</v>
      </c>
      <c r="H24">
        <v>167</v>
      </c>
      <c r="I24">
        <v>9.86</v>
      </c>
      <c r="J24">
        <v>9.8699999999999992</v>
      </c>
      <c r="K24">
        <v>0</v>
      </c>
      <c r="L24">
        <v>0.2</v>
      </c>
      <c r="M24" t="s">
        <v>252</v>
      </c>
      <c r="N24">
        <v>38.56</v>
      </c>
      <c r="O24" t="s">
        <v>253</v>
      </c>
      <c r="P24">
        <v>9.94</v>
      </c>
      <c r="Q24">
        <v>9.83</v>
      </c>
      <c r="R24">
        <v>9.85</v>
      </c>
      <c r="S24">
        <v>9.83</v>
      </c>
      <c r="T24">
        <v>1.1200000000000001</v>
      </c>
      <c r="U24">
        <v>1.77</v>
      </c>
      <c r="V24">
        <v>5.64</v>
      </c>
      <c r="W24">
        <v>3988</v>
      </c>
      <c r="X24">
        <v>9.89</v>
      </c>
      <c r="Y24" t="s">
        <v>254</v>
      </c>
      <c r="Z24" t="s">
        <v>255</v>
      </c>
      <c r="AA24">
        <v>0.76</v>
      </c>
      <c r="AB24">
        <v>5034</v>
      </c>
      <c r="AC24">
        <v>1066</v>
      </c>
      <c r="AD24">
        <v>2.61</v>
      </c>
      <c r="AE24" t="s">
        <v>256</v>
      </c>
      <c r="AF24" t="s">
        <v>257</v>
      </c>
      <c r="AG24" t="s">
        <v>258</v>
      </c>
      <c r="AH24" t="s">
        <v>259</v>
      </c>
      <c r="AI24">
        <v>0.3</v>
      </c>
      <c r="AJ24">
        <v>1.54</v>
      </c>
      <c r="AK24">
        <v>0.42</v>
      </c>
      <c r="AL24">
        <v>0.76</v>
      </c>
    </row>
    <row r="25" spans="1:38" x14ac:dyDescent="0.25">
      <c r="A25">
        <v>24</v>
      </c>
      <c r="B25" t="str">
        <f xml:space="preserve"> "601668"</f>
        <v>601668</v>
      </c>
      <c r="C25" t="s">
        <v>260</v>
      </c>
      <c r="D25">
        <v>9.39</v>
      </c>
      <c r="E25">
        <v>-0.95</v>
      </c>
      <c r="F25">
        <v>-0.09</v>
      </c>
      <c r="G25" t="s">
        <v>261</v>
      </c>
      <c r="H25">
        <v>454</v>
      </c>
      <c r="I25">
        <v>9.39</v>
      </c>
      <c r="J25">
        <v>9.4</v>
      </c>
      <c r="K25">
        <v>0</v>
      </c>
      <c r="L25">
        <v>0.36</v>
      </c>
      <c r="M25" t="s">
        <v>262</v>
      </c>
      <c r="N25">
        <v>7.81</v>
      </c>
      <c r="O25" t="s">
        <v>263</v>
      </c>
      <c r="P25">
        <v>9.5</v>
      </c>
      <c r="Q25">
        <v>9.3699999999999992</v>
      </c>
      <c r="R25">
        <v>9.49</v>
      </c>
      <c r="S25">
        <v>9.48</v>
      </c>
      <c r="T25">
        <v>1.37</v>
      </c>
      <c r="U25">
        <v>1.0900000000000001</v>
      </c>
      <c r="V25">
        <v>51.26</v>
      </c>
      <c r="W25" t="s">
        <v>264</v>
      </c>
      <c r="X25">
        <v>9.41</v>
      </c>
      <c r="Y25" t="s">
        <v>265</v>
      </c>
      <c r="Z25" t="s">
        <v>266</v>
      </c>
      <c r="AA25">
        <v>1.9</v>
      </c>
      <c r="AB25">
        <v>1519</v>
      </c>
      <c r="AC25">
        <v>7936</v>
      </c>
      <c r="AD25">
        <v>1.54</v>
      </c>
      <c r="AE25" t="s">
        <v>267</v>
      </c>
      <c r="AF25" t="s">
        <v>268</v>
      </c>
      <c r="AG25" t="s">
        <v>269</v>
      </c>
      <c r="AH25" t="s">
        <v>270</v>
      </c>
      <c r="AI25">
        <v>-0.63</v>
      </c>
      <c r="AJ25">
        <v>0.86</v>
      </c>
      <c r="AK25">
        <v>0.88</v>
      </c>
      <c r="AL25">
        <v>2.0299999999999998</v>
      </c>
    </row>
    <row r="26" spans="1:38" x14ac:dyDescent="0.25">
      <c r="A26">
        <v>25</v>
      </c>
      <c r="B26" t="str">
        <f xml:space="preserve"> "002352"</f>
        <v>002352</v>
      </c>
      <c r="C26" t="s">
        <v>271</v>
      </c>
      <c r="D26">
        <v>56.34</v>
      </c>
      <c r="E26">
        <v>1.51</v>
      </c>
      <c r="F26">
        <v>0.84</v>
      </c>
      <c r="G26" t="s">
        <v>272</v>
      </c>
      <c r="H26">
        <v>673</v>
      </c>
      <c r="I26">
        <v>56.34</v>
      </c>
      <c r="J26">
        <v>56.35</v>
      </c>
      <c r="K26">
        <v>0.04</v>
      </c>
      <c r="L26">
        <v>3.48</v>
      </c>
      <c r="M26" t="s">
        <v>273</v>
      </c>
      <c r="N26">
        <v>65.97</v>
      </c>
      <c r="O26" t="s">
        <v>274</v>
      </c>
      <c r="P26">
        <v>56.79</v>
      </c>
      <c r="Q26">
        <v>55.56</v>
      </c>
      <c r="R26">
        <v>56</v>
      </c>
      <c r="S26">
        <v>55.5</v>
      </c>
      <c r="T26">
        <v>2.2200000000000002</v>
      </c>
      <c r="U26">
        <v>0.69</v>
      </c>
      <c r="V26">
        <v>34.71</v>
      </c>
      <c r="W26">
        <v>740</v>
      </c>
      <c r="X26">
        <v>56.13</v>
      </c>
      <c r="Y26" t="s">
        <v>275</v>
      </c>
      <c r="Z26" t="s">
        <v>87</v>
      </c>
      <c r="AA26">
        <v>0.99</v>
      </c>
      <c r="AB26">
        <v>1214</v>
      </c>
      <c r="AC26">
        <v>543</v>
      </c>
      <c r="AD26">
        <v>8.3699999999999992</v>
      </c>
      <c r="AE26" t="s">
        <v>276</v>
      </c>
      <c r="AF26" t="s">
        <v>277</v>
      </c>
      <c r="AG26" t="s">
        <v>223</v>
      </c>
      <c r="AH26" t="s">
        <v>278</v>
      </c>
      <c r="AI26">
        <v>0.61</v>
      </c>
      <c r="AJ26">
        <v>3.99</v>
      </c>
      <c r="AK26">
        <v>15.94</v>
      </c>
      <c r="AL26">
        <v>28.75</v>
      </c>
    </row>
    <row r="27" spans="1:38" x14ac:dyDescent="0.25">
      <c r="A27">
        <v>26</v>
      </c>
      <c r="B27" t="str">
        <f xml:space="preserve"> "601800"</f>
        <v>601800</v>
      </c>
      <c r="C27" t="s">
        <v>279</v>
      </c>
      <c r="D27">
        <v>15.18</v>
      </c>
      <c r="E27">
        <v>0.33</v>
      </c>
      <c r="F27">
        <v>0.05</v>
      </c>
      <c r="G27" t="s">
        <v>280</v>
      </c>
      <c r="H27">
        <v>107</v>
      </c>
      <c r="I27">
        <v>15.18</v>
      </c>
      <c r="J27">
        <v>15.19</v>
      </c>
      <c r="K27">
        <v>-7.0000000000000007E-2</v>
      </c>
      <c r="L27">
        <v>0.13</v>
      </c>
      <c r="M27" t="s">
        <v>281</v>
      </c>
      <c r="N27">
        <v>16.29</v>
      </c>
      <c r="O27" t="s">
        <v>263</v>
      </c>
      <c r="P27">
        <v>15.27</v>
      </c>
      <c r="Q27">
        <v>15.01</v>
      </c>
      <c r="R27">
        <v>15.1</v>
      </c>
      <c r="S27">
        <v>15.13</v>
      </c>
      <c r="T27">
        <v>1.72</v>
      </c>
      <c r="U27">
        <v>1.08</v>
      </c>
      <c r="V27">
        <v>-48.85</v>
      </c>
      <c r="W27">
        <v>-2859</v>
      </c>
      <c r="X27">
        <v>15.14</v>
      </c>
      <c r="Y27" t="s">
        <v>282</v>
      </c>
      <c r="Z27" t="s">
        <v>283</v>
      </c>
      <c r="AA27">
        <v>1.27</v>
      </c>
      <c r="AB27">
        <v>622</v>
      </c>
      <c r="AC27">
        <v>1104</v>
      </c>
      <c r="AD27">
        <v>1.65</v>
      </c>
      <c r="AE27" t="s">
        <v>284</v>
      </c>
      <c r="AF27" t="s">
        <v>285</v>
      </c>
      <c r="AG27" t="s">
        <v>171</v>
      </c>
      <c r="AH27" t="s">
        <v>286</v>
      </c>
      <c r="AI27">
        <v>-1.36</v>
      </c>
      <c r="AJ27">
        <v>-0.72</v>
      </c>
      <c r="AK27">
        <v>0.42</v>
      </c>
      <c r="AL27">
        <v>0.73</v>
      </c>
    </row>
    <row r="28" spans="1:38" x14ac:dyDescent="0.25">
      <c r="A28">
        <v>27</v>
      </c>
      <c r="B28" t="str">
        <f xml:space="preserve"> "000651"</f>
        <v>000651</v>
      </c>
      <c r="C28" t="s">
        <v>287</v>
      </c>
      <c r="D28">
        <v>40.270000000000003</v>
      </c>
      <c r="E28">
        <v>-0.37</v>
      </c>
      <c r="F28">
        <v>-0.15</v>
      </c>
      <c r="G28" t="s">
        <v>288</v>
      </c>
      <c r="H28">
        <v>8309</v>
      </c>
      <c r="I28">
        <v>40.270000000000003</v>
      </c>
      <c r="J28">
        <v>40.28</v>
      </c>
      <c r="K28">
        <v>-0.02</v>
      </c>
      <c r="L28">
        <v>0.89</v>
      </c>
      <c r="M28" t="s">
        <v>289</v>
      </c>
      <c r="N28">
        <v>12.81</v>
      </c>
      <c r="O28" t="s">
        <v>215</v>
      </c>
      <c r="P28">
        <v>40.64</v>
      </c>
      <c r="Q28">
        <v>39.85</v>
      </c>
      <c r="R28">
        <v>40.450000000000003</v>
      </c>
      <c r="S28">
        <v>40.42</v>
      </c>
      <c r="T28">
        <v>1.95</v>
      </c>
      <c r="U28">
        <v>0.56000000000000005</v>
      </c>
      <c r="V28">
        <v>-44.57</v>
      </c>
      <c r="W28">
        <v>-5402</v>
      </c>
      <c r="X28">
        <v>40.24</v>
      </c>
      <c r="Y28" t="s">
        <v>290</v>
      </c>
      <c r="Z28" t="s">
        <v>291</v>
      </c>
      <c r="AA28">
        <v>1.05</v>
      </c>
      <c r="AB28">
        <v>341</v>
      </c>
      <c r="AC28">
        <v>1787</v>
      </c>
      <c r="AD28">
        <v>5.82</v>
      </c>
      <c r="AE28" t="s">
        <v>292</v>
      </c>
      <c r="AF28" t="s">
        <v>293</v>
      </c>
      <c r="AG28" t="s">
        <v>294</v>
      </c>
      <c r="AH28" t="s">
        <v>295</v>
      </c>
      <c r="AI28">
        <v>3.82</v>
      </c>
      <c r="AJ28">
        <v>6.25</v>
      </c>
      <c r="AK28">
        <v>4.87</v>
      </c>
      <c r="AL28">
        <v>8.84</v>
      </c>
    </row>
    <row r="29" spans="1:38" x14ac:dyDescent="0.25">
      <c r="A29">
        <v>28</v>
      </c>
      <c r="B29" t="str">
        <f xml:space="preserve"> "000858"</f>
        <v>000858</v>
      </c>
      <c r="C29" t="s">
        <v>296</v>
      </c>
      <c r="D29">
        <v>61.62</v>
      </c>
      <c r="E29">
        <v>1.33</v>
      </c>
      <c r="F29">
        <v>0.81</v>
      </c>
      <c r="G29" t="s">
        <v>297</v>
      </c>
      <c r="H29">
        <v>1626</v>
      </c>
      <c r="I29">
        <v>61.61</v>
      </c>
      <c r="J29">
        <v>61.62</v>
      </c>
      <c r="K29">
        <v>0</v>
      </c>
      <c r="L29">
        <v>0.43</v>
      </c>
      <c r="M29" t="s">
        <v>298</v>
      </c>
      <c r="N29">
        <v>23.52</v>
      </c>
      <c r="O29" t="s">
        <v>123</v>
      </c>
      <c r="P29">
        <v>61.95</v>
      </c>
      <c r="Q29">
        <v>60.85</v>
      </c>
      <c r="R29">
        <v>60.86</v>
      </c>
      <c r="S29">
        <v>60.81</v>
      </c>
      <c r="T29">
        <v>1.81</v>
      </c>
      <c r="U29">
        <v>0.71</v>
      </c>
      <c r="V29">
        <v>20.149999999999999</v>
      </c>
      <c r="W29">
        <v>624</v>
      </c>
      <c r="X29">
        <v>61.45</v>
      </c>
      <c r="Y29" t="s">
        <v>299</v>
      </c>
      <c r="Z29" t="s">
        <v>300</v>
      </c>
      <c r="AA29">
        <v>0.85</v>
      </c>
      <c r="AB29">
        <v>82</v>
      </c>
      <c r="AC29">
        <v>325</v>
      </c>
      <c r="AD29">
        <v>4.8099999999999996</v>
      </c>
      <c r="AE29" t="s">
        <v>301</v>
      </c>
      <c r="AF29" t="s">
        <v>302</v>
      </c>
      <c r="AG29" t="s">
        <v>301</v>
      </c>
      <c r="AH29" t="s">
        <v>302</v>
      </c>
      <c r="AI29">
        <v>4.12</v>
      </c>
      <c r="AJ29">
        <v>7.26</v>
      </c>
      <c r="AK29">
        <v>1.72</v>
      </c>
      <c r="AL29">
        <v>3.43</v>
      </c>
    </row>
    <row r="30" spans="1:38" x14ac:dyDescent="0.25">
      <c r="A30">
        <v>29</v>
      </c>
      <c r="B30" t="str">
        <f xml:space="preserve"> "600030"</f>
        <v>600030</v>
      </c>
      <c r="C30" t="s">
        <v>303</v>
      </c>
      <c r="D30">
        <v>18</v>
      </c>
      <c r="E30">
        <v>0</v>
      </c>
      <c r="F30">
        <v>0</v>
      </c>
      <c r="G30" t="s">
        <v>304</v>
      </c>
      <c r="H30">
        <v>159</v>
      </c>
      <c r="I30">
        <v>18</v>
      </c>
      <c r="J30">
        <v>18.010000000000002</v>
      </c>
      <c r="K30">
        <v>-0.06</v>
      </c>
      <c r="L30">
        <v>0.49</v>
      </c>
      <c r="M30" t="s">
        <v>305</v>
      </c>
      <c r="N30">
        <v>22.14</v>
      </c>
      <c r="O30" t="s">
        <v>306</v>
      </c>
      <c r="P30">
        <v>18.100000000000001</v>
      </c>
      <c r="Q30">
        <v>17.93</v>
      </c>
      <c r="R30">
        <v>18.010000000000002</v>
      </c>
      <c r="S30">
        <v>18</v>
      </c>
      <c r="T30">
        <v>0.94</v>
      </c>
      <c r="U30">
        <v>0.59</v>
      </c>
      <c r="V30">
        <v>-36.020000000000003</v>
      </c>
      <c r="W30">
        <v>-4905</v>
      </c>
      <c r="X30">
        <v>18</v>
      </c>
      <c r="Y30" t="s">
        <v>307</v>
      </c>
      <c r="Z30" t="s">
        <v>308</v>
      </c>
      <c r="AA30">
        <v>1.26</v>
      </c>
      <c r="AB30">
        <v>209</v>
      </c>
      <c r="AC30">
        <v>111</v>
      </c>
      <c r="AD30">
        <v>1.56</v>
      </c>
      <c r="AE30" t="s">
        <v>309</v>
      </c>
      <c r="AF30" t="s">
        <v>310</v>
      </c>
      <c r="AG30" t="s">
        <v>311</v>
      </c>
      <c r="AH30" t="s">
        <v>312</v>
      </c>
      <c r="AI30">
        <v>-1.26</v>
      </c>
      <c r="AJ30">
        <v>-0.17</v>
      </c>
      <c r="AK30">
        <v>1.64</v>
      </c>
      <c r="AL30">
        <v>4.6399999999999997</v>
      </c>
    </row>
    <row r="31" spans="1:38" x14ac:dyDescent="0.25">
      <c r="A31">
        <v>30</v>
      </c>
      <c r="B31" t="str">
        <f xml:space="preserve"> "601390"</f>
        <v>601390</v>
      </c>
      <c r="C31" t="s">
        <v>313</v>
      </c>
      <c r="D31">
        <v>8.68</v>
      </c>
      <c r="E31">
        <v>-0.23</v>
      </c>
      <c r="F31">
        <v>-0.02</v>
      </c>
      <c r="G31" t="s">
        <v>314</v>
      </c>
      <c r="H31">
        <v>10</v>
      </c>
      <c r="I31">
        <v>8.68</v>
      </c>
      <c r="J31">
        <v>8.69</v>
      </c>
      <c r="K31">
        <v>-0.12</v>
      </c>
      <c r="L31">
        <v>0.08</v>
      </c>
      <c r="M31" t="s">
        <v>315</v>
      </c>
      <c r="N31">
        <v>12.86</v>
      </c>
      <c r="O31" t="s">
        <v>263</v>
      </c>
      <c r="P31">
        <v>8.7200000000000006</v>
      </c>
      <c r="Q31">
        <v>8.67</v>
      </c>
      <c r="R31">
        <v>8.68</v>
      </c>
      <c r="S31">
        <v>8.6999999999999993</v>
      </c>
      <c r="T31">
        <v>0.56999999999999995</v>
      </c>
      <c r="U31">
        <v>0.81</v>
      </c>
      <c r="V31">
        <v>41.97</v>
      </c>
      <c r="W31" t="s">
        <v>316</v>
      </c>
      <c r="X31">
        <v>8.69</v>
      </c>
      <c r="Y31" t="s">
        <v>317</v>
      </c>
      <c r="Z31" t="s">
        <v>318</v>
      </c>
      <c r="AA31">
        <v>1.3</v>
      </c>
      <c r="AB31">
        <v>2053</v>
      </c>
      <c r="AC31">
        <v>611</v>
      </c>
      <c r="AD31">
        <v>1.48</v>
      </c>
      <c r="AE31" t="s">
        <v>319</v>
      </c>
      <c r="AF31" t="s">
        <v>320</v>
      </c>
      <c r="AG31" t="s">
        <v>97</v>
      </c>
      <c r="AH31" t="s">
        <v>321</v>
      </c>
      <c r="AI31">
        <v>-0.69</v>
      </c>
      <c r="AJ31">
        <v>0.35</v>
      </c>
      <c r="AK31">
        <v>0.27</v>
      </c>
      <c r="AL31">
        <v>0.56999999999999995</v>
      </c>
    </row>
    <row r="32" spans="1:38" x14ac:dyDescent="0.25">
      <c r="A32">
        <v>31</v>
      </c>
      <c r="B32" t="str">
        <f xml:space="preserve"> "000001"</f>
        <v>000001</v>
      </c>
      <c r="C32" t="s">
        <v>322</v>
      </c>
      <c r="D32">
        <v>11.36</v>
      </c>
      <c r="E32">
        <v>-1.65</v>
      </c>
      <c r="F32">
        <v>-0.19</v>
      </c>
      <c r="G32" t="s">
        <v>323</v>
      </c>
      <c r="H32">
        <v>3893</v>
      </c>
      <c r="I32">
        <v>11.36</v>
      </c>
      <c r="J32">
        <v>11.37</v>
      </c>
      <c r="K32">
        <v>-0.09</v>
      </c>
      <c r="L32">
        <v>0.44</v>
      </c>
      <c r="M32" t="s">
        <v>324</v>
      </c>
      <c r="N32">
        <v>7.77</v>
      </c>
      <c r="O32" t="s">
        <v>41</v>
      </c>
      <c r="P32">
        <v>11.56</v>
      </c>
      <c r="Q32">
        <v>11.25</v>
      </c>
      <c r="R32">
        <v>11.56</v>
      </c>
      <c r="S32">
        <v>11.55</v>
      </c>
      <c r="T32">
        <v>2.68</v>
      </c>
      <c r="U32">
        <v>0.92</v>
      </c>
      <c r="V32">
        <v>-3.19</v>
      </c>
      <c r="W32">
        <v>-475</v>
      </c>
      <c r="X32">
        <v>11.39</v>
      </c>
      <c r="Y32" t="s">
        <v>325</v>
      </c>
      <c r="Z32" t="s">
        <v>326</v>
      </c>
      <c r="AA32">
        <v>2.0699999999999998</v>
      </c>
      <c r="AB32">
        <v>1854</v>
      </c>
      <c r="AC32">
        <v>912</v>
      </c>
      <c r="AD32">
        <v>1.03</v>
      </c>
      <c r="AE32" t="s">
        <v>327</v>
      </c>
      <c r="AF32" t="s">
        <v>328</v>
      </c>
      <c r="AG32" t="s">
        <v>329</v>
      </c>
      <c r="AH32" t="s">
        <v>330</v>
      </c>
      <c r="AI32">
        <v>-0.96</v>
      </c>
      <c r="AJ32">
        <v>4.41</v>
      </c>
      <c r="AK32">
        <v>1.17</v>
      </c>
      <c r="AL32">
        <v>2.8</v>
      </c>
    </row>
    <row r="33" spans="1:38" x14ac:dyDescent="0.25">
      <c r="A33">
        <v>32</v>
      </c>
      <c r="B33" t="str">
        <f xml:space="preserve"> "601818"</f>
        <v>601818</v>
      </c>
      <c r="C33" t="s">
        <v>331</v>
      </c>
      <c r="D33">
        <v>4.0999999999999996</v>
      </c>
      <c r="E33">
        <v>0</v>
      </c>
      <c r="F33">
        <v>0</v>
      </c>
      <c r="G33" t="s">
        <v>332</v>
      </c>
      <c r="H33">
        <v>15</v>
      </c>
      <c r="I33">
        <v>4.0999999999999996</v>
      </c>
      <c r="J33">
        <v>4.1100000000000003</v>
      </c>
      <c r="K33">
        <v>-0.24</v>
      </c>
      <c r="L33">
        <v>0.08</v>
      </c>
      <c r="M33" t="s">
        <v>333</v>
      </c>
      <c r="N33">
        <v>5.65</v>
      </c>
      <c r="O33" t="s">
        <v>41</v>
      </c>
      <c r="P33">
        <v>4.1100000000000003</v>
      </c>
      <c r="Q33">
        <v>4.09</v>
      </c>
      <c r="R33">
        <v>4.09</v>
      </c>
      <c r="S33">
        <v>4.0999999999999996</v>
      </c>
      <c r="T33">
        <v>0.49</v>
      </c>
      <c r="U33">
        <v>0.33</v>
      </c>
      <c r="V33">
        <v>-23.97</v>
      </c>
      <c r="W33" t="s">
        <v>334</v>
      </c>
      <c r="X33">
        <v>4.0999999999999996</v>
      </c>
      <c r="Y33" t="s">
        <v>335</v>
      </c>
      <c r="Z33" t="s">
        <v>160</v>
      </c>
      <c r="AA33">
        <v>1.48</v>
      </c>
      <c r="AB33" t="s">
        <v>336</v>
      </c>
      <c r="AC33" t="s">
        <v>337</v>
      </c>
      <c r="AD33">
        <v>0.85</v>
      </c>
      <c r="AE33" t="s">
        <v>338</v>
      </c>
      <c r="AF33" t="s">
        <v>339</v>
      </c>
      <c r="AG33" t="s">
        <v>340</v>
      </c>
      <c r="AH33" t="s">
        <v>341</v>
      </c>
      <c r="AI33">
        <v>0</v>
      </c>
      <c r="AJ33">
        <v>0.74</v>
      </c>
      <c r="AK33">
        <v>0.42</v>
      </c>
      <c r="AL33">
        <v>1.31</v>
      </c>
    </row>
    <row r="34" spans="1:38" x14ac:dyDescent="0.25">
      <c r="A34">
        <v>33</v>
      </c>
      <c r="B34" t="str">
        <f xml:space="preserve"> "601211"</f>
        <v>601211</v>
      </c>
      <c r="C34" t="s">
        <v>342</v>
      </c>
      <c r="D34">
        <v>21.23</v>
      </c>
      <c r="E34">
        <v>-0.05</v>
      </c>
      <c r="F34">
        <v>-0.01</v>
      </c>
      <c r="G34" t="s">
        <v>102</v>
      </c>
      <c r="H34">
        <v>17</v>
      </c>
      <c r="I34">
        <v>21.21</v>
      </c>
      <c r="J34">
        <v>21.22</v>
      </c>
      <c r="K34">
        <v>-0.09</v>
      </c>
      <c r="L34">
        <v>0.24</v>
      </c>
      <c r="M34" t="s">
        <v>343</v>
      </c>
      <c r="N34">
        <v>19.45</v>
      </c>
      <c r="O34" t="s">
        <v>306</v>
      </c>
      <c r="P34">
        <v>21.34</v>
      </c>
      <c r="Q34">
        <v>21.19</v>
      </c>
      <c r="R34">
        <v>21.24</v>
      </c>
      <c r="S34">
        <v>21.24</v>
      </c>
      <c r="T34">
        <v>0.71</v>
      </c>
      <c r="U34">
        <v>0.43</v>
      </c>
      <c r="V34">
        <v>62.91</v>
      </c>
      <c r="W34">
        <v>2159</v>
      </c>
      <c r="X34">
        <v>21.26</v>
      </c>
      <c r="Y34" t="s">
        <v>344</v>
      </c>
      <c r="Z34" t="s">
        <v>345</v>
      </c>
      <c r="AA34">
        <v>1</v>
      </c>
      <c r="AB34">
        <v>340</v>
      </c>
      <c r="AC34">
        <v>5</v>
      </c>
      <c r="AD34">
        <v>1.73</v>
      </c>
      <c r="AE34" t="s">
        <v>346</v>
      </c>
      <c r="AF34" t="s">
        <v>347</v>
      </c>
      <c r="AG34" t="s">
        <v>348</v>
      </c>
      <c r="AH34" t="s">
        <v>349</v>
      </c>
      <c r="AI34">
        <v>-0.52</v>
      </c>
      <c r="AJ34">
        <v>-0.93</v>
      </c>
      <c r="AK34">
        <v>1.07</v>
      </c>
      <c r="AL34">
        <v>3.01</v>
      </c>
    </row>
    <row r="35" spans="1:38" x14ac:dyDescent="0.25">
      <c r="A35">
        <v>34</v>
      </c>
      <c r="B35" t="str">
        <f xml:space="preserve"> "002594"</f>
        <v>002594</v>
      </c>
      <c r="C35" t="s">
        <v>350</v>
      </c>
      <c r="D35">
        <v>67.72</v>
      </c>
      <c r="E35">
        <v>-0.85</v>
      </c>
      <c r="F35">
        <v>-0.57999999999999996</v>
      </c>
      <c r="G35" t="s">
        <v>351</v>
      </c>
      <c r="H35">
        <v>1814</v>
      </c>
      <c r="I35">
        <v>67.72</v>
      </c>
      <c r="J35">
        <v>67.73</v>
      </c>
      <c r="K35">
        <v>0</v>
      </c>
      <c r="L35">
        <v>1.41</v>
      </c>
      <c r="M35" t="s">
        <v>352</v>
      </c>
      <c r="N35">
        <v>53.62</v>
      </c>
      <c r="O35" t="s">
        <v>169</v>
      </c>
      <c r="P35">
        <v>68.59</v>
      </c>
      <c r="Q35">
        <v>66.599999999999994</v>
      </c>
      <c r="R35">
        <v>68.400000000000006</v>
      </c>
      <c r="S35">
        <v>68.3</v>
      </c>
      <c r="T35">
        <v>2.91</v>
      </c>
      <c r="U35">
        <v>0.59</v>
      </c>
      <c r="V35">
        <v>62.37</v>
      </c>
      <c r="W35">
        <v>1174</v>
      </c>
      <c r="X35">
        <v>67.28</v>
      </c>
      <c r="Y35" t="s">
        <v>353</v>
      </c>
      <c r="Z35" t="s">
        <v>354</v>
      </c>
      <c r="AA35">
        <v>1.35</v>
      </c>
      <c r="AB35">
        <v>661</v>
      </c>
      <c r="AC35">
        <v>89</v>
      </c>
      <c r="AD35">
        <v>3.82</v>
      </c>
      <c r="AE35" t="s">
        <v>355</v>
      </c>
      <c r="AF35" t="s">
        <v>356</v>
      </c>
      <c r="AG35" t="s">
        <v>357</v>
      </c>
      <c r="AH35" t="s">
        <v>358</v>
      </c>
      <c r="AI35">
        <v>-4.1100000000000003</v>
      </c>
      <c r="AJ35">
        <v>-1.78</v>
      </c>
      <c r="AK35">
        <v>5.44</v>
      </c>
      <c r="AL35">
        <v>13.38</v>
      </c>
    </row>
    <row r="36" spans="1:38" x14ac:dyDescent="0.25">
      <c r="A36">
        <v>35</v>
      </c>
      <c r="B36" t="str">
        <f xml:space="preserve"> "601336"</f>
        <v>601336</v>
      </c>
      <c r="C36" t="s">
        <v>359</v>
      </c>
      <c r="D36">
        <v>57.96</v>
      </c>
      <c r="E36">
        <v>1.08</v>
      </c>
      <c r="F36">
        <v>0.62</v>
      </c>
      <c r="G36" t="s">
        <v>360</v>
      </c>
      <c r="H36">
        <v>7</v>
      </c>
      <c r="I36">
        <v>57.9</v>
      </c>
      <c r="J36">
        <v>57.91</v>
      </c>
      <c r="K36">
        <v>-0.16</v>
      </c>
      <c r="L36">
        <v>1.02</v>
      </c>
      <c r="M36" t="s">
        <v>361</v>
      </c>
      <c r="N36">
        <v>27.93</v>
      </c>
      <c r="O36" t="s">
        <v>94</v>
      </c>
      <c r="P36">
        <v>58.61</v>
      </c>
      <c r="Q36">
        <v>57.3</v>
      </c>
      <c r="R36">
        <v>57.3</v>
      </c>
      <c r="S36">
        <v>57.34</v>
      </c>
      <c r="T36">
        <v>2.2799999999999998</v>
      </c>
      <c r="U36">
        <v>0.88</v>
      </c>
      <c r="V36">
        <v>-56.8</v>
      </c>
      <c r="W36">
        <v>-142</v>
      </c>
      <c r="X36">
        <v>58.09</v>
      </c>
      <c r="Y36" t="s">
        <v>362</v>
      </c>
      <c r="Z36" t="s">
        <v>363</v>
      </c>
      <c r="AA36">
        <v>0.95</v>
      </c>
      <c r="AB36">
        <v>14</v>
      </c>
      <c r="AC36">
        <v>22</v>
      </c>
      <c r="AD36">
        <v>3</v>
      </c>
      <c r="AE36" t="s">
        <v>364</v>
      </c>
      <c r="AF36" t="s">
        <v>365</v>
      </c>
      <c r="AG36" t="s">
        <v>366</v>
      </c>
      <c r="AH36" t="s">
        <v>367</v>
      </c>
      <c r="AI36">
        <v>6.25</v>
      </c>
      <c r="AJ36">
        <v>1.24</v>
      </c>
      <c r="AK36">
        <v>3.14</v>
      </c>
      <c r="AL36">
        <v>6.79</v>
      </c>
    </row>
    <row r="37" spans="1:38" x14ac:dyDescent="0.25">
      <c r="A37">
        <v>36</v>
      </c>
      <c r="B37" t="str">
        <f xml:space="preserve"> "601238"</f>
        <v>601238</v>
      </c>
      <c r="C37" t="s">
        <v>368</v>
      </c>
      <c r="D37">
        <v>27.51</v>
      </c>
      <c r="E37">
        <v>-0.18</v>
      </c>
      <c r="F37">
        <v>-0.05</v>
      </c>
      <c r="G37" t="s">
        <v>235</v>
      </c>
      <c r="H37">
        <v>5</v>
      </c>
      <c r="I37">
        <v>27.51</v>
      </c>
      <c r="J37">
        <v>27.55</v>
      </c>
      <c r="K37">
        <v>0</v>
      </c>
      <c r="L37">
        <v>0.38</v>
      </c>
      <c r="M37" t="s">
        <v>369</v>
      </c>
      <c r="N37">
        <v>14.48</v>
      </c>
      <c r="O37" t="s">
        <v>169</v>
      </c>
      <c r="P37">
        <v>27.75</v>
      </c>
      <c r="Q37">
        <v>27.5</v>
      </c>
      <c r="R37">
        <v>27.7</v>
      </c>
      <c r="S37">
        <v>27.56</v>
      </c>
      <c r="T37">
        <v>0.91</v>
      </c>
      <c r="U37">
        <v>1.17</v>
      </c>
      <c r="V37">
        <v>85.8</v>
      </c>
      <c r="W37">
        <v>5438</v>
      </c>
      <c r="X37">
        <v>27.62</v>
      </c>
      <c r="Y37" t="s">
        <v>370</v>
      </c>
      <c r="Z37" t="s">
        <v>371</v>
      </c>
      <c r="AA37">
        <v>0.46</v>
      </c>
      <c r="AB37">
        <v>215</v>
      </c>
      <c r="AC37">
        <v>15</v>
      </c>
      <c r="AD37">
        <v>3.68</v>
      </c>
      <c r="AE37" t="s">
        <v>372</v>
      </c>
      <c r="AF37" t="s">
        <v>373</v>
      </c>
      <c r="AG37" t="s">
        <v>374</v>
      </c>
      <c r="AH37" t="s">
        <v>375</v>
      </c>
      <c r="AI37">
        <v>7.0000000000000007E-2</v>
      </c>
      <c r="AJ37">
        <v>2</v>
      </c>
      <c r="AK37">
        <v>1.1100000000000001</v>
      </c>
      <c r="AL37">
        <v>2.02</v>
      </c>
    </row>
    <row r="38" spans="1:38" x14ac:dyDescent="0.25">
      <c r="A38">
        <v>37</v>
      </c>
      <c r="B38" t="str">
        <f xml:space="preserve"> "000725"</f>
        <v>000725</v>
      </c>
      <c r="C38" t="s">
        <v>376</v>
      </c>
      <c r="D38">
        <v>5.0999999999999996</v>
      </c>
      <c r="E38">
        <v>6.92</v>
      </c>
      <c r="F38">
        <v>0.33</v>
      </c>
      <c r="G38" t="s">
        <v>377</v>
      </c>
      <c r="H38" t="s">
        <v>378</v>
      </c>
      <c r="I38">
        <v>5.0999999999999996</v>
      </c>
      <c r="J38">
        <v>5.1100000000000003</v>
      </c>
      <c r="K38">
        <v>0</v>
      </c>
      <c r="L38">
        <v>4.3499999999999996</v>
      </c>
      <c r="M38" t="s">
        <v>379</v>
      </c>
      <c r="N38">
        <v>20.62</v>
      </c>
      <c r="O38" t="s">
        <v>380</v>
      </c>
      <c r="P38">
        <v>5.13</v>
      </c>
      <c r="Q38">
        <v>4.7699999999999996</v>
      </c>
      <c r="R38">
        <v>4.83</v>
      </c>
      <c r="S38">
        <v>4.7699999999999996</v>
      </c>
      <c r="T38">
        <v>7.55</v>
      </c>
      <c r="U38">
        <v>1.1399999999999999</v>
      </c>
      <c r="V38">
        <v>-58.06</v>
      </c>
      <c r="W38" t="s">
        <v>381</v>
      </c>
      <c r="X38">
        <v>4.96</v>
      </c>
      <c r="Y38" t="s">
        <v>382</v>
      </c>
      <c r="Z38" t="s">
        <v>383</v>
      </c>
      <c r="AA38">
        <v>0.61</v>
      </c>
      <c r="AB38" t="s">
        <v>226</v>
      </c>
      <c r="AC38" t="s">
        <v>384</v>
      </c>
      <c r="AD38">
        <v>2.2000000000000002</v>
      </c>
      <c r="AE38" t="s">
        <v>385</v>
      </c>
      <c r="AF38" t="s">
        <v>386</v>
      </c>
      <c r="AG38" t="s">
        <v>387</v>
      </c>
      <c r="AH38" t="s">
        <v>388</v>
      </c>
      <c r="AI38">
        <v>6.03</v>
      </c>
      <c r="AJ38">
        <v>13.59</v>
      </c>
      <c r="AK38">
        <v>10.06</v>
      </c>
      <c r="AL38">
        <v>23.46</v>
      </c>
    </row>
    <row r="39" spans="1:38" x14ac:dyDescent="0.25">
      <c r="A39">
        <v>38</v>
      </c>
      <c r="B39" t="str">
        <f xml:space="preserve"> "600276"</f>
        <v>600276</v>
      </c>
      <c r="C39" t="s">
        <v>389</v>
      </c>
      <c r="D39">
        <v>62.91</v>
      </c>
      <c r="E39">
        <v>-0.03</v>
      </c>
      <c r="F39">
        <v>-0.02</v>
      </c>
      <c r="G39" t="s">
        <v>390</v>
      </c>
      <c r="H39">
        <v>1</v>
      </c>
      <c r="I39">
        <v>62.91</v>
      </c>
      <c r="J39">
        <v>62.92</v>
      </c>
      <c r="K39">
        <v>-0.08</v>
      </c>
      <c r="L39">
        <v>0.18</v>
      </c>
      <c r="M39" t="s">
        <v>391</v>
      </c>
      <c r="N39">
        <v>56.31</v>
      </c>
      <c r="O39" t="s">
        <v>392</v>
      </c>
      <c r="P39">
        <v>63.1</v>
      </c>
      <c r="Q39">
        <v>62.1</v>
      </c>
      <c r="R39">
        <v>62.98</v>
      </c>
      <c r="S39">
        <v>62.93</v>
      </c>
      <c r="T39">
        <v>1.59</v>
      </c>
      <c r="U39">
        <v>0.5</v>
      </c>
      <c r="V39">
        <v>-40.619999999999997</v>
      </c>
      <c r="W39">
        <v>-86</v>
      </c>
      <c r="X39">
        <v>62.66</v>
      </c>
      <c r="Y39" t="s">
        <v>393</v>
      </c>
      <c r="Z39" t="s">
        <v>394</v>
      </c>
      <c r="AA39">
        <v>1.27</v>
      </c>
      <c r="AB39">
        <v>8</v>
      </c>
      <c r="AC39">
        <v>5</v>
      </c>
      <c r="AD39">
        <v>12.97</v>
      </c>
      <c r="AE39" t="s">
        <v>395</v>
      </c>
      <c r="AF39" t="s">
        <v>396</v>
      </c>
      <c r="AG39" t="s">
        <v>395</v>
      </c>
      <c r="AH39" t="s">
        <v>396</v>
      </c>
      <c r="AI39">
        <v>3.27</v>
      </c>
      <c r="AJ39">
        <v>4.71</v>
      </c>
      <c r="AK39">
        <v>0.85</v>
      </c>
      <c r="AL39">
        <v>2.0099999999999998</v>
      </c>
    </row>
    <row r="40" spans="1:38" x14ac:dyDescent="0.25">
      <c r="A40">
        <v>39</v>
      </c>
      <c r="B40" t="str">
        <f xml:space="preserve"> "600837"</f>
        <v>600837</v>
      </c>
      <c r="C40" t="s">
        <v>397</v>
      </c>
      <c r="D40">
        <v>14.83</v>
      </c>
      <c r="E40">
        <v>0.41</v>
      </c>
      <c r="F40">
        <v>0.06</v>
      </c>
      <c r="G40" t="s">
        <v>148</v>
      </c>
      <c r="H40">
        <v>30</v>
      </c>
      <c r="I40">
        <v>14.82</v>
      </c>
      <c r="J40">
        <v>14.83</v>
      </c>
      <c r="K40">
        <v>7.0000000000000007E-2</v>
      </c>
      <c r="L40">
        <v>0.16</v>
      </c>
      <c r="M40" t="s">
        <v>398</v>
      </c>
      <c r="N40">
        <v>21.2</v>
      </c>
      <c r="O40" t="s">
        <v>306</v>
      </c>
      <c r="P40">
        <v>14.86</v>
      </c>
      <c r="Q40">
        <v>14.77</v>
      </c>
      <c r="R40">
        <v>14.79</v>
      </c>
      <c r="S40">
        <v>14.77</v>
      </c>
      <c r="T40">
        <v>0.61</v>
      </c>
      <c r="U40">
        <v>0.52</v>
      </c>
      <c r="V40">
        <v>-32.08</v>
      </c>
      <c r="W40">
        <v>-5580</v>
      </c>
      <c r="X40">
        <v>14.81</v>
      </c>
      <c r="Y40" t="s">
        <v>399</v>
      </c>
      <c r="Z40" t="s">
        <v>400</v>
      </c>
      <c r="AA40">
        <v>0.8</v>
      </c>
      <c r="AB40">
        <v>408</v>
      </c>
      <c r="AC40">
        <v>329</v>
      </c>
      <c r="AD40">
        <v>1.55</v>
      </c>
      <c r="AE40" t="s">
        <v>191</v>
      </c>
      <c r="AF40" t="s">
        <v>401</v>
      </c>
      <c r="AG40" t="s">
        <v>402</v>
      </c>
      <c r="AH40" t="s">
        <v>403</v>
      </c>
      <c r="AI40">
        <v>-0.2</v>
      </c>
      <c r="AJ40">
        <v>0.61</v>
      </c>
      <c r="AK40">
        <v>0.61</v>
      </c>
      <c r="AL40">
        <v>1.66</v>
      </c>
    </row>
    <row r="41" spans="1:38" x14ac:dyDescent="0.25">
      <c r="A41">
        <v>40</v>
      </c>
      <c r="B41" t="str">
        <f xml:space="preserve"> "600887"</f>
        <v>600887</v>
      </c>
      <c r="C41" t="s">
        <v>404</v>
      </c>
      <c r="D41">
        <v>27.6</v>
      </c>
      <c r="E41">
        <v>-3.12</v>
      </c>
      <c r="F41">
        <v>-0.89</v>
      </c>
      <c r="G41" t="s">
        <v>405</v>
      </c>
      <c r="H41">
        <v>78</v>
      </c>
      <c r="I41">
        <v>27.6</v>
      </c>
      <c r="J41">
        <v>27.61</v>
      </c>
      <c r="K41">
        <v>-7.0000000000000007E-2</v>
      </c>
      <c r="L41">
        <v>1.24</v>
      </c>
      <c r="M41" t="s">
        <v>366</v>
      </c>
      <c r="N41">
        <v>24.94</v>
      </c>
      <c r="O41" t="s">
        <v>406</v>
      </c>
      <c r="P41">
        <v>28.3</v>
      </c>
      <c r="Q41">
        <v>27.57</v>
      </c>
      <c r="R41">
        <v>28.13</v>
      </c>
      <c r="S41">
        <v>28.49</v>
      </c>
      <c r="T41">
        <v>2.56</v>
      </c>
      <c r="U41">
        <v>1.25</v>
      </c>
      <c r="V41">
        <v>-26.37</v>
      </c>
      <c r="W41">
        <v>-441</v>
      </c>
      <c r="X41">
        <v>27.85</v>
      </c>
      <c r="Y41" t="s">
        <v>407</v>
      </c>
      <c r="Z41" t="s">
        <v>408</v>
      </c>
      <c r="AA41">
        <v>1.54</v>
      </c>
      <c r="AB41">
        <v>48</v>
      </c>
      <c r="AC41">
        <v>186</v>
      </c>
      <c r="AD41">
        <v>7.37</v>
      </c>
      <c r="AE41" t="s">
        <v>409</v>
      </c>
      <c r="AF41" t="s">
        <v>410</v>
      </c>
      <c r="AG41" t="s">
        <v>411</v>
      </c>
      <c r="AH41" t="s">
        <v>412</v>
      </c>
      <c r="AI41">
        <v>0.04</v>
      </c>
      <c r="AJ41">
        <v>4.55</v>
      </c>
      <c r="AK41">
        <v>2.93</v>
      </c>
      <c r="AL41">
        <v>6.2</v>
      </c>
    </row>
    <row r="42" spans="1:38" x14ac:dyDescent="0.25">
      <c r="A42">
        <v>41</v>
      </c>
      <c r="B42" t="str">
        <f xml:space="preserve"> "600019"</f>
        <v>600019</v>
      </c>
      <c r="C42" t="s">
        <v>413</v>
      </c>
      <c r="D42">
        <v>7.53</v>
      </c>
      <c r="E42">
        <v>2.17</v>
      </c>
      <c r="F42">
        <v>0.16</v>
      </c>
      <c r="G42" t="s">
        <v>414</v>
      </c>
      <c r="H42">
        <v>218</v>
      </c>
      <c r="I42">
        <v>7.52</v>
      </c>
      <c r="J42">
        <v>7.53</v>
      </c>
      <c r="K42">
        <v>0</v>
      </c>
      <c r="L42">
        <v>0.45</v>
      </c>
      <c r="M42" t="s">
        <v>415</v>
      </c>
      <c r="N42">
        <v>13.49</v>
      </c>
      <c r="O42" t="s">
        <v>416</v>
      </c>
      <c r="P42">
        <v>7.54</v>
      </c>
      <c r="Q42">
        <v>7.37</v>
      </c>
      <c r="R42">
        <v>7.39</v>
      </c>
      <c r="S42">
        <v>7.37</v>
      </c>
      <c r="T42">
        <v>2.31</v>
      </c>
      <c r="U42">
        <v>1.58</v>
      </c>
      <c r="V42">
        <v>-0.16</v>
      </c>
      <c r="W42">
        <v>-183</v>
      </c>
      <c r="X42">
        <v>7.46</v>
      </c>
      <c r="Y42" t="s">
        <v>417</v>
      </c>
      <c r="Z42" t="s">
        <v>418</v>
      </c>
      <c r="AA42">
        <v>0.64</v>
      </c>
      <c r="AB42">
        <v>6261</v>
      </c>
      <c r="AC42">
        <v>3021</v>
      </c>
      <c r="AD42">
        <v>1.1000000000000001</v>
      </c>
      <c r="AE42" t="s">
        <v>419</v>
      </c>
      <c r="AF42" t="s">
        <v>420</v>
      </c>
      <c r="AG42" t="s">
        <v>419</v>
      </c>
      <c r="AH42" t="s">
        <v>421</v>
      </c>
      <c r="AI42">
        <v>2.59</v>
      </c>
      <c r="AJ42">
        <v>2.59</v>
      </c>
      <c r="AK42">
        <v>1.1000000000000001</v>
      </c>
      <c r="AL42">
        <v>1.87</v>
      </c>
    </row>
    <row r="43" spans="1:38" x14ac:dyDescent="0.25">
      <c r="A43">
        <v>42</v>
      </c>
      <c r="B43" t="str">
        <f xml:space="preserve"> "601186"</f>
        <v>601186</v>
      </c>
      <c r="C43" t="s">
        <v>422</v>
      </c>
      <c r="D43">
        <v>11.94</v>
      </c>
      <c r="E43">
        <v>0.08</v>
      </c>
      <c r="F43">
        <v>0.01</v>
      </c>
      <c r="G43" t="s">
        <v>423</v>
      </c>
      <c r="H43">
        <v>10</v>
      </c>
      <c r="I43">
        <v>11.94</v>
      </c>
      <c r="J43">
        <v>11.95</v>
      </c>
      <c r="K43">
        <v>0.08</v>
      </c>
      <c r="L43">
        <v>0.18</v>
      </c>
      <c r="M43" t="s">
        <v>424</v>
      </c>
      <c r="N43">
        <v>12.43</v>
      </c>
      <c r="O43" t="s">
        <v>263</v>
      </c>
      <c r="P43">
        <v>11.95</v>
      </c>
      <c r="Q43">
        <v>11.86</v>
      </c>
      <c r="R43">
        <v>11.9</v>
      </c>
      <c r="S43">
        <v>11.93</v>
      </c>
      <c r="T43">
        <v>0.75</v>
      </c>
      <c r="U43">
        <v>1.03</v>
      </c>
      <c r="V43">
        <v>-37.130000000000003</v>
      </c>
      <c r="W43">
        <v>-5737</v>
      </c>
      <c r="X43">
        <v>11.91</v>
      </c>
      <c r="Y43" t="s">
        <v>160</v>
      </c>
      <c r="Z43" t="s">
        <v>425</v>
      </c>
      <c r="AA43">
        <v>1.58</v>
      </c>
      <c r="AB43">
        <v>555</v>
      </c>
      <c r="AC43">
        <v>4255</v>
      </c>
      <c r="AD43">
        <v>1.3</v>
      </c>
      <c r="AE43" t="s">
        <v>426</v>
      </c>
      <c r="AF43" t="s">
        <v>427</v>
      </c>
      <c r="AG43" t="s">
        <v>191</v>
      </c>
      <c r="AH43" t="s">
        <v>428</v>
      </c>
      <c r="AI43">
        <v>-0.83</v>
      </c>
      <c r="AJ43">
        <v>0.67</v>
      </c>
      <c r="AK43">
        <v>0.53</v>
      </c>
      <c r="AL43">
        <v>1.08</v>
      </c>
    </row>
    <row r="44" spans="1:38" x14ac:dyDescent="0.25">
      <c r="A44">
        <v>43</v>
      </c>
      <c r="B44" t="str">
        <f xml:space="preserve"> "002304"</f>
        <v>002304</v>
      </c>
      <c r="C44" t="s">
        <v>429</v>
      </c>
      <c r="D44">
        <v>105.9</v>
      </c>
      <c r="E44">
        <v>0.02</v>
      </c>
      <c r="F44">
        <v>0.02</v>
      </c>
      <c r="G44" t="s">
        <v>430</v>
      </c>
      <c r="H44">
        <v>560</v>
      </c>
      <c r="I44">
        <v>105.9</v>
      </c>
      <c r="J44">
        <v>105.93</v>
      </c>
      <c r="K44">
        <v>0</v>
      </c>
      <c r="L44">
        <v>0.3</v>
      </c>
      <c r="M44" t="s">
        <v>431</v>
      </c>
      <c r="N44">
        <v>20.420000000000002</v>
      </c>
      <c r="O44" t="s">
        <v>123</v>
      </c>
      <c r="P44">
        <v>106.87</v>
      </c>
      <c r="Q44">
        <v>104.96</v>
      </c>
      <c r="R44">
        <v>105.99</v>
      </c>
      <c r="S44">
        <v>105.88</v>
      </c>
      <c r="T44">
        <v>1.8</v>
      </c>
      <c r="U44">
        <v>0.49</v>
      </c>
      <c r="V44">
        <v>12.63</v>
      </c>
      <c r="W44">
        <v>18</v>
      </c>
      <c r="X44">
        <v>105.75</v>
      </c>
      <c r="Y44" t="s">
        <v>432</v>
      </c>
      <c r="Z44" t="s">
        <v>433</v>
      </c>
      <c r="AA44">
        <v>1.43</v>
      </c>
      <c r="AB44">
        <v>68</v>
      </c>
      <c r="AC44">
        <v>1</v>
      </c>
      <c r="AD44">
        <v>5.96</v>
      </c>
      <c r="AE44" t="s">
        <v>434</v>
      </c>
      <c r="AF44" t="s">
        <v>435</v>
      </c>
      <c r="AG44" t="s">
        <v>361</v>
      </c>
      <c r="AH44" t="s">
        <v>436</v>
      </c>
      <c r="AI44">
        <v>2.92</v>
      </c>
      <c r="AJ44">
        <v>2.41</v>
      </c>
      <c r="AK44">
        <v>1.3</v>
      </c>
      <c r="AL44">
        <v>3.34</v>
      </c>
    </row>
    <row r="45" spans="1:38" x14ac:dyDescent="0.25">
      <c r="A45">
        <v>44</v>
      </c>
      <c r="B45" t="str">
        <f xml:space="preserve"> "600018"</f>
        <v>600018</v>
      </c>
      <c r="C45" t="s">
        <v>437</v>
      </c>
      <c r="D45">
        <v>6.88</v>
      </c>
      <c r="E45">
        <v>2.38</v>
      </c>
      <c r="F45">
        <v>0.16</v>
      </c>
      <c r="G45" t="s">
        <v>438</v>
      </c>
      <c r="H45">
        <v>65</v>
      </c>
      <c r="I45">
        <v>6.88</v>
      </c>
      <c r="J45">
        <v>6.89</v>
      </c>
      <c r="K45">
        <v>0.15</v>
      </c>
      <c r="L45">
        <v>0.14000000000000001</v>
      </c>
      <c r="M45" t="s">
        <v>439</v>
      </c>
      <c r="N45">
        <v>23.64</v>
      </c>
      <c r="O45" t="s">
        <v>440</v>
      </c>
      <c r="P45">
        <v>6.9</v>
      </c>
      <c r="Q45">
        <v>6.7</v>
      </c>
      <c r="R45">
        <v>6.72</v>
      </c>
      <c r="S45">
        <v>6.72</v>
      </c>
      <c r="T45">
        <v>2.98</v>
      </c>
      <c r="U45">
        <v>1.8</v>
      </c>
      <c r="V45">
        <v>-86.88</v>
      </c>
      <c r="W45" t="s">
        <v>441</v>
      </c>
      <c r="X45">
        <v>6.84</v>
      </c>
      <c r="Y45" t="s">
        <v>442</v>
      </c>
      <c r="Z45" t="s">
        <v>158</v>
      </c>
      <c r="AA45">
        <v>0.55000000000000004</v>
      </c>
      <c r="AB45">
        <v>25</v>
      </c>
      <c r="AC45">
        <v>5762</v>
      </c>
      <c r="AD45">
        <v>2.78</v>
      </c>
      <c r="AE45" t="s">
        <v>443</v>
      </c>
      <c r="AF45" t="s">
        <v>444</v>
      </c>
      <c r="AG45" t="s">
        <v>319</v>
      </c>
      <c r="AH45" t="s">
        <v>445</v>
      </c>
      <c r="AI45">
        <v>2.23</v>
      </c>
      <c r="AJ45">
        <v>1.78</v>
      </c>
      <c r="AK45">
        <v>0.27</v>
      </c>
      <c r="AL45">
        <v>0.54</v>
      </c>
    </row>
    <row r="46" spans="1:38" x14ac:dyDescent="0.25">
      <c r="A46">
        <v>45</v>
      </c>
      <c r="B46" t="str">
        <f xml:space="preserve"> "603993"</f>
        <v>603993</v>
      </c>
      <c r="C46" t="s">
        <v>446</v>
      </c>
      <c r="D46">
        <v>7.17</v>
      </c>
      <c r="E46">
        <v>0.42</v>
      </c>
      <c r="F46">
        <v>0.03</v>
      </c>
      <c r="G46" t="s">
        <v>447</v>
      </c>
      <c r="H46">
        <v>79</v>
      </c>
      <c r="I46">
        <v>7.16</v>
      </c>
      <c r="J46">
        <v>7.17</v>
      </c>
      <c r="K46">
        <v>0</v>
      </c>
      <c r="L46">
        <v>0.76</v>
      </c>
      <c r="M46" t="s">
        <v>448</v>
      </c>
      <c r="N46">
        <v>92.72</v>
      </c>
      <c r="O46" t="s">
        <v>449</v>
      </c>
      <c r="P46">
        <v>7.29</v>
      </c>
      <c r="Q46">
        <v>7.05</v>
      </c>
      <c r="R46">
        <v>7.17</v>
      </c>
      <c r="S46">
        <v>7.14</v>
      </c>
      <c r="T46">
        <v>3.36</v>
      </c>
      <c r="U46">
        <v>0.61</v>
      </c>
      <c r="V46">
        <v>-19.04</v>
      </c>
      <c r="W46">
        <v>-8222</v>
      </c>
      <c r="X46">
        <v>7.17</v>
      </c>
      <c r="Y46" t="s">
        <v>450</v>
      </c>
      <c r="Z46" t="s">
        <v>451</v>
      </c>
      <c r="AA46">
        <v>1.1200000000000001</v>
      </c>
      <c r="AB46">
        <v>3108</v>
      </c>
      <c r="AC46">
        <v>2918</v>
      </c>
      <c r="AD46">
        <v>4.24</v>
      </c>
      <c r="AE46" t="s">
        <v>452</v>
      </c>
      <c r="AF46" t="s">
        <v>453</v>
      </c>
      <c r="AG46" t="s">
        <v>454</v>
      </c>
      <c r="AH46" t="s">
        <v>455</v>
      </c>
      <c r="AI46">
        <v>-4.91</v>
      </c>
      <c r="AJ46">
        <v>-7.6</v>
      </c>
      <c r="AK46">
        <v>3.31</v>
      </c>
      <c r="AL46">
        <v>6.98</v>
      </c>
    </row>
    <row r="47" spans="1:38" x14ac:dyDescent="0.25">
      <c r="A47">
        <v>46</v>
      </c>
      <c r="B47" t="str">
        <f xml:space="preserve"> "601688"</f>
        <v>601688</v>
      </c>
      <c r="C47" t="s">
        <v>456</v>
      </c>
      <c r="D47">
        <v>21.49</v>
      </c>
      <c r="E47">
        <v>0.14000000000000001</v>
      </c>
      <c r="F47">
        <v>0.03</v>
      </c>
      <c r="G47" t="s">
        <v>457</v>
      </c>
      <c r="H47">
        <v>4</v>
      </c>
      <c r="I47">
        <v>21.48</v>
      </c>
      <c r="J47">
        <v>21.49</v>
      </c>
      <c r="K47">
        <v>-0.09</v>
      </c>
      <c r="L47">
        <v>0.7</v>
      </c>
      <c r="M47" t="s">
        <v>458</v>
      </c>
      <c r="N47">
        <v>25.71</v>
      </c>
      <c r="O47" t="s">
        <v>306</v>
      </c>
      <c r="P47">
        <v>21.64</v>
      </c>
      <c r="Q47">
        <v>21.3</v>
      </c>
      <c r="R47">
        <v>21.55</v>
      </c>
      <c r="S47">
        <v>21.46</v>
      </c>
      <c r="T47">
        <v>1.58</v>
      </c>
      <c r="U47">
        <v>0.55000000000000004</v>
      </c>
      <c r="V47">
        <v>-17.97</v>
      </c>
      <c r="W47">
        <v>-847</v>
      </c>
      <c r="X47">
        <v>21.48</v>
      </c>
      <c r="Y47" t="s">
        <v>459</v>
      </c>
      <c r="Z47" t="s">
        <v>460</v>
      </c>
      <c r="AA47">
        <v>1.1100000000000001</v>
      </c>
      <c r="AB47">
        <v>82</v>
      </c>
      <c r="AC47">
        <v>61</v>
      </c>
      <c r="AD47">
        <v>1.91</v>
      </c>
      <c r="AE47" t="s">
        <v>461</v>
      </c>
      <c r="AF47" t="s">
        <v>462</v>
      </c>
      <c r="AG47" t="s">
        <v>463</v>
      </c>
      <c r="AH47" t="s">
        <v>464</v>
      </c>
      <c r="AI47">
        <v>-1.1000000000000001</v>
      </c>
      <c r="AJ47">
        <v>-2.63</v>
      </c>
      <c r="AK47">
        <v>2.16</v>
      </c>
      <c r="AL47">
        <v>7.01</v>
      </c>
    </row>
    <row r="48" spans="1:38" x14ac:dyDescent="0.25">
      <c r="A48">
        <v>47</v>
      </c>
      <c r="B48" t="str">
        <f xml:space="preserve"> "600050"</f>
        <v>600050</v>
      </c>
      <c r="C48" t="s">
        <v>465</v>
      </c>
      <c r="D48">
        <v>7.25</v>
      </c>
      <c r="E48">
        <v>-0.96</v>
      </c>
      <c r="F48">
        <v>-7.0000000000000007E-2</v>
      </c>
      <c r="G48" t="s">
        <v>466</v>
      </c>
      <c r="H48">
        <v>190</v>
      </c>
      <c r="I48">
        <v>7.25</v>
      </c>
      <c r="J48">
        <v>7.26</v>
      </c>
      <c r="K48">
        <v>0</v>
      </c>
      <c r="L48">
        <v>0.81</v>
      </c>
      <c r="M48" t="s">
        <v>361</v>
      </c>
      <c r="N48">
        <v>98.71</v>
      </c>
      <c r="O48" t="s">
        <v>467</v>
      </c>
      <c r="P48">
        <v>7.3</v>
      </c>
      <c r="Q48">
        <v>7.22</v>
      </c>
      <c r="R48">
        <v>7.27</v>
      </c>
      <c r="S48">
        <v>7.32</v>
      </c>
      <c r="T48">
        <v>1.0900000000000001</v>
      </c>
      <c r="U48">
        <v>0.51</v>
      </c>
      <c r="V48">
        <v>14.9</v>
      </c>
      <c r="W48" t="s">
        <v>468</v>
      </c>
      <c r="X48">
        <v>7.25</v>
      </c>
      <c r="Y48" t="s">
        <v>414</v>
      </c>
      <c r="Z48" t="s">
        <v>469</v>
      </c>
      <c r="AA48">
        <v>1.38</v>
      </c>
      <c r="AB48">
        <v>5105</v>
      </c>
      <c r="AC48">
        <v>5704</v>
      </c>
      <c r="AD48">
        <v>1.96</v>
      </c>
      <c r="AE48" t="s">
        <v>470</v>
      </c>
      <c r="AF48" t="s">
        <v>471</v>
      </c>
      <c r="AG48" t="s">
        <v>470</v>
      </c>
      <c r="AH48" t="s">
        <v>471</v>
      </c>
      <c r="AI48">
        <v>0.69</v>
      </c>
      <c r="AJ48">
        <v>-2.5499999999999998</v>
      </c>
      <c r="AK48">
        <v>3.99</v>
      </c>
      <c r="AL48">
        <v>8.75</v>
      </c>
    </row>
    <row r="49" spans="1:38" x14ac:dyDescent="0.25">
      <c r="A49">
        <v>48</v>
      </c>
      <c r="B49" t="str">
        <f xml:space="preserve"> "601881"</f>
        <v>601881</v>
      </c>
      <c r="C49" t="s">
        <v>472</v>
      </c>
      <c r="D49">
        <v>14.99</v>
      </c>
      <c r="E49">
        <v>1.35</v>
      </c>
      <c r="F49">
        <v>0.2</v>
      </c>
      <c r="G49" t="s">
        <v>473</v>
      </c>
      <c r="H49">
        <v>9</v>
      </c>
      <c r="I49">
        <v>14.98</v>
      </c>
      <c r="J49">
        <v>14.99</v>
      </c>
      <c r="K49">
        <v>7.0000000000000007E-2</v>
      </c>
      <c r="L49">
        <v>4.07</v>
      </c>
      <c r="M49" t="s">
        <v>474</v>
      </c>
      <c r="N49">
        <v>35.97</v>
      </c>
      <c r="O49" t="s">
        <v>306</v>
      </c>
      <c r="P49">
        <v>15.04</v>
      </c>
      <c r="Q49">
        <v>14.7</v>
      </c>
      <c r="R49">
        <v>14.85</v>
      </c>
      <c r="S49">
        <v>14.79</v>
      </c>
      <c r="T49">
        <v>2.2999999999999998</v>
      </c>
      <c r="U49">
        <v>0.52</v>
      </c>
      <c r="V49">
        <v>-64.48</v>
      </c>
      <c r="W49">
        <v>-4539</v>
      </c>
      <c r="X49">
        <v>14.9</v>
      </c>
      <c r="Y49" t="s">
        <v>102</v>
      </c>
      <c r="Z49" t="s">
        <v>160</v>
      </c>
      <c r="AA49">
        <v>0.87</v>
      </c>
      <c r="AB49">
        <v>32</v>
      </c>
      <c r="AC49">
        <v>6</v>
      </c>
      <c r="AD49">
        <v>2.4900000000000002</v>
      </c>
      <c r="AE49" t="s">
        <v>475</v>
      </c>
      <c r="AF49" t="s">
        <v>476</v>
      </c>
      <c r="AG49" t="s">
        <v>477</v>
      </c>
      <c r="AH49" t="s">
        <v>478</v>
      </c>
      <c r="AI49">
        <v>-3.48</v>
      </c>
      <c r="AJ49">
        <v>-0.66</v>
      </c>
      <c r="AK49">
        <v>16.09</v>
      </c>
      <c r="AL49">
        <v>43.31</v>
      </c>
    </row>
    <row r="50" spans="1:38" x14ac:dyDescent="0.25">
      <c r="A50">
        <v>49</v>
      </c>
      <c r="B50" t="str">
        <f xml:space="preserve"> "000617"</f>
        <v>000617</v>
      </c>
      <c r="C50" t="s">
        <v>479</v>
      </c>
      <c r="D50">
        <v>16.71</v>
      </c>
      <c r="E50">
        <v>0.97</v>
      </c>
      <c r="F50">
        <v>0.16</v>
      </c>
      <c r="G50" t="s">
        <v>480</v>
      </c>
      <c r="H50">
        <v>55</v>
      </c>
      <c r="I50">
        <v>16.7</v>
      </c>
      <c r="J50">
        <v>16.71</v>
      </c>
      <c r="K50">
        <v>-0.06</v>
      </c>
      <c r="L50">
        <v>1.1499999999999999</v>
      </c>
      <c r="M50" t="s">
        <v>481</v>
      </c>
      <c r="N50">
        <v>21.02</v>
      </c>
      <c r="O50" t="s">
        <v>482</v>
      </c>
      <c r="P50">
        <v>16.75</v>
      </c>
      <c r="Q50">
        <v>16.45</v>
      </c>
      <c r="R50">
        <v>16.559999999999999</v>
      </c>
      <c r="S50">
        <v>16.55</v>
      </c>
      <c r="T50">
        <v>1.81</v>
      </c>
      <c r="U50">
        <v>1.05</v>
      </c>
      <c r="V50">
        <v>-79.680000000000007</v>
      </c>
      <c r="W50">
        <v>-1349</v>
      </c>
      <c r="X50">
        <v>16.63</v>
      </c>
      <c r="Y50">
        <v>4084</v>
      </c>
      <c r="Z50">
        <v>9194</v>
      </c>
      <c r="AA50">
        <v>0.44</v>
      </c>
      <c r="AB50">
        <v>57</v>
      </c>
      <c r="AC50">
        <v>360</v>
      </c>
      <c r="AD50">
        <v>2.1800000000000002</v>
      </c>
      <c r="AE50" t="s">
        <v>483</v>
      </c>
      <c r="AF50" t="s">
        <v>484</v>
      </c>
      <c r="AG50" t="s">
        <v>485</v>
      </c>
      <c r="AH50" t="s">
        <v>486</v>
      </c>
      <c r="AI50">
        <v>-1.24</v>
      </c>
      <c r="AJ50">
        <v>0.24</v>
      </c>
      <c r="AK50">
        <v>3.93</v>
      </c>
      <c r="AL50">
        <v>6.64</v>
      </c>
    </row>
    <row r="51" spans="1:38" x14ac:dyDescent="0.25">
      <c r="A51">
        <v>50</v>
      </c>
      <c r="B51" t="str">
        <f xml:space="preserve"> "001979"</f>
        <v>001979</v>
      </c>
      <c r="C51" t="s">
        <v>487</v>
      </c>
      <c r="D51">
        <v>18.29</v>
      </c>
      <c r="E51">
        <v>0.72</v>
      </c>
      <c r="F51">
        <v>0.13</v>
      </c>
      <c r="G51" t="s">
        <v>207</v>
      </c>
      <c r="H51">
        <v>1336</v>
      </c>
      <c r="I51">
        <v>18.29</v>
      </c>
      <c r="J51">
        <v>18.3</v>
      </c>
      <c r="K51">
        <v>0</v>
      </c>
      <c r="L51">
        <v>0.76</v>
      </c>
      <c r="M51" t="s">
        <v>488</v>
      </c>
      <c r="N51">
        <v>20.85</v>
      </c>
      <c r="O51" t="s">
        <v>244</v>
      </c>
      <c r="P51">
        <v>18.39</v>
      </c>
      <c r="Q51">
        <v>18.13</v>
      </c>
      <c r="R51">
        <v>18.170000000000002</v>
      </c>
      <c r="S51">
        <v>18.16</v>
      </c>
      <c r="T51">
        <v>1.43</v>
      </c>
      <c r="U51">
        <v>0.62</v>
      </c>
      <c r="V51">
        <v>-37.119999999999997</v>
      </c>
      <c r="W51">
        <v>-1314</v>
      </c>
      <c r="X51">
        <v>18.260000000000002</v>
      </c>
      <c r="Y51" t="s">
        <v>489</v>
      </c>
      <c r="Z51" t="s">
        <v>490</v>
      </c>
      <c r="AA51">
        <v>0.87</v>
      </c>
      <c r="AB51">
        <v>369</v>
      </c>
      <c r="AC51">
        <v>764</v>
      </c>
      <c r="AD51">
        <v>2.78</v>
      </c>
      <c r="AE51" t="s">
        <v>491</v>
      </c>
      <c r="AF51" t="s">
        <v>492</v>
      </c>
      <c r="AG51" t="s">
        <v>493</v>
      </c>
      <c r="AH51" t="s">
        <v>494</v>
      </c>
      <c r="AI51">
        <v>-0.76</v>
      </c>
      <c r="AJ51">
        <v>0.83</v>
      </c>
      <c r="AK51">
        <v>3.06</v>
      </c>
      <c r="AL51">
        <v>6.84</v>
      </c>
    </row>
    <row r="52" spans="1:38" x14ac:dyDescent="0.25">
      <c r="A52">
        <v>51</v>
      </c>
      <c r="B52" t="str">
        <f xml:space="preserve"> "000776"</f>
        <v>000776</v>
      </c>
      <c r="C52" t="s">
        <v>495</v>
      </c>
      <c r="D52">
        <v>18.940000000000001</v>
      </c>
      <c r="E52">
        <v>-0.21</v>
      </c>
      <c r="F52">
        <v>-0.04</v>
      </c>
      <c r="G52" t="s">
        <v>496</v>
      </c>
      <c r="H52">
        <v>2109</v>
      </c>
      <c r="I52">
        <v>18.93</v>
      </c>
      <c r="J52">
        <v>18.940000000000001</v>
      </c>
      <c r="K52">
        <v>0.05</v>
      </c>
      <c r="L52">
        <v>0.34</v>
      </c>
      <c r="M52" t="s">
        <v>497</v>
      </c>
      <c r="N52">
        <v>16.78</v>
      </c>
      <c r="O52" t="s">
        <v>306</v>
      </c>
      <c r="P52">
        <v>19.04</v>
      </c>
      <c r="Q52">
        <v>18.829999999999998</v>
      </c>
      <c r="R52">
        <v>18.98</v>
      </c>
      <c r="S52">
        <v>18.98</v>
      </c>
      <c r="T52">
        <v>1.1100000000000001</v>
      </c>
      <c r="U52">
        <v>0.6</v>
      </c>
      <c r="V52">
        <v>-37.21</v>
      </c>
      <c r="W52">
        <v>-3310</v>
      </c>
      <c r="X52">
        <v>18.920000000000002</v>
      </c>
      <c r="Y52" t="s">
        <v>498</v>
      </c>
      <c r="Z52" t="s">
        <v>499</v>
      </c>
      <c r="AA52">
        <v>1.19</v>
      </c>
      <c r="AB52">
        <v>1088</v>
      </c>
      <c r="AC52">
        <v>1988</v>
      </c>
      <c r="AD52">
        <v>1.85</v>
      </c>
      <c r="AE52" t="s">
        <v>500</v>
      </c>
      <c r="AF52" t="s">
        <v>501</v>
      </c>
      <c r="AG52" t="s">
        <v>502</v>
      </c>
      <c r="AH52" t="s">
        <v>503</v>
      </c>
      <c r="AI52">
        <v>-1.3</v>
      </c>
      <c r="AJ52">
        <v>1.07</v>
      </c>
      <c r="AK52">
        <v>1.07</v>
      </c>
      <c r="AL52">
        <v>3.22</v>
      </c>
    </row>
    <row r="53" spans="1:38" x14ac:dyDescent="0.25">
      <c r="A53">
        <v>52</v>
      </c>
      <c r="B53" t="str">
        <f xml:space="preserve"> "601229"</f>
        <v>601229</v>
      </c>
      <c r="C53" t="s">
        <v>504</v>
      </c>
      <c r="D53">
        <v>17.89</v>
      </c>
      <c r="E53">
        <v>-0.22</v>
      </c>
      <c r="F53">
        <v>-0.04</v>
      </c>
      <c r="G53" t="s">
        <v>390</v>
      </c>
      <c r="H53">
        <v>2</v>
      </c>
      <c r="I53">
        <v>17.89</v>
      </c>
      <c r="J53">
        <v>17.899999999999999</v>
      </c>
      <c r="K53">
        <v>0.06</v>
      </c>
      <c r="L53">
        <v>0.66</v>
      </c>
      <c r="M53" t="s">
        <v>505</v>
      </c>
      <c r="N53">
        <v>8.9600000000000009</v>
      </c>
      <c r="O53" t="s">
        <v>41</v>
      </c>
      <c r="P53">
        <v>17.95</v>
      </c>
      <c r="Q53">
        <v>17.829999999999998</v>
      </c>
      <c r="R53">
        <v>17.93</v>
      </c>
      <c r="S53">
        <v>17.93</v>
      </c>
      <c r="T53">
        <v>0.67</v>
      </c>
      <c r="U53">
        <v>1.02</v>
      </c>
      <c r="V53">
        <v>12.93</v>
      </c>
      <c r="W53">
        <v>722</v>
      </c>
      <c r="X53">
        <v>17.89</v>
      </c>
      <c r="Y53" t="s">
        <v>506</v>
      </c>
      <c r="Z53" t="s">
        <v>507</v>
      </c>
      <c r="AA53">
        <v>1.64</v>
      </c>
      <c r="AB53">
        <v>125</v>
      </c>
      <c r="AC53">
        <v>500</v>
      </c>
      <c r="AD53">
        <v>1.19</v>
      </c>
      <c r="AE53" t="s">
        <v>508</v>
      </c>
      <c r="AF53" t="s">
        <v>509</v>
      </c>
      <c r="AG53" t="s">
        <v>510</v>
      </c>
      <c r="AH53" t="s">
        <v>511</v>
      </c>
      <c r="AI53">
        <v>-0.94</v>
      </c>
      <c r="AJ53">
        <v>0.68</v>
      </c>
      <c r="AK53">
        <v>1.62</v>
      </c>
      <c r="AL53">
        <v>3.88</v>
      </c>
    </row>
    <row r="54" spans="1:38" x14ac:dyDescent="0.25">
      <c r="A54">
        <v>53</v>
      </c>
      <c r="B54" t="str">
        <f xml:space="preserve"> "601169"</f>
        <v>601169</v>
      </c>
      <c r="C54" t="s">
        <v>512</v>
      </c>
      <c r="D54">
        <v>7.51</v>
      </c>
      <c r="E54">
        <v>0.13</v>
      </c>
      <c r="F54">
        <v>0.01</v>
      </c>
      <c r="G54" t="s">
        <v>513</v>
      </c>
      <c r="H54">
        <v>3</v>
      </c>
      <c r="I54">
        <v>7.5</v>
      </c>
      <c r="J54">
        <v>7.51</v>
      </c>
      <c r="K54">
        <v>0</v>
      </c>
      <c r="L54">
        <v>0.12</v>
      </c>
      <c r="M54" t="s">
        <v>514</v>
      </c>
      <c r="N54">
        <v>6.18</v>
      </c>
      <c r="O54" t="s">
        <v>41</v>
      </c>
      <c r="P54">
        <v>7.52</v>
      </c>
      <c r="Q54">
        <v>7.46</v>
      </c>
      <c r="R54">
        <v>7.49</v>
      </c>
      <c r="S54">
        <v>7.5</v>
      </c>
      <c r="T54">
        <v>0.8</v>
      </c>
      <c r="U54">
        <v>0.66</v>
      </c>
      <c r="V54">
        <v>-32.619999999999997</v>
      </c>
      <c r="W54" t="s">
        <v>515</v>
      </c>
      <c r="X54">
        <v>7.49</v>
      </c>
      <c r="Y54" t="s">
        <v>516</v>
      </c>
      <c r="Z54" t="s">
        <v>517</v>
      </c>
      <c r="AA54">
        <v>1.32</v>
      </c>
      <c r="AB54">
        <v>1162</v>
      </c>
      <c r="AC54">
        <v>944</v>
      </c>
      <c r="AD54">
        <v>1.08</v>
      </c>
      <c r="AE54" t="s">
        <v>518</v>
      </c>
      <c r="AF54" t="s">
        <v>519</v>
      </c>
      <c r="AG54" t="s">
        <v>518</v>
      </c>
      <c r="AH54" t="s">
        <v>519</v>
      </c>
      <c r="AI54">
        <v>-0.4</v>
      </c>
      <c r="AJ54">
        <v>1.76</v>
      </c>
      <c r="AK54">
        <v>0.37</v>
      </c>
      <c r="AL54">
        <v>1.02</v>
      </c>
    </row>
    <row r="55" spans="1:38" x14ac:dyDescent="0.25">
      <c r="A55">
        <v>54</v>
      </c>
      <c r="B55" t="str">
        <f xml:space="preserve"> "600999"</f>
        <v>600999</v>
      </c>
      <c r="C55" t="s">
        <v>520</v>
      </c>
      <c r="D55">
        <v>20.260000000000002</v>
      </c>
      <c r="E55">
        <v>-1.36</v>
      </c>
      <c r="F55">
        <v>-0.28000000000000003</v>
      </c>
      <c r="G55" t="s">
        <v>521</v>
      </c>
      <c r="H55">
        <v>101</v>
      </c>
      <c r="I55">
        <v>20.27</v>
      </c>
      <c r="J55">
        <v>20.28</v>
      </c>
      <c r="K55">
        <v>0</v>
      </c>
      <c r="L55">
        <v>0.51</v>
      </c>
      <c r="M55" t="s">
        <v>522</v>
      </c>
      <c r="N55">
        <v>26.59</v>
      </c>
      <c r="O55" t="s">
        <v>306</v>
      </c>
      <c r="P55">
        <v>20.62</v>
      </c>
      <c r="Q55">
        <v>20.18</v>
      </c>
      <c r="R55">
        <v>20.54</v>
      </c>
      <c r="S55">
        <v>20.54</v>
      </c>
      <c r="T55">
        <v>2.14</v>
      </c>
      <c r="U55">
        <v>0.82</v>
      </c>
      <c r="V55">
        <v>84.83</v>
      </c>
      <c r="W55">
        <v>9306</v>
      </c>
      <c r="X55">
        <v>20.309999999999999</v>
      </c>
      <c r="Y55" t="s">
        <v>280</v>
      </c>
      <c r="Z55" t="s">
        <v>523</v>
      </c>
      <c r="AA55">
        <v>1.56</v>
      </c>
      <c r="AB55">
        <v>14</v>
      </c>
      <c r="AC55">
        <v>119</v>
      </c>
      <c r="AD55">
        <v>2.25</v>
      </c>
      <c r="AE55" t="s">
        <v>524</v>
      </c>
      <c r="AF55" t="s">
        <v>525</v>
      </c>
      <c r="AG55" t="s">
        <v>526</v>
      </c>
      <c r="AH55" t="s">
        <v>527</v>
      </c>
      <c r="AI55">
        <v>-2.97</v>
      </c>
      <c r="AJ55">
        <v>-2.31</v>
      </c>
      <c r="AK55">
        <v>1.3</v>
      </c>
      <c r="AL55">
        <v>3.62</v>
      </c>
    </row>
    <row r="56" spans="1:38" x14ac:dyDescent="0.25">
      <c r="A56">
        <v>55</v>
      </c>
      <c r="B56" t="str">
        <f xml:space="preserve"> "002024"</f>
        <v>002024</v>
      </c>
      <c r="C56" t="s">
        <v>528</v>
      </c>
      <c r="D56">
        <v>14.39</v>
      </c>
      <c r="E56">
        <v>2.13</v>
      </c>
      <c r="F56">
        <v>0.3</v>
      </c>
      <c r="G56" t="s">
        <v>529</v>
      </c>
      <c r="H56" t="s">
        <v>530</v>
      </c>
      <c r="I56">
        <v>14.39</v>
      </c>
      <c r="J56">
        <v>14.4</v>
      </c>
      <c r="K56">
        <v>0</v>
      </c>
      <c r="L56">
        <v>2.39</v>
      </c>
      <c r="M56" t="s">
        <v>531</v>
      </c>
      <c r="N56">
        <v>229.8</v>
      </c>
      <c r="O56" t="s">
        <v>532</v>
      </c>
      <c r="P56">
        <v>14.7</v>
      </c>
      <c r="Q56">
        <v>14.06</v>
      </c>
      <c r="R56">
        <v>14.09</v>
      </c>
      <c r="S56">
        <v>14.09</v>
      </c>
      <c r="T56">
        <v>4.54</v>
      </c>
      <c r="U56">
        <v>1.01</v>
      </c>
      <c r="V56">
        <v>21.81</v>
      </c>
      <c r="W56">
        <v>2393</v>
      </c>
      <c r="X56">
        <v>14.48</v>
      </c>
      <c r="Y56" t="s">
        <v>533</v>
      </c>
      <c r="Z56" t="s">
        <v>534</v>
      </c>
      <c r="AA56">
        <v>0.6</v>
      </c>
      <c r="AB56">
        <v>472</v>
      </c>
      <c r="AC56">
        <v>3466</v>
      </c>
      <c r="AD56">
        <v>1.79</v>
      </c>
      <c r="AE56" t="s">
        <v>535</v>
      </c>
      <c r="AF56" t="s">
        <v>536</v>
      </c>
      <c r="AG56" t="s">
        <v>537</v>
      </c>
      <c r="AH56" t="s">
        <v>538</v>
      </c>
      <c r="AI56">
        <v>3.08</v>
      </c>
      <c r="AJ56">
        <v>9.93</v>
      </c>
      <c r="AK56">
        <v>6.51</v>
      </c>
      <c r="AL56">
        <v>14.25</v>
      </c>
    </row>
    <row r="57" spans="1:38" x14ac:dyDescent="0.25">
      <c r="A57">
        <v>56</v>
      </c>
      <c r="B57" t="str">
        <f xml:space="preserve"> "601006"</f>
        <v>601006</v>
      </c>
      <c r="C57" t="s">
        <v>539</v>
      </c>
      <c r="D57">
        <v>8.9700000000000006</v>
      </c>
      <c r="E57">
        <v>-0.99</v>
      </c>
      <c r="F57">
        <v>-0.09</v>
      </c>
      <c r="G57" t="s">
        <v>438</v>
      </c>
      <c r="H57">
        <v>62</v>
      </c>
      <c r="I57">
        <v>8.9700000000000006</v>
      </c>
      <c r="J57">
        <v>8.98</v>
      </c>
      <c r="K57">
        <v>-0.33</v>
      </c>
      <c r="L57">
        <v>0.22</v>
      </c>
      <c r="M57" t="s">
        <v>540</v>
      </c>
      <c r="N57">
        <v>8.75</v>
      </c>
      <c r="O57" t="s">
        <v>274</v>
      </c>
      <c r="P57">
        <v>9.1</v>
      </c>
      <c r="Q57">
        <v>8.9600000000000009</v>
      </c>
      <c r="R57">
        <v>9.07</v>
      </c>
      <c r="S57">
        <v>9.06</v>
      </c>
      <c r="T57">
        <v>1.55</v>
      </c>
      <c r="U57">
        <v>0.86</v>
      </c>
      <c r="V57">
        <v>-38.520000000000003</v>
      </c>
      <c r="W57">
        <v>-6476</v>
      </c>
      <c r="X57">
        <v>9.02</v>
      </c>
      <c r="Y57" t="s">
        <v>115</v>
      </c>
      <c r="Z57" t="s">
        <v>541</v>
      </c>
      <c r="AA57">
        <v>1.99</v>
      </c>
      <c r="AB57">
        <v>57</v>
      </c>
      <c r="AC57">
        <v>3316</v>
      </c>
      <c r="AD57">
        <v>1.42</v>
      </c>
      <c r="AE57" t="s">
        <v>542</v>
      </c>
      <c r="AF57" t="s">
        <v>543</v>
      </c>
      <c r="AG57" t="s">
        <v>542</v>
      </c>
      <c r="AH57" t="s">
        <v>543</v>
      </c>
      <c r="AI57">
        <v>-0.55000000000000004</v>
      </c>
      <c r="AJ57">
        <v>1.36</v>
      </c>
      <c r="AK57">
        <v>0.66</v>
      </c>
      <c r="AL57">
        <v>1.49</v>
      </c>
    </row>
    <row r="58" spans="1:38" x14ac:dyDescent="0.25">
      <c r="A58">
        <v>57</v>
      </c>
      <c r="B58" t="str">
        <f xml:space="preserve"> "603288"</f>
        <v>603288</v>
      </c>
      <c r="C58" t="s">
        <v>544</v>
      </c>
      <c r="D58">
        <v>49.05</v>
      </c>
      <c r="E58">
        <v>0.41</v>
      </c>
      <c r="F58">
        <v>0.2</v>
      </c>
      <c r="G58" t="s">
        <v>545</v>
      </c>
      <c r="H58">
        <v>3</v>
      </c>
      <c r="I58">
        <v>49.07</v>
      </c>
      <c r="J58">
        <v>49.08</v>
      </c>
      <c r="K58">
        <v>-0.06</v>
      </c>
      <c r="L58">
        <v>0.05</v>
      </c>
      <c r="M58" t="s">
        <v>546</v>
      </c>
      <c r="N58">
        <v>36.39</v>
      </c>
      <c r="O58" t="s">
        <v>406</v>
      </c>
      <c r="P58">
        <v>49.96</v>
      </c>
      <c r="Q58">
        <v>48.65</v>
      </c>
      <c r="R58">
        <v>48.94</v>
      </c>
      <c r="S58">
        <v>48.85</v>
      </c>
      <c r="T58">
        <v>2.68</v>
      </c>
      <c r="U58">
        <v>0.43</v>
      </c>
      <c r="V58">
        <v>1.92</v>
      </c>
      <c r="W58">
        <v>3</v>
      </c>
      <c r="X58">
        <v>49.09</v>
      </c>
      <c r="Y58">
        <v>5908</v>
      </c>
      <c r="Z58">
        <v>7008</v>
      </c>
      <c r="AA58">
        <v>0.84</v>
      </c>
      <c r="AB58">
        <v>3</v>
      </c>
      <c r="AC58">
        <v>12</v>
      </c>
      <c r="AD58">
        <v>13.26</v>
      </c>
      <c r="AE58" t="s">
        <v>547</v>
      </c>
      <c r="AF58" t="s">
        <v>548</v>
      </c>
      <c r="AG58" t="s">
        <v>547</v>
      </c>
      <c r="AH58" t="s">
        <v>549</v>
      </c>
      <c r="AI58">
        <v>3.55</v>
      </c>
      <c r="AJ58">
        <v>6.26</v>
      </c>
      <c r="AK58">
        <v>0.21</v>
      </c>
      <c r="AL58">
        <v>0.61</v>
      </c>
    </row>
    <row r="59" spans="1:38" x14ac:dyDescent="0.25">
      <c r="A59">
        <v>58</v>
      </c>
      <c r="B59" t="str">
        <f xml:space="preserve"> "002027"</f>
        <v>002027</v>
      </c>
      <c r="C59" t="s">
        <v>550</v>
      </c>
      <c r="D59">
        <v>10.84</v>
      </c>
      <c r="E59">
        <v>-0.09</v>
      </c>
      <c r="F59">
        <v>-0.01</v>
      </c>
      <c r="G59" t="s">
        <v>551</v>
      </c>
      <c r="H59" t="s">
        <v>75</v>
      </c>
      <c r="I59">
        <v>10.84</v>
      </c>
      <c r="J59">
        <v>10.85</v>
      </c>
      <c r="K59">
        <v>0</v>
      </c>
      <c r="L59">
        <v>0.61</v>
      </c>
      <c r="M59" t="s">
        <v>552</v>
      </c>
      <c r="N59">
        <v>26.17</v>
      </c>
      <c r="O59" t="s">
        <v>553</v>
      </c>
      <c r="P59">
        <v>10.96</v>
      </c>
      <c r="Q59">
        <v>10.74</v>
      </c>
      <c r="R59">
        <v>10.9</v>
      </c>
      <c r="S59">
        <v>10.85</v>
      </c>
      <c r="T59">
        <v>2.0299999999999998</v>
      </c>
      <c r="U59">
        <v>0.75</v>
      </c>
      <c r="V59">
        <v>13.43</v>
      </c>
      <c r="W59">
        <v>2873</v>
      </c>
      <c r="X59">
        <v>10.84</v>
      </c>
      <c r="Y59" t="s">
        <v>554</v>
      </c>
      <c r="Z59" t="s">
        <v>206</v>
      </c>
      <c r="AA59">
        <v>1.03</v>
      </c>
      <c r="AB59">
        <v>1836</v>
      </c>
      <c r="AC59">
        <v>7159</v>
      </c>
      <c r="AD59">
        <v>39.54</v>
      </c>
      <c r="AE59" t="s">
        <v>555</v>
      </c>
      <c r="AF59" t="s">
        <v>556</v>
      </c>
      <c r="AG59" t="s">
        <v>557</v>
      </c>
      <c r="AH59" t="s">
        <v>558</v>
      </c>
      <c r="AI59">
        <v>3.24</v>
      </c>
      <c r="AJ59">
        <v>9.27</v>
      </c>
      <c r="AK59">
        <v>2.4900000000000002</v>
      </c>
      <c r="AL59">
        <v>4.6500000000000004</v>
      </c>
    </row>
    <row r="60" spans="1:38" x14ac:dyDescent="0.25">
      <c r="A60">
        <v>59</v>
      </c>
      <c r="B60" t="str">
        <f xml:space="preserve"> "600585"</f>
        <v>600585</v>
      </c>
      <c r="C60" t="s">
        <v>559</v>
      </c>
      <c r="D60">
        <v>24.09</v>
      </c>
      <c r="E60">
        <v>-0.82</v>
      </c>
      <c r="F60">
        <v>-0.2</v>
      </c>
      <c r="G60" t="s">
        <v>560</v>
      </c>
      <c r="H60">
        <v>765</v>
      </c>
      <c r="I60">
        <v>24.01</v>
      </c>
      <c r="J60">
        <v>24.13</v>
      </c>
      <c r="K60">
        <v>0.54</v>
      </c>
      <c r="L60">
        <v>0.69</v>
      </c>
      <c r="M60" t="s">
        <v>561</v>
      </c>
      <c r="N60">
        <v>9.5</v>
      </c>
      <c r="O60" t="s">
        <v>562</v>
      </c>
      <c r="P60">
        <v>24.4</v>
      </c>
      <c r="Q60">
        <v>23.94</v>
      </c>
      <c r="R60">
        <v>24.3</v>
      </c>
      <c r="S60">
        <v>24.29</v>
      </c>
      <c r="T60">
        <v>1.89</v>
      </c>
      <c r="U60">
        <v>0.71</v>
      </c>
      <c r="V60">
        <v>-78.989999999999995</v>
      </c>
      <c r="W60">
        <v>-5182</v>
      </c>
      <c r="X60">
        <v>24.14</v>
      </c>
      <c r="Y60" t="s">
        <v>563</v>
      </c>
      <c r="Z60" t="s">
        <v>564</v>
      </c>
      <c r="AA60">
        <v>2.04</v>
      </c>
      <c r="AB60">
        <v>44</v>
      </c>
      <c r="AC60">
        <v>5571</v>
      </c>
      <c r="AD60">
        <v>1.59</v>
      </c>
      <c r="AE60" t="s">
        <v>565</v>
      </c>
      <c r="AF60" t="s">
        <v>566</v>
      </c>
      <c r="AG60" t="s">
        <v>567</v>
      </c>
      <c r="AH60" t="s">
        <v>568</v>
      </c>
      <c r="AI60">
        <v>-1.19</v>
      </c>
      <c r="AJ60">
        <v>-4.97</v>
      </c>
      <c r="AK60">
        <v>2.1</v>
      </c>
      <c r="AL60">
        <v>5.52</v>
      </c>
    </row>
    <row r="61" spans="1:38" x14ac:dyDescent="0.25">
      <c r="A61">
        <v>60</v>
      </c>
      <c r="B61" t="str">
        <f xml:space="preserve"> "601111"</f>
        <v>601111</v>
      </c>
      <c r="C61" t="s">
        <v>569</v>
      </c>
      <c r="D61">
        <v>8.7200000000000006</v>
      </c>
      <c r="E61">
        <v>0.23</v>
      </c>
      <c r="F61">
        <v>0.02</v>
      </c>
      <c r="G61" t="s">
        <v>570</v>
      </c>
      <c r="H61">
        <v>15</v>
      </c>
      <c r="I61">
        <v>8.7200000000000006</v>
      </c>
      <c r="J61">
        <v>8.73</v>
      </c>
      <c r="K61">
        <v>0</v>
      </c>
      <c r="L61">
        <v>0.11</v>
      </c>
      <c r="M61" t="s">
        <v>571</v>
      </c>
      <c r="N61">
        <v>19.04</v>
      </c>
      <c r="O61" t="s">
        <v>572</v>
      </c>
      <c r="P61">
        <v>8.73</v>
      </c>
      <c r="Q61">
        <v>8.68</v>
      </c>
      <c r="R61">
        <v>8.6999999999999993</v>
      </c>
      <c r="S61">
        <v>8.6999999999999993</v>
      </c>
      <c r="T61">
        <v>0.56999999999999995</v>
      </c>
      <c r="U61">
        <v>0.59</v>
      </c>
      <c r="V61">
        <v>-16.649999999999999</v>
      </c>
      <c r="W61">
        <v>-7457</v>
      </c>
      <c r="X61">
        <v>8.6999999999999993</v>
      </c>
      <c r="Y61" t="s">
        <v>573</v>
      </c>
      <c r="Z61" t="s">
        <v>574</v>
      </c>
      <c r="AA61">
        <v>0.99</v>
      </c>
      <c r="AB61">
        <v>656</v>
      </c>
      <c r="AC61">
        <v>3168</v>
      </c>
      <c r="AD61">
        <v>1.59</v>
      </c>
      <c r="AE61" t="s">
        <v>575</v>
      </c>
      <c r="AF61" t="s">
        <v>576</v>
      </c>
      <c r="AG61" t="s">
        <v>577</v>
      </c>
      <c r="AH61" t="s">
        <v>143</v>
      </c>
      <c r="AI61">
        <v>-0.23</v>
      </c>
      <c r="AJ61">
        <v>0.35</v>
      </c>
      <c r="AK61">
        <v>0.47</v>
      </c>
      <c r="AL61">
        <v>1.02</v>
      </c>
    </row>
    <row r="62" spans="1:38" x14ac:dyDescent="0.25">
      <c r="A62">
        <v>61</v>
      </c>
      <c r="B62" t="str">
        <f xml:space="preserve"> "000063"</f>
        <v>000063</v>
      </c>
      <c r="C62" t="s">
        <v>578</v>
      </c>
      <c r="D62">
        <v>29.5</v>
      </c>
      <c r="E62">
        <v>1.1299999999999999</v>
      </c>
      <c r="F62">
        <v>0.33</v>
      </c>
      <c r="G62" t="s">
        <v>323</v>
      </c>
      <c r="H62">
        <v>6582</v>
      </c>
      <c r="I62">
        <v>29.49</v>
      </c>
      <c r="J62">
        <v>29.5</v>
      </c>
      <c r="K62">
        <v>-0.14000000000000001</v>
      </c>
      <c r="L62">
        <v>2.15</v>
      </c>
      <c r="M62" t="s">
        <v>579</v>
      </c>
      <c r="N62">
        <v>26.96</v>
      </c>
      <c r="O62" t="s">
        <v>580</v>
      </c>
      <c r="P62">
        <v>29.82</v>
      </c>
      <c r="Q62">
        <v>28.62</v>
      </c>
      <c r="R62">
        <v>28.9</v>
      </c>
      <c r="S62">
        <v>29.17</v>
      </c>
      <c r="T62">
        <v>4.1100000000000003</v>
      </c>
      <c r="U62">
        <v>0.61</v>
      </c>
      <c r="V62">
        <v>-89.41</v>
      </c>
      <c r="W62">
        <v>-7699</v>
      </c>
      <c r="X62">
        <v>29.41</v>
      </c>
      <c r="Y62" t="s">
        <v>581</v>
      </c>
      <c r="Z62" t="s">
        <v>582</v>
      </c>
      <c r="AA62">
        <v>0.88</v>
      </c>
      <c r="AB62">
        <v>21</v>
      </c>
      <c r="AC62">
        <v>3631</v>
      </c>
      <c r="AD62">
        <v>4.26</v>
      </c>
      <c r="AE62" t="s">
        <v>583</v>
      </c>
      <c r="AF62" t="s">
        <v>584</v>
      </c>
      <c r="AG62" t="s">
        <v>585</v>
      </c>
      <c r="AH62" t="s">
        <v>586</v>
      </c>
      <c r="AI62">
        <v>-1.99</v>
      </c>
      <c r="AJ62">
        <v>4.8</v>
      </c>
      <c r="AK62">
        <v>7.11</v>
      </c>
      <c r="AL62">
        <v>19.8</v>
      </c>
    </row>
    <row r="63" spans="1:38" x14ac:dyDescent="0.25">
      <c r="A63">
        <v>62</v>
      </c>
      <c r="B63" t="str">
        <f xml:space="preserve"> "600048"</f>
        <v>600048</v>
      </c>
      <c r="C63" t="s">
        <v>587</v>
      </c>
      <c r="D63">
        <v>10.27</v>
      </c>
      <c r="E63">
        <v>-0.48</v>
      </c>
      <c r="F63">
        <v>-0.05</v>
      </c>
      <c r="G63" t="s">
        <v>588</v>
      </c>
      <c r="H63">
        <v>2</v>
      </c>
      <c r="I63">
        <v>10.28</v>
      </c>
      <c r="J63">
        <v>10.29</v>
      </c>
      <c r="K63">
        <v>0.1</v>
      </c>
      <c r="L63">
        <v>0.56000000000000005</v>
      </c>
      <c r="M63" t="s">
        <v>589</v>
      </c>
      <c r="N63">
        <v>10.78</v>
      </c>
      <c r="O63" t="s">
        <v>244</v>
      </c>
      <c r="P63">
        <v>10.38</v>
      </c>
      <c r="Q63">
        <v>10.24</v>
      </c>
      <c r="R63">
        <v>10.32</v>
      </c>
      <c r="S63">
        <v>10.32</v>
      </c>
      <c r="T63">
        <v>1.36</v>
      </c>
      <c r="U63">
        <v>0.84</v>
      </c>
      <c r="V63">
        <v>-57.35</v>
      </c>
      <c r="W63" t="s">
        <v>590</v>
      </c>
      <c r="X63">
        <v>10.3</v>
      </c>
      <c r="Y63" t="s">
        <v>591</v>
      </c>
      <c r="Z63" t="s">
        <v>592</v>
      </c>
      <c r="AA63">
        <v>2.1800000000000002</v>
      </c>
      <c r="AB63">
        <v>18</v>
      </c>
      <c r="AC63">
        <v>1754</v>
      </c>
      <c r="AD63">
        <v>1.33</v>
      </c>
      <c r="AE63" t="s">
        <v>593</v>
      </c>
      <c r="AF63" t="s">
        <v>594</v>
      </c>
      <c r="AG63" t="s">
        <v>171</v>
      </c>
      <c r="AH63" t="s">
        <v>595</v>
      </c>
      <c r="AI63">
        <v>-1.82</v>
      </c>
      <c r="AJ63">
        <v>-1.63</v>
      </c>
      <c r="AK63">
        <v>1.86</v>
      </c>
      <c r="AL63">
        <v>3.9</v>
      </c>
    </row>
    <row r="64" spans="1:38" x14ac:dyDescent="0.25">
      <c r="A64">
        <v>63</v>
      </c>
      <c r="B64" t="str">
        <f xml:space="preserve"> "600010"</f>
        <v>600010</v>
      </c>
      <c r="C64" t="s">
        <v>596</v>
      </c>
      <c r="D64">
        <v>2.66</v>
      </c>
      <c r="E64">
        <v>-0.37</v>
      </c>
      <c r="F64">
        <v>-0.01</v>
      </c>
      <c r="G64" t="s">
        <v>597</v>
      </c>
      <c r="H64">
        <v>55</v>
      </c>
      <c r="I64">
        <v>2.66</v>
      </c>
      <c r="J64">
        <v>2.67</v>
      </c>
      <c r="K64">
        <v>-0.37</v>
      </c>
      <c r="L64">
        <v>0.26</v>
      </c>
      <c r="M64" t="s">
        <v>598</v>
      </c>
      <c r="N64">
        <v>103.17</v>
      </c>
      <c r="O64" t="s">
        <v>416</v>
      </c>
      <c r="P64">
        <v>2.68</v>
      </c>
      <c r="Q64">
        <v>2.65</v>
      </c>
      <c r="R64">
        <v>2.67</v>
      </c>
      <c r="S64">
        <v>2.67</v>
      </c>
      <c r="T64">
        <v>1.1200000000000001</v>
      </c>
      <c r="U64">
        <v>0.75</v>
      </c>
      <c r="V64">
        <v>-6.21</v>
      </c>
      <c r="W64" t="s">
        <v>599</v>
      </c>
      <c r="X64">
        <v>2.66</v>
      </c>
      <c r="Y64" t="s">
        <v>600</v>
      </c>
      <c r="Z64" t="s">
        <v>601</v>
      </c>
      <c r="AA64">
        <v>0.88</v>
      </c>
      <c r="AB64" t="s">
        <v>602</v>
      </c>
      <c r="AC64" t="s">
        <v>603</v>
      </c>
      <c r="AD64">
        <v>2.5299999999999998</v>
      </c>
      <c r="AE64" t="s">
        <v>604</v>
      </c>
      <c r="AF64" t="s">
        <v>605</v>
      </c>
      <c r="AG64" t="s">
        <v>189</v>
      </c>
      <c r="AH64" t="s">
        <v>606</v>
      </c>
      <c r="AI64">
        <v>-1.1200000000000001</v>
      </c>
      <c r="AJ64">
        <v>-1.48</v>
      </c>
      <c r="AK64">
        <v>0.9</v>
      </c>
      <c r="AL64">
        <v>1.95</v>
      </c>
    </row>
    <row r="65" spans="1:38" x14ac:dyDescent="0.25">
      <c r="A65">
        <v>64</v>
      </c>
      <c r="B65" t="str">
        <f xml:space="preserve"> "601669"</f>
        <v>601669</v>
      </c>
      <c r="C65" t="s">
        <v>607</v>
      </c>
      <c r="D65">
        <v>7.92</v>
      </c>
      <c r="E65">
        <v>-0.13</v>
      </c>
      <c r="F65">
        <v>-0.01</v>
      </c>
      <c r="G65" t="s">
        <v>592</v>
      </c>
      <c r="H65">
        <v>42</v>
      </c>
      <c r="I65">
        <v>7.92</v>
      </c>
      <c r="J65">
        <v>7.93</v>
      </c>
      <c r="K65">
        <v>0</v>
      </c>
      <c r="L65">
        <v>0.22</v>
      </c>
      <c r="M65" t="s">
        <v>608</v>
      </c>
      <c r="N65">
        <v>16.350000000000001</v>
      </c>
      <c r="O65" t="s">
        <v>263</v>
      </c>
      <c r="P65">
        <v>7.95</v>
      </c>
      <c r="Q65">
        <v>7.88</v>
      </c>
      <c r="R65">
        <v>7.92</v>
      </c>
      <c r="S65">
        <v>7.93</v>
      </c>
      <c r="T65">
        <v>0.88</v>
      </c>
      <c r="U65">
        <v>0.88</v>
      </c>
      <c r="V65">
        <v>-1.44</v>
      </c>
      <c r="W65">
        <v>-522</v>
      </c>
      <c r="X65">
        <v>7.91</v>
      </c>
      <c r="Y65" t="s">
        <v>609</v>
      </c>
      <c r="Z65" t="s">
        <v>610</v>
      </c>
      <c r="AA65">
        <v>1.6</v>
      </c>
      <c r="AB65">
        <v>58</v>
      </c>
      <c r="AC65">
        <v>3390</v>
      </c>
      <c r="AD65">
        <v>1.74</v>
      </c>
      <c r="AE65" t="s">
        <v>611</v>
      </c>
      <c r="AF65" t="s">
        <v>612</v>
      </c>
      <c r="AG65" t="s">
        <v>613</v>
      </c>
      <c r="AH65" t="s">
        <v>614</v>
      </c>
      <c r="AI65">
        <v>-1.49</v>
      </c>
      <c r="AJ65">
        <v>-2.1</v>
      </c>
      <c r="AK65">
        <v>0.71</v>
      </c>
      <c r="AL65">
        <v>1.45</v>
      </c>
    </row>
    <row r="66" spans="1:38" x14ac:dyDescent="0.25">
      <c r="A66">
        <v>65</v>
      </c>
      <c r="B66" t="str">
        <f xml:space="preserve"> "601600"</f>
        <v>601600</v>
      </c>
      <c r="C66" t="s">
        <v>615</v>
      </c>
      <c r="D66" t="s">
        <v>616</v>
      </c>
      <c r="E66" t="s">
        <v>616</v>
      </c>
      <c r="F66" t="s">
        <v>616</v>
      </c>
      <c r="G66" t="s">
        <v>616</v>
      </c>
      <c r="H66" t="s">
        <v>616</v>
      </c>
      <c r="I66" t="s">
        <v>616</v>
      </c>
      <c r="J66" t="s">
        <v>616</v>
      </c>
      <c r="K66" t="s">
        <v>616</v>
      </c>
      <c r="L66" t="s">
        <v>616</v>
      </c>
      <c r="M66" t="s">
        <v>616</v>
      </c>
      <c r="N66">
        <v>80.239999999999995</v>
      </c>
      <c r="O66" t="s">
        <v>449</v>
      </c>
      <c r="P66" t="s">
        <v>616</v>
      </c>
      <c r="Q66" t="s">
        <v>616</v>
      </c>
      <c r="R66" t="s">
        <v>616</v>
      </c>
      <c r="S66">
        <v>8.09</v>
      </c>
      <c r="T66" t="s">
        <v>616</v>
      </c>
      <c r="U66" t="s">
        <v>616</v>
      </c>
      <c r="V66" t="s">
        <v>616</v>
      </c>
      <c r="W66" t="s">
        <v>616</v>
      </c>
      <c r="X66" t="s">
        <v>616</v>
      </c>
      <c r="Y66" t="s">
        <v>616</v>
      </c>
      <c r="Z66" t="s">
        <v>616</v>
      </c>
      <c r="AA66" t="s">
        <v>616</v>
      </c>
      <c r="AB66" t="s">
        <v>616</v>
      </c>
      <c r="AC66" t="s">
        <v>616</v>
      </c>
      <c r="AD66">
        <v>3.42</v>
      </c>
      <c r="AE66" t="s">
        <v>542</v>
      </c>
      <c r="AF66" t="s">
        <v>617</v>
      </c>
      <c r="AG66" t="s">
        <v>173</v>
      </c>
      <c r="AH66" t="s">
        <v>618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>
        <v>66</v>
      </c>
      <c r="B67" t="str">
        <f xml:space="preserve"> "300498"</f>
        <v>300498</v>
      </c>
      <c r="C67" t="s">
        <v>619</v>
      </c>
      <c r="D67">
        <v>22.98</v>
      </c>
      <c r="E67">
        <v>0.61</v>
      </c>
      <c r="F67">
        <v>0.14000000000000001</v>
      </c>
      <c r="G67" t="s">
        <v>620</v>
      </c>
      <c r="H67">
        <v>421</v>
      </c>
      <c r="I67">
        <v>22.97</v>
      </c>
      <c r="J67">
        <v>22.98</v>
      </c>
      <c r="K67">
        <v>0</v>
      </c>
      <c r="L67">
        <v>0.19</v>
      </c>
      <c r="M67" t="s">
        <v>621</v>
      </c>
      <c r="N67">
        <v>33.14</v>
      </c>
      <c r="O67" t="s">
        <v>622</v>
      </c>
      <c r="P67">
        <v>23.1</v>
      </c>
      <c r="Q67">
        <v>22.63</v>
      </c>
      <c r="R67">
        <v>22.84</v>
      </c>
      <c r="S67">
        <v>22.84</v>
      </c>
      <c r="T67">
        <v>2.06</v>
      </c>
      <c r="U67">
        <v>0.75</v>
      </c>
      <c r="V67">
        <v>-76.83</v>
      </c>
      <c r="W67">
        <v>-2685</v>
      </c>
      <c r="X67">
        <v>22.94</v>
      </c>
      <c r="Y67" t="s">
        <v>623</v>
      </c>
      <c r="Z67" t="s">
        <v>624</v>
      </c>
      <c r="AA67">
        <v>0.67</v>
      </c>
      <c r="AB67">
        <v>180</v>
      </c>
      <c r="AC67">
        <v>336</v>
      </c>
      <c r="AD67">
        <v>4.3600000000000003</v>
      </c>
      <c r="AE67" t="s">
        <v>625</v>
      </c>
      <c r="AF67" t="s">
        <v>403</v>
      </c>
      <c r="AG67" t="s">
        <v>626</v>
      </c>
      <c r="AH67" t="s">
        <v>627</v>
      </c>
      <c r="AI67">
        <v>2.1800000000000002</v>
      </c>
      <c r="AJ67">
        <v>7.74</v>
      </c>
      <c r="AK67">
        <v>0.8</v>
      </c>
      <c r="AL67">
        <v>1.44</v>
      </c>
    </row>
    <row r="68" spans="1:38" x14ac:dyDescent="0.25">
      <c r="A68">
        <v>67</v>
      </c>
      <c r="B68" t="str">
        <f xml:space="preserve"> "600015"</f>
        <v>600015</v>
      </c>
      <c r="C68" t="s">
        <v>628</v>
      </c>
      <c r="D68">
        <v>9.35</v>
      </c>
      <c r="E68">
        <v>-0.32</v>
      </c>
      <c r="F68">
        <v>-0.03</v>
      </c>
      <c r="G68" t="s">
        <v>592</v>
      </c>
      <c r="H68">
        <v>26</v>
      </c>
      <c r="I68">
        <v>9.34</v>
      </c>
      <c r="J68">
        <v>9.35</v>
      </c>
      <c r="K68">
        <v>0</v>
      </c>
      <c r="L68">
        <v>0.16</v>
      </c>
      <c r="M68" t="s">
        <v>629</v>
      </c>
      <c r="N68">
        <v>6.09</v>
      </c>
      <c r="O68" t="s">
        <v>41</v>
      </c>
      <c r="P68">
        <v>9.39</v>
      </c>
      <c r="Q68">
        <v>9.34</v>
      </c>
      <c r="R68">
        <v>9.3699999999999992</v>
      </c>
      <c r="S68">
        <v>9.3800000000000008</v>
      </c>
      <c r="T68">
        <v>0.53</v>
      </c>
      <c r="U68">
        <v>0.73</v>
      </c>
      <c r="V68">
        <v>9.3800000000000008</v>
      </c>
      <c r="W68">
        <v>6865</v>
      </c>
      <c r="X68">
        <v>9.36</v>
      </c>
      <c r="Y68" t="s">
        <v>630</v>
      </c>
      <c r="Z68" t="s">
        <v>631</v>
      </c>
      <c r="AA68">
        <v>1.64</v>
      </c>
      <c r="AB68">
        <v>6546</v>
      </c>
      <c r="AC68">
        <v>1544</v>
      </c>
      <c r="AD68">
        <v>0.86</v>
      </c>
      <c r="AE68" t="s">
        <v>632</v>
      </c>
      <c r="AF68" t="s">
        <v>633</v>
      </c>
      <c r="AG68" t="s">
        <v>632</v>
      </c>
      <c r="AH68" t="s">
        <v>633</v>
      </c>
      <c r="AI68">
        <v>-0.74</v>
      </c>
      <c r="AJ68">
        <v>0.97</v>
      </c>
      <c r="AK68">
        <v>0.54</v>
      </c>
      <c r="AL68">
        <v>1.27</v>
      </c>
    </row>
    <row r="69" spans="1:38" x14ac:dyDescent="0.25">
      <c r="A69">
        <v>68</v>
      </c>
      <c r="B69" t="str">
        <f xml:space="preserve"> "601989"</f>
        <v>601989</v>
      </c>
      <c r="C69" t="s">
        <v>634</v>
      </c>
      <c r="D69" t="s">
        <v>616</v>
      </c>
      <c r="E69" t="s">
        <v>616</v>
      </c>
      <c r="F69" t="s">
        <v>616</v>
      </c>
      <c r="G69" t="s">
        <v>616</v>
      </c>
      <c r="H69" t="s">
        <v>616</v>
      </c>
      <c r="I69" t="s">
        <v>616</v>
      </c>
      <c r="J69" t="s">
        <v>616</v>
      </c>
      <c r="K69" t="s">
        <v>616</v>
      </c>
      <c r="L69" t="s">
        <v>616</v>
      </c>
      <c r="M69" t="s">
        <v>616</v>
      </c>
      <c r="N69">
        <v>94.37</v>
      </c>
      <c r="O69" t="s">
        <v>635</v>
      </c>
      <c r="P69" t="s">
        <v>616</v>
      </c>
      <c r="Q69" t="s">
        <v>616</v>
      </c>
      <c r="R69" t="s">
        <v>616</v>
      </c>
      <c r="S69">
        <v>6.21</v>
      </c>
      <c r="T69" t="s">
        <v>616</v>
      </c>
      <c r="U69" t="s">
        <v>616</v>
      </c>
      <c r="V69" t="s">
        <v>616</v>
      </c>
      <c r="W69" t="s">
        <v>616</v>
      </c>
      <c r="X69" t="s">
        <v>616</v>
      </c>
      <c r="Y69" t="s">
        <v>616</v>
      </c>
      <c r="Z69" t="s">
        <v>616</v>
      </c>
      <c r="AA69" t="s">
        <v>616</v>
      </c>
      <c r="AB69" t="s">
        <v>616</v>
      </c>
      <c r="AC69" t="s">
        <v>616</v>
      </c>
      <c r="AD69">
        <v>1.94</v>
      </c>
      <c r="AE69" t="s">
        <v>181</v>
      </c>
      <c r="AF69" t="s">
        <v>636</v>
      </c>
      <c r="AG69" t="s">
        <v>637</v>
      </c>
      <c r="AH69" t="s">
        <v>638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>
        <v>69</v>
      </c>
      <c r="B70" t="str">
        <f xml:space="preserve"> "000166"</f>
        <v>000166</v>
      </c>
      <c r="C70" t="s">
        <v>639</v>
      </c>
      <c r="D70">
        <v>5.9</v>
      </c>
      <c r="E70">
        <v>0.34</v>
      </c>
      <c r="F70">
        <v>0.02</v>
      </c>
      <c r="G70" t="s">
        <v>360</v>
      </c>
      <c r="H70">
        <v>2053</v>
      </c>
      <c r="I70">
        <v>5.89</v>
      </c>
      <c r="J70">
        <v>5.9</v>
      </c>
      <c r="K70">
        <v>0</v>
      </c>
      <c r="L70">
        <v>0.28999999999999998</v>
      </c>
      <c r="M70" t="s">
        <v>640</v>
      </c>
      <c r="N70">
        <v>28.86</v>
      </c>
      <c r="O70" t="s">
        <v>306</v>
      </c>
      <c r="P70">
        <v>5.91</v>
      </c>
      <c r="Q70">
        <v>5.86</v>
      </c>
      <c r="R70">
        <v>5.87</v>
      </c>
      <c r="S70">
        <v>5.88</v>
      </c>
      <c r="T70">
        <v>0.85</v>
      </c>
      <c r="U70">
        <v>0.84</v>
      </c>
      <c r="V70">
        <v>-6.87</v>
      </c>
      <c r="W70">
        <v>-4733</v>
      </c>
      <c r="X70">
        <v>5.89</v>
      </c>
      <c r="Y70" t="s">
        <v>641</v>
      </c>
      <c r="Z70" t="s">
        <v>102</v>
      </c>
      <c r="AA70">
        <v>0.87</v>
      </c>
      <c r="AB70">
        <v>3174</v>
      </c>
      <c r="AC70">
        <v>4697</v>
      </c>
      <c r="AD70">
        <v>2.25</v>
      </c>
      <c r="AE70" t="s">
        <v>642</v>
      </c>
      <c r="AF70" t="s">
        <v>643</v>
      </c>
      <c r="AG70" t="s">
        <v>644</v>
      </c>
      <c r="AH70" t="s">
        <v>645</v>
      </c>
      <c r="AI70">
        <v>0.17</v>
      </c>
      <c r="AJ70">
        <v>1.55</v>
      </c>
      <c r="AK70">
        <v>0.85</v>
      </c>
      <c r="AL70">
        <v>1.99</v>
      </c>
    </row>
    <row r="71" spans="1:38" x14ac:dyDescent="0.25">
      <c r="A71">
        <v>70</v>
      </c>
      <c r="B71" t="str">
        <f xml:space="preserve"> "601985"</f>
        <v>601985</v>
      </c>
      <c r="C71" t="s">
        <v>646</v>
      </c>
      <c r="D71">
        <v>7.48</v>
      </c>
      <c r="E71">
        <v>0.13</v>
      </c>
      <c r="F71">
        <v>0.01</v>
      </c>
      <c r="G71" t="s">
        <v>102</v>
      </c>
      <c r="H71">
        <v>314</v>
      </c>
      <c r="I71">
        <v>7.47</v>
      </c>
      <c r="J71">
        <v>7.48</v>
      </c>
      <c r="K71">
        <v>0.13</v>
      </c>
      <c r="L71">
        <v>0.27</v>
      </c>
      <c r="M71" t="s">
        <v>647</v>
      </c>
      <c r="N71">
        <v>22.87</v>
      </c>
      <c r="O71" t="s">
        <v>648</v>
      </c>
      <c r="P71">
        <v>7.49</v>
      </c>
      <c r="Q71">
        <v>7.45</v>
      </c>
      <c r="R71">
        <v>7.48</v>
      </c>
      <c r="S71">
        <v>7.47</v>
      </c>
      <c r="T71">
        <v>0.54</v>
      </c>
      <c r="U71">
        <v>0.67</v>
      </c>
      <c r="V71">
        <v>1.47</v>
      </c>
      <c r="W71">
        <v>821</v>
      </c>
      <c r="X71">
        <v>7.47</v>
      </c>
      <c r="Y71" t="s">
        <v>649</v>
      </c>
      <c r="Z71" t="s">
        <v>650</v>
      </c>
      <c r="AA71">
        <v>1.6</v>
      </c>
      <c r="AB71">
        <v>3293</v>
      </c>
      <c r="AC71">
        <v>1662</v>
      </c>
      <c r="AD71">
        <v>2.92</v>
      </c>
      <c r="AE71" t="s">
        <v>651</v>
      </c>
      <c r="AF71" t="s">
        <v>652</v>
      </c>
      <c r="AG71" t="s">
        <v>653</v>
      </c>
      <c r="AH71" t="s">
        <v>654</v>
      </c>
      <c r="AI71">
        <v>-0.4</v>
      </c>
      <c r="AJ71">
        <v>0.13</v>
      </c>
      <c r="AK71">
        <v>1.03</v>
      </c>
      <c r="AL71">
        <v>2.29</v>
      </c>
    </row>
    <row r="72" spans="1:38" x14ac:dyDescent="0.25">
      <c r="A72">
        <v>71</v>
      </c>
      <c r="B72" t="str">
        <f xml:space="preserve"> "002736"</f>
        <v>002736</v>
      </c>
      <c r="C72" t="s">
        <v>655</v>
      </c>
      <c r="D72">
        <v>13.87</v>
      </c>
      <c r="E72">
        <v>0.51</v>
      </c>
      <c r="F72">
        <v>7.0000000000000007E-2</v>
      </c>
      <c r="G72" t="s">
        <v>656</v>
      </c>
      <c r="H72">
        <v>966</v>
      </c>
      <c r="I72">
        <v>13.86</v>
      </c>
      <c r="J72">
        <v>13.87</v>
      </c>
      <c r="K72">
        <v>0</v>
      </c>
      <c r="L72">
        <v>0.23</v>
      </c>
      <c r="M72" t="s">
        <v>657</v>
      </c>
      <c r="N72">
        <v>28.25</v>
      </c>
      <c r="O72" t="s">
        <v>306</v>
      </c>
      <c r="P72">
        <v>13.9</v>
      </c>
      <c r="Q72">
        <v>13.79</v>
      </c>
      <c r="R72">
        <v>13.84</v>
      </c>
      <c r="S72">
        <v>13.8</v>
      </c>
      <c r="T72">
        <v>0.8</v>
      </c>
      <c r="U72">
        <v>0.76</v>
      </c>
      <c r="V72">
        <v>-30.39</v>
      </c>
      <c r="W72">
        <v>-1486</v>
      </c>
      <c r="X72">
        <v>13.85</v>
      </c>
      <c r="Y72" t="s">
        <v>658</v>
      </c>
      <c r="Z72" t="s">
        <v>659</v>
      </c>
      <c r="AA72">
        <v>0.66</v>
      </c>
      <c r="AB72">
        <v>443</v>
      </c>
      <c r="AC72">
        <v>382</v>
      </c>
      <c r="AD72">
        <v>2.58</v>
      </c>
      <c r="AE72" t="s">
        <v>660</v>
      </c>
      <c r="AF72" t="s">
        <v>661</v>
      </c>
      <c r="AG72" t="s">
        <v>662</v>
      </c>
      <c r="AH72" t="s">
        <v>663</v>
      </c>
      <c r="AI72">
        <v>0.14000000000000001</v>
      </c>
      <c r="AJ72">
        <v>1.99</v>
      </c>
      <c r="AK72">
        <v>0.68</v>
      </c>
      <c r="AL72">
        <v>1.73</v>
      </c>
    </row>
    <row r="73" spans="1:38" x14ac:dyDescent="0.25">
      <c r="A73">
        <v>72</v>
      </c>
      <c r="B73" t="str">
        <f xml:space="preserve"> "600309"</f>
        <v>600309</v>
      </c>
      <c r="C73" t="s">
        <v>664</v>
      </c>
      <c r="D73">
        <v>41.44</v>
      </c>
      <c r="E73">
        <v>-2.93</v>
      </c>
      <c r="F73">
        <v>-1.25</v>
      </c>
      <c r="G73" t="s">
        <v>665</v>
      </c>
      <c r="H73">
        <v>12</v>
      </c>
      <c r="I73">
        <v>41.42</v>
      </c>
      <c r="J73">
        <v>41.45</v>
      </c>
      <c r="K73">
        <v>0.1</v>
      </c>
      <c r="L73">
        <v>1.92</v>
      </c>
      <c r="M73" t="s">
        <v>666</v>
      </c>
      <c r="N73">
        <v>10.88</v>
      </c>
      <c r="O73" t="s">
        <v>667</v>
      </c>
      <c r="P73">
        <v>42.88</v>
      </c>
      <c r="Q73">
        <v>41.04</v>
      </c>
      <c r="R73">
        <v>42.65</v>
      </c>
      <c r="S73">
        <v>42.69</v>
      </c>
      <c r="T73">
        <v>4.3099999999999996</v>
      </c>
      <c r="U73">
        <v>1.0900000000000001</v>
      </c>
      <c r="V73">
        <v>17.23</v>
      </c>
      <c r="W73">
        <v>248</v>
      </c>
      <c r="X73">
        <v>41.65</v>
      </c>
      <c r="Y73" t="s">
        <v>668</v>
      </c>
      <c r="Z73" t="s">
        <v>669</v>
      </c>
      <c r="AA73">
        <v>1.64</v>
      </c>
      <c r="AB73">
        <v>42</v>
      </c>
      <c r="AC73">
        <v>17</v>
      </c>
      <c r="AD73">
        <v>4.7300000000000004</v>
      </c>
      <c r="AE73" t="s">
        <v>355</v>
      </c>
      <c r="AF73" t="s">
        <v>670</v>
      </c>
      <c r="AG73" t="s">
        <v>671</v>
      </c>
      <c r="AH73" t="s">
        <v>672</v>
      </c>
      <c r="AI73">
        <v>-4.6900000000000004</v>
      </c>
      <c r="AJ73">
        <v>-0.65</v>
      </c>
      <c r="AK73">
        <v>6.46</v>
      </c>
      <c r="AL73">
        <v>10.73</v>
      </c>
    </row>
    <row r="74" spans="1:38" x14ac:dyDescent="0.25">
      <c r="A74">
        <v>73</v>
      </c>
      <c r="B74" t="str">
        <f xml:space="preserve"> "601633"</f>
        <v>601633</v>
      </c>
      <c r="C74" t="s">
        <v>673</v>
      </c>
      <c r="D74" t="s">
        <v>616</v>
      </c>
      <c r="E74" t="s">
        <v>616</v>
      </c>
      <c r="F74" t="s">
        <v>616</v>
      </c>
      <c r="G74" t="s">
        <v>616</v>
      </c>
      <c r="H74" t="s">
        <v>616</v>
      </c>
      <c r="I74" t="s">
        <v>616</v>
      </c>
      <c r="J74" t="s">
        <v>616</v>
      </c>
      <c r="K74" t="s">
        <v>616</v>
      </c>
      <c r="L74" t="s">
        <v>616</v>
      </c>
      <c r="M74" t="s">
        <v>616</v>
      </c>
      <c r="N74">
        <v>23.12</v>
      </c>
      <c r="O74" t="s">
        <v>169</v>
      </c>
      <c r="P74" t="s">
        <v>616</v>
      </c>
      <c r="Q74" t="s">
        <v>616</v>
      </c>
      <c r="R74" t="s">
        <v>616</v>
      </c>
      <c r="S74">
        <v>12.26</v>
      </c>
      <c r="T74" t="s">
        <v>616</v>
      </c>
      <c r="U74" t="s">
        <v>616</v>
      </c>
      <c r="V74" t="s">
        <v>616</v>
      </c>
      <c r="W74" t="s">
        <v>616</v>
      </c>
      <c r="X74" t="s">
        <v>616</v>
      </c>
      <c r="Y74" t="s">
        <v>616</v>
      </c>
      <c r="Z74" t="s">
        <v>616</v>
      </c>
      <c r="AA74" t="s">
        <v>616</v>
      </c>
      <c r="AB74" t="s">
        <v>616</v>
      </c>
      <c r="AC74" t="s">
        <v>616</v>
      </c>
      <c r="AD74">
        <v>2.41</v>
      </c>
      <c r="AE74" t="s">
        <v>674</v>
      </c>
      <c r="AF74" t="s">
        <v>675</v>
      </c>
      <c r="AG74" t="s">
        <v>411</v>
      </c>
      <c r="AH74" t="s">
        <v>676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>
        <v>74</v>
      </c>
      <c r="B75" t="str">
        <f xml:space="preserve"> "601727"</f>
        <v>601727</v>
      </c>
      <c r="C75" t="s">
        <v>677</v>
      </c>
      <c r="D75">
        <v>7.94</v>
      </c>
      <c r="E75">
        <v>0.76</v>
      </c>
      <c r="F75">
        <v>0.06</v>
      </c>
      <c r="G75" t="s">
        <v>678</v>
      </c>
      <c r="H75">
        <v>1039</v>
      </c>
      <c r="I75">
        <v>7.93</v>
      </c>
      <c r="J75">
        <v>7.95</v>
      </c>
      <c r="K75">
        <v>-0.13</v>
      </c>
      <c r="L75">
        <v>0.14000000000000001</v>
      </c>
      <c r="M75" t="s">
        <v>679</v>
      </c>
      <c r="N75">
        <v>39.24</v>
      </c>
      <c r="O75" t="s">
        <v>680</v>
      </c>
      <c r="P75">
        <v>7.95</v>
      </c>
      <c r="Q75">
        <v>7.86</v>
      </c>
      <c r="R75">
        <v>7.86</v>
      </c>
      <c r="S75">
        <v>7.88</v>
      </c>
      <c r="T75">
        <v>1.1399999999999999</v>
      </c>
      <c r="U75">
        <v>0.67</v>
      </c>
      <c r="V75">
        <v>-20.74</v>
      </c>
      <c r="W75">
        <v>-6028</v>
      </c>
      <c r="X75">
        <v>7.92</v>
      </c>
      <c r="Y75" t="s">
        <v>681</v>
      </c>
      <c r="Z75" t="s">
        <v>682</v>
      </c>
      <c r="AA75">
        <v>0.94</v>
      </c>
      <c r="AB75">
        <v>3410</v>
      </c>
      <c r="AC75">
        <v>3334</v>
      </c>
      <c r="AD75">
        <v>2.29</v>
      </c>
      <c r="AE75" t="s">
        <v>683</v>
      </c>
      <c r="AF75" t="s">
        <v>684</v>
      </c>
      <c r="AG75" t="s">
        <v>685</v>
      </c>
      <c r="AH75" t="s">
        <v>686</v>
      </c>
      <c r="AI75">
        <v>-0.13</v>
      </c>
      <c r="AJ75">
        <v>-2.34</v>
      </c>
      <c r="AK75">
        <v>0.47</v>
      </c>
      <c r="AL75">
        <v>1.19</v>
      </c>
    </row>
    <row r="76" spans="1:38" x14ac:dyDescent="0.25">
      <c r="A76">
        <v>75</v>
      </c>
      <c r="B76" t="str">
        <f xml:space="preserve"> "601618"</f>
        <v>601618</v>
      </c>
      <c r="C76" t="s">
        <v>687</v>
      </c>
      <c r="D76">
        <v>5.13</v>
      </c>
      <c r="E76">
        <v>0</v>
      </c>
      <c r="F76">
        <v>0</v>
      </c>
      <c r="G76" t="s">
        <v>688</v>
      </c>
      <c r="H76">
        <v>13</v>
      </c>
      <c r="I76">
        <v>5.12</v>
      </c>
      <c r="J76">
        <v>5.13</v>
      </c>
      <c r="K76">
        <v>0</v>
      </c>
      <c r="L76">
        <v>0.14000000000000001</v>
      </c>
      <c r="M76" t="s">
        <v>485</v>
      </c>
      <c r="N76">
        <v>19.87</v>
      </c>
      <c r="O76" t="s">
        <v>263</v>
      </c>
      <c r="P76">
        <v>5.15</v>
      </c>
      <c r="Q76">
        <v>5.1100000000000003</v>
      </c>
      <c r="R76">
        <v>5.14</v>
      </c>
      <c r="S76">
        <v>5.13</v>
      </c>
      <c r="T76">
        <v>0.78</v>
      </c>
      <c r="U76">
        <v>0.56999999999999995</v>
      </c>
      <c r="V76">
        <v>0.46</v>
      </c>
      <c r="W76">
        <v>558</v>
      </c>
      <c r="X76">
        <v>5.13</v>
      </c>
      <c r="Y76" t="s">
        <v>689</v>
      </c>
      <c r="Z76" t="s">
        <v>690</v>
      </c>
      <c r="AA76">
        <v>1.74</v>
      </c>
      <c r="AB76" t="s">
        <v>691</v>
      </c>
      <c r="AC76">
        <v>454</v>
      </c>
      <c r="AD76">
        <v>1.75</v>
      </c>
      <c r="AE76" t="s">
        <v>692</v>
      </c>
      <c r="AF76" t="s">
        <v>693</v>
      </c>
      <c r="AG76" t="s">
        <v>284</v>
      </c>
      <c r="AH76" t="s">
        <v>694</v>
      </c>
      <c r="AI76">
        <v>-0.39</v>
      </c>
      <c r="AJ76">
        <v>0.2</v>
      </c>
      <c r="AK76">
        <v>0.75</v>
      </c>
      <c r="AL76">
        <v>1.35</v>
      </c>
    </row>
    <row r="77" spans="1:38" x14ac:dyDescent="0.25">
      <c r="A77">
        <v>76</v>
      </c>
      <c r="B77" t="str">
        <f xml:space="preserve"> "600011"</f>
        <v>600011</v>
      </c>
      <c r="C77" t="s">
        <v>695</v>
      </c>
      <c r="D77">
        <v>6.92</v>
      </c>
      <c r="E77">
        <v>0.14000000000000001</v>
      </c>
      <c r="F77">
        <v>0.01</v>
      </c>
      <c r="G77" t="s">
        <v>696</v>
      </c>
      <c r="H77">
        <v>52</v>
      </c>
      <c r="I77">
        <v>6.91</v>
      </c>
      <c r="J77">
        <v>6.92</v>
      </c>
      <c r="K77">
        <v>0</v>
      </c>
      <c r="L77">
        <v>0.09</v>
      </c>
      <c r="M77" t="s">
        <v>697</v>
      </c>
      <c r="N77">
        <v>66.78</v>
      </c>
      <c r="O77" t="s">
        <v>186</v>
      </c>
      <c r="P77">
        <v>6.97</v>
      </c>
      <c r="Q77">
        <v>6.89</v>
      </c>
      <c r="R77">
        <v>6.93</v>
      </c>
      <c r="S77">
        <v>6.91</v>
      </c>
      <c r="T77">
        <v>1.1599999999999999</v>
      </c>
      <c r="U77">
        <v>1.57</v>
      </c>
      <c r="V77">
        <v>11.41</v>
      </c>
      <c r="W77">
        <v>1953</v>
      </c>
      <c r="X77">
        <v>6.92</v>
      </c>
      <c r="Y77" t="s">
        <v>698</v>
      </c>
      <c r="Z77" t="s">
        <v>699</v>
      </c>
      <c r="AA77">
        <v>1.1000000000000001</v>
      </c>
      <c r="AB77">
        <v>611</v>
      </c>
      <c r="AC77">
        <v>454</v>
      </c>
      <c r="AD77">
        <v>1.51</v>
      </c>
      <c r="AE77" t="s">
        <v>700</v>
      </c>
      <c r="AF77" t="s">
        <v>701</v>
      </c>
      <c r="AG77" t="s">
        <v>702</v>
      </c>
      <c r="AH77" t="s">
        <v>703</v>
      </c>
      <c r="AI77">
        <v>-0.86</v>
      </c>
      <c r="AJ77">
        <v>0.28999999999999998</v>
      </c>
      <c r="AK77">
        <v>0.23</v>
      </c>
      <c r="AL77">
        <v>0.37</v>
      </c>
    </row>
    <row r="78" spans="1:38" x14ac:dyDescent="0.25">
      <c r="A78">
        <v>77</v>
      </c>
      <c r="B78" t="str">
        <f xml:space="preserve"> "000024"</f>
        <v>000024</v>
      </c>
      <c r="C78" t="s">
        <v>704</v>
      </c>
      <c r="D78" t="s">
        <v>616</v>
      </c>
      <c r="E78" t="s">
        <v>616</v>
      </c>
      <c r="F78" t="s">
        <v>616</v>
      </c>
      <c r="G78" t="s">
        <v>616</v>
      </c>
      <c r="H78" t="s">
        <v>616</v>
      </c>
      <c r="I78" t="s">
        <v>616</v>
      </c>
      <c r="J78" t="s">
        <v>616</v>
      </c>
      <c r="K78" t="s">
        <v>616</v>
      </c>
      <c r="L78" t="s">
        <v>616</v>
      </c>
      <c r="M78" t="s">
        <v>616</v>
      </c>
      <c r="N78">
        <v>35.26</v>
      </c>
      <c r="O78" t="s">
        <v>244</v>
      </c>
      <c r="P78" t="s">
        <v>616</v>
      </c>
      <c r="Q78" t="s">
        <v>616</v>
      </c>
      <c r="R78" t="s">
        <v>616</v>
      </c>
      <c r="S78">
        <v>40.5</v>
      </c>
      <c r="T78" t="s">
        <v>616</v>
      </c>
      <c r="U78" t="s">
        <v>616</v>
      </c>
      <c r="V78" t="s">
        <v>616</v>
      </c>
      <c r="W78" t="s">
        <v>616</v>
      </c>
      <c r="X78" t="s">
        <v>616</v>
      </c>
      <c r="Y78" t="s">
        <v>616</v>
      </c>
      <c r="Z78" t="s">
        <v>616</v>
      </c>
      <c r="AA78" t="s">
        <v>616</v>
      </c>
      <c r="AB78" t="s">
        <v>616</v>
      </c>
      <c r="AC78" t="s">
        <v>616</v>
      </c>
      <c r="AD78">
        <v>3.17</v>
      </c>
      <c r="AE78" t="s">
        <v>705</v>
      </c>
      <c r="AF78" t="s">
        <v>706</v>
      </c>
      <c r="AG78" t="s">
        <v>707</v>
      </c>
      <c r="AH78" t="s">
        <v>708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>
        <v>78</v>
      </c>
      <c r="B79" t="str">
        <f xml:space="preserve"> "002252"</f>
        <v>002252</v>
      </c>
      <c r="C79" t="s">
        <v>709</v>
      </c>
      <c r="D79">
        <v>20.48</v>
      </c>
      <c r="E79">
        <v>0.24</v>
      </c>
      <c r="F79">
        <v>0.05</v>
      </c>
      <c r="G79" t="s">
        <v>710</v>
      </c>
      <c r="H79">
        <v>331</v>
      </c>
      <c r="I79">
        <v>20.47</v>
      </c>
      <c r="J79">
        <v>20.48</v>
      </c>
      <c r="K79">
        <v>0</v>
      </c>
      <c r="L79">
        <v>0.1</v>
      </c>
      <c r="M79" t="s">
        <v>711</v>
      </c>
      <c r="N79">
        <v>71.8</v>
      </c>
      <c r="O79" t="s">
        <v>392</v>
      </c>
      <c r="P79">
        <v>20.52</v>
      </c>
      <c r="Q79">
        <v>20.260000000000002</v>
      </c>
      <c r="R79">
        <v>20.329999999999998</v>
      </c>
      <c r="S79">
        <v>20.43</v>
      </c>
      <c r="T79">
        <v>1.27</v>
      </c>
      <c r="U79">
        <v>0.75</v>
      </c>
      <c r="V79">
        <v>-21.66</v>
      </c>
      <c r="W79">
        <v>-923</v>
      </c>
      <c r="X79">
        <v>20.36</v>
      </c>
      <c r="Y79" t="s">
        <v>712</v>
      </c>
      <c r="Z79" t="s">
        <v>713</v>
      </c>
      <c r="AA79">
        <v>1.65</v>
      </c>
      <c r="AB79">
        <v>17</v>
      </c>
      <c r="AC79">
        <v>1021</v>
      </c>
      <c r="AD79">
        <v>8.27</v>
      </c>
      <c r="AE79" t="s">
        <v>714</v>
      </c>
      <c r="AF79" t="s">
        <v>715</v>
      </c>
      <c r="AG79" t="s">
        <v>716</v>
      </c>
      <c r="AH79" t="s">
        <v>717</v>
      </c>
      <c r="AI79">
        <v>-1.1599999999999999</v>
      </c>
      <c r="AJ79">
        <v>-0.92</v>
      </c>
      <c r="AK79">
        <v>0.37</v>
      </c>
      <c r="AL79">
        <v>0.79</v>
      </c>
    </row>
    <row r="80" spans="1:38" x14ac:dyDescent="0.25">
      <c r="A80">
        <v>79</v>
      </c>
      <c r="B80" t="str">
        <f xml:space="preserve"> "600518"</f>
        <v>600518</v>
      </c>
      <c r="C80" t="s">
        <v>718</v>
      </c>
      <c r="D80">
        <v>20.43</v>
      </c>
      <c r="E80">
        <v>-0.39</v>
      </c>
      <c r="F80">
        <v>-0.08</v>
      </c>
      <c r="G80" t="s">
        <v>59</v>
      </c>
      <c r="H80">
        <v>23</v>
      </c>
      <c r="I80">
        <v>20.43</v>
      </c>
      <c r="J80">
        <v>20.440000000000001</v>
      </c>
      <c r="K80">
        <v>-0.15</v>
      </c>
      <c r="L80">
        <v>0.34</v>
      </c>
      <c r="M80" t="s">
        <v>719</v>
      </c>
      <c r="N80">
        <v>23.49</v>
      </c>
      <c r="O80" t="s">
        <v>392</v>
      </c>
      <c r="P80">
        <v>20.71</v>
      </c>
      <c r="Q80">
        <v>20.41</v>
      </c>
      <c r="R80">
        <v>20.49</v>
      </c>
      <c r="S80">
        <v>20.51</v>
      </c>
      <c r="T80">
        <v>1.46</v>
      </c>
      <c r="U80">
        <v>0.93</v>
      </c>
      <c r="V80">
        <v>-24.32</v>
      </c>
      <c r="W80">
        <v>-700</v>
      </c>
      <c r="X80">
        <v>20.56</v>
      </c>
      <c r="Y80" t="s">
        <v>720</v>
      </c>
      <c r="Z80" t="s">
        <v>721</v>
      </c>
      <c r="AA80">
        <v>1.52</v>
      </c>
      <c r="AB80">
        <v>68</v>
      </c>
      <c r="AC80">
        <v>479</v>
      </c>
      <c r="AD80">
        <v>3.74</v>
      </c>
      <c r="AE80" t="s">
        <v>722</v>
      </c>
      <c r="AF80" t="s">
        <v>723</v>
      </c>
      <c r="AG80" t="s">
        <v>716</v>
      </c>
      <c r="AH80" t="s">
        <v>724</v>
      </c>
      <c r="AI80">
        <v>1.24</v>
      </c>
      <c r="AJ80">
        <v>1.59</v>
      </c>
      <c r="AK80">
        <v>1.17</v>
      </c>
      <c r="AL80">
        <v>2.16</v>
      </c>
    </row>
    <row r="81" spans="1:38" x14ac:dyDescent="0.25">
      <c r="A81">
        <v>80</v>
      </c>
      <c r="B81" t="str">
        <f xml:space="preserve"> "600958"</f>
        <v>600958</v>
      </c>
      <c r="C81" t="s">
        <v>725</v>
      </c>
      <c r="D81">
        <v>16.09</v>
      </c>
      <c r="E81">
        <v>-0.37</v>
      </c>
      <c r="F81">
        <v>-0.06</v>
      </c>
      <c r="G81" t="s">
        <v>460</v>
      </c>
      <c r="H81">
        <v>95</v>
      </c>
      <c r="I81">
        <v>16.09</v>
      </c>
      <c r="J81">
        <v>16.100000000000001</v>
      </c>
      <c r="K81">
        <v>0</v>
      </c>
      <c r="L81">
        <v>0.57999999999999996</v>
      </c>
      <c r="M81" t="s">
        <v>726</v>
      </c>
      <c r="N81">
        <v>28.49</v>
      </c>
      <c r="O81" t="s">
        <v>306</v>
      </c>
      <c r="P81">
        <v>16.18</v>
      </c>
      <c r="Q81">
        <v>16.010000000000002</v>
      </c>
      <c r="R81">
        <v>16.18</v>
      </c>
      <c r="S81">
        <v>16.149999999999999</v>
      </c>
      <c r="T81">
        <v>1.05</v>
      </c>
      <c r="U81">
        <v>0.71</v>
      </c>
      <c r="V81">
        <v>-15</v>
      </c>
      <c r="W81">
        <v>-786</v>
      </c>
      <c r="X81">
        <v>16.09</v>
      </c>
      <c r="Y81" t="s">
        <v>727</v>
      </c>
      <c r="Z81" t="s">
        <v>728</v>
      </c>
      <c r="AA81">
        <v>1.21</v>
      </c>
      <c r="AB81">
        <v>7</v>
      </c>
      <c r="AC81">
        <v>640</v>
      </c>
      <c r="AD81">
        <v>2.5</v>
      </c>
      <c r="AE81" t="s">
        <v>729</v>
      </c>
      <c r="AF81" t="s">
        <v>730</v>
      </c>
      <c r="AG81" t="s">
        <v>731</v>
      </c>
      <c r="AH81" t="s">
        <v>732</v>
      </c>
      <c r="AI81">
        <v>-0.37</v>
      </c>
      <c r="AJ81">
        <v>1.64</v>
      </c>
      <c r="AK81">
        <v>1.83</v>
      </c>
      <c r="AL81">
        <v>4.6100000000000003</v>
      </c>
    </row>
    <row r="82" spans="1:38" x14ac:dyDescent="0.25">
      <c r="A82">
        <v>81</v>
      </c>
      <c r="B82" t="str">
        <f xml:space="preserve"> "600115"</f>
        <v>600115</v>
      </c>
      <c r="C82" t="s">
        <v>733</v>
      </c>
      <c r="D82">
        <v>6.75</v>
      </c>
      <c r="E82">
        <v>0</v>
      </c>
      <c r="F82">
        <v>0</v>
      </c>
      <c r="G82" t="s">
        <v>563</v>
      </c>
      <c r="H82">
        <v>21</v>
      </c>
      <c r="I82">
        <v>6.74</v>
      </c>
      <c r="J82">
        <v>6.75</v>
      </c>
      <c r="K82">
        <v>0</v>
      </c>
      <c r="L82">
        <v>0.19</v>
      </c>
      <c r="M82" t="s">
        <v>734</v>
      </c>
      <c r="N82">
        <v>11.23</v>
      </c>
      <c r="O82" t="s">
        <v>572</v>
      </c>
      <c r="P82">
        <v>6.76</v>
      </c>
      <c r="Q82">
        <v>6.72</v>
      </c>
      <c r="R82">
        <v>6.75</v>
      </c>
      <c r="S82">
        <v>6.75</v>
      </c>
      <c r="T82">
        <v>0.59</v>
      </c>
      <c r="U82">
        <v>0.76</v>
      </c>
      <c r="V82">
        <v>26.81</v>
      </c>
      <c r="W82" t="s">
        <v>507</v>
      </c>
      <c r="X82">
        <v>6.74</v>
      </c>
      <c r="Y82" t="s">
        <v>337</v>
      </c>
      <c r="Z82" t="s">
        <v>735</v>
      </c>
      <c r="AA82">
        <v>1.57</v>
      </c>
      <c r="AB82">
        <v>4733</v>
      </c>
      <c r="AC82">
        <v>3173</v>
      </c>
      <c r="AD82">
        <v>1.92</v>
      </c>
      <c r="AE82" t="s">
        <v>575</v>
      </c>
      <c r="AF82" t="s">
        <v>736</v>
      </c>
      <c r="AG82" t="s">
        <v>311</v>
      </c>
      <c r="AH82" t="s">
        <v>737</v>
      </c>
      <c r="AI82">
        <v>-0.74</v>
      </c>
      <c r="AJ82">
        <v>-0.15</v>
      </c>
      <c r="AK82">
        <v>0.73</v>
      </c>
      <c r="AL82">
        <v>1.41</v>
      </c>
    </row>
    <row r="83" spans="1:38" x14ac:dyDescent="0.25">
      <c r="A83">
        <v>82</v>
      </c>
      <c r="B83" t="str">
        <f xml:space="preserve"> "600690"</f>
        <v>600690</v>
      </c>
      <c r="C83" t="s">
        <v>738</v>
      </c>
      <c r="D83">
        <v>15.93</v>
      </c>
      <c r="E83">
        <v>1.98</v>
      </c>
      <c r="F83">
        <v>0.31</v>
      </c>
      <c r="G83" t="s">
        <v>739</v>
      </c>
      <c r="H83">
        <v>40</v>
      </c>
      <c r="I83">
        <v>15.92</v>
      </c>
      <c r="J83">
        <v>15.93</v>
      </c>
      <c r="K83">
        <v>0.19</v>
      </c>
      <c r="L83">
        <v>2.1</v>
      </c>
      <c r="M83" t="s">
        <v>740</v>
      </c>
      <c r="N83">
        <v>10.97</v>
      </c>
      <c r="O83" t="s">
        <v>215</v>
      </c>
      <c r="P83">
        <v>16.260000000000002</v>
      </c>
      <c r="Q83">
        <v>15.56</v>
      </c>
      <c r="R83">
        <v>15.7</v>
      </c>
      <c r="S83">
        <v>15.62</v>
      </c>
      <c r="T83">
        <v>4.4800000000000004</v>
      </c>
      <c r="U83">
        <v>1.07</v>
      </c>
      <c r="V83">
        <v>8.0399999999999991</v>
      </c>
      <c r="W83">
        <v>613</v>
      </c>
      <c r="X83">
        <v>15.94</v>
      </c>
      <c r="Y83" t="s">
        <v>741</v>
      </c>
      <c r="Z83" t="s">
        <v>742</v>
      </c>
      <c r="AA83">
        <v>0.85</v>
      </c>
      <c r="AB83">
        <v>356</v>
      </c>
      <c r="AC83">
        <v>111</v>
      </c>
      <c r="AD83">
        <v>3.49</v>
      </c>
      <c r="AE83" t="s">
        <v>743</v>
      </c>
      <c r="AF83" t="s">
        <v>744</v>
      </c>
      <c r="AG83" t="s">
        <v>743</v>
      </c>
      <c r="AH83" t="s">
        <v>744</v>
      </c>
      <c r="AI83">
        <v>7.93</v>
      </c>
      <c r="AJ83">
        <v>6.84</v>
      </c>
      <c r="AK83">
        <v>5.53</v>
      </c>
      <c r="AL83">
        <v>11.92</v>
      </c>
    </row>
    <row r="84" spans="1:38" x14ac:dyDescent="0.25">
      <c r="A84">
        <v>83</v>
      </c>
      <c r="B84" t="str">
        <f xml:space="preserve"> "600919"</f>
        <v>600919</v>
      </c>
      <c r="C84" t="s">
        <v>745</v>
      </c>
      <c r="D84">
        <v>8.4</v>
      </c>
      <c r="E84">
        <v>0.24</v>
      </c>
      <c r="F84">
        <v>0.02</v>
      </c>
      <c r="G84" t="s">
        <v>235</v>
      </c>
      <c r="H84">
        <v>274</v>
      </c>
      <c r="I84">
        <v>8.39</v>
      </c>
      <c r="J84">
        <v>8.4</v>
      </c>
      <c r="K84">
        <v>0</v>
      </c>
      <c r="L84">
        <v>0.28000000000000003</v>
      </c>
      <c r="M84" t="s">
        <v>746</v>
      </c>
      <c r="N84">
        <v>7.85</v>
      </c>
      <c r="O84" t="s">
        <v>41</v>
      </c>
      <c r="P84">
        <v>8.4</v>
      </c>
      <c r="Q84">
        <v>8.36</v>
      </c>
      <c r="R84">
        <v>8.3699999999999992</v>
      </c>
      <c r="S84">
        <v>8.3800000000000008</v>
      </c>
      <c r="T84">
        <v>0.48</v>
      </c>
      <c r="U84">
        <v>0.65</v>
      </c>
      <c r="V84">
        <v>11.59</v>
      </c>
      <c r="W84">
        <v>4523</v>
      </c>
      <c r="X84">
        <v>8.3800000000000008</v>
      </c>
      <c r="Y84" t="s">
        <v>747</v>
      </c>
      <c r="Z84" t="s">
        <v>748</v>
      </c>
      <c r="AA84">
        <v>1.06</v>
      </c>
      <c r="AB84">
        <v>3381</v>
      </c>
      <c r="AC84">
        <v>2676</v>
      </c>
      <c r="AD84">
        <v>1.1299999999999999</v>
      </c>
      <c r="AE84" t="s">
        <v>191</v>
      </c>
      <c r="AF84" t="s">
        <v>749</v>
      </c>
      <c r="AG84" t="s">
        <v>750</v>
      </c>
      <c r="AH84" t="s">
        <v>751</v>
      </c>
      <c r="AI84">
        <v>0.12</v>
      </c>
      <c r="AJ84">
        <v>1.69</v>
      </c>
      <c r="AK84">
        <v>0.95</v>
      </c>
      <c r="AL84">
        <v>2.46</v>
      </c>
    </row>
    <row r="85" spans="1:38" x14ac:dyDescent="0.25">
      <c r="A85">
        <v>84</v>
      </c>
      <c r="B85" t="str">
        <f xml:space="preserve"> "000538"</f>
        <v>000538</v>
      </c>
      <c r="C85" t="s">
        <v>752</v>
      </c>
      <c r="D85">
        <v>91.15</v>
      </c>
      <c r="E85">
        <v>-2.25</v>
      </c>
      <c r="F85">
        <v>-2.1</v>
      </c>
      <c r="G85" t="s">
        <v>753</v>
      </c>
      <c r="H85">
        <v>214</v>
      </c>
      <c r="I85">
        <v>91.15</v>
      </c>
      <c r="J85">
        <v>91.16</v>
      </c>
      <c r="K85">
        <v>-0.04</v>
      </c>
      <c r="L85">
        <v>0.41</v>
      </c>
      <c r="M85" t="s">
        <v>431</v>
      </c>
      <c r="N85">
        <v>30.33</v>
      </c>
      <c r="O85" t="s">
        <v>392</v>
      </c>
      <c r="P85">
        <v>93.25</v>
      </c>
      <c r="Q85">
        <v>91.14</v>
      </c>
      <c r="R85">
        <v>93.25</v>
      </c>
      <c r="S85">
        <v>93.25</v>
      </c>
      <c r="T85">
        <v>2.2599999999999998</v>
      </c>
      <c r="U85">
        <v>0.78</v>
      </c>
      <c r="V85">
        <v>11.35</v>
      </c>
      <c r="W85">
        <v>125</v>
      </c>
      <c r="X85">
        <v>91.82</v>
      </c>
      <c r="Y85" t="s">
        <v>754</v>
      </c>
      <c r="Z85" t="s">
        <v>124</v>
      </c>
      <c r="AA85">
        <v>2.38</v>
      </c>
      <c r="AB85">
        <v>365</v>
      </c>
      <c r="AC85">
        <v>174</v>
      </c>
      <c r="AD85">
        <v>5.77</v>
      </c>
      <c r="AE85" t="s">
        <v>755</v>
      </c>
      <c r="AF85" t="s">
        <v>756</v>
      </c>
      <c r="AG85" t="s">
        <v>755</v>
      </c>
      <c r="AH85" t="s">
        <v>756</v>
      </c>
      <c r="AI85">
        <v>-0.12</v>
      </c>
      <c r="AJ85">
        <v>1.73</v>
      </c>
      <c r="AK85">
        <v>1.29</v>
      </c>
      <c r="AL85">
        <v>3.01</v>
      </c>
    </row>
    <row r="86" spans="1:38" x14ac:dyDescent="0.25">
      <c r="A86">
        <v>85</v>
      </c>
      <c r="B86" t="str">
        <f xml:space="preserve"> "600703"</f>
        <v>600703</v>
      </c>
      <c r="C86" t="s">
        <v>757</v>
      </c>
      <c r="D86">
        <v>22.81</v>
      </c>
      <c r="E86">
        <v>-1.17</v>
      </c>
      <c r="F86">
        <v>-0.27</v>
      </c>
      <c r="G86" t="s">
        <v>601</v>
      </c>
      <c r="H86">
        <v>93</v>
      </c>
      <c r="I86">
        <v>22.8</v>
      </c>
      <c r="J86">
        <v>22.81</v>
      </c>
      <c r="K86">
        <v>0</v>
      </c>
      <c r="L86">
        <v>0.74</v>
      </c>
      <c r="M86" t="s">
        <v>758</v>
      </c>
      <c r="N86">
        <v>30.71</v>
      </c>
      <c r="O86" t="s">
        <v>380</v>
      </c>
      <c r="P86">
        <v>23.31</v>
      </c>
      <c r="Q86">
        <v>22.57</v>
      </c>
      <c r="R86">
        <v>23.02</v>
      </c>
      <c r="S86">
        <v>23.08</v>
      </c>
      <c r="T86">
        <v>3.21</v>
      </c>
      <c r="U86">
        <v>0.56000000000000005</v>
      </c>
      <c r="V86">
        <v>53.58</v>
      </c>
      <c r="W86">
        <v>1517</v>
      </c>
      <c r="X86">
        <v>22.91</v>
      </c>
      <c r="Y86" t="s">
        <v>246</v>
      </c>
      <c r="Z86" t="s">
        <v>759</v>
      </c>
      <c r="AA86">
        <v>1.04</v>
      </c>
      <c r="AB86">
        <v>122</v>
      </c>
      <c r="AC86">
        <v>58</v>
      </c>
      <c r="AD86">
        <v>5.12</v>
      </c>
      <c r="AE86" t="s">
        <v>760</v>
      </c>
      <c r="AF86" t="s">
        <v>761</v>
      </c>
      <c r="AG86" t="s">
        <v>760</v>
      </c>
      <c r="AH86" t="s">
        <v>761</v>
      </c>
      <c r="AI86">
        <v>1.97</v>
      </c>
      <c r="AJ86">
        <v>-1.38</v>
      </c>
      <c r="AK86">
        <v>2.65</v>
      </c>
      <c r="AL86">
        <v>7.27</v>
      </c>
    </row>
    <row r="87" spans="1:38" x14ac:dyDescent="0.25">
      <c r="A87">
        <v>86</v>
      </c>
      <c r="B87" t="str">
        <f xml:space="preserve"> "600606"</f>
        <v>600606</v>
      </c>
      <c r="C87" t="s">
        <v>762</v>
      </c>
      <c r="D87">
        <v>7.63</v>
      </c>
      <c r="E87">
        <v>0</v>
      </c>
      <c r="F87">
        <v>0</v>
      </c>
      <c r="G87" t="s">
        <v>763</v>
      </c>
      <c r="H87">
        <v>89</v>
      </c>
      <c r="I87">
        <v>7.63</v>
      </c>
      <c r="J87">
        <v>7.64</v>
      </c>
      <c r="K87">
        <v>0</v>
      </c>
      <c r="L87">
        <v>0.92</v>
      </c>
      <c r="M87" t="s">
        <v>764</v>
      </c>
      <c r="N87">
        <v>9.9700000000000006</v>
      </c>
      <c r="O87" t="s">
        <v>244</v>
      </c>
      <c r="P87">
        <v>7.65</v>
      </c>
      <c r="Q87">
        <v>7.61</v>
      </c>
      <c r="R87">
        <v>7.63</v>
      </c>
      <c r="S87">
        <v>7.63</v>
      </c>
      <c r="T87">
        <v>0.52</v>
      </c>
      <c r="U87">
        <v>0.67</v>
      </c>
      <c r="V87">
        <v>-33.46</v>
      </c>
      <c r="W87" t="s">
        <v>765</v>
      </c>
      <c r="X87">
        <v>7.63</v>
      </c>
      <c r="Y87" t="s">
        <v>766</v>
      </c>
      <c r="Z87" t="s">
        <v>767</v>
      </c>
      <c r="AA87">
        <v>1.44</v>
      </c>
      <c r="AB87">
        <v>913</v>
      </c>
      <c r="AC87">
        <v>8503</v>
      </c>
      <c r="AD87">
        <v>1.66</v>
      </c>
      <c r="AE87" t="s">
        <v>555</v>
      </c>
      <c r="AF87" t="s">
        <v>768</v>
      </c>
      <c r="AG87" t="s">
        <v>769</v>
      </c>
      <c r="AH87" t="s">
        <v>770</v>
      </c>
      <c r="AI87">
        <v>-0.26</v>
      </c>
      <c r="AJ87">
        <v>1.6</v>
      </c>
      <c r="AK87">
        <v>3.72</v>
      </c>
      <c r="AL87">
        <v>7.82</v>
      </c>
    </row>
    <row r="88" spans="1:38" x14ac:dyDescent="0.25">
      <c r="A88">
        <v>87</v>
      </c>
      <c r="B88" t="str">
        <f xml:space="preserve"> "600340"</f>
        <v>600340</v>
      </c>
      <c r="C88" t="s">
        <v>771</v>
      </c>
      <c r="D88">
        <v>31.16</v>
      </c>
      <c r="E88">
        <v>0.57999999999999996</v>
      </c>
      <c r="F88">
        <v>0.18</v>
      </c>
      <c r="G88" t="s">
        <v>59</v>
      </c>
      <c r="H88">
        <v>107</v>
      </c>
      <c r="I88">
        <v>31.16</v>
      </c>
      <c r="J88">
        <v>31.17</v>
      </c>
      <c r="K88">
        <v>0</v>
      </c>
      <c r="L88">
        <v>0.5</v>
      </c>
      <c r="M88" t="s">
        <v>772</v>
      </c>
      <c r="N88">
        <v>8.58</v>
      </c>
      <c r="O88" t="s">
        <v>244</v>
      </c>
      <c r="P88">
        <v>31.24</v>
      </c>
      <c r="Q88">
        <v>30.9</v>
      </c>
      <c r="R88">
        <v>30.96</v>
      </c>
      <c r="S88">
        <v>30.98</v>
      </c>
      <c r="T88">
        <v>1.1000000000000001</v>
      </c>
      <c r="U88">
        <v>0.7</v>
      </c>
      <c r="V88">
        <v>-26.64</v>
      </c>
      <c r="W88">
        <v>-1187</v>
      </c>
      <c r="X88">
        <v>31.09</v>
      </c>
      <c r="Y88" t="s">
        <v>773</v>
      </c>
      <c r="Z88" t="s">
        <v>774</v>
      </c>
      <c r="AA88">
        <v>0.92</v>
      </c>
      <c r="AB88">
        <v>588</v>
      </c>
      <c r="AC88">
        <v>187</v>
      </c>
      <c r="AD88">
        <v>3.47</v>
      </c>
      <c r="AE88" t="s">
        <v>775</v>
      </c>
      <c r="AF88" t="s">
        <v>776</v>
      </c>
      <c r="AG88" t="s">
        <v>775</v>
      </c>
      <c r="AH88" t="s">
        <v>776</v>
      </c>
      <c r="AI88">
        <v>1.47</v>
      </c>
      <c r="AJ88">
        <v>1.1399999999999999</v>
      </c>
      <c r="AK88">
        <v>1.64</v>
      </c>
      <c r="AL88">
        <v>4.0999999999999996</v>
      </c>
    </row>
    <row r="89" spans="1:38" x14ac:dyDescent="0.25">
      <c r="A89">
        <v>88</v>
      </c>
      <c r="B89" t="str">
        <f xml:space="preserve"> "600196"</f>
        <v>600196</v>
      </c>
      <c r="C89" t="s">
        <v>777</v>
      </c>
      <c r="D89">
        <v>36.67</v>
      </c>
      <c r="E89">
        <v>-0.08</v>
      </c>
      <c r="F89">
        <v>-0.03</v>
      </c>
      <c r="G89" t="s">
        <v>778</v>
      </c>
      <c r="H89">
        <v>47</v>
      </c>
      <c r="I89">
        <v>36.69</v>
      </c>
      <c r="J89">
        <v>36.700000000000003</v>
      </c>
      <c r="K89">
        <v>0.03</v>
      </c>
      <c r="L89">
        <v>0.7</v>
      </c>
      <c r="M89" t="s">
        <v>779</v>
      </c>
      <c r="N89">
        <v>27.09</v>
      </c>
      <c r="O89" t="s">
        <v>392</v>
      </c>
      <c r="P89">
        <v>37.25</v>
      </c>
      <c r="Q89">
        <v>36.409999999999997</v>
      </c>
      <c r="R89">
        <v>36.520000000000003</v>
      </c>
      <c r="S89">
        <v>36.700000000000003</v>
      </c>
      <c r="T89">
        <v>2.29</v>
      </c>
      <c r="U89">
        <v>0.52</v>
      </c>
      <c r="V89">
        <v>50.6</v>
      </c>
      <c r="W89">
        <v>631</v>
      </c>
      <c r="X89">
        <v>36.909999999999997</v>
      </c>
      <c r="Y89" t="s">
        <v>780</v>
      </c>
      <c r="Z89" t="s">
        <v>781</v>
      </c>
      <c r="AA89">
        <v>1.1100000000000001</v>
      </c>
      <c r="AB89">
        <v>65</v>
      </c>
      <c r="AC89">
        <v>204</v>
      </c>
      <c r="AD89">
        <v>3.85</v>
      </c>
      <c r="AE89" t="s">
        <v>782</v>
      </c>
      <c r="AF89" t="s">
        <v>783</v>
      </c>
      <c r="AG89" t="s">
        <v>784</v>
      </c>
      <c r="AH89" t="s">
        <v>785</v>
      </c>
      <c r="AI89">
        <v>5.77</v>
      </c>
      <c r="AJ89">
        <v>7.88</v>
      </c>
      <c r="AK89">
        <v>3.1</v>
      </c>
      <c r="AL89">
        <v>7.4</v>
      </c>
    </row>
    <row r="90" spans="1:38" x14ac:dyDescent="0.25">
      <c r="A90">
        <v>89</v>
      </c>
      <c r="B90" t="str">
        <f xml:space="preserve"> "601899"</f>
        <v>601899</v>
      </c>
      <c r="C90" t="s">
        <v>786</v>
      </c>
      <c r="D90">
        <v>3.9</v>
      </c>
      <c r="E90">
        <v>0.78</v>
      </c>
      <c r="F90">
        <v>0.03</v>
      </c>
      <c r="G90" t="s">
        <v>414</v>
      </c>
      <c r="H90">
        <v>825</v>
      </c>
      <c r="I90">
        <v>3.89</v>
      </c>
      <c r="J90">
        <v>3.9</v>
      </c>
      <c r="K90">
        <v>0</v>
      </c>
      <c r="L90">
        <v>0.63</v>
      </c>
      <c r="M90" t="s">
        <v>787</v>
      </c>
      <c r="N90">
        <v>29.83</v>
      </c>
      <c r="O90" t="s">
        <v>788</v>
      </c>
      <c r="P90">
        <v>3.91</v>
      </c>
      <c r="Q90">
        <v>3.86</v>
      </c>
      <c r="R90">
        <v>3.86</v>
      </c>
      <c r="S90">
        <v>3.87</v>
      </c>
      <c r="T90">
        <v>1.29</v>
      </c>
      <c r="U90">
        <v>0.78</v>
      </c>
      <c r="V90">
        <v>-50.37</v>
      </c>
      <c r="W90" t="s">
        <v>789</v>
      </c>
      <c r="X90">
        <v>3.89</v>
      </c>
      <c r="Y90" t="s">
        <v>790</v>
      </c>
      <c r="Z90" t="s">
        <v>791</v>
      </c>
      <c r="AA90">
        <v>1.34</v>
      </c>
      <c r="AB90">
        <v>44</v>
      </c>
      <c r="AC90" t="s">
        <v>792</v>
      </c>
      <c r="AD90">
        <v>2.84</v>
      </c>
      <c r="AE90" t="s">
        <v>793</v>
      </c>
      <c r="AF90" t="s">
        <v>794</v>
      </c>
      <c r="AG90" t="s">
        <v>795</v>
      </c>
      <c r="AH90" t="s">
        <v>796</v>
      </c>
      <c r="AI90">
        <v>0</v>
      </c>
      <c r="AJ90">
        <v>0.78</v>
      </c>
      <c r="AK90">
        <v>1.92</v>
      </c>
      <c r="AL90">
        <v>4.66</v>
      </c>
    </row>
    <row r="91" spans="1:38" x14ac:dyDescent="0.25">
      <c r="A91">
        <v>90</v>
      </c>
      <c r="B91" t="str">
        <f xml:space="preserve"> "000568"</f>
        <v>000568</v>
      </c>
      <c r="C91" t="s">
        <v>797</v>
      </c>
      <c r="D91">
        <v>59</v>
      </c>
      <c r="E91">
        <v>-0.84</v>
      </c>
      <c r="F91">
        <v>-0.5</v>
      </c>
      <c r="G91" t="s">
        <v>798</v>
      </c>
      <c r="H91">
        <v>679</v>
      </c>
      <c r="I91">
        <v>59</v>
      </c>
      <c r="J91">
        <v>59.01</v>
      </c>
      <c r="K91">
        <v>0</v>
      </c>
      <c r="L91">
        <v>0.56000000000000005</v>
      </c>
      <c r="M91" t="s">
        <v>799</v>
      </c>
      <c r="N91">
        <v>29.45</v>
      </c>
      <c r="O91" t="s">
        <v>123</v>
      </c>
      <c r="P91">
        <v>60.12</v>
      </c>
      <c r="Q91">
        <v>58.85</v>
      </c>
      <c r="R91">
        <v>59.2</v>
      </c>
      <c r="S91">
        <v>59.5</v>
      </c>
      <c r="T91">
        <v>2.13</v>
      </c>
      <c r="U91">
        <v>0.78</v>
      </c>
      <c r="V91">
        <v>17.82</v>
      </c>
      <c r="W91">
        <v>140</v>
      </c>
      <c r="X91">
        <v>59.46</v>
      </c>
      <c r="Y91" t="s">
        <v>800</v>
      </c>
      <c r="Z91" t="s">
        <v>42</v>
      </c>
      <c r="AA91">
        <v>1.27</v>
      </c>
      <c r="AB91">
        <v>46</v>
      </c>
      <c r="AC91">
        <v>10</v>
      </c>
      <c r="AD91">
        <v>6.13</v>
      </c>
      <c r="AE91" t="s">
        <v>801</v>
      </c>
      <c r="AF91" t="s">
        <v>802</v>
      </c>
      <c r="AG91" t="s">
        <v>803</v>
      </c>
      <c r="AH91" t="s">
        <v>804</v>
      </c>
      <c r="AI91">
        <v>2.25</v>
      </c>
      <c r="AJ91">
        <v>3.87</v>
      </c>
      <c r="AK91">
        <v>2.17</v>
      </c>
      <c r="AL91">
        <v>4.1399999999999997</v>
      </c>
    </row>
    <row r="92" spans="1:38" x14ac:dyDescent="0.25">
      <c r="A92">
        <v>91</v>
      </c>
      <c r="B92" t="str">
        <f xml:space="preserve"> "002558"</f>
        <v>002558</v>
      </c>
      <c r="C92" t="s">
        <v>805</v>
      </c>
      <c r="D92">
        <v>42.29</v>
      </c>
      <c r="E92">
        <v>0.21</v>
      </c>
      <c r="F92">
        <v>0.09</v>
      </c>
      <c r="G92" t="s">
        <v>507</v>
      </c>
      <c r="H92">
        <v>117</v>
      </c>
      <c r="I92">
        <v>42.29</v>
      </c>
      <c r="J92">
        <v>42.3</v>
      </c>
      <c r="K92">
        <v>0.02</v>
      </c>
      <c r="L92">
        <v>0.56000000000000005</v>
      </c>
      <c r="M92" t="s">
        <v>806</v>
      </c>
      <c r="N92">
        <v>61.39</v>
      </c>
      <c r="O92" t="s">
        <v>807</v>
      </c>
      <c r="P92">
        <v>42.38</v>
      </c>
      <c r="Q92">
        <v>41.89</v>
      </c>
      <c r="R92">
        <v>42.1</v>
      </c>
      <c r="S92">
        <v>42.2</v>
      </c>
      <c r="T92">
        <v>1.1599999999999999</v>
      </c>
      <c r="U92">
        <v>0.98</v>
      </c>
      <c r="V92">
        <v>-75.64</v>
      </c>
      <c r="W92">
        <v>-786</v>
      </c>
      <c r="X92">
        <v>42.14</v>
      </c>
      <c r="Y92">
        <v>8322</v>
      </c>
      <c r="Z92" t="s">
        <v>808</v>
      </c>
      <c r="AA92">
        <v>0.75</v>
      </c>
      <c r="AB92">
        <v>15</v>
      </c>
      <c r="AC92">
        <v>858</v>
      </c>
      <c r="AD92">
        <v>10.81</v>
      </c>
      <c r="AE92" t="s">
        <v>809</v>
      </c>
      <c r="AF92" t="s">
        <v>810</v>
      </c>
      <c r="AG92" t="s">
        <v>811</v>
      </c>
      <c r="AH92" t="s">
        <v>812</v>
      </c>
      <c r="AI92">
        <v>-0.09</v>
      </c>
      <c r="AJ92">
        <v>3.02</v>
      </c>
      <c r="AK92">
        <v>1.93</v>
      </c>
      <c r="AL92">
        <v>3.42</v>
      </c>
    </row>
    <row r="93" spans="1:38" x14ac:dyDescent="0.25">
      <c r="A93">
        <v>92</v>
      </c>
      <c r="B93" t="str">
        <f xml:space="preserve"> "601933"</f>
        <v>601933</v>
      </c>
      <c r="C93" t="s">
        <v>813</v>
      </c>
      <c r="D93">
        <v>8.8000000000000007</v>
      </c>
      <c r="E93">
        <v>0.92</v>
      </c>
      <c r="F93">
        <v>0.08</v>
      </c>
      <c r="G93" t="s">
        <v>814</v>
      </c>
      <c r="H93">
        <v>21</v>
      </c>
      <c r="I93">
        <v>8.81</v>
      </c>
      <c r="J93">
        <v>8.82</v>
      </c>
      <c r="K93">
        <v>0.23</v>
      </c>
      <c r="L93">
        <v>1.06</v>
      </c>
      <c r="M93" t="s">
        <v>815</v>
      </c>
      <c r="N93">
        <v>39.909999999999997</v>
      </c>
      <c r="O93" t="s">
        <v>532</v>
      </c>
      <c r="P93">
        <v>8.93</v>
      </c>
      <c r="Q93">
        <v>8.61</v>
      </c>
      <c r="R93">
        <v>8.7100000000000009</v>
      </c>
      <c r="S93">
        <v>8.7200000000000006</v>
      </c>
      <c r="T93">
        <v>3.67</v>
      </c>
      <c r="U93">
        <v>1.04</v>
      </c>
      <c r="V93">
        <v>-33.49</v>
      </c>
      <c r="W93">
        <v>-3571</v>
      </c>
      <c r="X93">
        <v>8.74</v>
      </c>
      <c r="Y93" t="s">
        <v>816</v>
      </c>
      <c r="Z93" t="s">
        <v>817</v>
      </c>
      <c r="AA93">
        <v>1.25</v>
      </c>
      <c r="AB93">
        <v>448</v>
      </c>
      <c r="AC93">
        <v>343</v>
      </c>
      <c r="AD93">
        <v>4.4000000000000004</v>
      </c>
      <c r="AE93" t="s">
        <v>818</v>
      </c>
      <c r="AF93" t="s">
        <v>819</v>
      </c>
      <c r="AG93" t="s">
        <v>372</v>
      </c>
      <c r="AH93" t="s">
        <v>820</v>
      </c>
      <c r="AI93">
        <v>6.8</v>
      </c>
      <c r="AJ93">
        <v>12.97</v>
      </c>
      <c r="AK93">
        <v>3.44</v>
      </c>
      <c r="AL93">
        <v>6.17</v>
      </c>
    </row>
    <row r="94" spans="1:38" x14ac:dyDescent="0.25">
      <c r="A94">
        <v>93</v>
      </c>
      <c r="B94" t="str">
        <f xml:space="preserve"> "600029"</f>
        <v>600029</v>
      </c>
      <c r="C94" t="s">
        <v>821</v>
      </c>
      <c r="D94">
        <v>8.2200000000000006</v>
      </c>
      <c r="E94">
        <v>0.37</v>
      </c>
      <c r="F94">
        <v>0.03</v>
      </c>
      <c r="G94" t="s">
        <v>822</v>
      </c>
      <c r="H94">
        <v>38</v>
      </c>
      <c r="I94">
        <v>8.2100000000000009</v>
      </c>
      <c r="J94">
        <v>8.2200000000000006</v>
      </c>
      <c r="K94">
        <v>0.12</v>
      </c>
      <c r="L94">
        <v>0.32</v>
      </c>
      <c r="M94" t="s">
        <v>823</v>
      </c>
      <c r="N94">
        <v>14.98</v>
      </c>
      <c r="O94" t="s">
        <v>572</v>
      </c>
      <c r="P94">
        <v>8.2200000000000006</v>
      </c>
      <c r="Q94">
        <v>8.15</v>
      </c>
      <c r="R94">
        <v>8.19</v>
      </c>
      <c r="S94">
        <v>8.19</v>
      </c>
      <c r="T94">
        <v>0.85</v>
      </c>
      <c r="U94">
        <v>0.68</v>
      </c>
      <c r="V94">
        <v>-40.68</v>
      </c>
      <c r="W94" t="s">
        <v>824</v>
      </c>
      <c r="X94">
        <v>8.18</v>
      </c>
      <c r="Y94" t="s">
        <v>778</v>
      </c>
      <c r="Z94" t="s">
        <v>825</v>
      </c>
      <c r="AA94">
        <v>1.42</v>
      </c>
      <c r="AB94">
        <v>1591</v>
      </c>
      <c r="AC94">
        <v>2771</v>
      </c>
      <c r="AD94">
        <v>1.88</v>
      </c>
      <c r="AE94" t="s">
        <v>475</v>
      </c>
      <c r="AF94" t="s">
        <v>826</v>
      </c>
      <c r="AG94" t="s">
        <v>827</v>
      </c>
      <c r="AH94" t="s">
        <v>828</v>
      </c>
      <c r="AI94">
        <v>-0.6</v>
      </c>
      <c r="AJ94">
        <v>-0.48</v>
      </c>
      <c r="AK94">
        <v>1.29</v>
      </c>
      <c r="AL94">
        <v>2.71</v>
      </c>
    </row>
    <row r="95" spans="1:38" x14ac:dyDescent="0.25">
      <c r="A95">
        <v>94</v>
      </c>
      <c r="B95" t="str">
        <f xml:space="preserve"> "601898"</f>
        <v>601898</v>
      </c>
      <c r="C95" t="s">
        <v>829</v>
      </c>
      <c r="D95">
        <v>6.24</v>
      </c>
      <c r="E95">
        <v>0.48</v>
      </c>
      <c r="F95">
        <v>0.03</v>
      </c>
      <c r="G95" t="s">
        <v>830</v>
      </c>
      <c r="H95">
        <v>50</v>
      </c>
      <c r="I95">
        <v>6.23</v>
      </c>
      <c r="J95">
        <v>6.24</v>
      </c>
      <c r="K95">
        <v>0.16</v>
      </c>
      <c r="L95">
        <v>0.09</v>
      </c>
      <c r="M95" t="s">
        <v>831</v>
      </c>
      <c r="N95">
        <v>24.39</v>
      </c>
      <c r="O95" t="s">
        <v>150</v>
      </c>
      <c r="P95">
        <v>6.25</v>
      </c>
      <c r="Q95">
        <v>6.17</v>
      </c>
      <c r="R95">
        <v>6.22</v>
      </c>
      <c r="S95">
        <v>6.21</v>
      </c>
      <c r="T95">
        <v>1.29</v>
      </c>
      <c r="U95">
        <v>0.63</v>
      </c>
      <c r="V95">
        <v>-36.29</v>
      </c>
      <c r="W95">
        <v>-6805</v>
      </c>
      <c r="X95">
        <v>6.22</v>
      </c>
      <c r="Y95" t="s">
        <v>832</v>
      </c>
      <c r="Z95" t="s">
        <v>833</v>
      </c>
      <c r="AA95">
        <v>1.1599999999999999</v>
      </c>
      <c r="AB95">
        <v>1513</v>
      </c>
      <c r="AC95">
        <v>1772</v>
      </c>
      <c r="AD95">
        <v>0.95</v>
      </c>
      <c r="AE95" t="s">
        <v>834</v>
      </c>
      <c r="AF95" t="s">
        <v>804</v>
      </c>
      <c r="AG95" t="s">
        <v>835</v>
      </c>
      <c r="AH95" t="s">
        <v>836</v>
      </c>
      <c r="AI95">
        <v>0.48</v>
      </c>
      <c r="AJ95">
        <v>0.65</v>
      </c>
      <c r="AK95">
        <v>0.54</v>
      </c>
      <c r="AL95">
        <v>0.84</v>
      </c>
    </row>
    <row r="96" spans="1:38" x14ac:dyDescent="0.25">
      <c r="A96">
        <v>95</v>
      </c>
      <c r="B96" t="str">
        <f xml:space="preserve"> "601225"</f>
        <v>601225</v>
      </c>
      <c r="C96" t="s">
        <v>837</v>
      </c>
      <c r="D96">
        <v>8.24</v>
      </c>
      <c r="E96">
        <v>0.61</v>
      </c>
      <c r="F96">
        <v>0.05</v>
      </c>
      <c r="G96" t="s">
        <v>838</v>
      </c>
      <c r="H96">
        <v>2</v>
      </c>
      <c r="I96">
        <v>8.23</v>
      </c>
      <c r="J96">
        <v>8.24</v>
      </c>
      <c r="K96">
        <v>0.12</v>
      </c>
      <c r="L96">
        <v>0.44</v>
      </c>
      <c r="M96" t="s">
        <v>839</v>
      </c>
      <c r="N96">
        <v>7.53</v>
      </c>
      <c r="O96" t="s">
        <v>150</v>
      </c>
      <c r="P96">
        <v>8.25</v>
      </c>
      <c r="Q96">
        <v>8.1199999999999992</v>
      </c>
      <c r="R96">
        <v>8.18</v>
      </c>
      <c r="S96">
        <v>8.19</v>
      </c>
      <c r="T96">
        <v>1.59</v>
      </c>
      <c r="U96">
        <v>0.56000000000000005</v>
      </c>
      <c r="V96">
        <v>-11.91</v>
      </c>
      <c r="W96">
        <v>-3092</v>
      </c>
      <c r="X96">
        <v>8.19</v>
      </c>
      <c r="Y96" t="s">
        <v>840</v>
      </c>
      <c r="Z96" t="s">
        <v>326</v>
      </c>
      <c r="AA96">
        <v>0.82</v>
      </c>
      <c r="AB96">
        <v>1649</v>
      </c>
      <c r="AC96">
        <v>2752</v>
      </c>
      <c r="AD96">
        <v>2.15</v>
      </c>
      <c r="AE96" t="s">
        <v>841</v>
      </c>
      <c r="AF96" t="s">
        <v>842</v>
      </c>
      <c r="AG96" t="s">
        <v>841</v>
      </c>
      <c r="AH96" t="s">
        <v>842</v>
      </c>
      <c r="AI96">
        <v>-2.37</v>
      </c>
      <c r="AJ96">
        <v>-6.47</v>
      </c>
      <c r="AK96">
        <v>2.2200000000000002</v>
      </c>
      <c r="AL96">
        <v>4.3899999999999997</v>
      </c>
    </row>
    <row r="97" spans="1:38" x14ac:dyDescent="0.25">
      <c r="A97">
        <v>96</v>
      </c>
      <c r="B97" t="str">
        <f xml:space="preserve"> "002142"</f>
        <v>002142</v>
      </c>
      <c r="C97" t="s">
        <v>843</v>
      </c>
      <c r="D97">
        <v>16.2</v>
      </c>
      <c r="E97">
        <v>0</v>
      </c>
      <c r="F97">
        <v>0</v>
      </c>
      <c r="G97" t="s">
        <v>844</v>
      </c>
      <c r="H97">
        <v>717</v>
      </c>
      <c r="I97">
        <v>16.2</v>
      </c>
      <c r="J97">
        <v>16.21</v>
      </c>
      <c r="K97">
        <v>-0.06</v>
      </c>
      <c r="L97">
        <v>0.31</v>
      </c>
      <c r="M97" t="s">
        <v>845</v>
      </c>
      <c r="N97">
        <v>8.6199999999999992</v>
      </c>
      <c r="O97" t="s">
        <v>41</v>
      </c>
      <c r="P97">
        <v>16.350000000000001</v>
      </c>
      <c r="Q97">
        <v>16.11</v>
      </c>
      <c r="R97">
        <v>16.190000000000001</v>
      </c>
      <c r="S97">
        <v>16.2</v>
      </c>
      <c r="T97">
        <v>1.48</v>
      </c>
      <c r="U97">
        <v>0.84</v>
      </c>
      <c r="V97">
        <v>73.13</v>
      </c>
      <c r="W97">
        <v>9313</v>
      </c>
      <c r="X97">
        <v>16.239999999999998</v>
      </c>
      <c r="Y97" t="s">
        <v>846</v>
      </c>
      <c r="Z97" t="s">
        <v>682</v>
      </c>
      <c r="AA97">
        <v>0.92</v>
      </c>
      <c r="AB97">
        <v>6444</v>
      </c>
      <c r="AC97">
        <v>503</v>
      </c>
      <c r="AD97">
        <v>1.74</v>
      </c>
      <c r="AE97" t="s">
        <v>847</v>
      </c>
      <c r="AF97" t="s">
        <v>848</v>
      </c>
      <c r="AG97" t="s">
        <v>849</v>
      </c>
      <c r="AH97" t="s">
        <v>850</v>
      </c>
      <c r="AI97">
        <v>-0.61</v>
      </c>
      <c r="AJ97">
        <v>3.18</v>
      </c>
      <c r="AK97">
        <v>0.91</v>
      </c>
      <c r="AL97">
        <v>2.15</v>
      </c>
    </row>
    <row r="98" spans="1:38" x14ac:dyDescent="0.25">
      <c r="A98">
        <v>97</v>
      </c>
      <c r="B98" t="str">
        <f xml:space="preserve"> "000895"</f>
        <v>000895</v>
      </c>
      <c r="C98" t="s">
        <v>851</v>
      </c>
      <c r="D98">
        <v>24.56</v>
      </c>
      <c r="E98">
        <v>-1.88</v>
      </c>
      <c r="F98">
        <v>-0.47</v>
      </c>
      <c r="G98" t="s">
        <v>314</v>
      </c>
      <c r="H98">
        <v>1180</v>
      </c>
      <c r="I98">
        <v>24.56</v>
      </c>
      <c r="J98">
        <v>24.57</v>
      </c>
      <c r="K98">
        <v>0</v>
      </c>
      <c r="L98">
        <v>0.44</v>
      </c>
      <c r="M98" t="s">
        <v>852</v>
      </c>
      <c r="N98">
        <v>21.28</v>
      </c>
      <c r="O98" t="s">
        <v>406</v>
      </c>
      <c r="P98">
        <v>24.92</v>
      </c>
      <c r="Q98">
        <v>24.44</v>
      </c>
      <c r="R98">
        <v>24.86</v>
      </c>
      <c r="S98">
        <v>25.03</v>
      </c>
      <c r="T98">
        <v>1.92</v>
      </c>
      <c r="U98">
        <v>0.88</v>
      </c>
      <c r="V98">
        <v>-40.869999999999997</v>
      </c>
      <c r="W98">
        <v>-751</v>
      </c>
      <c r="X98">
        <v>24.6</v>
      </c>
      <c r="Y98" t="s">
        <v>517</v>
      </c>
      <c r="Z98" t="s">
        <v>853</v>
      </c>
      <c r="AA98">
        <v>1.76</v>
      </c>
      <c r="AB98">
        <v>59</v>
      </c>
      <c r="AC98">
        <v>1041</v>
      </c>
      <c r="AD98">
        <v>6.65</v>
      </c>
      <c r="AE98" t="s">
        <v>854</v>
      </c>
      <c r="AF98" t="s">
        <v>855</v>
      </c>
      <c r="AG98" t="s">
        <v>854</v>
      </c>
      <c r="AH98" t="s">
        <v>855</v>
      </c>
      <c r="AI98">
        <v>-2.0699999999999998</v>
      </c>
      <c r="AJ98">
        <v>-1.0900000000000001</v>
      </c>
      <c r="AK98">
        <v>1.23</v>
      </c>
      <c r="AL98">
        <v>2.95</v>
      </c>
    </row>
    <row r="99" spans="1:38" x14ac:dyDescent="0.25">
      <c r="A99">
        <v>98</v>
      </c>
      <c r="B99" t="str">
        <f xml:space="preserve"> "002450"</f>
        <v>002450</v>
      </c>
      <c r="C99" t="s">
        <v>856</v>
      </c>
      <c r="D99">
        <v>22.74</v>
      </c>
      <c r="E99">
        <v>0.93</v>
      </c>
      <c r="F99">
        <v>0.21</v>
      </c>
      <c r="G99" t="s">
        <v>857</v>
      </c>
      <c r="H99">
        <v>9757</v>
      </c>
      <c r="I99">
        <v>22.73</v>
      </c>
      <c r="J99">
        <v>22.74</v>
      </c>
      <c r="K99">
        <v>0.13</v>
      </c>
      <c r="L99">
        <v>1</v>
      </c>
      <c r="M99" t="s">
        <v>858</v>
      </c>
      <c r="N99">
        <v>32.049999999999997</v>
      </c>
      <c r="O99" t="s">
        <v>859</v>
      </c>
      <c r="P99">
        <v>22.82</v>
      </c>
      <c r="Q99">
        <v>22.39</v>
      </c>
      <c r="R99">
        <v>22.5</v>
      </c>
      <c r="S99">
        <v>22.53</v>
      </c>
      <c r="T99">
        <v>1.91</v>
      </c>
      <c r="U99">
        <v>0.71</v>
      </c>
      <c r="V99">
        <v>-52.6</v>
      </c>
      <c r="W99">
        <v>-5813</v>
      </c>
      <c r="X99">
        <v>22.63</v>
      </c>
      <c r="Y99" t="s">
        <v>860</v>
      </c>
      <c r="Z99" t="s">
        <v>314</v>
      </c>
      <c r="AA99">
        <v>0.98</v>
      </c>
      <c r="AB99">
        <v>181</v>
      </c>
      <c r="AC99">
        <v>1051</v>
      </c>
      <c r="AD99">
        <v>4.83</v>
      </c>
      <c r="AE99" t="s">
        <v>861</v>
      </c>
      <c r="AF99" t="s">
        <v>862</v>
      </c>
      <c r="AG99" t="s">
        <v>863</v>
      </c>
      <c r="AH99" t="s">
        <v>864</v>
      </c>
      <c r="AI99">
        <v>3.98</v>
      </c>
      <c r="AJ99">
        <v>7.82</v>
      </c>
      <c r="AK99">
        <v>4.26</v>
      </c>
      <c r="AL99">
        <v>8.02</v>
      </c>
    </row>
    <row r="100" spans="1:38" x14ac:dyDescent="0.25">
      <c r="A100">
        <v>99</v>
      </c>
      <c r="B100" t="str">
        <f xml:space="preserve"> "601018"</f>
        <v>601018</v>
      </c>
      <c r="C100" t="s">
        <v>865</v>
      </c>
      <c r="D100">
        <v>5.92</v>
      </c>
      <c r="E100">
        <v>-0.17</v>
      </c>
      <c r="F100">
        <v>-0.01</v>
      </c>
      <c r="G100" t="s">
        <v>59</v>
      </c>
      <c r="H100">
        <v>42</v>
      </c>
      <c r="I100">
        <v>5.91</v>
      </c>
      <c r="J100">
        <v>5.92</v>
      </c>
      <c r="K100">
        <v>0</v>
      </c>
      <c r="L100">
        <v>0.12</v>
      </c>
      <c r="M100" t="s">
        <v>866</v>
      </c>
      <c r="N100">
        <v>28.32</v>
      </c>
      <c r="O100" t="s">
        <v>440</v>
      </c>
      <c r="P100">
        <v>5.95</v>
      </c>
      <c r="Q100">
        <v>5.9</v>
      </c>
      <c r="R100">
        <v>5.94</v>
      </c>
      <c r="S100">
        <v>5.93</v>
      </c>
      <c r="T100">
        <v>0.84</v>
      </c>
      <c r="U100">
        <v>0.74</v>
      </c>
      <c r="V100">
        <v>8.39</v>
      </c>
      <c r="W100">
        <v>3760</v>
      </c>
      <c r="X100">
        <v>5.92</v>
      </c>
      <c r="Y100" t="s">
        <v>867</v>
      </c>
      <c r="Z100" t="s">
        <v>868</v>
      </c>
      <c r="AA100">
        <v>1.98</v>
      </c>
      <c r="AB100">
        <v>6054</v>
      </c>
      <c r="AC100">
        <v>105</v>
      </c>
      <c r="AD100">
        <v>2.2200000000000002</v>
      </c>
      <c r="AE100" t="s">
        <v>869</v>
      </c>
      <c r="AF100" t="s">
        <v>870</v>
      </c>
      <c r="AG100" t="s">
        <v>632</v>
      </c>
      <c r="AH100" t="s">
        <v>871</v>
      </c>
      <c r="AI100">
        <v>-0.5</v>
      </c>
      <c r="AJ100">
        <v>0.17</v>
      </c>
      <c r="AK100">
        <v>0.53</v>
      </c>
      <c r="AL100">
        <v>0.9</v>
      </c>
    </row>
    <row r="101" spans="1:38" x14ac:dyDescent="0.25">
      <c r="A101">
        <v>100</v>
      </c>
      <c r="B101" t="str">
        <f xml:space="preserve"> "300433"</f>
        <v>300433</v>
      </c>
      <c r="C101" t="s">
        <v>872</v>
      </c>
      <c r="D101">
        <v>29.62</v>
      </c>
      <c r="E101">
        <v>3.89</v>
      </c>
      <c r="F101">
        <v>1.1100000000000001</v>
      </c>
      <c r="G101" t="s">
        <v>873</v>
      </c>
      <c r="H101">
        <v>784</v>
      </c>
      <c r="I101">
        <v>29.61</v>
      </c>
      <c r="J101">
        <v>29.62</v>
      </c>
      <c r="K101">
        <v>0</v>
      </c>
      <c r="L101">
        <v>2.73</v>
      </c>
      <c r="M101" t="s">
        <v>874</v>
      </c>
      <c r="N101">
        <v>124.64</v>
      </c>
      <c r="O101" t="s">
        <v>859</v>
      </c>
      <c r="P101">
        <v>30</v>
      </c>
      <c r="Q101">
        <v>28.54</v>
      </c>
      <c r="R101">
        <v>28.54</v>
      </c>
      <c r="S101">
        <v>28.51</v>
      </c>
      <c r="T101">
        <v>5.12</v>
      </c>
      <c r="U101">
        <v>2.2599999999999998</v>
      </c>
      <c r="V101">
        <v>-66.069999999999993</v>
      </c>
      <c r="W101">
        <v>-1288</v>
      </c>
      <c r="X101">
        <v>29.6</v>
      </c>
      <c r="Y101" t="s">
        <v>875</v>
      </c>
      <c r="Z101" t="s">
        <v>876</v>
      </c>
      <c r="AA101">
        <v>0.67</v>
      </c>
      <c r="AB101">
        <v>131</v>
      </c>
      <c r="AC101">
        <v>628</v>
      </c>
      <c r="AD101">
        <v>5.49</v>
      </c>
      <c r="AE101" t="s">
        <v>877</v>
      </c>
      <c r="AF101" t="s">
        <v>878</v>
      </c>
      <c r="AG101" t="s">
        <v>879</v>
      </c>
      <c r="AH101" t="s">
        <v>880</v>
      </c>
      <c r="AI101">
        <v>4.33</v>
      </c>
      <c r="AJ101">
        <v>2.92</v>
      </c>
      <c r="AK101">
        <v>5.12</v>
      </c>
      <c r="AL101">
        <v>8.76</v>
      </c>
    </row>
    <row r="102" spans="1:38" x14ac:dyDescent="0.25">
      <c r="A102">
        <v>101</v>
      </c>
      <c r="B102" t="str">
        <f xml:space="preserve"> "600009"</f>
        <v>600009</v>
      </c>
      <c r="C102" t="s">
        <v>881</v>
      </c>
      <c r="D102">
        <v>40.04</v>
      </c>
      <c r="E102">
        <v>0.13</v>
      </c>
      <c r="F102">
        <v>0.05</v>
      </c>
      <c r="G102" t="s">
        <v>882</v>
      </c>
      <c r="H102">
        <v>2</v>
      </c>
      <c r="I102">
        <v>40.049999999999997</v>
      </c>
      <c r="J102">
        <v>40.1</v>
      </c>
      <c r="K102">
        <v>-0.05</v>
      </c>
      <c r="L102">
        <v>0.47</v>
      </c>
      <c r="M102" t="s">
        <v>883</v>
      </c>
      <c r="N102">
        <v>22.75</v>
      </c>
      <c r="O102" t="s">
        <v>572</v>
      </c>
      <c r="P102">
        <v>40.799999999999997</v>
      </c>
      <c r="Q102">
        <v>39.81</v>
      </c>
      <c r="R102">
        <v>40.01</v>
      </c>
      <c r="S102">
        <v>39.99</v>
      </c>
      <c r="T102">
        <v>2.48</v>
      </c>
      <c r="U102">
        <v>0.61</v>
      </c>
      <c r="V102">
        <v>2.76</v>
      </c>
      <c r="W102">
        <v>6</v>
      </c>
      <c r="X102">
        <v>40.299999999999997</v>
      </c>
      <c r="Y102" t="s">
        <v>884</v>
      </c>
      <c r="Z102" t="s">
        <v>885</v>
      </c>
      <c r="AA102">
        <v>0.6</v>
      </c>
      <c r="AB102">
        <v>2</v>
      </c>
      <c r="AC102">
        <v>24</v>
      </c>
      <c r="AD102">
        <v>3.46</v>
      </c>
      <c r="AE102" t="s">
        <v>886</v>
      </c>
      <c r="AF102" t="s">
        <v>887</v>
      </c>
      <c r="AG102" t="s">
        <v>888</v>
      </c>
      <c r="AH102" t="s">
        <v>889</v>
      </c>
      <c r="AI102">
        <v>5.87</v>
      </c>
      <c r="AJ102">
        <v>4.46</v>
      </c>
      <c r="AK102">
        <v>2.1</v>
      </c>
      <c r="AL102">
        <v>4.34</v>
      </c>
    </row>
    <row r="103" spans="1:38" x14ac:dyDescent="0.25">
      <c r="A103">
        <v>102</v>
      </c>
      <c r="B103" t="str">
        <f xml:space="preserve"> "002230"</f>
        <v>002230</v>
      </c>
      <c r="C103" t="s">
        <v>890</v>
      </c>
      <c r="D103">
        <v>55.55</v>
      </c>
      <c r="E103">
        <v>1.52</v>
      </c>
      <c r="F103">
        <v>0.83</v>
      </c>
      <c r="G103" t="s">
        <v>891</v>
      </c>
      <c r="H103">
        <v>7197</v>
      </c>
      <c r="I103">
        <v>55.55</v>
      </c>
      <c r="J103">
        <v>55.56</v>
      </c>
      <c r="K103">
        <v>0.04</v>
      </c>
      <c r="L103">
        <v>2.71</v>
      </c>
      <c r="M103" t="s">
        <v>892</v>
      </c>
      <c r="N103">
        <v>359.52</v>
      </c>
      <c r="O103" t="s">
        <v>893</v>
      </c>
      <c r="P103">
        <v>55.8</v>
      </c>
      <c r="Q103">
        <v>54.31</v>
      </c>
      <c r="R103">
        <v>54.72</v>
      </c>
      <c r="S103">
        <v>54.72</v>
      </c>
      <c r="T103">
        <v>2.72</v>
      </c>
      <c r="U103">
        <v>0.75</v>
      </c>
      <c r="V103">
        <v>13.3</v>
      </c>
      <c r="W103">
        <v>936</v>
      </c>
      <c r="X103">
        <v>55.33</v>
      </c>
      <c r="Y103" t="s">
        <v>844</v>
      </c>
      <c r="Z103" t="s">
        <v>894</v>
      </c>
      <c r="AA103">
        <v>0.76</v>
      </c>
      <c r="AB103">
        <v>1437</v>
      </c>
      <c r="AC103">
        <v>200</v>
      </c>
      <c r="AD103">
        <v>9.44</v>
      </c>
      <c r="AE103" t="s">
        <v>895</v>
      </c>
      <c r="AF103" t="s">
        <v>358</v>
      </c>
      <c r="AG103" t="s">
        <v>896</v>
      </c>
      <c r="AH103" t="s">
        <v>897</v>
      </c>
      <c r="AI103">
        <v>-1.26</v>
      </c>
      <c r="AJ103">
        <v>5.1100000000000003</v>
      </c>
      <c r="AK103">
        <v>9.1300000000000008</v>
      </c>
      <c r="AL103">
        <v>20.94</v>
      </c>
    </row>
    <row r="104" spans="1:38" x14ac:dyDescent="0.25">
      <c r="A104">
        <v>103</v>
      </c>
      <c r="B104" t="str">
        <f xml:space="preserve"> "600663"</f>
        <v>600663</v>
      </c>
      <c r="C104" t="s">
        <v>898</v>
      </c>
      <c r="D104">
        <v>22.76</v>
      </c>
      <c r="E104">
        <v>0.18</v>
      </c>
      <c r="F104">
        <v>0.04</v>
      </c>
      <c r="G104" t="s">
        <v>899</v>
      </c>
      <c r="H104">
        <v>5</v>
      </c>
      <c r="I104">
        <v>22.76</v>
      </c>
      <c r="J104">
        <v>22.77</v>
      </c>
      <c r="K104">
        <v>-0.04</v>
      </c>
      <c r="L104">
        <v>0.08</v>
      </c>
      <c r="M104" t="s">
        <v>900</v>
      </c>
      <c r="N104">
        <v>33.159999999999997</v>
      </c>
      <c r="O104" t="s">
        <v>244</v>
      </c>
      <c r="P104">
        <v>22.87</v>
      </c>
      <c r="Q104">
        <v>22.68</v>
      </c>
      <c r="R104">
        <v>22.75</v>
      </c>
      <c r="S104">
        <v>22.72</v>
      </c>
      <c r="T104">
        <v>0.84</v>
      </c>
      <c r="U104">
        <v>0.76</v>
      </c>
      <c r="V104">
        <v>22.04</v>
      </c>
      <c r="W104">
        <v>609</v>
      </c>
      <c r="X104">
        <v>22.75</v>
      </c>
      <c r="Y104">
        <v>9690</v>
      </c>
      <c r="Z104">
        <v>8899</v>
      </c>
      <c r="AA104">
        <v>1.0900000000000001</v>
      </c>
      <c r="AB104">
        <v>334</v>
      </c>
      <c r="AC104">
        <v>213</v>
      </c>
      <c r="AD104">
        <v>5.67</v>
      </c>
      <c r="AE104" t="s">
        <v>901</v>
      </c>
      <c r="AF104" t="s">
        <v>902</v>
      </c>
      <c r="AG104" t="s">
        <v>903</v>
      </c>
      <c r="AH104" t="s">
        <v>904</v>
      </c>
      <c r="AI104">
        <v>0.13</v>
      </c>
      <c r="AJ104">
        <v>1.1599999999999999</v>
      </c>
      <c r="AK104">
        <v>0.23</v>
      </c>
      <c r="AL104">
        <v>0.57999999999999996</v>
      </c>
    </row>
    <row r="105" spans="1:38" x14ac:dyDescent="0.25">
      <c r="A105">
        <v>104</v>
      </c>
      <c r="B105" t="str">
        <f xml:space="preserve"> "002236"</f>
        <v>002236</v>
      </c>
      <c r="C105" t="s">
        <v>905</v>
      </c>
      <c r="D105">
        <v>25.58</v>
      </c>
      <c r="E105">
        <v>0.43</v>
      </c>
      <c r="F105">
        <v>0.11</v>
      </c>
      <c r="G105" t="s">
        <v>766</v>
      </c>
      <c r="H105">
        <v>3414</v>
      </c>
      <c r="I105">
        <v>25.57</v>
      </c>
      <c r="J105">
        <v>25.58</v>
      </c>
      <c r="K105">
        <v>0.08</v>
      </c>
      <c r="L105">
        <v>1.03</v>
      </c>
      <c r="M105" t="s">
        <v>252</v>
      </c>
      <c r="N105">
        <v>37.72</v>
      </c>
      <c r="O105" t="s">
        <v>205</v>
      </c>
      <c r="P105">
        <v>25.73</v>
      </c>
      <c r="Q105">
        <v>25.2</v>
      </c>
      <c r="R105">
        <v>25.5</v>
      </c>
      <c r="S105">
        <v>25.47</v>
      </c>
      <c r="T105">
        <v>2.08</v>
      </c>
      <c r="U105">
        <v>0.51</v>
      </c>
      <c r="V105">
        <v>-3.66</v>
      </c>
      <c r="W105">
        <v>-147</v>
      </c>
      <c r="X105">
        <v>25.49</v>
      </c>
      <c r="Y105" t="s">
        <v>906</v>
      </c>
      <c r="Z105" t="s">
        <v>907</v>
      </c>
      <c r="AA105">
        <v>0.96</v>
      </c>
      <c r="AB105">
        <v>163</v>
      </c>
      <c r="AC105">
        <v>57</v>
      </c>
      <c r="AD105">
        <v>8.17</v>
      </c>
      <c r="AE105" t="s">
        <v>93</v>
      </c>
      <c r="AF105" t="s">
        <v>908</v>
      </c>
      <c r="AG105" t="s">
        <v>909</v>
      </c>
      <c r="AH105" t="s">
        <v>910</v>
      </c>
      <c r="AI105">
        <v>4.54</v>
      </c>
      <c r="AJ105">
        <v>10.210000000000001</v>
      </c>
      <c r="AK105">
        <v>5.24</v>
      </c>
      <c r="AL105">
        <v>11.06</v>
      </c>
    </row>
    <row r="106" spans="1:38" x14ac:dyDescent="0.25">
      <c r="A106">
        <v>105</v>
      </c>
      <c r="B106" t="str">
        <f xml:space="preserve"> "600023"</f>
        <v>600023</v>
      </c>
      <c r="C106" t="s">
        <v>911</v>
      </c>
      <c r="D106">
        <v>5.38</v>
      </c>
      <c r="E106">
        <v>-0.37</v>
      </c>
      <c r="F106">
        <v>-0.02</v>
      </c>
      <c r="G106" t="s">
        <v>912</v>
      </c>
      <c r="H106">
        <v>200</v>
      </c>
      <c r="I106">
        <v>5.37</v>
      </c>
      <c r="J106">
        <v>5.38</v>
      </c>
      <c r="K106">
        <v>0</v>
      </c>
      <c r="L106">
        <v>0.08</v>
      </c>
      <c r="M106" t="s">
        <v>913</v>
      </c>
      <c r="N106">
        <v>15.35</v>
      </c>
      <c r="O106" t="s">
        <v>186</v>
      </c>
      <c r="P106">
        <v>5.39</v>
      </c>
      <c r="Q106">
        <v>5.36</v>
      </c>
      <c r="R106">
        <v>5.39</v>
      </c>
      <c r="S106">
        <v>5.4</v>
      </c>
      <c r="T106">
        <v>0.56000000000000005</v>
      </c>
      <c r="U106">
        <v>0.75</v>
      </c>
      <c r="V106">
        <v>-12.57</v>
      </c>
      <c r="W106">
        <v>-7158</v>
      </c>
      <c r="X106">
        <v>5.37</v>
      </c>
      <c r="Y106" t="s">
        <v>914</v>
      </c>
      <c r="Z106" t="s">
        <v>915</v>
      </c>
      <c r="AA106">
        <v>1.85</v>
      </c>
      <c r="AB106">
        <v>2176</v>
      </c>
      <c r="AC106">
        <v>4081</v>
      </c>
      <c r="AD106">
        <v>1.26</v>
      </c>
      <c r="AE106" t="s">
        <v>426</v>
      </c>
      <c r="AF106" t="s">
        <v>916</v>
      </c>
      <c r="AG106" t="s">
        <v>426</v>
      </c>
      <c r="AH106" t="s">
        <v>916</v>
      </c>
      <c r="AI106">
        <v>0.19</v>
      </c>
      <c r="AJ106">
        <v>1.1299999999999999</v>
      </c>
      <c r="AK106">
        <v>0.33</v>
      </c>
      <c r="AL106">
        <v>0.61</v>
      </c>
    </row>
    <row r="107" spans="1:38" x14ac:dyDescent="0.25">
      <c r="A107">
        <v>106</v>
      </c>
      <c r="B107" t="str">
        <f xml:space="preserve"> "601901"</f>
        <v>601901</v>
      </c>
      <c r="C107" t="s">
        <v>917</v>
      </c>
      <c r="D107">
        <v>8.68</v>
      </c>
      <c r="E107">
        <v>0.46</v>
      </c>
      <c r="F107">
        <v>0.04</v>
      </c>
      <c r="G107" t="s">
        <v>844</v>
      </c>
      <c r="H107">
        <v>193</v>
      </c>
      <c r="I107">
        <v>8.69</v>
      </c>
      <c r="J107">
        <v>8.6999999999999993</v>
      </c>
      <c r="K107">
        <v>-0.34</v>
      </c>
      <c r="L107">
        <v>0.17</v>
      </c>
      <c r="M107" t="s">
        <v>918</v>
      </c>
      <c r="N107">
        <v>43.35</v>
      </c>
      <c r="O107" t="s">
        <v>306</v>
      </c>
      <c r="P107">
        <v>8.75</v>
      </c>
      <c r="Q107">
        <v>8.64</v>
      </c>
      <c r="R107">
        <v>8.66</v>
      </c>
      <c r="S107">
        <v>8.64</v>
      </c>
      <c r="T107">
        <v>1.27</v>
      </c>
      <c r="U107">
        <v>1.1100000000000001</v>
      </c>
      <c r="V107">
        <v>-27.91</v>
      </c>
      <c r="W107">
        <v>-2219</v>
      </c>
      <c r="X107">
        <v>8.7100000000000009</v>
      </c>
      <c r="Y107" t="s">
        <v>919</v>
      </c>
      <c r="Z107" t="s">
        <v>920</v>
      </c>
      <c r="AA107">
        <v>0.82</v>
      </c>
      <c r="AB107">
        <v>77</v>
      </c>
      <c r="AC107">
        <v>75</v>
      </c>
      <c r="AD107">
        <v>1.96</v>
      </c>
      <c r="AE107" t="s">
        <v>921</v>
      </c>
      <c r="AF107" t="s">
        <v>922</v>
      </c>
      <c r="AG107" t="s">
        <v>921</v>
      </c>
      <c r="AH107" t="s">
        <v>922</v>
      </c>
      <c r="AI107">
        <v>-0.34</v>
      </c>
      <c r="AJ107">
        <v>2</v>
      </c>
      <c r="AK107">
        <v>0.37</v>
      </c>
      <c r="AL107">
        <v>0.92</v>
      </c>
    </row>
    <row r="108" spans="1:38" x14ac:dyDescent="0.25">
      <c r="A108">
        <v>107</v>
      </c>
      <c r="B108" t="str">
        <f xml:space="preserve"> "600893"</f>
        <v>600893</v>
      </c>
      <c r="C108" t="s">
        <v>923</v>
      </c>
      <c r="D108">
        <v>31.74</v>
      </c>
      <c r="E108">
        <v>-0.22</v>
      </c>
      <c r="F108">
        <v>-7.0000000000000007E-2</v>
      </c>
      <c r="G108" t="s">
        <v>924</v>
      </c>
      <c r="H108">
        <v>95</v>
      </c>
      <c r="I108">
        <v>31.72</v>
      </c>
      <c r="J108">
        <v>31.73</v>
      </c>
      <c r="K108">
        <v>0.09</v>
      </c>
      <c r="L108">
        <v>0.42</v>
      </c>
      <c r="M108" t="s">
        <v>925</v>
      </c>
      <c r="N108">
        <v>224.13</v>
      </c>
      <c r="O108" t="s">
        <v>926</v>
      </c>
      <c r="P108">
        <v>32.1</v>
      </c>
      <c r="Q108">
        <v>31.51</v>
      </c>
      <c r="R108">
        <v>31.77</v>
      </c>
      <c r="S108">
        <v>31.81</v>
      </c>
      <c r="T108">
        <v>1.85</v>
      </c>
      <c r="U108">
        <v>0.79</v>
      </c>
      <c r="V108">
        <v>-44.92</v>
      </c>
      <c r="W108">
        <v>-1108</v>
      </c>
      <c r="X108">
        <v>31.77</v>
      </c>
      <c r="Y108" t="s">
        <v>927</v>
      </c>
      <c r="Z108" t="s">
        <v>928</v>
      </c>
      <c r="AA108">
        <v>1.49</v>
      </c>
      <c r="AB108">
        <v>288</v>
      </c>
      <c r="AC108">
        <v>1</v>
      </c>
      <c r="AD108">
        <v>4.5999999999999996</v>
      </c>
      <c r="AE108" t="s">
        <v>929</v>
      </c>
      <c r="AF108" t="s">
        <v>930</v>
      </c>
      <c r="AG108" t="s">
        <v>931</v>
      </c>
      <c r="AH108" t="s">
        <v>932</v>
      </c>
      <c r="AI108">
        <v>3.39</v>
      </c>
      <c r="AJ108">
        <v>1.41</v>
      </c>
      <c r="AK108">
        <v>1.84</v>
      </c>
      <c r="AL108">
        <v>3.06</v>
      </c>
    </row>
    <row r="109" spans="1:38" x14ac:dyDescent="0.25">
      <c r="A109">
        <v>108</v>
      </c>
      <c r="B109" t="str">
        <f xml:space="preserve"> "600741"</f>
        <v>600741</v>
      </c>
      <c r="C109" t="s">
        <v>933</v>
      </c>
      <c r="D109">
        <v>22.62</v>
      </c>
      <c r="E109">
        <v>-0.7</v>
      </c>
      <c r="F109">
        <v>-0.16</v>
      </c>
      <c r="G109" t="s">
        <v>934</v>
      </c>
      <c r="H109">
        <v>1</v>
      </c>
      <c r="I109">
        <v>22.61</v>
      </c>
      <c r="J109">
        <v>22.62</v>
      </c>
      <c r="K109">
        <v>-0.18</v>
      </c>
      <c r="L109">
        <v>0.52</v>
      </c>
      <c r="M109" t="s">
        <v>935</v>
      </c>
      <c r="N109">
        <v>11.03</v>
      </c>
      <c r="O109" t="s">
        <v>169</v>
      </c>
      <c r="P109">
        <v>23.05</v>
      </c>
      <c r="Q109">
        <v>22.57</v>
      </c>
      <c r="R109">
        <v>22.88</v>
      </c>
      <c r="S109">
        <v>22.78</v>
      </c>
      <c r="T109">
        <v>2.11</v>
      </c>
      <c r="U109">
        <v>0.44</v>
      </c>
      <c r="V109">
        <v>22.09</v>
      </c>
      <c r="W109">
        <v>202</v>
      </c>
      <c r="X109">
        <v>22.82</v>
      </c>
      <c r="Y109" t="s">
        <v>748</v>
      </c>
      <c r="Z109" t="s">
        <v>936</v>
      </c>
      <c r="AA109">
        <v>1.17</v>
      </c>
      <c r="AB109">
        <v>14</v>
      </c>
      <c r="AC109">
        <v>20</v>
      </c>
      <c r="AD109">
        <v>2.0499999999999998</v>
      </c>
      <c r="AE109" t="s">
        <v>937</v>
      </c>
      <c r="AF109" t="s">
        <v>938</v>
      </c>
      <c r="AG109" t="s">
        <v>939</v>
      </c>
      <c r="AH109" t="s">
        <v>940</v>
      </c>
      <c r="AI109">
        <v>1.57</v>
      </c>
      <c r="AJ109">
        <v>1.94</v>
      </c>
      <c r="AK109">
        <v>2.16</v>
      </c>
      <c r="AL109">
        <v>6.41</v>
      </c>
    </row>
    <row r="110" spans="1:38" x14ac:dyDescent="0.25">
      <c r="A110">
        <v>109</v>
      </c>
      <c r="B110" t="str">
        <f xml:space="preserve"> "601788"</f>
        <v>601788</v>
      </c>
      <c r="C110" t="s">
        <v>941</v>
      </c>
      <c r="D110">
        <v>15.46</v>
      </c>
      <c r="E110">
        <v>0.06</v>
      </c>
      <c r="F110">
        <v>0.01</v>
      </c>
      <c r="G110" t="s">
        <v>942</v>
      </c>
      <c r="H110">
        <v>4</v>
      </c>
      <c r="I110">
        <v>15.48</v>
      </c>
      <c r="J110">
        <v>15.49</v>
      </c>
      <c r="K110">
        <v>0</v>
      </c>
      <c r="L110">
        <v>0.2</v>
      </c>
      <c r="M110" t="s">
        <v>943</v>
      </c>
      <c r="N110">
        <v>28.8</v>
      </c>
      <c r="O110" t="s">
        <v>306</v>
      </c>
      <c r="P110">
        <v>15.55</v>
      </c>
      <c r="Q110">
        <v>15.43</v>
      </c>
      <c r="R110">
        <v>15.45</v>
      </c>
      <c r="S110">
        <v>15.45</v>
      </c>
      <c r="T110">
        <v>0.78</v>
      </c>
      <c r="U110">
        <v>0.68</v>
      </c>
      <c r="V110">
        <v>-38.99</v>
      </c>
      <c r="W110">
        <v>-2488</v>
      </c>
      <c r="X110">
        <v>15.48</v>
      </c>
      <c r="Y110" t="s">
        <v>105</v>
      </c>
      <c r="Z110" t="s">
        <v>944</v>
      </c>
      <c r="AA110">
        <v>0.98</v>
      </c>
      <c r="AB110">
        <v>4</v>
      </c>
      <c r="AC110">
        <v>612</v>
      </c>
      <c r="AD110">
        <v>1.52</v>
      </c>
      <c r="AE110" t="s">
        <v>945</v>
      </c>
      <c r="AF110" t="s">
        <v>938</v>
      </c>
      <c r="AG110" t="s">
        <v>946</v>
      </c>
      <c r="AH110" t="s">
        <v>947</v>
      </c>
      <c r="AI110">
        <v>-1.1499999999999999</v>
      </c>
      <c r="AJ110">
        <v>0.32</v>
      </c>
      <c r="AK110">
        <v>0.64</v>
      </c>
      <c r="AL110">
        <v>1.69</v>
      </c>
    </row>
    <row r="111" spans="1:38" x14ac:dyDescent="0.25">
      <c r="A111">
        <v>110</v>
      </c>
      <c r="B111" t="str">
        <f xml:space="preserve"> "601888"</f>
        <v>601888</v>
      </c>
      <c r="C111" t="s">
        <v>948</v>
      </c>
      <c r="D111">
        <v>36.46</v>
      </c>
      <c r="E111">
        <v>0.39</v>
      </c>
      <c r="F111">
        <v>0.14000000000000001</v>
      </c>
      <c r="G111" t="s">
        <v>949</v>
      </c>
      <c r="H111">
        <v>15</v>
      </c>
      <c r="I111">
        <v>36.450000000000003</v>
      </c>
      <c r="J111">
        <v>36.46</v>
      </c>
      <c r="K111">
        <v>-0.08</v>
      </c>
      <c r="L111">
        <v>0.42</v>
      </c>
      <c r="M111" t="s">
        <v>950</v>
      </c>
      <c r="N111">
        <v>27.38</v>
      </c>
      <c r="O111" t="s">
        <v>951</v>
      </c>
      <c r="P111">
        <v>37.07</v>
      </c>
      <c r="Q111">
        <v>36.18</v>
      </c>
      <c r="R111">
        <v>36.380000000000003</v>
      </c>
      <c r="S111">
        <v>36.32</v>
      </c>
      <c r="T111">
        <v>2.4500000000000002</v>
      </c>
      <c r="U111">
        <v>0.71</v>
      </c>
      <c r="V111">
        <v>-42.76</v>
      </c>
      <c r="W111">
        <v>-248</v>
      </c>
      <c r="X111">
        <v>36.729999999999997</v>
      </c>
      <c r="Y111" t="s">
        <v>952</v>
      </c>
      <c r="Z111" t="s">
        <v>953</v>
      </c>
      <c r="AA111">
        <v>0.78</v>
      </c>
      <c r="AB111">
        <v>27</v>
      </c>
      <c r="AC111">
        <v>18</v>
      </c>
      <c r="AD111">
        <v>5.53</v>
      </c>
      <c r="AE111" t="s">
        <v>931</v>
      </c>
      <c r="AF111" t="s">
        <v>954</v>
      </c>
      <c r="AG111" t="s">
        <v>931</v>
      </c>
      <c r="AH111" t="s">
        <v>954</v>
      </c>
      <c r="AI111">
        <v>3.29</v>
      </c>
      <c r="AJ111">
        <v>6.98</v>
      </c>
      <c r="AK111">
        <v>1.73</v>
      </c>
      <c r="AL111">
        <v>3.37</v>
      </c>
    </row>
    <row r="112" spans="1:38" x14ac:dyDescent="0.25">
      <c r="A112">
        <v>111</v>
      </c>
      <c r="B112" t="str">
        <f xml:space="preserve"> "601919"</f>
        <v>601919</v>
      </c>
      <c r="C112" t="s">
        <v>955</v>
      </c>
      <c r="D112">
        <v>6.94</v>
      </c>
      <c r="E112">
        <v>-0.56999999999999995</v>
      </c>
      <c r="F112">
        <v>-0.04</v>
      </c>
      <c r="G112" t="s">
        <v>956</v>
      </c>
      <c r="H112">
        <v>53</v>
      </c>
      <c r="I112">
        <v>6.93</v>
      </c>
      <c r="J112">
        <v>6.94</v>
      </c>
      <c r="K112">
        <v>0</v>
      </c>
      <c r="L112">
        <v>0.36</v>
      </c>
      <c r="M112" t="s">
        <v>957</v>
      </c>
      <c r="N112">
        <v>19.02</v>
      </c>
      <c r="O112" t="s">
        <v>440</v>
      </c>
      <c r="P112">
        <v>6.98</v>
      </c>
      <c r="Q112">
        <v>6.89</v>
      </c>
      <c r="R112">
        <v>6.97</v>
      </c>
      <c r="S112">
        <v>6.98</v>
      </c>
      <c r="T112">
        <v>1.29</v>
      </c>
      <c r="U112">
        <v>0.72</v>
      </c>
      <c r="V112">
        <v>-2.4</v>
      </c>
      <c r="W112">
        <v>-582</v>
      </c>
      <c r="X112">
        <v>6.93</v>
      </c>
      <c r="Y112" t="s">
        <v>778</v>
      </c>
      <c r="Z112" t="s">
        <v>184</v>
      </c>
      <c r="AA112">
        <v>0.95</v>
      </c>
      <c r="AB112">
        <v>2382</v>
      </c>
      <c r="AC112">
        <v>489</v>
      </c>
      <c r="AD112">
        <v>3.48</v>
      </c>
      <c r="AE112" t="s">
        <v>958</v>
      </c>
      <c r="AF112" t="s">
        <v>959</v>
      </c>
      <c r="AG112" t="s">
        <v>960</v>
      </c>
      <c r="AH112" t="s">
        <v>961</v>
      </c>
      <c r="AI112">
        <v>-2.94</v>
      </c>
      <c r="AJ112">
        <v>0.73</v>
      </c>
      <c r="AK112">
        <v>1.66</v>
      </c>
      <c r="AL112">
        <v>2.83</v>
      </c>
    </row>
    <row r="113" spans="1:38" x14ac:dyDescent="0.25">
      <c r="A113">
        <v>112</v>
      </c>
      <c r="B113" t="str">
        <f xml:space="preserve"> "000069"</f>
        <v>000069</v>
      </c>
      <c r="C113" t="s">
        <v>962</v>
      </c>
      <c r="D113">
        <v>8.4700000000000006</v>
      </c>
      <c r="E113">
        <v>3.17</v>
      </c>
      <c r="F113">
        <v>0.26</v>
      </c>
      <c r="G113" t="s">
        <v>450</v>
      </c>
      <c r="H113">
        <v>1911</v>
      </c>
      <c r="I113">
        <v>8.4700000000000006</v>
      </c>
      <c r="J113">
        <v>8.48</v>
      </c>
      <c r="K113">
        <v>-0.12</v>
      </c>
      <c r="L113">
        <v>0.85</v>
      </c>
      <c r="M113" t="s">
        <v>963</v>
      </c>
      <c r="N113">
        <v>20.04</v>
      </c>
      <c r="O113" t="s">
        <v>244</v>
      </c>
      <c r="P113">
        <v>8.5500000000000007</v>
      </c>
      <c r="Q113">
        <v>8.33</v>
      </c>
      <c r="R113">
        <v>8.33</v>
      </c>
      <c r="S113">
        <v>8.2100000000000009</v>
      </c>
      <c r="T113">
        <v>2.68</v>
      </c>
      <c r="U113">
        <v>1.78</v>
      </c>
      <c r="V113">
        <v>-72.48</v>
      </c>
      <c r="W113" t="s">
        <v>964</v>
      </c>
      <c r="X113">
        <v>8.44</v>
      </c>
      <c r="Y113" t="s">
        <v>965</v>
      </c>
      <c r="Z113" t="s">
        <v>966</v>
      </c>
      <c r="AA113">
        <v>0.52</v>
      </c>
      <c r="AB113">
        <v>13</v>
      </c>
      <c r="AC113">
        <v>2245</v>
      </c>
      <c r="AD113">
        <v>1.54</v>
      </c>
      <c r="AE113" t="s">
        <v>967</v>
      </c>
      <c r="AF113" t="s">
        <v>968</v>
      </c>
      <c r="AG113" t="s">
        <v>969</v>
      </c>
      <c r="AH113" t="s">
        <v>970</v>
      </c>
      <c r="AI113">
        <v>1.44</v>
      </c>
      <c r="AJ113">
        <v>3.42</v>
      </c>
      <c r="AK113">
        <v>1.42</v>
      </c>
      <c r="AL113">
        <v>3.22</v>
      </c>
    </row>
    <row r="114" spans="1:38" x14ac:dyDescent="0.25">
      <c r="A114">
        <v>113</v>
      </c>
      <c r="B114" t="str">
        <f xml:space="preserve"> "601878"</f>
        <v>601878</v>
      </c>
      <c r="C114" t="s">
        <v>971</v>
      </c>
      <c r="D114">
        <v>20.69</v>
      </c>
      <c r="E114">
        <v>0.49</v>
      </c>
      <c r="F114">
        <v>0.1</v>
      </c>
      <c r="G114" t="s">
        <v>246</v>
      </c>
      <c r="H114">
        <v>93</v>
      </c>
      <c r="I114">
        <v>20.68</v>
      </c>
      <c r="J114">
        <v>20.69</v>
      </c>
      <c r="K114">
        <v>-0.05</v>
      </c>
      <c r="L114">
        <v>4.6100000000000003</v>
      </c>
      <c r="M114" t="s">
        <v>972</v>
      </c>
      <c r="N114">
        <v>65.459999999999994</v>
      </c>
      <c r="O114" t="s">
        <v>306</v>
      </c>
      <c r="P114">
        <v>20.83</v>
      </c>
      <c r="Q114">
        <v>20.46</v>
      </c>
      <c r="R114">
        <v>20.63</v>
      </c>
      <c r="S114">
        <v>20.59</v>
      </c>
      <c r="T114">
        <v>1.8</v>
      </c>
      <c r="U114">
        <v>0.57999999999999996</v>
      </c>
      <c r="V114">
        <v>-6.76</v>
      </c>
      <c r="W114">
        <v>-122</v>
      </c>
      <c r="X114">
        <v>20.63</v>
      </c>
      <c r="Y114" t="s">
        <v>973</v>
      </c>
      <c r="Z114" t="s">
        <v>974</v>
      </c>
      <c r="AA114">
        <v>1.0900000000000001</v>
      </c>
      <c r="AB114">
        <v>259</v>
      </c>
      <c r="AC114">
        <v>86</v>
      </c>
      <c r="AD114">
        <v>5.37</v>
      </c>
      <c r="AE114" t="s">
        <v>975</v>
      </c>
      <c r="AF114" t="s">
        <v>976</v>
      </c>
      <c r="AG114" t="s">
        <v>977</v>
      </c>
      <c r="AH114" t="s">
        <v>978</v>
      </c>
      <c r="AI114">
        <v>-2.31</v>
      </c>
      <c r="AJ114">
        <v>0.53</v>
      </c>
      <c r="AK114">
        <v>15.56</v>
      </c>
      <c r="AL114">
        <v>44.51</v>
      </c>
    </row>
    <row r="115" spans="1:38" x14ac:dyDescent="0.25">
      <c r="A115">
        <v>114</v>
      </c>
      <c r="B115" t="str">
        <f xml:space="preserve"> "000625"</f>
        <v>000625</v>
      </c>
      <c r="C115" t="s">
        <v>979</v>
      </c>
      <c r="D115">
        <v>14.25</v>
      </c>
      <c r="E115">
        <v>-0.63</v>
      </c>
      <c r="F115">
        <v>-0.09</v>
      </c>
      <c r="G115" t="s">
        <v>980</v>
      </c>
      <c r="H115">
        <v>2027</v>
      </c>
      <c r="I115">
        <v>14.24</v>
      </c>
      <c r="J115">
        <v>14.25</v>
      </c>
      <c r="K115">
        <v>7.0000000000000007E-2</v>
      </c>
      <c r="L115">
        <v>0.61</v>
      </c>
      <c r="M115" t="s">
        <v>981</v>
      </c>
      <c r="N115">
        <v>7.41</v>
      </c>
      <c r="O115" t="s">
        <v>169</v>
      </c>
      <c r="P115">
        <v>14.38</v>
      </c>
      <c r="Q115">
        <v>14.23</v>
      </c>
      <c r="R115">
        <v>14.33</v>
      </c>
      <c r="S115">
        <v>14.34</v>
      </c>
      <c r="T115">
        <v>1.05</v>
      </c>
      <c r="U115">
        <v>0.43</v>
      </c>
      <c r="V115">
        <v>48.68</v>
      </c>
      <c r="W115">
        <v>8580</v>
      </c>
      <c r="X115">
        <v>14.29</v>
      </c>
      <c r="Y115" t="s">
        <v>982</v>
      </c>
      <c r="Z115" t="s">
        <v>983</v>
      </c>
      <c r="AA115">
        <v>1.63</v>
      </c>
      <c r="AB115">
        <v>1223</v>
      </c>
      <c r="AC115">
        <v>2161</v>
      </c>
      <c r="AD115">
        <v>1.52</v>
      </c>
      <c r="AE115" t="s">
        <v>984</v>
      </c>
      <c r="AF115" t="s">
        <v>985</v>
      </c>
      <c r="AG115" t="s">
        <v>986</v>
      </c>
      <c r="AH115" t="s">
        <v>987</v>
      </c>
      <c r="AI115">
        <v>-1.38</v>
      </c>
      <c r="AJ115">
        <v>2.08</v>
      </c>
      <c r="AK115">
        <v>2.25</v>
      </c>
      <c r="AL115">
        <v>7.57</v>
      </c>
    </row>
    <row r="116" spans="1:38" x14ac:dyDescent="0.25">
      <c r="A116">
        <v>115</v>
      </c>
      <c r="B116" t="str">
        <f xml:space="preserve"> "601009"</f>
        <v>601009</v>
      </c>
      <c r="C116" t="s">
        <v>988</v>
      </c>
      <c r="D116">
        <v>8.0500000000000007</v>
      </c>
      <c r="E116">
        <v>0</v>
      </c>
      <c r="F116">
        <v>0</v>
      </c>
      <c r="G116" t="s">
        <v>131</v>
      </c>
      <c r="H116">
        <v>500</v>
      </c>
      <c r="I116">
        <v>8.0399999999999991</v>
      </c>
      <c r="J116">
        <v>8.0500000000000007</v>
      </c>
      <c r="K116">
        <v>0.25</v>
      </c>
      <c r="L116">
        <v>0.26</v>
      </c>
      <c r="M116" t="s">
        <v>989</v>
      </c>
      <c r="N116">
        <v>6.69</v>
      </c>
      <c r="O116" t="s">
        <v>41</v>
      </c>
      <c r="P116">
        <v>8.06</v>
      </c>
      <c r="Q116">
        <v>8.01</v>
      </c>
      <c r="R116">
        <v>8.0500000000000007</v>
      </c>
      <c r="S116">
        <v>8.0500000000000007</v>
      </c>
      <c r="T116">
        <v>0.62</v>
      </c>
      <c r="U116">
        <v>0.67</v>
      </c>
      <c r="V116">
        <v>-20.81</v>
      </c>
      <c r="W116" t="s">
        <v>990</v>
      </c>
      <c r="X116">
        <v>8.0299999999999994</v>
      </c>
      <c r="Y116" t="s">
        <v>991</v>
      </c>
      <c r="Z116" t="s">
        <v>362</v>
      </c>
      <c r="AA116">
        <v>1.03</v>
      </c>
      <c r="AB116">
        <v>876</v>
      </c>
      <c r="AC116">
        <v>744</v>
      </c>
      <c r="AD116">
        <v>1.3</v>
      </c>
      <c r="AE116" t="s">
        <v>992</v>
      </c>
      <c r="AF116" t="s">
        <v>993</v>
      </c>
      <c r="AG116" t="s">
        <v>994</v>
      </c>
      <c r="AH116" t="s">
        <v>995</v>
      </c>
      <c r="AI116">
        <v>-0.12</v>
      </c>
      <c r="AJ116">
        <v>2.29</v>
      </c>
      <c r="AK116">
        <v>0.81</v>
      </c>
      <c r="AL116">
        <v>2.19</v>
      </c>
    </row>
    <row r="117" spans="1:38" x14ac:dyDescent="0.25">
      <c r="A117">
        <v>116</v>
      </c>
      <c r="B117" t="str">
        <f xml:space="preserve"> "300676"</f>
        <v>300676</v>
      </c>
      <c r="C117" t="s">
        <v>996</v>
      </c>
      <c r="D117">
        <v>170.6</v>
      </c>
      <c r="E117">
        <v>0.24</v>
      </c>
      <c r="F117">
        <v>0.4</v>
      </c>
      <c r="G117" t="s">
        <v>997</v>
      </c>
      <c r="H117">
        <v>432</v>
      </c>
      <c r="I117">
        <v>170.6</v>
      </c>
      <c r="J117">
        <v>170.61</v>
      </c>
      <c r="K117">
        <v>-0.01</v>
      </c>
      <c r="L117">
        <v>6.91</v>
      </c>
      <c r="M117" t="s">
        <v>998</v>
      </c>
      <c r="N117">
        <v>178.63</v>
      </c>
      <c r="O117" t="s">
        <v>392</v>
      </c>
      <c r="P117">
        <v>173.98</v>
      </c>
      <c r="Q117">
        <v>168.69</v>
      </c>
      <c r="R117">
        <v>170</v>
      </c>
      <c r="S117">
        <v>170.2</v>
      </c>
      <c r="T117">
        <v>3.11</v>
      </c>
      <c r="U117">
        <v>0.55000000000000004</v>
      </c>
      <c r="V117">
        <v>1.97</v>
      </c>
      <c r="W117">
        <v>9</v>
      </c>
      <c r="X117">
        <v>171.62</v>
      </c>
      <c r="Y117" t="s">
        <v>999</v>
      </c>
      <c r="Z117" t="s">
        <v>480</v>
      </c>
      <c r="AA117">
        <v>1.08</v>
      </c>
      <c r="AB117">
        <v>79</v>
      </c>
      <c r="AC117">
        <v>213</v>
      </c>
      <c r="AD117">
        <v>17.39</v>
      </c>
      <c r="AE117" t="s">
        <v>1000</v>
      </c>
      <c r="AF117" t="s">
        <v>993</v>
      </c>
      <c r="AG117" t="s">
        <v>1001</v>
      </c>
      <c r="AH117" t="s">
        <v>1002</v>
      </c>
      <c r="AI117">
        <v>-7.93</v>
      </c>
      <c r="AJ117">
        <v>-0.74</v>
      </c>
      <c r="AK117">
        <v>33.96</v>
      </c>
      <c r="AL117">
        <v>69.3</v>
      </c>
    </row>
    <row r="118" spans="1:38" x14ac:dyDescent="0.25">
      <c r="A118">
        <v>117</v>
      </c>
      <c r="B118" t="str">
        <f xml:space="preserve"> "600688"</f>
        <v>600688</v>
      </c>
      <c r="C118" t="s">
        <v>1003</v>
      </c>
      <c r="D118">
        <v>6.28</v>
      </c>
      <c r="E118">
        <v>0.48</v>
      </c>
      <c r="F118">
        <v>0.03</v>
      </c>
      <c r="G118" t="s">
        <v>184</v>
      </c>
      <c r="H118">
        <v>150</v>
      </c>
      <c r="I118">
        <v>6.27</v>
      </c>
      <c r="J118">
        <v>6.28</v>
      </c>
      <c r="K118">
        <v>0.16</v>
      </c>
      <c r="L118">
        <v>0.19</v>
      </c>
      <c r="M118" t="s">
        <v>1004</v>
      </c>
      <c r="N118">
        <v>13.18</v>
      </c>
      <c r="O118" t="s">
        <v>61</v>
      </c>
      <c r="P118">
        <v>6.28</v>
      </c>
      <c r="Q118">
        <v>6.24</v>
      </c>
      <c r="R118">
        <v>6.25</v>
      </c>
      <c r="S118">
        <v>6.25</v>
      </c>
      <c r="T118">
        <v>0.64</v>
      </c>
      <c r="U118">
        <v>0.7</v>
      </c>
      <c r="V118">
        <v>-23.77</v>
      </c>
      <c r="W118">
        <v>-9965</v>
      </c>
      <c r="X118">
        <v>6.26</v>
      </c>
      <c r="Y118" t="s">
        <v>1005</v>
      </c>
      <c r="Z118" t="s">
        <v>1006</v>
      </c>
      <c r="AA118">
        <v>0.92</v>
      </c>
      <c r="AB118">
        <v>1457</v>
      </c>
      <c r="AC118">
        <v>4210</v>
      </c>
      <c r="AD118">
        <v>3.09</v>
      </c>
      <c r="AE118" t="s">
        <v>99</v>
      </c>
      <c r="AF118" t="s">
        <v>1007</v>
      </c>
      <c r="AG118" t="s">
        <v>379</v>
      </c>
      <c r="AH118" t="s">
        <v>1008</v>
      </c>
      <c r="AI118">
        <v>0</v>
      </c>
      <c r="AJ118">
        <v>-0.79</v>
      </c>
      <c r="AK118">
        <v>0.64</v>
      </c>
      <c r="AL118">
        <v>1.55</v>
      </c>
    </row>
    <row r="119" spans="1:38" x14ac:dyDescent="0.25">
      <c r="A119">
        <v>118</v>
      </c>
      <c r="B119" t="str">
        <f xml:space="preserve"> "002466"</f>
        <v>002466</v>
      </c>
      <c r="C119" t="s">
        <v>1009</v>
      </c>
      <c r="D119">
        <v>68.180000000000007</v>
      </c>
      <c r="E119">
        <v>1.61</v>
      </c>
      <c r="F119">
        <v>1.08</v>
      </c>
      <c r="G119" t="s">
        <v>1010</v>
      </c>
      <c r="H119">
        <v>1584</v>
      </c>
      <c r="I119">
        <v>68.180000000000007</v>
      </c>
      <c r="J119">
        <v>68.19</v>
      </c>
      <c r="K119">
        <v>0</v>
      </c>
      <c r="L119">
        <v>1.76</v>
      </c>
      <c r="M119" t="s">
        <v>1011</v>
      </c>
      <c r="N119">
        <v>36.69</v>
      </c>
      <c r="O119" t="s">
        <v>667</v>
      </c>
      <c r="P119">
        <v>69.239999999999995</v>
      </c>
      <c r="Q119">
        <v>67.5</v>
      </c>
      <c r="R119">
        <v>67.5</v>
      </c>
      <c r="S119">
        <v>67.099999999999994</v>
      </c>
      <c r="T119">
        <v>2.59</v>
      </c>
      <c r="U119">
        <v>0.73</v>
      </c>
      <c r="V119">
        <v>4.4400000000000004</v>
      </c>
      <c r="W119">
        <v>69</v>
      </c>
      <c r="X119">
        <v>68.48</v>
      </c>
      <c r="Y119" t="s">
        <v>1012</v>
      </c>
      <c r="Z119" t="s">
        <v>1013</v>
      </c>
      <c r="AA119">
        <v>0.84</v>
      </c>
      <c r="AB119">
        <v>433</v>
      </c>
      <c r="AC119">
        <v>107</v>
      </c>
      <c r="AD119">
        <v>12.29</v>
      </c>
      <c r="AE119" t="s">
        <v>1014</v>
      </c>
      <c r="AF119" t="s">
        <v>1015</v>
      </c>
      <c r="AG119" t="s">
        <v>1016</v>
      </c>
      <c r="AH119" t="s">
        <v>57</v>
      </c>
      <c r="AI119">
        <v>-0.94</v>
      </c>
      <c r="AJ119">
        <v>-6.02</v>
      </c>
      <c r="AK119">
        <v>7.31</v>
      </c>
      <c r="AL119">
        <v>13.89</v>
      </c>
    </row>
    <row r="120" spans="1:38" x14ac:dyDescent="0.25">
      <c r="A120">
        <v>119</v>
      </c>
      <c r="B120" t="str">
        <f xml:space="preserve"> "002475"</f>
        <v>002475</v>
      </c>
      <c r="C120" t="s">
        <v>1017</v>
      </c>
      <c r="D120">
        <v>21.31</v>
      </c>
      <c r="E120">
        <v>4.46</v>
      </c>
      <c r="F120">
        <v>0.91</v>
      </c>
      <c r="G120" t="s">
        <v>1018</v>
      </c>
      <c r="H120">
        <v>1596</v>
      </c>
      <c r="I120">
        <v>21.31</v>
      </c>
      <c r="J120">
        <v>21.32</v>
      </c>
      <c r="K120">
        <v>0</v>
      </c>
      <c r="L120">
        <v>1.4</v>
      </c>
      <c r="M120" t="s">
        <v>1019</v>
      </c>
      <c r="N120">
        <v>49.58</v>
      </c>
      <c r="O120" t="s">
        <v>380</v>
      </c>
      <c r="P120">
        <v>21.4</v>
      </c>
      <c r="Q120">
        <v>20.27</v>
      </c>
      <c r="R120">
        <v>20.41</v>
      </c>
      <c r="S120">
        <v>20.399999999999999</v>
      </c>
      <c r="T120">
        <v>5.54</v>
      </c>
      <c r="U120">
        <v>3.11</v>
      </c>
      <c r="V120">
        <v>-44.93</v>
      </c>
      <c r="W120">
        <v>-1487</v>
      </c>
      <c r="X120">
        <v>21.08</v>
      </c>
      <c r="Y120" t="s">
        <v>132</v>
      </c>
      <c r="Z120" t="s">
        <v>1020</v>
      </c>
      <c r="AA120">
        <v>0.43</v>
      </c>
      <c r="AB120">
        <v>101</v>
      </c>
      <c r="AC120">
        <v>306</v>
      </c>
      <c r="AD120">
        <v>5.74</v>
      </c>
      <c r="AE120" t="s">
        <v>1021</v>
      </c>
      <c r="AF120" t="s">
        <v>1022</v>
      </c>
      <c r="AG120" t="s">
        <v>1023</v>
      </c>
      <c r="AH120" t="s">
        <v>1024</v>
      </c>
      <c r="AI120">
        <v>5.29</v>
      </c>
      <c r="AJ120">
        <v>2.95</v>
      </c>
      <c r="AK120">
        <v>2.25</v>
      </c>
      <c r="AL120">
        <v>3.66</v>
      </c>
    </row>
    <row r="121" spans="1:38" x14ac:dyDescent="0.25">
      <c r="A121">
        <v>120</v>
      </c>
      <c r="B121" t="str">
        <f xml:space="preserve"> "002241"</f>
        <v>002241</v>
      </c>
      <c r="C121" t="s">
        <v>1025</v>
      </c>
      <c r="D121">
        <v>20.82</v>
      </c>
      <c r="E121">
        <v>2.92</v>
      </c>
      <c r="F121">
        <v>0.59</v>
      </c>
      <c r="G121" t="s">
        <v>1026</v>
      </c>
      <c r="H121">
        <v>3350</v>
      </c>
      <c r="I121">
        <v>20.82</v>
      </c>
      <c r="J121">
        <v>20.83</v>
      </c>
      <c r="K121">
        <v>0</v>
      </c>
      <c r="L121">
        <v>1.57</v>
      </c>
      <c r="M121" t="s">
        <v>1027</v>
      </c>
      <c r="N121">
        <v>46.99</v>
      </c>
      <c r="O121" t="s">
        <v>380</v>
      </c>
      <c r="P121">
        <v>20.86</v>
      </c>
      <c r="Q121">
        <v>20.04</v>
      </c>
      <c r="R121">
        <v>20.28</v>
      </c>
      <c r="S121">
        <v>20.23</v>
      </c>
      <c r="T121">
        <v>4.05</v>
      </c>
      <c r="U121">
        <v>1.31</v>
      </c>
      <c r="V121">
        <v>-65.25</v>
      </c>
      <c r="W121">
        <v>-5099</v>
      </c>
      <c r="X121">
        <v>20.63</v>
      </c>
      <c r="Y121" t="s">
        <v>1028</v>
      </c>
      <c r="Z121" t="s">
        <v>291</v>
      </c>
      <c r="AA121">
        <v>0.64</v>
      </c>
      <c r="AB121">
        <v>76</v>
      </c>
      <c r="AC121">
        <v>512</v>
      </c>
      <c r="AD121">
        <v>4.9400000000000004</v>
      </c>
      <c r="AE121" t="s">
        <v>1029</v>
      </c>
      <c r="AF121" t="s">
        <v>1022</v>
      </c>
      <c r="AG121" t="s">
        <v>1030</v>
      </c>
      <c r="AH121" t="s">
        <v>1031</v>
      </c>
      <c r="AI121">
        <v>5.36</v>
      </c>
      <c r="AJ121">
        <v>3.53</v>
      </c>
      <c r="AK121">
        <v>3.53</v>
      </c>
      <c r="AL121">
        <v>7.53</v>
      </c>
    </row>
    <row r="122" spans="1:38" x14ac:dyDescent="0.25">
      <c r="A122">
        <v>121</v>
      </c>
      <c r="B122" t="str">
        <f xml:space="preserve"> "601992"</f>
        <v>601992</v>
      </c>
      <c r="C122" t="s">
        <v>1032</v>
      </c>
      <c r="D122">
        <v>6.27</v>
      </c>
      <c r="E122">
        <v>0.8</v>
      </c>
      <c r="F122">
        <v>0.05</v>
      </c>
      <c r="G122" t="s">
        <v>1033</v>
      </c>
      <c r="H122">
        <v>1520</v>
      </c>
      <c r="I122">
        <v>6.27</v>
      </c>
      <c r="J122">
        <v>6.28</v>
      </c>
      <c r="K122">
        <v>-0.16</v>
      </c>
      <c r="L122">
        <v>0.67</v>
      </c>
      <c r="M122" t="s">
        <v>1034</v>
      </c>
      <c r="N122">
        <v>18.13</v>
      </c>
      <c r="O122" t="s">
        <v>562</v>
      </c>
      <c r="P122">
        <v>6.3</v>
      </c>
      <c r="Q122">
        <v>6.17</v>
      </c>
      <c r="R122">
        <v>6.21</v>
      </c>
      <c r="S122">
        <v>6.22</v>
      </c>
      <c r="T122">
        <v>2.09</v>
      </c>
      <c r="U122">
        <v>0.98</v>
      </c>
      <c r="V122">
        <v>-44.81</v>
      </c>
      <c r="W122" t="s">
        <v>1035</v>
      </c>
      <c r="X122">
        <v>6.24</v>
      </c>
      <c r="Y122" t="s">
        <v>1036</v>
      </c>
      <c r="Z122" t="s">
        <v>129</v>
      </c>
      <c r="AA122">
        <v>0.67</v>
      </c>
      <c r="AB122">
        <v>2490</v>
      </c>
      <c r="AC122">
        <v>1812</v>
      </c>
      <c r="AD122">
        <v>1.68</v>
      </c>
      <c r="AE122" t="s">
        <v>1037</v>
      </c>
      <c r="AF122" t="s">
        <v>1038</v>
      </c>
      <c r="AG122" t="s">
        <v>1039</v>
      </c>
      <c r="AH122" t="s">
        <v>1040</v>
      </c>
      <c r="AI122">
        <v>-1.57</v>
      </c>
      <c r="AJ122">
        <v>1.62</v>
      </c>
      <c r="AK122">
        <v>1.95</v>
      </c>
      <c r="AL122">
        <v>4.0999999999999996</v>
      </c>
    </row>
    <row r="123" spans="1:38" x14ac:dyDescent="0.25">
      <c r="A123">
        <v>122</v>
      </c>
      <c r="B123" t="str">
        <f xml:space="preserve"> "300072"</f>
        <v>300072</v>
      </c>
      <c r="C123" t="s">
        <v>1041</v>
      </c>
      <c r="D123">
        <v>36.979999999999997</v>
      </c>
      <c r="E123">
        <v>9.99</v>
      </c>
      <c r="F123">
        <v>3.36</v>
      </c>
      <c r="G123" t="s">
        <v>1042</v>
      </c>
      <c r="H123">
        <v>746</v>
      </c>
      <c r="I123">
        <v>36.979999999999997</v>
      </c>
      <c r="J123" t="s">
        <v>616</v>
      </c>
      <c r="K123">
        <v>0</v>
      </c>
      <c r="L123">
        <v>3.89</v>
      </c>
      <c r="M123" t="s">
        <v>886</v>
      </c>
      <c r="N123">
        <v>27.56</v>
      </c>
      <c r="O123" t="s">
        <v>667</v>
      </c>
      <c r="P123">
        <v>36.979999999999997</v>
      </c>
      <c r="Q123">
        <v>33.36</v>
      </c>
      <c r="R123">
        <v>33.659999999999997</v>
      </c>
      <c r="S123">
        <v>33.619999999999997</v>
      </c>
      <c r="T123">
        <v>10.77</v>
      </c>
      <c r="U123">
        <v>3.18</v>
      </c>
      <c r="V123">
        <v>100</v>
      </c>
      <c r="W123" t="s">
        <v>1043</v>
      </c>
      <c r="X123">
        <v>36.090000000000003</v>
      </c>
      <c r="Y123" t="s">
        <v>1044</v>
      </c>
      <c r="Z123" t="s">
        <v>1045</v>
      </c>
      <c r="AA123">
        <v>0.61</v>
      </c>
      <c r="AB123" t="s">
        <v>121</v>
      </c>
      <c r="AC123">
        <v>0</v>
      </c>
      <c r="AD123">
        <v>8.9700000000000006</v>
      </c>
      <c r="AE123" t="s">
        <v>1046</v>
      </c>
      <c r="AF123" t="s">
        <v>1038</v>
      </c>
      <c r="AG123" t="s">
        <v>1047</v>
      </c>
      <c r="AH123" t="s">
        <v>1048</v>
      </c>
      <c r="AI123">
        <v>14.52</v>
      </c>
      <c r="AJ123">
        <v>21.33</v>
      </c>
      <c r="AK123">
        <v>6.74</v>
      </c>
      <c r="AL123">
        <v>9.99</v>
      </c>
    </row>
    <row r="124" spans="1:38" x14ac:dyDescent="0.25">
      <c r="A124">
        <v>123</v>
      </c>
      <c r="B124" t="str">
        <f xml:space="preserve"> "601607"</f>
        <v>601607</v>
      </c>
      <c r="C124" t="s">
        <v>1049</v>
      </c>
      <c r="D124">
        <v>24.85</v>
      </c>
      <c r="E124">
        <v>-0.4</v>
      </c>
      <c r="F124">
        <v>-0.1</v>
      </c>
      <c r="G124" t="s">
        <v>1050</v>
      </c>
      <c r="H124">
        <v>20</v>
      </c>
      <c r="I124">
        <v>24.83</v>
      </c>
      <c r="J124">
        <v>24.86</v>
      </c>
      <c r="K124">
        <v>0</v>
      </c>
      <c r="L124">
        <v>0.52</v>
      </c>
      <c r="M124" t="s">
        <v>1051</v>
      </c>
      <c r="N124">
        <v>17.350000000000001</v>
      </c>
      <c r="O124" t="s">
        <v>392</v>
      </c>
      <c r="P124">
        <v>25.16</v>
      </c>
      <c r="Q124">
        <v>24.78</v>
      </c>
      <c r="R124">
        <v>25</v>
      </c>
      <c r="S124">
        <v>24.95</v>
      </c>
      <c r="T124">
        <v>1.52</v>
      </c>
      <c r="U124">
        <v>0.54</v>
      </c>
      <c r="V124">
        <v>26.86</v>
      </c>
      <c r="W124">
        <v>421</v>
      </c>
      <c r="X124">
        <v>24.95</v>
      </c>
      <c r="Y124" t="s">
        <v>1052</v>
      </c>
      <c r="Z124" t="s">
        <v>833</v>
      </c>
      <c r="AA124">
        <v>1.49</v>
      </c>
      <c r="AB124">
        <v>96</v>
      </c>
      <c r="AC124">
        <v>72</v>
      </c>
      <c r="AD124">
        <v>2.12</v>
      </c>
      <c r="AE124" t="s">
        <v>1053</v>
      </c>
      <c r="AF124" t="s">
        <v>1054</v>
      </c>
      <c r="AG124" t="s">
        <v>486</v>
      </c>
      <c r="AH124" t="s">
        <v>1055</v>
      </c>
      <c r="AI124">
        <v>1.39</v>
      </c>
      <c r="AJ124">
        <v>5.12</v>
      </c>
      <c r="AK124">
        <v>2.52</v>
      </c>
      <c r="AL124">
        <v>5.32</v>
      </c>
    </row>
    <row r="125" spans="1:38" x14ac:dyDescent="0.25">
      <c r="A125">
        <v>124</v>
      </c>
      <c r="B125" t="str">
        <f xml:space="preserve"> "600660"</f>
        <v>600660</v>
      </c>
      <c r="C125" t="s">
        <v>1056</v>
      </c>
      <c r="D125">
        <v>26.25</v>
      </c>
      <c r="E125">
        <v>3.14</v>
      </c>
      <c r="F125">
        <v>0.8</v>
      </c>
      <c r="G125" t="s">
        <v>934</v>
      </c>
      <c r="H125">
        <v>78</v>
      </c>
      <c r="I125">
        <v>26.24</v>
      </c>
      <c r="J125">
        <v>26.25</v>
      </c>
      <c r="K125">
        <v>-0.08</v>
      </c>
      <c r="L125">
        <v>0.74</v>
      </c>
      <c r="M125" t="s">
        <v>1057</v>
      </c>
      <c r="N125">
        <v>23.75</v>
      </c>
      <c r="O125" t="s">
        <v>1058</v>
      </c>
      <c r="P125">
        <v>26.43</v>
      </c>
      <c r="Q125">
        <v>25.33</v>
      </c>
      <c r="R125">
        <v>25.46</v>
      </c>
      <c r="S125">
        <v>25.45</v>
      </c>
      <c r="T125">
        <v>4.32</v>
      </c>
      <c r="U125">
        <v>1.26</v>
      </c>
      <c r="V125">
        <v>-76.209999999999994</v>
      </c>
      <c r="W125">
        <v>-974</v>
      </c>
      <c r="X125">
        <v>26.17</v>
      </c>
      <c r="Y125" t="s">
        <v>1059</v>
      </c>
      <c r="Z125" t="s">
        <v>1060</v>
      </c>
      <c r="AA125">
        <v>0.55000000000000004</v>
      </c>
      <c r="AB125">
        <v>7</v>
      </c>
      <c r="AC125">
        <v>55</v>
      </c>
      <c r="AD125">
        <v>3.78</v>
      </c>
      <c r="AE125" t="s">
        <v>1061</v>
      </c>
      <c r="AF125" t="s">
        <v>1062</v>
      </c>
      <c r="AG125" t="s">
        <v>1063</v>
      </c>
      <c r="AH125" t="s">
        <v>1064</v>
      </c>
      <c r="AI125">
        <v>1.47</v>
      </c>
      <c r="AJ125">
        <v>2.1800000000000002</v>
      </c>
      <c r="AK125">
        <v>1.91</v>
      </c>
      <c r="AL125">
        <v>3.67</v>
      </c>
    </row>
    <row r="126" spans="1:38" x14ac:dyDescent="0.25">
      <c r="A126">
        <v>125</v>
      </c>
      <c r="B126" t="str">
        <f xml:space="preserve"> "600795"</f>
        <v>600795</v>
      </c>
      <c r="C126" t="s">
        <v>1065</v>
      </c>
      <c r="D126">
        <v>3.34</v>
      </c>
      <c r="E126">
        <v>-0.6</v>
      </c>
      <c r="F126">
        <v>-0.02</v>
      </c>
      <c r="G126" t="s">
        <v>1066</v>
      </c>
      <c r="H126">
        <v>123</v>
      </c>
      <c r="I126">
        <v>3.34</v>
      </c>
      <c r="J126">
        <v>3.35</v>
      </c>
      <c r="K126">
        <v>-0.3</v>
      </c>
      <c r="L126">
        <v>0.26</v>
      </c>
      <c r="M126" t="s">
        <v>1067</v>
      </c>
      <c r="N126">
        <v>18.510000000000002</v>
      </c>
      <c r="O126" t="s">
        <v>186</v>
      </c>
      <c r="P126">
        <v>3.36</v>
      </c>
      <c r="Q126">
        <v>3.34</v>
      </c>
      <c r="R126">
        <v>3.35</v>
      </c>
      <c r="S126">
        <v>3.36</v>
      </c>
      <c r="T126">
        <v>0.6</v>
      </c>
      <c r="U126">
        <v>0.63</v>
      </c>
      <c r="V126">
        <v>-35.65</v>
      </c>
      <c r="W126" t="s">
        <v>1068</v>
      </c>
      <c r="X126">
        <v>3.35</v>
      </c>
      <c r="Y126" t="s">
        <v>1069</v>
      </c>
      <c r="Z126" t="s">
        <v>980</v>
      </c>
      <c r="AA126">
        <v>1.28</v>
      </c>
      <c r="AB126" t="s">
        <v>1070</v>
      </c>
      <c r="AC126">
        <v>827</v>
      </c>
      <c r="AD126">
        <v>1.4</v>
      </c>
      <c r="AE126" t="s">
        <v>1071</v>
      </c>
      <c r="AF126" t="s">
        <v>1072</v>
      </c>
      <c r="AG126" t="s">
        <v>1071</v>
      </c>
      <c r="AH126" t="s">
        <v>1072</v>
      </c>
      <c r="AI126">
        <v>-0.3</v>
      </c>
      <c r="AJ126">
        <v>-0.3</v>
      </c>
      <c r="AK126">
        <v>0.94</v>
      </c>
      <c r="AL126">
        <v>2.35</v>
      </c>
    </row>
    <row r="127" spans="1:38" x14ac:dyDescent="0.25">
      <c r="A127">
        <v>126</v>
      </c>
      <c r="B127" t="str">
        <f xml:space="preserve"> "000938"</f>
        <v>000938</v>
      </c>
      <c r="C127" t="s">
        <v>1073</v>
      </c>
      <c r="D127">
        <v>62.54</v>
      </c>
      <c r="E127">
        <v>-0.93</v>
      </c>
      <c r="F127">
        <v>-0.59</v>
      </c>
      <c r="G127" t="s">
        <v>1074</v>
      </c>
      <c r="H127">
        <v>438</v>
      </c>
      <c r="I127">
        <v>62.54</v>
      </c>
      <c r="J127">
        <v>62.55</v>
      </c>
      <c r="K127">
        <v>0.03</v>
      </c>
      <c r="L127">
        <v>1.57</v>
      </c>
      <c r="M127" t="s">
        <v>1075</v>
      </c>
      <c r="N127">
        <v>40.409999999999997</v>
      </c>
      <c r="O127" t="s">
        <v>553</v>
      </c>
      <c r="P127">
        <v>63.13</v>
      </c>
      <c r="Q127">
        <v>62.19</v>
      </c>
      <c r="R127">
        <v>63.12</v>
      </c>
      <c r="S127">
        <v>63.13</v>
      </c>
      <c r="T127">
        <v>1.49</v>
      </c>
      <c r="U127">
        <v>0.44</v>
      </c>
      <c r="V127">
        <v>47.77</v>
      </c>
      <c r="W127">
        <v>479</v>
      </c>
      <c r="X127">
        <v>62.5</v>
      </c>
      <c r="Y127" t="s">
        <v>1076</v>
      </c>
      <c r="Z127" t="s">
        <v>1077</v>
      </c>
      <c r="AA127">
        <v>1.46</v>
      </c>
      <c r="AB127">
        <v>484</v>
      </c>
      <c r="AC127">
        <v>13</v>
      </c>
      <c r="AD127">
        <v>2.69</v>
      </c>
      <c r="AE127" t="s">
        <v>755</v>
      </c>
      <c r="AF127" t="s">
        <v>1078</v>
      </c>
      <c r="AG127" t="s">
        <v>1079</v>
      </c>
      <c r="AH127" t="s">
        <v>1080</v>
      </c>
      <c r="AI127">
        <v>-1.94</v>
      </c>
      <c r="AJ127">
        <v>5.22</v>
      </c>
      <c r="AK127">
        <v>7.24</v>
      </c>
      <c r="AL127">
        <v>19.66</v>
      </c>
    </row>
    <row r="128" spans="1:38" x14ac:dyDescent="0.25">
      <c r="A128">
        <v>127</v>
      </c>
      <c r="B128" t="str">
        <f xml:space="preserve"> "600362"</f>
        <v>600362</v>
      </c>
      <c r="C128" t="s">
        <v>1081</v>
      </c>
      <c r="D128">
        <v>18.37</v>
      </c>
      <c r="E128">
        <v>0.22</v>
      </c>
      <c r="F128">
        <v>0.04</v>
      </c>
      <c r="G128" t="s">
        <v>255</v>
      </c>
      <c r="H128">
        <v>91</v>
      </c>
      <c r="I128">
        <v>18.37</v>
      </c>
      <c r="J128">
        <v>18.38</v>
      </c>
      <c r="K128">
        <v>-0.05</v>
      </c>
      <c r="L128">
        <v>1.25</v>
      </c>
      <c r="M128" t="s">
        <v>1082</v>
      </c>
      <c r="N128">
        <v>38.31</v>
      </c>
      <c r="O128" t="s">
        <v>449</v>
      </c>
      <c r="P128">
        <v>18.46</v>
      </c>
      <c r="Q128">
        <v>18.16</v>
      </c>
      <c r="R128">
        <v>18.37</v>
      </c>
      <c r="S128">
        <v>18.329999999999998</v>
      </c>
      <c r="T128">
        <v>1.64</v>
      </c>
      <c r="U128">
        <v>0.75</v>
      </c>
      <c r="V128">
        <v>-67.95</v>
      </c>
      <c r="W128">
        <v>-6120</v>
      </c>
      <c r="X128">
        <v>18.329999999999998</v>
      </c>
      <c r="Y128" t="s">
        <v>778</v>
      </c>
      <c r="Z128" t="s">
        <v>148</v>
      </c>
      <c r="AA128">
        <v>1.06</v>
      </c>
      <c r="AB128">
        <v>172</v>
      </c>
      <c r="AC128">
        <v>458</v>
      </c>
      <c r="AD128">
        <v>1.37</v>
      </c>
      <c r="AE128" t="s">
        <v>1083</v>
      </c>
      <c r="AF128" t="s">
        <v>1084</v>
      </c>
      <c r="AG128" t="s">
        <v>1085</v>
      </c>
      <c r="AH128" t="s">
        <v>1086</v>
      </c>
      <c r="AI128">
        <v>0.71</v>
      </c>
      <c r="AJ128">
        <v>0.16</v>
      </c>
      <c r="AK128">
        <v>4.25</v>
      </c>
      <c r="AL128">
        <v>9.5299999999999994</v>
      </c>
    </row>
    <row r="129" spans="1:38" x14ac:dyDescent="0.25">
      <c r="A129">
        <v>128</v>
      </c>
      <c r="B129" t="str">
        <f xml:space="preserve"> "600233"</f>
        <v>600233</v>
      </c>
      <c r="C129" t="s">
        <v>1087</v>
      </c>
      <c r="D129">
        <v>22.54</v>
      </c>
      <c r="E129">
        <v>-0.44</v>
      </c>
      <c r="F129">
        <v>-0.1</v>
      </c>
      <c r="G129" t="s">
        <v>830</v>
      </c>
      <c r="H129">
        <v>3</v>
      </c>
      <c r="I129">
        <v>22.54</v>
      </c>
      <c r="J129">
        <v>22.55</v>
      </c>
      <c r="K129">
        <v>0.18</v>
      </c>
      <c r="L129">
        <v>1.1000000000000001</v>
      </c>
      <c r="M129" t="s">
        <v>1088</v>
      </c>
      <c r="N129">
        <v>45.9</v>
      </c>
      <c r="O129" t="s">
        <v>274</v>
      </c>
      <c r="P129">
        <v>22.65</v>
      </c>
      <c r="Q129">
        <v>22.3</v>
      </c>
      <c r="R129">
        <v>22.52</v>
      </c>
      <c r="S129">
        <v>22.64</v>
      </c>
      <c r="T129">
        <v>1.55</v>
      </c>
      <c r="U129">
        <v>0.56999999999999995</v>
      </c>
      <c r="V129">
        <v>39.229999999999997</v>
      </c>
      <c r="W129">
        <v>679</v>
      </c>
      <c r="X129">
        <v>22.47</v>
      </c>
      <c r="Y129" t="s">
        <v>1089</v>
      </c>
      <c r="Z129" t="s">
        <v>1090</v>
      </c>
      <c r="AA129">
        <v>1.33</v>
      </c>
      <c r="AB129">
        <v>367</v>
      </c>
      <c r="AC129">
        <v>71</v>
      </c>
      <c r="AD129">
        <v>7.5</v>
      </c>
      <c r="AE129" t="s">
        <v>395</v>
      </c>
      <c r="AF129" t="s">
        <v>1084</v>
      </c>
      <c r="AG129" t="s">
        <v>1091</v>
      </c>
      <c r="AH129" t="s">
        <v>1092</v>
      </c>
      <c r="AI129">
        <v>1.26</v>
      </c>
      <c r="AJ129">
        <v>3.87</v>
      </c>
      <c r="AK129">
        <v>5.56</v>
      </c>
      <c r="AL129">
        <v>10.82</v>
      </c>
    </row>
    <row r="130" spans="1:38" x14ac:dyDescent="0.25">
      <c r="A130">
        <v>129</v>
      </c>
      <c r="B130" t="str">
        <f xml:space="preserve"> "000338"</f>
        <v>000338</v>
      </c>
      <c r="C130" t="s">
        <v>1093</v>
      </c>
      <c r="D130">
        <v>7.95</v>
      </c>
      <c r="E130">
        <v>4.88</v>
      </c>
      <c r="F130">
        <v>0.37</v>
      </c>
      <c r="G130" t="s">
        <v>1094</v>
      </c>
      <c r="H130" t="s">
        <v>1095</v>
      </c>
      <c r="I130">
        <v>7.95</v>
      </c>
      <c r="J130">
        <v>7.96</v>
      </c>
      <c r="K130">
        <v>0</v>
      </c>
      <c r="L130">
        <v>3.36</v>
      </c>
      <c r="M130" t="s">
        <v>357</v>
      </c>
      <c r="N130">
        <v>12</v>
      </c>
      <c r="O130" t="s">
        <v>648</v>
      </c>
      <c r="P130">
        <v>7.99</v>
      </c>
      <c r="Q130">
        <v>7.55</v>
      </c>
      <c r="R130">
        <v>7.59</v>
      </c>
      <c r="S130">
        <v>7.58</v>
      </c>
      <c r="T130">
        <v>5.8</v>
      </c>
      <c r="U130">
        <v>3.27</v>
      </c>
      <c r="V130">
        <v>-65.25</v>
      </c>
      <c r="W130" t="s">
        <v>1096</v>
      </c>
      <c r="X130">
        <v>7.84</v>
      </c>
      <c r="Y130" t="s">
        <v>1097</v>
      </c>
      <c r="Z130" t="s">
        <v>1098</v>
      </c>
      <c r="AA130">
        <v>0.49</v>
      </c>
      <c r="AB130">
        <v>8671</v>
      </c>
      <c r="AC130">
        <v>7990</v>
      </c>
      <c r="AD130">
        <v>2.0099999999999998</v>
      </c>
      <c r="AE130" t="s">
        <v>1099</v>
      </c>
      <c r="AF130" t="s">
        <v>1084</v>
      </c>
      <c r="AG130" t="s">
        <v>1100</v>
      </c>
      <c r="AH130" t="s">
        <v>1101</v>
      </c>
      <c r="AI130">
        <v>5.3</v>
      </c>
      <c r="AJ130">
        <v>7.87</v>
      </c>
      <c r="AK130">
        <v>5.31</v>
      </c>
      <c r="AL130">
        <v>8.49</v>
      </c>
    </row>
    <row r="131" spans="1:38" x14ac:dyDescent="0.25">
      <c r="A131">
        <v>130</v>
      </c>
      <c r="B131" t="str">
        <f xml:space="preserve"> "002460"</f>
        <v>002460</v>
      </c>
      <c r="C131" t="s">
        <v>1102</v>
      </c>
      <c r="D131">
        <v>86.97</v>
      </c>
      <c r="E131">
        <v>2.4</v>
      </c>
      <c r="F131">
        <v>2.04</v>
      </c>
      <c r="G131" t="s">
        <v>1103</v>
      </c>
      <c r="H131">
        <v>4442</v>
      </c>
      <c r="I131">
        <v>86.96</v>
      </c>
      <c r="J131">
        <v>86.97</v>
      </c>
      <c r="K131">
        <v>0</v>
      </c>
      <c r="L131">
        <v>5.34</v>
      </c>
      <c r="M131" t="s">
        <v>1104</v>
      </c>
      <c r="N131">
        <v>52.19</v>
      </c>
      <c r="O131" t="s">
        <v>449</v>
      </c>
      <c r="P131">
        <v>88.63</v>
      </c>
      <c r="Q131">
        <v>85.38</v>
      </c>
      <c r="R131">
        <v>85.38</v>
      </c>
      <c r="S131">
        <v>84.93</v>
      </c>
      <c r="T131">
        <v>3.83</v>
      </c>
      <c r="U131">
        <v>0.86</v>
      </c>
      <c r="V131">
        <v>-20.03</v>
      </c>
      <c r="W131">
        <v>-602</v>
      </c>
      <c r="X131">
        <v>87.28</v>
      </c>
      <c r="Y131" t="s">
        <v>442</v>
      </c>
      <c r="Z131" t="s">
        <v>1105</v>
      </c>
      <c r="AA131">
        <v>0.7</v>
      </c>
      <c r="AB131">
        <v>526</v>
      </c>
      <c r="AC131">
        <v>335</v>
      </c>
      <c r="AD131">
        <v>24.09</v>
      </c>
      <c r="AE131" t="s">
        <v>1106</v>
      </c>
      <c r="AF131" t="s">
        <v>1107</v>
      </c>
      <c r="AG131" t="s">
        <v>1108</v>
      </c>
      <c r="AH131" t="s">
        <v>1109</v>
      </c>
      <c r="AI131">
        <v>3.29</v>
      </c>
      <c r="AJ131">
        <v>-4.9000000000000004</v>
      </c>
      <c r="AK131">
        <v>18.11</v>
      </c>
      <c r="AL131">
        <v>36.53</v>
      </c>
    </row>
    <row r="132" spans="1:38" x14ac:dyDescent="0.25">
      <c r="A132">
        <v>131</v>
      </c>
      <c r="B132" t="str">
        <f xml:space="preserve"> "002120"</f>
        <v>002120</v>
      </c>
      <c r="C132" t="s">
        <v>1110</v>
      </c>
      <c r="D132">
        <v>51.15</v>
      </c>
      <c r="E132">
        <v>1.0900000000000001</v>
      </c>
      <c r="F132">
        <v>0.55000000000000004</v>
      </c>
      <c r="G132" t="s">
        <v>1111</v>
      </c>
      <c r="H132">
        <v>227</v>
      </c>
      <c r="I132">
        <v>51.15</v>
      </c>
      <c r="J132">
        <v>51.16</v>
      </c>
      <c r="K132">
        <v>-0.02</v>
      </c>
      <c r="L132">
        <v>3.32</v>
      </c>
      <c r="M132" t="s">
        <v>1112</v>
      </c>
      <c r="N132">
        <v>41.63</v>
      </c>
      <c r="O132" t="s">
        <v>274</v>
      </c>
      <c r="P132">
        <v>52</v>
      </c>
      <c r="Q132">
        <v>49</v>
      </c>
      <c r="R132">
        <v>50.1</v>
      </c>
      <c r="S132">
        <v>50.6</v>
      </c>
      <c r="T132">
        <v>5.93</v>
      </c>
      <c r="U132">
        <v>1.2</v>
      </c>
      <c r="V132">
        <v>-26.56</v>
      </c>
      <c r="W132">
        <v>-81</v>
      </c>
      <c r="X132">
        <v>51.01</v>
      </c>
      <c r="Y132" t="s">
        <v>1113</v>
      </c>
      <c r="Z132" t="s">
        <v>1114</v>
      </c>
      <c r="AA132">
        <v>1.2</v>
      </c>
      <c r="AB132">
        <v>14</v>
      </c>
      <c r="AC132">
        <v>4</v>
      </c>
      <c r="AD132">
        <v>14.58</v>
      </c>
      <c r="AE132" t="s">
        <v>1115</v>
      </c>
      <c r="AF132" t="s">
        <v>1116</v>
      </c>
      <c r="AG132" t="s">
        <v>1117</v>
      </c>
      <c r="AH132" t="s">
        <v>1118</v>
      </c>
      <c r="AI132">
        <v>6.1</v>
      </c>
      <c r="AJ132">
        <v>12.05</v>
      </c>
      <c r="AK132">
        <v>13.34</v>
      </c>
      <c r="AL132">
        <v>17.23</v>
      </c>
    </row>
    <row r="133" spans="1:38" x14ac:dyDescent="0.25">
      <c r="A133">
        <v>132</v>
      </c>
      <c r="B133" t="str">
        <f xml:space="preserve"> "600188"</f>
        <v>600188</v>
      </c>
      <c r="C133" t="s">
        <v>1119</v>
      </c>
      <c r="D133">
        <v>12.58</v>
      </c>
      <c r="E133">
        <v>0.24</v>
      </c>
      <c r="F133">
        <v>0.03</v>
      </c>
      <c r="G133" t="s">
        <v>830</v>
      </c>
      <c r="H133">
        <v>62</v>
      </c>
      <c r="I133">
        <v>12.58</v>
      </c>
      <c r="J133">
        <v>12.59</v>
      </c>
      <c r="K133">
        <v>0.16</v>
      </c>
      <c r="L133">
        <v>0.28999999999999998</v>
      </c>
      <c r="M133" t="s">
        <v>1120</v>
      </c>
      <c r="N133">
        <v>9.69</v>
      </c>
      <c r="O133" t="s">
        <v>150</v>
      </c>
      <c r="P133">
        <v>12.65</v>
      </c>
      <c r="Q133">
        <v>12.43</v>
      </c>
      <c r="R133">
        <v>12.54</v>
      </c>
      <c r="S133">
        <v>12.55</v>
      </c>
      <c r="T133">
        <v>1.75</v>
      </c>
      <c r="U133">
        <v>0.86</v>
      </c>
      <c r="V133">
        <v>-25.03</v>
      </c>
      <c r="W133">
        <v>-1549</v>
      </c>
      <c r="X133">
        <v>12.56</v>
      </c>
      <c r="Y133" t="s">
        <v>390</v>
      </c>
      <c r="Z133" t="s">
        <v>1121</v>
      </c>
      <c r="AA133">
        <v>1.48</v>
      </c>
      <c r="AB133">
        <v>58</v>
      </c>
      <c r="AC133">
        <v>735</v>
      </c>
      <c r="AD133">
        <v>1.55</v>
      </c>
      <c r="AE133" t="s">
        <v>1122</v>
      </c>
      <c r="AF133" t="s">
        <v>932</v>
      </c>
      <c r="AG133" t="s">
        <v>1123</v>
      </c>
      <c r="AH133" t="s">
        <v>1124</v>
      </c>
      <c r="AI133">
        <v>-1.64</v>
      </c>
      <c r="AJ133">
        <v>-3.45</v>
      </c>
      <c r="AK133">
        <v>1.07</v>
      </c>
      <c r="AL133">
        <v>1.98</v>
      </c>
    </row>
    <row r="134" spans="1:38" x14ac:dyDescent="0.25">
      <c r="A134">
        <v>133</v>
      </c>
      <c r="B134" t="str">
        <f xml:space="preserve"> "300104"</f>
        <v>300104</v>
      </c>
      <c r="C134" t="s">
        <v>1125</v>
      </c>
      <c r="D134" t="s">
        <v>616</v>
      </c>
      <c r="E134" t="s">
        <v>616</v>
      </c>
      <c r="F134" t="s">
        <v>616</v>
      </c>
      <c r="G134" t="s">
        <v>616</v>
      </c>
      <c r="H134" t="s">
        <v>616</v>
      </c>
      <c r="I134" t="s">
        <v>616</v>
      </c>
      <c r="J134" t="s">
        <v>616</v>
      </c>
      <c r="K134" t="s">
        <v>616</v>
      </c>
      <c r="L134" t="s">
        <v>616</v>
      </c>
      <c r="M134" t="s">
        <v>616</v>
      </c>
      <c r="N134">
        <v>-48.02</v>
      </c>
      <c r="O134" t="s">
        <v>1126</v>
      </c>
      <c r="P134" t="s">
        <v>616</v>
      </c>
      <c r="Q134" t="s">
        <v>616</v>
      </c>
      <c r="R134" t="s">
        <v>616</v>
      </c>
      <c r="S134">
        <v>15.33</v>
      </c>
      <c r="T134" t="s">
        <v>616</v>
      </c>
      <c r="U134" t="s">
        <v>616</v>
      </c>
      <c r="V134" t="s">
        <v>616</v>
      </c>
      <c r="W134" t="s">
        <v>616</v>
      </c>
      <c r="X134" t="s">
        <v>616</v>
      </c>
      <c r="Y134" t="s">
        <v>616</v>
      </c>
      <c r="Z134" t="s">
        <v>616</v>
      </c>
      <c r="AA134" t="s">
        <v>616</v>
      </c>
      <c r="AB134" t="s">
        <v>616</v>
      </c>
      <c r="AC134" t="s">
        <v>616</v>
      </c>
      <c r="AD134">
        <v>4.53</v>
      </c>
      <c r="AE134" t="s">
        <v>1127</v>
      </c>
      <c r="AF134" t="s">
        <v>1128</v>
      </c>
      <c r="AG134" t="s">
        <v>1129</v>
      </c>
      <c r="AH134" t="s">
        <v>1130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>
        <v>134</v>
      </c>
      <c r="B135" t="str">
        <f xml:space="preserve"> "002739"</f>
        <v>002739</v>
      </c>
      <c r="C135" t="s">
        <v>1131</v>
      </c>
      <c r="D135" t="s">
        <v>616</v>
      </c>
      <c r="E135" t="s">
        <v>616</v>
      </c>
      <c r="F135" t="s">
        <v>616</v>
      </c>
      <c r="G135" t="s">
        <v>616</v>
      </c>
      <c r="H135" t="s">
        <v>616</v>
      </c>
      <c r="I135" t="s">
        <v>616</v>
      </c>
      <c r="J135" t="s">
        <v>616</v>
      </c>
      <c r="K135" t="s">
        <v>616</v>
      </c>
      <c r="L135" t="s">
        <v>616</v>
      </c>
      <c r="M135" t="s">
        <v>616</v>
      </c>
      <c r="N135">
        <v>34.44</v>
      </c>
      <c r="O135" t="s">
        <v>1126</v>
      </c>
      <c r="P135" t="s">
        <v>616</v>
      </c>
      <c r="Q135" t="s">
        <v>616</v>
      </c>
      <c r="R135" t="s">
        <v>616</v>
      </c>
      <c r="S135">
        <v>52.04</v>
      </c>
      <c r="T135" t="s">
        <v>616</v>
      </c>
      <c r="U135" t="s">
        <v>616</v>
      </c>
      <c r="V135" t="s">
        <v>616</v>
      </c>
      <c r="W135" t="s">
        <v>616</v>
      </c>
      <c r="X135" t="s">
        <v>616</v>
      </c>
      <c r="Y135" t="s">
        <v>616</v>
      </c>
      <c r="Z135" t="s">
        <v>616</v>
      </c>
      <c r="AA135" t="s">
        <v>616</v>
      </c>
      <c r="AB135" t="s">
        <v>616</v>
      </c>
      <c r="AC135" t="s">
        <v>616</v>
      </c>
      <c r="AD135">
        <v>5.49</v>
      </c>
      <c r="AE135" t="s">
        <v>1132</v>
      </c>
      <c r="AF135" t="s">
        <v>1133</v>
      </c>
      <c r="AG135" t="s">
        <v>1134</v>
      </c>
      <c r="AH135" t="s">
        <v>189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>
        <v>135</v>
      </c>
      <c r="B136" t="str">
        <f xml:space="preserve"> "600816"</f>
        <v>600816</v>
      </c>
      <c r="C136" t="s">
        <v>1135</v>
      </c>
      <c r="D136">
        <v>13.39</v>
      </c>
      <c r="E136">
        <v>2.06</v>
      </c>
      <c r="F136">
        <v>0.27</v>
      </c>
      <c r="G136" t="s">
        <v>332</v>
      </c>
      <c r="H136">
        <v>10</v>
      </c>
      <c r="I136">
        <v>13.39</v>
      </c>
      <c r="J136">
        <v>13.4</v>
      </c>
      <c r="K136">
        <v>-7.0000000000000007E-2</v>
      </c>
      <c r="L136">
        <v>1.29</v>
      </c>
      <c r="M136" t="s">
        <v>1136</v>
      </c>
      <c r="N136">
        <v>16.2</v>
      </c>
      <c r="O136" t="s">
        <v>306</v>
      </c>
      <c r="P136">
        <v>13.67</v>
      </c>
      <c r="Q136">
        <v>13.36</v>
      </c>
      <c r="R136">
        <v>13.37</v>
      </c>
      <c r="S136">
        <v>13.12</v>
      </c>
      <c r="T136">
        <v>2.36</v>
      </c>
      <c r="U136">
        <v>1.45</v>
      </c>
      <c r="V136">
        <v>-59.59</v>
      </c>
      <c r="W136">
        <v>-6625</v>
      </c>
      <c r="X136">
        <v>13.5</v>
      </c>
      <c r="Y136" t="s">
        <v>59</v>
      </c>
      <c r="Z136" t="s">
        <v>1010</v>
      </c>
      <c r="AA136">
        <v>0.86</v>
      </c>
      <c r="AB136">
        <v>40</v>
      </c>
      <c r="AC136">
        <v>1158</v>
      </c>
      <c r="AD136">
        <v>3.98</v>
      </c>
      <c r="AE136" t="s">
        <v>1137</v>
      </c>
      <c r="AF136" t="s">
        <v>1138</v>
      </c>
      <c r="AG136" t="s">
        <v>782</v>
      </c>
      <c r="AH136" t="s">
        <v>1139</v>
      </c>
      <c r="AI136">
        <v>1.9</v>
      </c>
      <c r="AJ136">
        <v>7.9</v>
      </c>
      <c r="AK136">
        <v>2.78</v>
      </c>
      <c r="AL136">
        <v>5.75</v>
      </c>
    </row>
    <row r="137" spans="1:38" x14ac:dyDescent="0.25">
      <c r="A137">
        <v>136</v>
      </c>
      <c r="B137" t="str">
        <f xml:space="preserve"> "601991"</f>
        <v>601991</v>
      </c>
      <c r="C137" t="s">
        <v>1140</v>
      </c>
      <c r="D137">
        <v>4.5599999999999996</v>
      </c>
      <c r="E137">
        <v>-0.22</v>
      </c>
      <c r="F137">
        <v>-0.01</v>
      </c>
      <c r="G137" t="s">
        <v>778</v>
      </c>
      <c r="H137">
        <v>25</v>
      </c>
      <c r="I137">
        <v>4.55</v>
      </c>
      <c r="J137">
        <v>4.5599999999999996</v>
      </c>
      <c r="K137">
        <v>0</v>
      </c>
      <c r="L137">
        <v>0.13</v>
      </c>
      <c r="M137" t="s">
        <v>1141</v>
      </c>
      <c r="N137">
        <v>28.08</v>
      </c>
      <c r="O137" t="s">
        <v>186</v>
      </c>
      <c r="P137">
        <v>4.59</v>
      </c>
      <c r="Q137">
        <v>4.5199999999999996</v>
      </c>
      <c r="R137">
        <v>4.55</v>
      </c>
      <c r="S137">
        <v>4.57</v>
      </c>
      <c r="T137">
        <v>1.53</v>
      </c>
      <c r="U137">
        <v>0.83</v>
      </c>
      <c r="V137">
        <v>-10.73</v>
      </c>
      <c r="W137">
        <v>-4363</v>
      </c>
      <c r="X137">
        <v>4.54</v>
      </c>
      <c r="Y137" t="s">
        <v>682</v>
      </c>
      <c r="Z137" t="s">
        <v>1142</v>
      </c>
      <c r="AA137">
        <v>1.17</v>
      </c>
      <c r="AB137">
        <v>13</v>
      </c>
      <c r="AC137">
        <v>2029</v>
      </c>
      <c r="AD137">
        <v>1.49</v>
      </c>
      <c r="AE137" t="s">
        <v>834</v>
      </c>
      <c r="AF137" t="s">
        <v>1143</v>
      </c>
      <c r="AG137" t="s">
        <v>1144</v>
      </c>
      <c r="AH137" t="s">
        <v>604</v>
      </c>
      <c r="AI137">
        <v>0</v>
      </c>
      <c r="AJ137">
        <v>3.17</v>
      </c>
      <c r="AK137">
        <v>0.56000000000000005</v>
      </c>
      <c r="AL137">
        <v>0.93</v>
      </c>
    </row>
    <row r="138" spans="1:38" x14ac:dyDescent="0.25">
      <c r="A138">
        <v>137</v>
      </c>
      <c r="B138" t="str">
        <f xml:space="preserve"> "002456"</f>
        <v>002456</v>
      </c>
      <c r="C138" t="s">
        <v>1145</v>
      </c>
      <c r="D138">
        <v>22.3</v>
      </c>
      <c r="E138">
        <v>5.19</v>
      </c>
      <c r="F138">
        <v>1.1000000000000001</v>
      </c>
      <c r="G138" t="s">
        <v>1146</v>
      </c>
      <c r="H138" t="s">
        <v>86</v>
      </c>
      <c r="I138">
        <v>22.29</v>
      </c>
      <c r="J138">
        <v>22.3</v>
      </c>
      <c r="K138">
        <v>0.41</v>
      </c>
      <c r="L138">
        <v>2.84</v>
      </c>
      <c r="M138" t="s">
        <v>1147</v>
      </c>
      <c r="N138">
        <v>48.83</v>
      </c>
      <c r="O138" t="s">
        <v>380</v>
      </c>
      <c r="P138">
        <v>22.3</v>
      </c>
      <c r="Q138">
        <v>21.21</v>
      </c>
      <c r="R138">
        <v>21.21</v>
      </c>
      <c r="S138">
        <v>21.2</v>
      </c>
      <c r="T138">
        <v>5.14</v>
      </c>
      <c r="U138">
        <v>2.8</v>
      </c>
      <c r="V138">
        <v>36.71</v>
      </c>
      <c r="W138">
        <v>2730</v>
      </c>
      <c r="X138">
        <v>21.88</v>
      </c>
      <c r="Y138" t="s">
        <v>822</v>
      </c>
      <c r="Z138" t="s">
        <v>1148</v>
      </c>
      <c r="AA138">
        <v>0.45</v>
      </c>
      <c r="AB138">
        <v>277</v>
      </c>
      <c r="AC138">
        <v>1474</v>
      </c>
      <c r="AD138">
        <v>7.07</v>
      </c>
      <c r="AE138" t="s">
        <v>1030</v>
      </c>
      <c r="AF138" t="s">
        <v>1149</v>
      </c>
      <c r="AG138" t="s">
        <v>1150</v>
      </c>
      <c r="AH138" t="s">
        <v>820</v>
      </c>
      <c r="AI138">
        <v>3.58</v>
      </c>
      <c r="AJ138">
        <v>4.6900000000000004</v>
      </c>
      <c r="AK138">
        <v>4.49</v>
      </c>
      <c r="AL138">
        <v>7.9</v>
      </c>
    </row>
    <row r="139" spans="1:38" x14ac:dyDescent="0.25">
      <c r="A139">
        <v>138</v>
      </c>
      <c r="B139" t="str">
        <f xml:space="preserve"> "300070"</f>
        <v>300070</v>
      </c>
      <c r="C139" t="s">
        <v>1151</v>
      </c>
      <c r="D139">
        <v>19.28</v>
      </c>
      <c r="E139">
        <v>4.84</v>
      </c>
      <c r="F139">
        <v>0.89</v>
      </c>
      <c r="G139" t="s">
        <v>1152</v>
      </c>
      <c r="H139" t="s">
        <v>1153</v>
      </c>
      <c r="I139">
        <v>19.27</v>
      </c>
      <c r="J139">
        <v>19.28</v>
      </c>
      <c r="K139">
        <v>0.05</v>
      </c>
      <c r="L139">
        <v>4.25</v>
      </c>
      <c r="M139" t="s">
        <v>1154</v>
      </c>
      <c r="N139">
        <v>56.59</v>
      </c>
      <c r="O139" t="s">
        <v>1155</v>
      </c>
      <c r="P139">
        <v>19.45</v>
      </c>
      <c r="Q139">
        <v>18.22</v>
      </c>
      <c r="R139">
        <v>18.350000000000001</v>
      </c>
      <c r="S139">
        <v>18.39</v>
      </c>
      <c r="T139">
        <v>6.69</v>
      </c>
      <c r="U139">
        <v>4.32</v>
      </c>
      <c r="V139">
        <v>-60.82</v>
      </c>
      <c r="W139">
        <v>-9323</v>
      </c>
      <c r="X139">
        <v>18.98</v>
      </c>
      <c r="Y139" t="s">
        <v>1156</v>
      </c>
      <c r="Z139" t="s">
        <v>1157</v>
      </c>
      <c r="AA139">
        <v>0.63</v>
      </c>
      <c r="AB139">
        <v>1409</v>
      </c>
      <c r="AC139">
        <v>4013</v>
      </c>
      <c r="AD139">
        <v>3.76</v>
      </c>
      <c r="AE139" t="s">
        <v>731</v>
      </c>
      <c r="AF139" t="s">
        <v>947</v>
      </c>
      <c r="AG139" t="s">
        <v>486</v>
      </c>
      <c r="AH139" t="s">
        <v>1158</v>
      </c>
      <c r="AI139">
        <v>4.7300000000000004</v>
      </c>
      <c r="AJ139">
        <v>7.89</v>
      </c>
      <c r="AK139">
        <v>6.44</v>
      </c>
      <c r="AL139">
        <v>9.17</v>
      </c>
    </row>
    <row r="140" spans="1:38" x14ac:dyDescent="0.25">
      <c r="A140">
        <v>139</v>
      </c>
      <c r="B140" t="str">
        <f xml:space="preserve"> "600031"</f>
        <v>600031</v>
      </c>
      <c r="C140" t="s">
        <v>1159</v>
      </c>
      <c r="D140">
        <v>7.9</v>
      </c>
      <c r="E140">
        <v>1.1499999999999999</v>
      </c>
      <c r="F140">
        <v>0.09</v>
      </c>
      <c r="G140" t="s">
        <v>1160</v>
      </c>
      <c r="H140">
        <v>92</v>
      </c>
      <c r="I140">
        <v>7.89</v>
      </c>
      <c r="J140">
        <v>7.9</v>
      </c>
      <c r="K140">
        <v>-0.13</v>
      </c>
      <c r="L140">
        <v>0.83</v>
      </c>
      <c r="M140" t="s">
        <v>1161</v>
      </c>
      <c r="N140">
        <v>26.03</v>
      </c>
      <c r="O140" t="s">
        <v>648</v>
      </c>
      <c r="P140">
        <v>7.96</v>
      </c>
      <c r="Q140">
        <v>7.78</v>
      </c>
      <c r="R140">
        <v>7.8</v>
      </c>
      <c r="S140">
        <v>7.81</v>
      </c>
      <c r="T140">
        <v>2.2999999999999998</v>
      </c>
      <c r="U140">
        <v>1.51</v>
      </c>
      <c r="V140">
        <v>-21.01</v>
      </c>
      <c r="W140">
        <v>-4953</v>
      </c>
      <c r="X140">
        <v>7.92</v>
      </c>
      <c r="Y140" t="s">
        <v>1162</v>
      </c>
      <c r="Z140" t="s">
        <v>1163</v>
      </c>
      <c r="AA140">
        <v>0.85</v>
      </c>
      <c r="AB140">
        <v>234</v>
      </c>
      <c r="AC140">
        <v>24</v>
      </c>
      <c r="AD140">
        <v>2.5499999999999998</v>
      </c>
      <c r="AE140" t="s">
        <v>960</v>
      </c>
      <c r="AF140" t="s">
        <v>947</v>
      </c>
      <c r="AG140" t="s">
        <v>1164</v>
      </c>
      <c r="AH140" t="s">
        <v>1165</v>
      </c>
      <c r="AI140">
        <v>1.41</v>
      </c>
      <c r="AJ140">
        <v>5.61</v>
      </c>
      <c r="AK140">
        <v>1.72</v>
      </c>
      <c r="AL140">
        <v>3.57</v>
      </c>
    </row>
    <row r="141" spans="1:38" x14ac:dyDescent="0.25">
      <c r="A141">
        <v>140</v>
      </c>
      <c r="B141" t="str">
        <f xml:space="preserve"> "300059"</f>
        <v>300059</v>
      </c>
      <c r="C141" t="s">
        <v>1166</v>
      </c>
      <c r="D141">
        <v>14.03</v>
      </c>
      <c r="E141">
        <v>1.08</v>
      </c>
      <c r="F141">
        <v>0.15</v>
      </c>
      <c r="G141" t="s">
        <v>1167</v>
      </c>
      <c r="H141">
        <v>9918</v>
      </c>
      <c r="I141">
        <v>14.02</v>
      </c>
      <c r="J141">
        <v>14.03</v>
      </c>
      <c r="K141">
        <v>0</v>
      </c>
      <c r="L141">
        <v>1.94</v>
      </c>
      <c r="M141" t="s">
        <v>1168</v>
      </c>
      <c r="N141">
        <v>115.67</v>
      </c>
      <c r="O141" t="s">
        <v>553</v>
      </c>
      <c r="P141">
        <v>14.14</v>
      </c>
      <c r="Q141">
        <v>13.69</v>
      </c>
      <c r="R141">
        <v>13.89</v>
      </c>
      <c r="S141">
        <v>13.88</v>
      </c>
      <c r="T141">
        <v>3.24</v>
      </c>
      <c r="U141">
        <v>0.83</v>
      </c>
      <c r="V141">
        <v>4.5999999999999996</v>
      </c>
      <c r="W141">
        <v>658</v>
      </c>
      <c r="X141">
        <v>13.93</v>
      </c>
      <c r="Y141" t="s">
        <v>1169</v>
      </c>
      <c r="Z141" t="s">
        <v>1170</v>
      </c>
      <c r="AA141">
        <v>0.86</v>
      </c>
      <c r="AB141">
        <v>2575</v>
      </c>
      <c r="AC141">
        <v>1270</v>
      </c>
      <c r="AD141">
        <v>4.62</v>
      </c>
      <c r="AE141" t="s">
        <v>374</v>
      </c>
      <c r="AF141" t="s">
        <v>1171</v>
      </c>
      <c r="AG141" t="s">
        <v>1172</v>
      </c>
      <c r="AH141" t="s">
        <v>1173</v>
      </c>
      <c r="AI141">
        <v>-1.82</v>
      </c>
      <c r="AJ141">
        <v>2.48</v>
      </c>
      <c r="AK141">
        <v>6.01</v>
      </c>
      <c r="AL141">
        <v>13.62</v>
      </c>
    </row>
    <row r="142" spans="1:38" x14ac:dyDescent="0.25">
      <c r="A142">
        <v>141</v>
      </c>
      <c r="B142" t="str">
        <f xml:space="preserve"> "601212"</f>
        <v>601212</v>
      </c>
      <c r="C142" t="s">
        <v>1174</v>
      </c>
      <c r="D142" t="s">
        <v>616</v>
      </c>
      <c r="E142" t="s">
        <v>616</v>
      </c>
      <c r="F142" t="s">
        <v>616</v>
      </c>
      <c r="G142" t="s">
        <v>616</v>
      </c>
      <c r="H142" t="s">
        <v>616</v>
      </c>
      <c r="I142" t="s">
        <v>616</v>
      </c>
      <c r="J142" t="s">
        <v>616</v>
      </c>
      <c r="K142" t="s">
        <v>616</v>
      </c>
      <c r="L142" t="s">
        <v>616</v>
      </c>
      <c r="M142" t="s">
        <v>616</v>
      </c>
      <c r="N142">
        <v>221.29</v>
      </c>
      <c r="O142" t="s">
        <v>449</v>
      </c>
      <c r="P142" t="s">
        <v>616</v>
      </c>
      <c r="Q142" t="s">
        <v>616</v>
      </c>
      <c r="R142" t="s">
        <v>616</v>
      </c>
      <c r="S142">
        <v>8.56</v>
      </c>
      <c r="T142" t="s">
        <v>616</v>
      </c>
      <c r="U142" t="s">
        <v>616</v>
      </c>
      <c r="V142" t="s">
        <v>616</v>
      </c>
      <c r="W142" t="s">
        <v>616</v>
      </c>
      <c r="X142" t="s">
        <v>616</v>
      </c>
      <c r="Y142" t="s">
        <v>616</v>
      </c>
      <c r="Z142" t="s">
        <v>616</v>
      </c>
      <c r="AA142" t="s">
        <v>616</v>
      </c>
      <c r="AB142" t="s">
        <v>616</v>
      </c>
      <c r="AC142" t="s">
        <v>616</v>
      </c>
      <c r="AD142">
        <v>4.95</v>
      </c>
      <c r="AE142" t="s">
        <v>1175</v>
      </c>
      <c r="AF142" t="s">
        <v>1176</v>
      </c>
      <c r="AG142" t="s">
        <v>1177</v>
      </c>
      <c r="AH142" t="s">
        <v>294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>
        <v>142</v>
      </c>
      <c r="B143" t="str">
        <f xml:space="preserve"> "600297"</f>
        <v>600297</v>
      </c>
      <c r="C143" t="s">
        <v>1178</v>
      </c>
      <c r="D143">
        <v>8.2799999999999994</v>
      </c>
      <c r="E143">
        <v>0.12</v>
      </c>
      <c r="F143">
        <v>0.01</v>
      </c>
      <c r="G143" t="s">
        <v>1179</v>
      </c>
      <c r="H143">
        <v>13</v>
      </c>
      <c r="I143">
        <v>8.27</v>
      </c>
      <c r="J143">
        <v>8.2799999999999994</v>
      </c>
      <c r="K143">
        <v>0.12</v>
      </c>
      <c r="L143">
        <v>0.31</v>
      </c>
      <c r="M143" t="s">
        <v>1180</v>
      </c>
      <c r="N143">
        <v>14.79</v>
      </c>
      <c r="O143" t="s">
        <v>169</v>
      </c>
      <c r="P143">
        <v>8.34</v>
      </c>
      <c r="Q143">
        <v>8.2100000000000009</v>
      </c>
      <c r="R143">
        <v>8.27</v>
      </c>
      <c r="S143">
        <v>8.27</v>
      </c>
      <c r="T143">
        <v>1.57</v>
      </c>
      <c r="U143">
        <v>0.56999999999999995</v>
      </c>
      <c r="V143">
        <v>35.74</v>
      </c>
      <c r="W143">
        <v>2521</v>
      </c>
      <c r="X143">
        <v>8.27</v>
      </c>
      <c r="Y143" t="s">
        <v>1070</v>
      </c>
      <c r="Z143" t="s">
        <v>1181</v>
      </c>
      <c r="AA143">
        <v>1.1499999999999999</v>
      </c>
      <c r="AB143">
        <v>122</v>
      </c>
      <c r="AC143">
        <v>9</v>
      </c>
      <c r="AD143">
        <v>2.41</v>
      </c>
      <c r="AE143" t="s">
        <v>1182</v>
      </c>
      <c r="AF143" t="s">
        <v>1183</v>
      </c>
      <c r="AG143" t="s">
        <v>1184</v>
      </c>
      <c r="AH143" t="s">
        <v>1185</v>
      </c>
      <c r="AI143">
        <v>-0.6</v>
      </c>
      <c r="AJ143">
        <v>0.36</v>
      </c>
      <c r="AK143">
        <v>1.4</v>
      </c>
      <c r="AL143">
        <v>3.05</v>
      </c>
    </row>
    <row r="144" spans="1:38" x14ac:dyDescent="0.25">
      <c r="A144">
        <v>143</v>
      </c>
      <c r="B144" t="str">
        <f xml:space="preserve"> "600061"</f>
        <v>600061</v>
      </c>
      <c r="C144" t="s">
        <v>1186</v>
      </c>
      <c r="D144">
        <v>16.010000000000002</v>
      </c>
      <c r="E144">
        <v>0.13</v>
      </c>
      <c r="F144">
        <v>0.02</v>
      </c>
      <c r="G144" t="s">
        <v>1187</v>
      </c>
      <c r="H144">
        <v>9</v>
      </c>
      <c r="I144">
        <v>16</v>
      </c>
      <c r="J144">
        <v>16.010000000000002</v>
      </c>
      <c r="K144">
        <v>0.19</v>
      </c>
      <c r="L144">
        <v>0.3</v>
      </c>
      <c r="M144" t="s">
        <v>1188</v>
      </c>
      <c r="N144">
        <v>23.34</v>
      </c>
      <c r="O144" t="s">
        <v>306</v>
      </c>
      <c r="P144">
        <v>16.04</v>
      </c>
      <c r="Q144">
        <v>15.91</v>
      </c>
      <c r="R144">
        <v>16</v>
      </c>
      <c r="S144">
        <v>15.99</v>
      </c>
      <c r="T144">
        <v>0.81</v>
      </c>
      <c r="U144">
        <v>0.49</v>
      </c>
      <c r="V144">
        <v>-13.76</v>
      </c>
      <c r="W144">
        <v>-656</v>
      </c>
      <c r="X144">
        <v>15.98</v>
      </c>
      <c r="Y144" t="s">
        <v>1189</v>
      </c>
      <c r="Z144" t="s">
        <v>1190</v>
      </c>
      <c r="AA144">
        <v>0.97</v>
      </c>
      <c r="AB144">
        <v>834</v>
      </c>
      <c r="AC144">
        <v>808</v>
      </c>
      <c r="AD144">
        <v>2.1800000000000002</v>
      </c>
      <c r="AE144" t="s">
        <v>1191</v>
      </c>
      <c r="AF144" t="s">
        <v>1192</v>
      </c>
      <c r="AG144" t="s">
        <v>1193</v>
      </c>
      <c r="AH144" t="s">
        <v>1194</v>
      </c>
      <c r="AI144">
        <v>-1.42</v>
      </c>
      <c r="AJ144">
        <v>-0.12</v>
      </c>
      <c r="AK144">
        <v>1.1599999999999999</v>
      </c>
      <c r="AL144">
        <v>3.29</v>
      </c>
    </row>
    <row r="145" spans="1:38" x14ac:dyDescent="0.25">
      <c r="A145">
        <v>144</v>
      </c>
      <c r="B145" t="str">
        <f xml:space="preserve"> "600547"</f>
        <v>600547</v>
      </c>
      <c r="C145" t="s">
        <v>1195</v>
      </c>
      <c r="D145">
        <v>31.18</v>
      </c>
      <c r="E145">
        <v>-0.38</v>
      </c>
      <c r="F145">
        <v>-0.12</v>
      </c>
      <c r="G145" t="s">
        <v>1196</v>
      </c>
      <c r="H145">
        <v>51</v>
      </c>
      <c r="I145">
        <v>31.19</v>
      </c>
      <c r="J145">
        <v>31.2</v>
      </c>
      <c r="K145">
        <v>0</v>
      </c>
      <c r="L145">
        <v>0.54</v>
      </c>
      <c r="M145" t="s">
        <v>1197</v>
      </c>
      <c r="N145">
        <v>46.87</v>
      </c>
      <c r="O145" t="s">
        <v>788</v>
      </c>
      <c r="P145">
        <v>31.35</v>
      </c>
      <c r="Q145">
        <v>31.09</v>
      </c>
      <c r="R145">
        <v>31.3</v>
      </c>
      <c r="S145">
        <v>31.3</v>
      </c>
      <c r="T145">
        <v>0.83</v>
      </c>
      <c r="U145">
        <v>0.76</v>
      </c>
      <c r="V145">
        <v>28.48</v>
      </c>
      <c r="W145">
        <v>383</v>
      </c>
      <c r="X145">
        <v>31.16</v>
      </c>
      <c r="Y145" t="s">
        <v>1198</v>
      </c>
      <c r="Z145" t="s">
        <v>1199</v>
      </c>
      <c r="AA145">
        <v>1.58</v>
      </c>
      <c r="AB145">
        <v>161</v>
      </c>
      <c r="AC145">
        <v>176</v>
      </c>
      <c r="AD145">
        <v>3.63</v>
      </c>
      <c r="AE145" t="s">
        <v>1200</v>
      </c>
      <c r="AF145" t="s">
        <v>1201</v>
      </c>
      <c r="AG145" t="s">
        <v>1202</v>
      </c>
      <c r="AH145" t="s">
        <v>1203</v>
      </c>
      <c r="AI145">
        <v>-0.98</v>
      </c>
      <c r="AJ145">
        <v>-0.03</v>
      </c>
      <c r="AK145">
        <v>2.04</v>
      </c>
      <c r="AL145">
        <v>4.08</v>
      </c>
    </row>
    <row r="146" spans="1:38" x14ac:dyDescent="0.25">
      <c r="A146">
        <v>145</v>
      </c>
      <c r="B146" t="str">
        <f xml:space="preserve"> "600515"</f>
        <v>600515</v>
      </c>
      <c r="C146" t="s">
        <v>1204</v>
      </c>
      <c r="D146">
        <v>14.79</v>
      </c>
      <c r="E146">
        <v>2.0699999999999998</v>
      </c>
      <c r="F146">
        <v>0.3</v>
      </c>
      <c r="G146" t="s">
        <v>1205</v>
      </c>
      <c r="H146">
        <v>158</v>
      </c>
      <c r="I146">
        <v>14.77</v>
      </c>
      <c r="J146">
        <v>14.79</v>
      </c>
      <c r="K146">
        <v>0</v>
      </c>
      <c r="L146">
        <v>1.4</v>
      </c>
      <c r="M146" t="s">
        <v>1206</v>
      </c>
      <c r="N146">
        <v>27.27</v>
      </c>
      <c r="O146" t="s">
        <v>244</v>
      </c>
      <c r="P146">
        <v>14.91</v>
      </c>
      <c r="Q146">
        <v>14.5</v>
      </c>
      <c r="R146">
        <v>14.5</v>
      </c>
      <c r="S146">
        <v>14.49</v>
      </c>
      <c r="T146">
        <v>2.83</v>
      </c>
      <c r="U146">
        <v>0.78</v>
      </c>
      <c r="V146">
        <v>-44.94</v>
      </c>
      <c r="W146">
        <v>-630</v>
      </c>
      <c r="X146">
        <v>14.78</v>
      </c>
      <c r="Y146" t="s">
        <v>1207</v>
      </c>
      <c r="Z146" t="s">
        <v>1074</v>
      </c>
      <c r="AA146">
        <v>0.82</v>
      </c>
      <c r="AB146">
        <v>17</v>
      </c>
      <c r="AC146">
        <v>18</v>
      </c>
      <c r="AD146">
        <v>1.77</v>
      </c>
      <c r="AE146" t="s">
        <v>946</v>
      </c>
      <c r="AF146" t="s">
        <v>1208</v>
      </c>
      <c r="AG146" t="s">
        <v>1134</v>
      </c>
      <c r="AH146" t="s">
        <v>1209</v>
      </c>
      <c r="AI146">
        <v>-0.74</v>
      </c>
      <c r="AJ146">
        <v>1.93</v>
      </c>
      <c r="AK146">
        <v>6.64</v>
      </c>
      <c r="AL146">
        <v>10.33</v>
      </c>
    </row>
    <row r="147" spans="1:38" x14ac:dyDescent="0.25">
      <c r="A147">
        <v>146</v>
      </c>
      <c r="B147" t="str">
        <f xml:space="preserve"> "601012"</f>
        <v>601012</v>
      </c>
      <c r="C147" t="s">
        <v>1210</v>
      </c>
      <c r="D147">
        <v>28.5</v>
      </c>
      <c r="E147">
        <v>1.1000000000000001</v>
      </c>
      <c r="F147">
        <v>0.31</v>
      </c>
      <c r="G147" t="s">
        <v>1211</v>
      </c>
      <c r="H147">
        <v>6</v>
      </c>
      <c r="I147">
        <v>28.5</v>
      </c>
      <c r="J147">
        <v>28.51</v>
      </c>
      <c r="K147">
        <v>-0.21</v>
      </c>
      <c r="L147">
        <v>0.95</v>
      </c>
      <c r="M147" t="s">
        <v>1212</v>
      </c>
      <c r="N147">
        <v>23.01</v>
      </c>
      <c r="O147" t="s">
        <v>859</v>
      </c>
      <c r="P147">
        <v>29.08</v>
      </c>
      <c r="Q147">
        <v>28.15</v>
      </c>
      <c r="R147">
        <v>28.2</v>
      </c>
      <c r="S147">
        <v>28.19</v>
      </c>
      <c r="T147">
        <v>3.3</v>
      </c>
      <c r="U147">
        <v>0.84</v>
      </c>
      <c r="V147">
        <v>-34.18</v>
      </c>
      <c r="W147">
        <v>-482</v>
      </c>
      <c r="X147">
        <v>28.44</v>
      </c>
      <c r="Y147" t="s">
        <v>1213</v>
      </c>
      <c r="Z147" t="s">
        <v>1214</v>
      </c>
      <c r="AA147">
        <v>1.04</v>
      </c>
      <c r="AB147">
        <v>1</v>
      </c>
      <c r="AC147">
        <v>23</v>
      </c>
      <c r="AD147">
        <v>5.0999999999999996</v>
      </c>
      <c r="AE147" t="s">
        <v>1063</v>
      </c>
      <c r="AF147" t="s">
        <v>1215</v>
      </c>
      <c r="AG147" t="s">
        <v>1216</v>
      </c>
      <c r="AH147" t="s">
        <v>1217</v>
      </c>
      <c r="AI147">
        <v>-3.03</v>
      </c>
      <c r="AJ147">
        <v>-2.4300000000000002</v>
      </c>
      <c r="AK147">
        <v>2.87</v>
      </c>
      <c r="AL147">
        <v>6.57</v>
      </c>
    </row>
    <row r="148" spans="1:38" x14ac:dyDescent="0.25">
      <c r="A148">
        <v>147</v>
      </c>
      <c r="B148" t="str">
        <f xml:space="preserve"> "002310"</f>
        <v>002310</v>
      </c>
      <c r="C148" t="s">
        <v>1218</v>
      </c>
      <c r="D148">
        <v>21.16</v>
      </c>
      <c r="E148">
        <v>2.97</v>
      </c>
      <c r="F148">
        <v>0.61</v>
      </c>
      <c r="G148" t="s">
        <v>1219</v>
      </c>
      <c r="H148">
        <v>7700</v>
      </c>
      <c r="I148">
        <v>21.16</v>
      </c>
      <c r="J148">
        <v>21.17</v>
      </c>
      <c r="K148">
        <v>0.05</v>
      </c>
      <c r="L148">
        <v>1.68</v>
      </c>
      <c r="M148" t="s">
        <v>1220</v>
      </c>
      <c r="N148">
        <v>60.66</v>
      </c>
      <c r="O148" t="s">
        <v>1221</v>
      </c>
      <c r="P148">
        <v>21.17</v>
      </c>
      <c r="Q148">
        <v>20.34</v>
      </c>
      <c r="R148">
        <v>20.56</v>
      </c>
      <c r="S148">
        <v>20.55</v>
      </c>
      <c r="T148">
        <v>4.04</v>
      </c>
      <c r="U148">
        <v>1.35</v>
      </c>
      <c r="V148">
        <v>-39.69</v>
      </c>
      <c r="W148">
        <v>-2635</v>
      </c>
      <c r="X148">
        <v>20.8</v>
      </c>
      <c r="Y148" t="s">
        <v>1222</v>
      </c>
      <c r="Z148" t="s">
        <v>280</v>
      </c>
      <c r="AA148">
        <v>0.67</v>
      </c>
      <c r="AB148">
        <v>196</v>
      </c>
      <c r="AC148">
        <v>602</v>
      </c>
      <c r="AD148">
        <v>5.97</v>
      </c>
      <c r="AE148" t="s">
        <v>1223</v>
      </c>
      <c r="AF148" t="s">
        <v>1224</v>
      </c>
      <c r="AG148" t="s">
        <v>1225</v>
      </c>
      <c r="AH148" t="s">
        <v>1226</v>
      </c>
      <c r="AI148">
        <v>-0.19</v>
      </c>
      <c r="AJ148">
        <v>3.78</v>
      </c>
      <c r="AK148">
        <v>4.22</v>
      </c>
      <c r="AL148">
        <v>7.89</v>
      </c>
    </row>
    <row r="149" spans="1:38" x14ac:dyDescent="0.25">
      <c r="A149">
        <v>148</v>
      </c>
      <c r="B149" t="str">
        <f xml:space="preserve"> "000039"</f>
        <v>000039</v>
      </c>
      <c r="C149" t="s">
        <v>1227</v>
      </c>
      <c r="D149">
        <v>18.95</v>
      </c>
      <c r="E149">
        <v>0</v>
      </c>
      <c r="F149">
        <v>0</v>
      </c>
      <c r="G149" t="s">
        <v>720</v>
      </c>
      <c r="H149">
        <v>802</v>
      </c>
      <c r="I149">
        <v>18.940000000000001</v>
      </c>
      <c r="J149">
        <v>18.95</v>
      </c>
      <c r="K149">
        <v>0</v>
      </c>
      <c r="L149">
        <v>0.71</v>
      </c>
      <c r="M149" t="s">
        <v>1228</v>
      </c>
      <c r="N149">
        <v>35.450000000000003</v>
      </c>
      <c r="O149" t="s">
        <v>1229</v>
      </c>
      <c r="P149">
        <v>19.190000000000001</v>
      </c>
      <c r="Q149">
        <v>18.84</v>
      </c>
      <c r="R149">
        <v>18.95</v>
      </c>
      <c r="S149">
        <v>18.95</v>
      </c>
      <c r="T149">
        <v>1.85</v>
      </c>
      <c r="U149">
        <v>0.78</v>
      </c>
      <c r="V149">
        <v>-20.54</v>
      </c>
      <c r="W149">
        <v>-1058</v>
      </c>
      <c r="X149">
        <v>19.03</v>
      </c>
      <c r="Y149" t="s">
        <v>1230</v>
      </c>
      <c r="Z149" t="s">
        <v>624</v>
      </c>
      <c r="AA149">
        <v>1.24</v>
      </c>
      <c r="AB149">
        <v>154</v>
      </c>
      <c r="AC149">
        <v>1910</v>
      </c>
      <c r="AD149">
        <v>2.04</v>
      </c>
      <c r="AE149" t="s">
        <v>1231</v>
      </c>
      <c r="AF149" t="s">
        <v>1232</v>
      </c>
      <c r="AG149" t="s">
        <v>126</v>
      </c>
      <c r="AH149" t="s">
        <v>1233</v>
      </c>
      <c r="AI149">
        <v>0.8</v>
      </c>
      <c r="AJ149">
        <v>4.24</v>
      </c>
      <c r="AK149">
        <v>2.5099999999999998</v>
      </c>
      <c r="AL149">
        <v>5.25</v>
      </c>
    </row>
    <row r="150" spans="1:38" x14ac:dyDescent="0.25">
      <c r="A150">
        <v>149</v>
      </c>
      <c r="B150" t="str">
        <f xml:space="preserve"> "002673"</f>
        <v>002673</v>
      </c>
      <c r="C150" t="s">
        <v>1234</v>
      </c>
      <c r="D150">
        <v>16.09</v>
      </c>
      <c r="E150">
        <v>1.84</v>
      </c>
      <c r="F150">
        <v>0.28999999999999998</v>
      </c>
      <c r="G150" t="s">
        <v>1235</v>
      </c>
      <c r="H150">
        <v>9545</v>
      </c>
      <c r="I150">
        <v>16.079999999999998</v>
      </c>
      <c r="J150">
        <v>16.09</v>
      </c>
      <c r="K150">
        <v>0.06</v>
      </c>
      <c r="L150">
        <v>1.1000000000000001</v>
      </c>
      <c r="M150" t="s">
        <v>1236</v>
      </c>
      <c r="N150">
        <v>64.400000000000006</v>
      </c>
      <c r="O150" t="s">
        <v>306</v>
      </c>
      <c r="P150">
        <v>16.149999999999999</v>
      </c>
      <c r="Q150">
        <v>15.81</v>
      </c>
      <c r="R150">
        <v>15.91</v>
      </c>
      <c r="S150">
        <v>15.8</v>
      </c>
      <c r="T150">
        <v>2.15</v>
      </c>
      <c r="U150">
        <v>1.54</v>
      </c>
      <c r="V150">
        <v>-22.97</v>
      </c>
      <c r="W150">
        <v>-5983</v>
      </c>
      <c r="X150">
        <v>15.99</v>
      </c>
      <c r="Y150" t="s">
        <v>1237</v>
      </c>
      <c r="Z150" t="s">
        <v>1238</v>
      </c>
      <c r="AA150">
        <v>0.55000000000000004</v>
      </c>
      <c r="AB150">
        <v>5418</v>
      </c>
      <c r="AC150">
        <v>3968</v>
      </c>
      <c r="AD150">
        <v>3.26</v>
      </c>
      <c r="AE150" t="s">
        <v>1239</v>
      </c>
      <c r="AF150" t="s">
        <v>1240</v>
      </c>
      <c r="AG150" t="s">
        <v>1239</v>
      </c>
      <c r="AH150" t="s">
        <v>1240</v>
      </c>
      <c r="AI150">
        <v>1.45</v>
      </c>
      <c r="AJ150">
        <v>4.3499999999999996</v>
      </c>
      <c r="AK150">
        <v>2.57</v>
      </c>
      <c r="AL150">
        <v>4.67</v>
      </c>
    </row>
    <row r="151" spans="1:38" x14ac:dyDescent="0.25">
      <c r="A151">
        <v>150</v>
      </c>
      <c r="B151" t="str">
        <f xml:space="preserve"> "601377"</f>
        <v>601377</v>
      </c>
      <c r="C151" t="s">
        <v>1241</v>
      </c>
      <c r="D151">
        <v>8.39</v>
      </c>
      <c r="E151">
        <v>0.24</v>
      </c>
      <c r="F151">
        <v>0.02</v>
      </c>
      <c r="G151" t="s">
        <v>222</v>
      </c>
      <c r="H151">
        <v>50</v>
      </c>
      <c r="I151">
        <v>8.39</v>
      </c>
      <c r="J151">
        <v>8.4</v>
      </c>
      <c r="K151">
        <v>-0.12</v>
      </c>
      <c r="L151">
        <v>0.33</v>
      </c>
      <c r="M151" t="s">
        <v>398</v>
      </c>
      <c r="N151">
        <v>21.46</v>
      </c>
      <c r="O151" t="s">
        <v>306</v>
      </c>
      <c r="P151">
        <v>8.43</v>
      </c>
      <c r="Q151">
        <v>8.35</v>
      </c>
      <c r="R151">
        <v>8.3699999999999992</v>
      </c>
      <c r="S151">
        <v>8.3699999999999992</v>
      </c>
      <c r="T151">
        <v>0.96</v>
      </c>
      <c r="U151">
        <v>0.46</v>
      </c>
      <c r="V151">
        <v>-10.82</v>
      </c>
      <c r="W151">
        <v>-3260</v>
      </c>
      <c r="X151">
        <v>8.3800000000000008</v>
      </c>
      <c r="Y151" t="s">
        <v>1242</v>
      </c>
      <c r="Z151" t="s">
        <v>912</v>
      </c>
      <c r="AA151">
        <v>1.0900000000000001</v>
      </c>
      <c r="AB151">
        <v>104</v>
      </c>
      <c r="AC151">
        <v>1528</v>
      </c>
      <c r="AD151">
        <v>1.81</v>
      </c>
      <c r="AE151" t="s">
        <v>524</v>
      </c>
      <c r="AF151" t="s">
        <v>1243</v>
      </c>
      <c r="AG151" t="s">
        <v>524</v>
      </c>
      <c r="AH151" t="s">
        <v>1243</v>
      </c>
      <c r="AI151">
        <v>-0.94</v>
      </c>
      <c r="AJ151">
        <v>-0.12</v>
      </c>
      <c r="AK151">
        <v>1.28</v>
      </c>
      <c r="AL151">
        <v>3.95</v>
      </c>
    </row>
    <row r="152" spans="1:38" x14ac:dyDescent="0.25">
      <c r="A152">
        <v>151</v>
      </c>
      <c r="B152" t="str">
        <f xml:space="preserve"> "600111"</f>
        <v>600111</v>
      </c>
      <c r="C152" t="s">
        <v>1244</v>
      </c>
      <c r="D152">
        <v>15.29</v>
      </c>
      <c r="E152">
        <v>7.0000000000000007E-2</v>
      </c>
      <c r="F152">
        <v>0.01</v>
      </c>
      <c r="G152" t="s">
        <v>1245</v>
      </c>
      <c r="H152">
        <v>2</v>
      </c>
      <c r="I152">
        <v>15.29</v>
      </c>
      <c r="J152">
        <v>15.3</v>
      </c>
      <c r="K152">
        <v>0</v>
      </c>
      <c r="L152">
        <v>1.46</v>
      </c>
      <c r="M152" t="s">
        <v>1246</v>
      </c>
      <c r="N152">
        <v>248.08</v>
      </c>
      <c r="O152" t="s">
        <v>449</v>
      </c>
      <c r="P152">
        <v>15.42</v>
      </c>
      <c r="Q152">
        <v>15.2</v>
      </c>
      <c r="R152">
        <v>15.28</v>
      </c>
      <c r="S152">
        <v>15.28</v>
      </c>
      <c r="T152">
        <v>1.44</v>
      </c>
      <c r="U152">
        <v>0.64</v>
      </c>
      <c r="V152">
        <v>-26.63</v>
      </c>
      <c r="W152">
        <v>-3790</v>
      </c>
      <c r="X152">
        <v>15.28</v>
      </c>
      <c r="Y152" t="s">
        <v>1247</v>
      </c>
      <c r="Z152" t="s">
        <v>1248</v>
      </c>
      <c r="AA152">
        <v>1.1499999999999999</v>
      </c>
      <c r="AB152">
        <v>351</v>
      </c>
      <c r="AC152">
        <v>1364</v>
      </c>
      <c r="AD152">
        <v>6.55</v>
      </c>
      <c r="AE152" t="s">
        <v>1249</v>
      </c>
      <c r="AF152" t="s">
        <v>1250</v>
      </c>
      <c r="AG152" t="s">
        <v>1249</v>
      </c>
      <c r="AH152" t="s">
        <v>1250</v>
      </c>
      <c r="AI152">
        <v>-1.67</v>
      </c>
      <c r="AJ152">
        <v>-4.0199999999999996</v>
      </c>
      <c r="AK152">
        <v>6.29</v>
      </c>
      <c r="AL152">
        <v>12.77</v>
      </c>
    </row>
    <row r="153" spans="1:38" x14ac:dyDescent="0.25">
      <c r="A153">
        <v>152</v>
      </c>
      <c r="B153" t="str">
        <f xml:space="preserve"> "600066"</f>
        <v>600066</v>
      </c>
      <c r="C153" t="s">
        <v>1251</v>
      </c>
      <c r="D153">
        <v>24.92</v>
      </c>
      <c r="E153">
        <v>-1.19</v>
      </c>
      <c r="F153">
        <v>-0.3</v>
      </c>
      <c r="G153" t="s">
        <v>1252</v>
      </c>
      <c r="H153">
        <v>3</v>
      </c>
      <c r="I153">
        <v>24.93</v>
      </c>
      <c r="J153">
        <v>24.94</v>
      </c>
      <c r="K153">
        <v>-0.16</v>
      </c>
      <c r="L153">
        <v>0.47</v>
      </c>
      <c r="M153" t="s">
        <v>845</v>
      </c>
      <c r="N153">
        <v>34.270000000000003</v>
      </c>
      <c r="O153" t="s">
        <v>169</v>
      </c>
      <c r="P153">
        <v>25.29</v>
      </c>
      <c r="Q153">
        <v>24.9</v>
      </c>
      <c r="R153">
        <v>25.27</v>
      </c>
      <c r="S153">
        <v>25.22</v>
      </c>
      <c r="T153">
        <v>1.55</v>
      </c>
      <c r="U153">
        <v>0.46</v>
      </c>
      <c r="V153">
        <v>10.5</v>
      </c>
      <c r="W153">
        <v>185</v>
      </c>
      <c r="X153">
        <v>25.08</v>
      </c>
      <c r="Y153" t="s">
        <v>1253</v>
      </c>
      <c r="Z153" t="s">
        <v>105</v>
      </c>
      <c r="AA153">
        <v>1.3</v>
      </c>
      <c r="AB153">
        <v>3</v>
      </c>
      <c r="AC153">
        <v>478</v>
      </c>
      <c r="AD153">
        <v>4.53</v>
      </c>
      <c r="AE153" t="s">
        <v>1254</v>
      </c>
      <c r="AF153" t="s">
        <v>1255</v>
      </c>
      <c r="AG153" t="s">
        <v>493</v>
      </c>
      <c r="AH153" t="s">
        <v>1256</v>
      </c>
      <c r="AI153">
        <v>0.28000000000000003</v>
      </c>
      <c r="AJ153">
        <v>1.55</v>
      </c>
      <c r="AK153">
        <v>1.98</v>
      </c>
      <c r="AL153">
        <v>5.57</v>
      </c>
    </row>
    <row r="154" spans="1:38" x14ac:dyDescent="0.25">
      <c r="A154">
        <v>153</v>
      </c>
      <c r="B154" t="str">
        <f xml:space="preserve"> "000413"</f>
        <v>000413</v>
      </c>
      <c r="C154" t="s">
        <v>1257</v>
      </c>
      <c r="D154">
        <v>11.16</v>
      </c>
      <c r="E154">
        <v>0.09</v>
      </c>
      <c r="F154">
        <v>0.01</v>
      </c>
      <c r="G154" t="s">
        <v>1258</v>
      </c>
      <c r="H154" t="s">
        <v>1259</v>
      </c>
      <c r="I154">
        <v>11.15</v>
      </c>
      <c r="J154">
        <v>11.16</v>
      </c>
      <c r="K154">
        <v>0</v>
      </c>
      <c r="L154">
        <v>1.89</v>
      </c>
      <c r="M154" t="s">
        <v>1260</v>
      </c>
      <c r="N154">
        <v>43.35</v>
      </c>
      <c r="O154" t="s">
        <v>380</v>
      </c>
      <c r="P154">
        <v>11.25</v>
      </c>
      <c r="Q154">
        <v>11.1</v>
      </c>
      <c r="R154">
        <v>11.15</v>
      </c>
      <c r="S154">
        <v>11.15</v>
      </c>
      <c r="T154">
        <v>1.35</v>
      </c>
      <c r="U154">
        <v>0.43</v>
      </c>
      <c r="V154">
        <v>-19.850000000000001</v>
      </c>
      <c r="W154">
        <v>-8260</v>
      </c>
      <c r="X154">
        <v>11.16</v>
      </c>
      <c r="Y154" t="s">
        <v>1261</v>
      </c>
      <c r="Z154" t="s">
        <v>1262</v>
      </c>
      <c r="AA154">
        <v>1.22</v>
      </c>
      <c r="AB154">
        <v>3989</v>
      </c>
      <c r="AC154">
        <v>5937</v>
      </c>
      <c r="AD154">
        <v>2.4500000000000002</v>
      </c>
      <c r="AE154" t="s">
        <v>1263</v>
      </c>
      <c r="AF154" t="s">
        <v>1264</v>
      </c>
      <c r="AG154" t="s">
        <v>1265</v>
      </c>
      <c r="AH154" t="s">
        <v>1266</v>
      </c>
      <c r="AI154">
        <v>-0.8</v>
      </c>
      <c r="AJ154">
        <v>-2.36</v>
      </c>
      <c r="AK154">
        <v>11.5</v>
      </c>
      <c r="AL154">
        <v>23.62</v>
      </c>
    </row>
    <row r="155" spans="1:38" x14ac:dyDescent="0.25">
      <c r="A155">
        <v>154</v>
      </c>
      <c r="B155" t="str">
        <f xml:space="preserve"> "600221"</f>
        <v>600221</v>
      </c>
      <c r="C155" t="s">
        <v>1267</v>
      </c>
      <c r="D155">
        <v>3.28</v>
      </c>
      <c r="E155">
        <v>0.31</v>
      </c>
      <c r="F155">
        <v>0.01</v>
      </c>
      <c r="G155" t="s">
        <v>142</v>
      </c>
      <c r="H155">
        <v>62</v>
      </c>
      <c r="I155">
        <v>3.28</v>
      </c>
      <c r="J155">
        <v>3.29</v>
      </c>
      <c r="K155">
        <v>0</v>
      </c>
      <c r="L155">
        <v>0.15</v>
      </c>
      <c r="M155" t="s">
        <v>1268</v>
      </c>
      <c r="N155">
        <v>24.02</v>
      </c>
      <c r="O155" t="s">
        <v>572</v>
      </c>
      <c r="P155">
        <v>3.29</v>
      </c>
      <c r="Q155">
        <v>3.26</v>
      </c>
      <c r="R155">
        <v>3.27</v>
      </c>
      <c r="S155">
        <v>3.27</v>
      </c>
      <c r="T155">
        <v>0.92</v>
      </c>
      <c r="U155">
        <v>0.51</v>
      </c>
      <c r="V155">
        <v>-25.55</v>
      </c>
      <c r="W155" t="s">
        <v>1269</v>
      </c>
      <c r="X155">
        <v>3.28</v>
      </c>
      <c r="Y155" t="s">
        <v>1270</v>
      </c>
      <c r="Z155" t="s">
        <v>1237</v>
      </c>
      <c r="AA155">
        <v>0.77</v>
      </c>
      <c r="AB155">
        <v>2900</v>
      </c>
      <c r="AC155" t="s">
        <v>1271</v>
      </c>
      <c r="AD155">
        <v>1.07</v>
      </c>
      <c r="AE155" t="s">
        <v>1272</v>
      </c>
      <c r="AF155" t="s">
        <v>1264</v>
      </c>
      <c r="AG155" t="s">
        <v>1273</v>
      </c>
      <c r="AH155" t="s">
        <v>1274</v>
      </c>
      <c r="AI155">
        <v>0.31</v>
      </c>
      <c r="AJ155">
        <v>1.23</v>
      </c>
      <c r="AK155">
        <v>0.96</v>
      </c>
      <c r="AL155">
        <v>1.6</v>
      </c>
    </row>
    <row r="156" spans="1:38" x14ac:dyDescent="0.25">
      <c r="A156">
        <v>155</v>
      </c>
      <c r="B156" t="str">
        <f xml:space="preserve"> "600637"</f>
        <v>600637</v>
      </c>
      <c r="C156" t="s">
        <v>1275</v>
      </c>
      <c r="D156">
        <v>20.76</v>
      </c>
      <c r="E156">
        <v>0.19</v>
      </c>
      <c r="F156">
        <v>0.04</v>
      </c>
      <c r="G156" t="s">
        <v>1276</v>
      </c>
      <c r="H156">
        <v>1</v>
      </c>
      <c r="I156">
        <v>20.75</v>
      </c>
      <c r="J156">
        <v>20.76</v>
      </c>
      <c r="K156">
        <v>0</v>
      </c>
      <c r="L156">
        <v>0.18</v>
      </c>
      <c r="M156" t="s">
        <v>1277</v>
      </c>
      <c r="N156">
        <v>22.41</v>
      </c>
      <c r="O156" t="s">
        <v>1126</v>
      </c>
      <c r="P156">
        <v>20.84</v>
      </c>
      <c r="Q156">
        <v>20.71</v>
      </c>
      <c r="R156">
        <v>20.75</v>
      </c>
      <c r="S156">
        <v>20.72</v>
      </c>
      <c r="T156">
        <v>0.63</v>
      </c>
      <c r="U156">
        <v>0.49</v>
      </c>
      <c r="V156">
        <v>1.1299999999999999</v>
      </c>
      <c r="W156">
        <v>36</v>
      </c>
      <c r="X156">
        <v>20.76</v>
      </c>
      <c r="Y156" t="s">
        <v>1278</v>
      </c>
      <c r="Z156" t="s">
        <v>1259</v>
      </c>
      <c r="AA156">
        <v>1.33</v>
      </c>
      <c r="AB156">
        <v>638</v>
      </c>
      <c r="AC156">
        <v>140</v>
      </c>
      <c r="AD156">
        <v>2.12</v>
      </c>
      <c r="AE156" t="s">
        <v>1279</v>
      </c>
      <c r="AF156" t="s">
        <v>1280</v>
      </c>
      <c r="AG156" t="s">
        <v>1147</v>
      </c>
      <c r="AH156" t="s">
        <v>1281</v>
      </c>
      <c r="AI156">
        <v>-0.24</v>
      </c>
      <c r="AJ156">
        <v>2.52</v>
      </c>
      <c r="AK156">
        <v>0.75</v>
      </c>
      <c r="AL156">
        <v>1.97</v>
      </c>
    </row>
    <row r="157" spans="1:38" x14ac:dyDescent="0.25">
      <c r="A157">
        <v>156</v>
      </c>
      <c r="B157" t="str">
        <f xml:space="preserve"> "601808"</f>
        <v>601808</v>
      </c>
      <c r="C157" t="s">
        <v>1282</v>
      </c>
      <c r="D157">
        <v>11.46</v>
      </c>
      <c r="E157">
        <v>0.97</v>
      </c>
      <c r="F157">
        <v>0.11</v>
      </c>
      <c r="G157" t="s">
        <v>1283</v>
      </c>
      <c r="H157">
        <v>185</v>
      </c>
      <c r="I157">
        <v>11.45</v>
      </c>
      <c r="J157">
        <v>11.46</v>
      </c>
      <c r="K157">
        <v>0</v>
      </c>
      <c r="L157">
        <v>0.2</v>
      </c>
      <c r="M157" t="s">
        <v>1284</v>
      </c>
      <c r="N157">
        <v>-73.989999999999995</v>
      </c>
      <c r="O157" t="s">
        <v>61</v>
      </c>
      <c r="P157">
        <v>11.5</v>
      </c>
      <c r="Q157">
        <v>11.3</v>
      </c>
      <c r="R157">
        <v>11.37</v>
      </c>
      <c r="S157">
        <v>11.35</v>
      </c>
      <c r="T157">
        <v>1.76</v>
      </c>
      <c r="U157">
        <v>1.23</v>
      </c>
      <c r="V157">
        <v>-40.53</v>
      </c>
      <c r="W157">
        <v>-2380</v>
      </c>
      <c r="X157">
        <v>11.41</v>
      </c>
      <c r="Y157" t="s">
        <v>1285</v>
      </c>
      <c r="Z157" t="s">
        <v>1286</v>
      </c>
      <c r="AA157">
        <v>0.71</v>
      </c>
      <c r="AB157">
        <v>647</v>
      </c>
      <c r="AC157">
        <v>200</v>
      </c>
      <c r="AD157">
        <v>1.59</v>
      </c>
      <c r="AE157" t="s">
        <v>1287</v>
      </c>
      <c r="AF157" t="s">
        <v>1288</v>
      </c>
      <c r="AG157" t="s">
        <v>1123</v>
      </c>
      <c r="AH157" t="s">
        <v>387</v>
      </c>
      <c r="AI157">
        <v>0.17</v>
      </c>
      <c r="AJ157">
        <v>0.79</v>
      </c>
      <c r="AK157">
        <v>0.53</v>
      </c>
      <c r="AL157">
        <v>1.02</v>
      </c>
    </row>
    <row r="158" spans="1:38" x14ac:dyDescent="0.25">
      <c r="A158">
        <v>157</v>
      </c>
      <c r="B158" t="str">
        <f xml:space="preserve"> "000768"</f>
        <v>000768</v>
      </c>
      <c r="C158" t="s">
        <v>1289</v>
      </c>
      <c r="D158">
        <v>19.739999999999998</v>
      </c>
      <c r="E158">
        <v>-0.8</v>
      </c>
      <c r="F158">
        <v>-0.16</v>
      </c>
      <c r="G158" t="s">
        <v>1290</v>
      </c>
      <c r="H158">
        <v>3380</v>
      </c>
      <c r="I158">
        <v>19.73</v>
      </c>
      <c r="J158">
        <v>19.739999999999998</v>
      </c>
      <c r="K158">
        <v>0.05</v>
      </c>
      <c r="L158">
        <v>1.05</v>
      </c>
      <c r="M158" t="s">
        <v>1291</v>
      </c>
      <c r="N158">
        <v>298.27</v>
      </c>
      <c r="O158" t="s">
        <v>926</v>
      </c>
      <c r="P158">
        <v>19.850000000000001</v>
      </c>
      <c r="Q158">
        <v>19.489999999999998</v>
      </c>
      <c r="R158">
        <v>19.850000000000001</v>
      </c>
      <c r="S158">
        <v>19.899999999999999</v>
      </c>
      <c r="T158">
        <v>1.81</v>
      </c>
      <c r="U158">
        <v>1.03</v>
      </c>
      <c r="V158">
        <v>-49.72</v>
      </c>
      <c r="W158">
        <v>-3265</v>
      </c>
      <c r="X158">
        <v>19.68</v>
      </c>
      <c r="Y158" t="s">
        <v>965</v>
      </c>
      <c r="Z158" t="s">
        <v>102</v>
      </c>
      <c r="AA158">
        <v>1.55</v>
      </c>
      <c r="AB158">
        <v>421</v>
      </c>
      <c r="AC158">
        <v>2570</v>
      </c>
      <c r="AD158">
        <v>3.56</v>
      </c>
      <c r="AE158" t="s">
        <v>1292</v>
      </c>
      <c r="AF158" t="s">
        <v>1288</v>
      </c>
      <c r="AG158" t="s">
        <v>1292</v>
      </c>
      <c r="AH158" t="s">
        <v>1288</v>
      </c>
      <c r="AI158">
        <v>3.13</v>
      </c>
      <c r="AJ158">
        <v>3.13</v>
      </c>
      <c r="AK158">
        <v>3.91</v>
      </c>
      <c r="AL158">
        <v>6.12</v>
      </c>
    </row>
    <row r="159" spans="1:38" x14ac:dyDescent="0.25">
      <c r="A159">
        <v>158</v>
      </c>
      <c r="B159" t="str">
        <f xml:space="preserve"> "000783"</f>
        <v>000783</v>
      </c>
      <c r="C159" t="s">
        <v>1293</v>
      </c>
      <c r="D159">
        <v>9.8000000000000007</v>
      </c>
      <c r="E159">
        <v>-0.1</v>
      </c>
      <c r="F159">
        <v>-0.01</v>
      </c>
      <c r="G159" t="s">
        <v>516</v>
      </c>
      <c r="H159">
        <v>1073</v>
      </c>
      <c r="I159">
        <v>9.7899999999999991</v>
      </c>
      <c r="J159">
        <v>9.8000000000000007</v>
      </c>
      <c r="K159">
        <v>0.1</v>
      </c>
      <c r="L159">
        <v>0.22</v>
      </c>
      <c r="M159" t="s">
        <v>918</v>
      </c>
      <c r="N159">
        <v>27.23</v>
      </c>
      <c r="O159" t="s">
        <v>306</v>
      </c>
      <c r="P159">
        <v>9.83</v>
      </c>
      <c r="Q159">
        <v>9.76</v>
      </c>
      <c r="R159">
        <v>9.82</v>
      </c>
      <c r="S159">
        <v>9.81</v>
      </c>
      <c r="T159">
        <v>0.71</v>
      </c>
      <c r="U159">
        <v>0.77</v>
      </c>
      <c r="V159">
        <v>-4.6399999999999997</v>
      </c>
      <c r="W159">
        <v>-1048</v>
      </c>
      <c r="X159">
        <v>9.8000000000000007</v>
      </c>
      <c r="Y159" t="s">
        <v>1294</v>
      </c>
      <c r="Z159" t="s">
        <v>345</v>
      </c>
      <c r="AA159">
        <v>1.1599999999999999</v>
      </c>
      <c r="AB159">
        <v>942</v>
      </c>
      <c r="AC159">
        <v>1569</v>
      </c>
      <c r="AD159">
        <v>2.09</v>
      </c>
      <c r="AE159" t="s">
        <v>1295</v>
      </c>
      <c r="AF159" t="s">
        <v>1296</v>
      </c>
      <c r="AG159" t="s">
        <v>1295</v>
      </c>
      <c r="AH159" t="s">
        <v>1296</v>
      </c>
      <c r="AI159">
        <v>-0.2</v>
      </c>
      <c r="AJ159">
        <v>0.93</v>
      </c>
      <c r="AK159">
        <v>0.66</v>
      </c>
      <c r="AL159">
        <v>1.66</v>
      </c>
    </row>
    <row r="160" spans="1:38" x14ac:dyDescent="0.25">
      <c r="A160">
        <v>159</v>
      </c>
      <c r="B160" t="str">
        <f xml:space="preserve"> "600705"</f>
        <v>600705</v>
      </c>
      <c r="C160" t="s">
        <v>1297</v>
      </c>
      <c r="D160">
        <v>5.92</v>
      </c>
      <c r="E160">
        <v>0.34</v>
      </c>
      <c r="F160">
        <v>0.02</v>
      </c>
      <c r="G160" t="s">
        <v>1298</v>
      </c>
      <c r="H160">
        <v>5</v>
      </c>
      <c r="I160">
        <v>5.91</v>
      </c>
      <c r="J160">
        <v>5.92</v>
      </c>
      <c r="K160">
        <v>0.17</v>
      </c>
      <c r="L160">
        <v>0.26</v>
      </c>
      <c r="M160" t="s">
        <v>485</v>
      </c>
      <c r="N160">
        <v>20.83</v>
      </c>
      <c r="O160" t="s">
        <v>482</v>
      </c>
      <c r="P160">
        <v>5.93</v>
      </c>
      <c r="Q160">
        <v>5.87</v>
      </c>
      <c r="R160">
        <v>5.89</v>
      </c>
      <c r="S160">
        <v>5.9</v>
      </c>
      <c r="T160">
        <v>1.02</v>
      </c>
      <c r="U160">
        <v>0.81</v>
      </c>
      <c r="V160">
        <v>-32.24</v>
      </c>
      <c r="W160" t="s">
        <v>1299</v>
      </c>
      <c r="X160">
        <v>5.9</v>
      </c>
      <c r="Y160" t="s">
        <v>912</v>
      </c>
      <c r="Z160" t="s">
        <v>1300</v>
      </c>
      <c r="AA160">
        <v>1.22</v>
      </c>
      <c r="AB160">
        <v>758</v>
      </c>
      <c r="AC160">
        <v>546</v>
      </c>
      <c r="AD160">
        <v>2.4500000000000002</v>
      </c>
      <c r="AE160" t="s">
        <v>1301</v>
      </c>
      <c r="AF160" t="s">
        <v>1302</v>
      </c>
      <c r="AG160" t="s">
        <v>500</v>
      </c>
      <c r="AH160" t="s">
        <v>1303</v>
      </c>
      <c r="AI160">
        <v>-0.34</v>
      </c>
      <c r="AJ160">
        <v>1.2</v>
      </c>
      <c r="AK160">
        <v>0.91</v>
      </c>
      <c r="AL160">
        <v>1.84</v>
      </c>
    </row>
    <row r="161" spans="1:38" x14ac:dyDescent="0.25">
      <c r="A161">
        <v>160</v>
      </c>
      <c r="B161" t="str">
        <f xml:space="preserve"> "002010"</f>
        <v>002010</v>
      </c>
      <c r="C161" t="s">
        <v>1304</v>
      </c>
      <c r="D161">
        <v>16.149999999999999</v>
      </c>
      <c r="E161">
        <v>6.04</v>
      </c>
      <c r="F161">
        <v>0.92</v>
      </c>
      <c r="G161" t="s">
        <v>1305</v>
      </c>
      <c r="H161">
        <v>1098</v>
      </c>
      <c r="I161">
        <v>16.149999999999999</v>
      </c>
      <c r="J161">
        <v>16.16</v>
      </c>
      <c r="K161">
        <v>0</v>
      </c>
      <c r="L161">
        <v>2.29</v>
      </c>
      <c r="M161" t="s">
        <v>1306</v>
      </c>
      <c r="N161">
        <v>138.88</v>
      </c>
      <c r="O161" t="s">
        <v>667</v>
      </c>
      <c r="P161">
        <v>16.600000000000001</v>
      </c>
      <c r="Q161">
        <v>15.02</v>
      </c>
      <c r="R161">
        <v>15.02</v>
      </c>
      <c r="S161">
        <v>15.23</v>
      </c>
      <c r="T161">
        <v>10.37</v>
      </c>
      <c r="U161">
        <v>3.66</v>
      </c>
      <c r="V161">
        <v>-34.979999999999997</v>
      </c>
      <c r="W161">
        <v>-509</v>
      </c>
      <c r="X161">
        <v>15.72</v>
      </c>
      <c r="Y161" t="s">
        <v>1307</v>
      </c>
      <c r="Z161" t="s">
        <v>1308</v>
      </c>
      <c r="AA161">
        <v>0.71</v>
      </c>
      <c r="AB161">
        <v>403</v>
      </c>
      <c r="AC161">
        <v>15</v>
      </c>
      <c r="AD161">
        <v>4.74</v>
      </c>
      <c r="AE161" t="s">
        <v>1309</v>
      </c>
      <c r="AF161" t="s">
        <v>1064</v>
      </c>
      <c r="AG161" t="s">
        <v>1310</v>
      </c>
      <c r="AH161" t="s">
        <v>1311</v>
      </c>
      <c r="AI161">
        <v>10.39</v>
      </c>
      <c r="AJ161">
        <v>9.94</v>
      </c>
      <c r="AK161">
        <v>4.34</v>
      </c>
      <c r="AL161">
        <v>5.42</v>
      </c>
    </row>
    <row r="162" spans="1:38" x14ac:dyDescent="0.25">
      <c r="A162">
        <v>161</v>
      </c>
      <c r="B162" t="str">
        <f xml:space="preserve"> "600383"</f>
        <v>600383</v>
      </c>
      <c r="C162" t="s">
        <v>1312</v>
      </c>
      <c r="D162">
        <v>11.6</v>
      </c>
      <c r="E162">
        <v>0.26</v>
      </c>
      <c r="F162">
        <v>0.03</v>
      </c>
      <c r="G162" t="s">
        <v>1313</v>
      </c>
      <c r="H162">
        <v>10</v>
      </c>
      <c r="I162">
        <v>11.6</v>
      </c>
      <c r="J162">
        <v>11.61</v>
      </c>
      <c r="K162">
        <v>0</v>
      </c>
      <c r="L162">
        <v>0.21</v>
      </c>
      <c r="M162" t="s">
        <v>1314</v>
      </c>
      <c r="N162">
        <v>22.72</v>
      </c>
      <c r="O162" t="s">
        <v>244</v>
      </c>
      <c r="P162">
        <v>11.64</v>
      </c>
      <c r="Q162">
        <v>11.55</v>
      </c>
      <c r="R162">
        <v>11.6</v>
      </c>
      <c r="S162">
        <v>11.57</v>
      </c>
      <c r="T162">
        <v>0.78</v>
      </c>
      <c r="U162">
        <v>0.49</v>
      </c>
      <c r="V162">
        <v>6.28</v>
      </c>
      <c r="W162">
        <v>503</v>
      </c>
      <c r="X162">
        <v>11.59</v>
      </c>
      <c r="Y162" t="s">
        <v>336</v>
      </c>
      <c r="Z162" t="s">
        <v>1315</v>
      </c>
      <c r="AA162">
        <v>1.04</v>
      </c>
      <c r="AB162">
        <v>207</v>
      </c>
      <c r="AC162">
        <v>410</v>
      </c>
      <c r="AD162">
        <v>1.47</v>
      </c>
      <c r="AE162" t="s">
        <v>1316</v>
      </c>
      <c r="AF162" t="s">
        <v>1317</v>
      </c>
      <c r="AG162" t="s">
        <v>1316</v>
      </c>
      <c r="AH162" t="s">
        <v>1317</v>
      </c>
      <c r="AI162">
        <v>-1.28</v>
      </c>
      <c r="AJ162">
        <v>1.49</v>
      </c>
      <c r="AK162">
        <v>0.92</v>
      </c>
      <c r="AL162">
        <v>2.2999999999999998</v>
      </c>
    </row>
    <row r="163" spans="1:38" x14ac:dyDescent="0.25">
      <c r="A163">
        <v>162</v>
      </c>
      <c r="B163" t="str">
        <f xml:space="preserve"> "000963"</f>
        <v>000963</v>
      </c>
      <c r="C163" t="s">
        <v>1318</v>
      </c>
      <c r="D163">
        <v>53.5</v>
      </c>
      <c r="E163">
        <v>0.91</v>
      </c>
      <c r="F163">
        <v>0.48</v>
      </c>
      <c r="G163" t="s">
        <v>1319</v>
      </c>
      <c r="H163">
        <v>860</v>
      </c>
      <c r="I163">
        <v>53.5</v>
      </c>
      <c r="J163">
        <v>53.52</v>
      </c>
      <c r="K163">
        <v>0.15</v>
      </c>
      <c r="L163">
        <v>0.62</v>
      </c>
      <c r="M163" t="s">
        <v>1320</v>
      </c>
      <c r="N163">
        <v>24.97</v>
      </c>
      <c r="O163" t="s">
        <v>392</v>
      </c>
      <c r="P163">
        <v>53.52</v>
      </c>
      <c r="Q163">
        <v>52.3</v>
      </c>
      <c r="R163">
        <v>53.36</v>
      </c>
      <c r="S163">
        <v>53.02</v>
      </c>
      <c r="T163">
        <v>2.2999999999999998</v>
      </c>
      <c r="U163">
        <v>0.88</v>
      </c>
      <c r="V163">
        <v>30.89</v>
      </c>
      <c r="W163">
        <v>152</v>
      </c>
      <c r="X163">
        <v>52.86</v>
      </c>
      <c r="Y163" t="s">
        <v>1321</v>
      </c>
      <c r="Z163" t="s">
        <v>394</v>
      </c>
      <c r="AA163">
        <v>1.35</v>
      </c>
      <c r="AB163">
        <v>62</v>
      </c>
      <c r="AC163">
        <v>8</v>
      </c>
      <c r="AD163">
        <v>6.79</v>
      </c>
      <c r="AE163" t="s">
        <v>1322</v>
      </c>
      <c r="AF163" t="s">
        <v>1323</v>
      </c>
      <c r="AG163" t="s">
        <v>1324</v>
      </c>
      <c r="AH163" t="s">
        <v>1325</v>
      </c>
      <c r="AI163">
        <v>5.03</v>
      </c>
      <c r="AJ163">
        <v>9.81</v>
      </c>
      <c r="AK163">
        <v>2.35</v>
      </c>
      <c r="AL163">
        <v>4.0999999999999996</v>
      </c>
    </row>
    <row r="164" spans="1:38" x14ac:dyDescent="0.25">
      <c r="A164">
        <v>163</v>
      </c>
      <c r="B164" t="str">
        <f xml:space="preserve"> "600886"</f>
        <v>600886</v>
      </c>
      <c r="C164" t="s">
        <v>1326</v>
      </c>
      <c r="D164">
        <v>7.57</v>
      </c>
      <c r="E164">
        <v>0</v>
      </c>
      <c r="F164">
        <v>0</v>
      </c>
      <c r="G164" t="s">
        <v>689</v>
      </c>
      <c r="H164">
        <v>1</v>
      </c>
      <c r="I164">
        <v>7.57</v>
      </c>
      <c r="J164">
        <v>7.58</v>
      </c>
      <c r="K164">
        <v>-0.13</v>
      </c>
      <c r="L164">
        <v>0.21</v>
      </c>
      <c r="M164" t="s">
        <v>1314</v>
      </c>
      <c r="N164">
        <v>19.91</v>
      </c>
      <c r="O164" t="s">
        <v>186</v>
      </c>
      <c r="P164">
        <v>7.6</v>
      </c>
      <c r="Q164">
        <v>7.53</v>
      </c>
      <c r="R164">
        <v>7.57</v>
      </c>
      <c r="S164">
        <v>7.57</v>
      </c>
      <c r="T164">
        <v>0.92</v>
      </c>
      <c r="U164">
        <v>0.63</v>
      </c>
      <c r="V164">
        <v>-55.7</v>
      </c>
      <c r="W164" t="s">
        <v>1327</v>
      </c>
      <c r="X164">
        <v>7.58</v>
      </c>
      <c r="Y164" t="s">
        <v>1328</v>
      </c>
      <c r="Z164" t="s">
        <v>1329</v>
      </c>
      <c r="AA164">
        <v>0.71</v>
      </c>
      <c r="AB164">
        <v>511</v>
      </c>
      <c r="AC164">
        <v>725</v>
      </c>
      <c r="AD164">
        <v>1.8</v>
      </c>
      <c r="AE164" t="s">
        <v>1330</v>
      </c>
      <c r="AF164" t="s">
        <v>1331</v>
      </c>
      <c r="AG164" t="s">
        <v>1330</v>
      </c>
      <c r="AH164" t="s">
        <v>1331</v>
      </c>
      <c r="AI164">
        <v>1.75</v>
      </c>
      <c r="AJ164">
        <v>2.57</v>
      </c>
      <c r="AK164">
        <v>1.1100000000000001</v>
      </c>
      <c r="AL164">
        <v>1.86</v>
      </c>
    </row>
    <row r="165" spans="1:38" x14ac:dyDescent="0.25">
      <c r="A165">
        <v>164</v>
      </c>
      <c r="B165" t="str">
        <f xml:space="preserve"> "002555"</f>
        <v>002555</v>
      </c>
      <c r="C165" t="s">
        <v>1332</v>
      </c>
      <c r="D165">
        <v>23.9</v>
      </c>
      <c r="E165">
        <v>1.1000000000000001</v>
      </c>
      <c r="F165">
        <v>0.26</v>
      </c>
      <c r="G165" t="s">
        <v>197</v>
      </c>
      <c r="H165">
        <v>575</v>
      </c>
      <c r="I165">
        <v>23.9</v>
      </c>
      <c r="J165">
        <v>23.91</v>
      </c>
      <c r="K165">
        <v>0.08</v>
      </c>
      <c r="L165">
        <v>1</v>
      </c>
      <c r="M165" t="s">
        <v>1333</v>
      </c>
      <c r="N165">
        <v>30.18</v>
      </c>
      <c r="O165" t="s">
        <v>553</v>
      </c>
      <c r="P165">
        <v>24.08</v>
      </c>
      <c r="Q165">
        <v>23.34</v>
      </c>
      <c r="R165">
        <v>23.56</v>
      </c>
      <c r="S165">
        <v>23.64</v>
      </c>
      <c r="T165">
        <v>3.13</v>
      </c>
      <c r="U165">
        <v>0.81</v>
      </c>
      <c r="V165">
        <v>-57.2</v>
      </c>
      <c r="W165">
        <v>-913</v>
      </c>
      <c r="X165">
        <v>23.78</v>
      </c>
      <c r="Y165" t="s">
        <v>1285</v>
      </c>
      <c r="Z165" t="s">
        <v>1334</v>
      </c>
      <c r="AA165">
        <v>0.67</v>
      </c>
      <c r="AB165">
        <v>13</v>
      </c>
      <c r="AC165">
        <v>330</v>
      </c>
      <c r="AD165">
        <v>8.26</v>
      </c>
      <c r="AE165" t="s">
        <v>1335</v>
      </c>
      <c r="AF165" t="s">
        <v>1336</v>
      </c>
      <c r="AG165" t="s">
        <v>1337</v>
      </c>
      <c r="AH165" t="s">
        <v>542</v>
      </c>
      <c r="AI165">
        <v>3.37</v>
      </c>
      <c r="AJ165">
        <v>9.73</v>
      </c>
      <c r="AK165">
        <v>4.09</v>
      </c>
      <c r="AL165">
        <v>7.17</v>
      </c>
    </row>
    <row r="166" spans="1:38" x14ac:dyDescent="0.25">
      <c r="A166">
        <v>165</v>
      </c>
      <c r="B166" t="str">
        <f xml:space="preserve"> "600926"</f>
        <v>600926</v>
      </c>
      <c r="C166" t="s">
        <v>1338</v>
      </c>
      <c r="D166">
        <v>13.94</v>
      </c>
      <c r="E166">
        <v>0.5</v>
      </c>
      <c r="F166">
        <v>7.0000000000000007E-2</v>
      </c>
      <c r="G166" t="s">
        <v>650</v>
      </c>
      <c r="H166">
        <v>10</v>
      </c>
      <c r="I166">
        <v>13.94</v>
      </c>
      <c r="J166">
        <v>13.95</v>
      </c>
      <c r="K166">
        <v>0</v>
      </c>
      <c r="L166">
        <v>1.19</v>
      </c>
      <c r="M166" t="s">
        <v>1339</v>
      </c>
      <c r="N166">
        <v>10.09</v>
      </c>
      <c r="O166" t="s">
        <v>41</v>
      </c>
      <c r="P166">
        <v>13.95</v>
      </c>
      <c r="Q166">
        <v>13.85</v>
      </c>
      <c r="R166">
        <v>13.86</v>
      </c>
      <c r="S166">
        <v>13.87</v>
      </c>
      <c r="T166">
        <v>0.72</v>
      </c>
      <c r="U166">
        <v>0.6</v>
      </c>
      <c r="V166">
        <v>-19.77</v>
      </c>
      <c r="W166">
        <v>-1679</v>
      </c>
      <c r="X166">
        <v>13.92</v>
      </c>
      <c r="Y166" t="s">
        <v>1340</v>
      </c>
      <c r="Z166" t="s">
        <v>1341</v>
      </c>
      <c r="AA166">
        <v>0.72</v>
      </c>
      <c r="AB166">
        <v>121</v>
      </c>
      <c r="AC166">
        <v>1900</v>
      </c>
      <c r="AD166">
        <v>1.27</v>
      </c>
      <c r="AE166" t="s">
        <v>1342</v>
      </c>
      <c r="AF166" t="s">
        <v>1040</v>
      </c>
      <c r="AG166" t="s">
        <v>1343</v>
      </c>
      <c r="AH166" t="s">
        <v>1344</v>
      </c>
      <c r="AI166">
        <v>-0.21</v>
      </c>
      <c r="AJ166">
        <v>-0.43</v>
      </c>
      <c r="AK166">
        <v>3.62</v>
      </c>
      <c r="AL166">
        <v>11.13</v>
      </c>
    </row>
    <row r="167" spans="1:38" x14ac:dyDescent="0.25">
      <c r="A167">
        <v>166</v>
      </c>
      <c r="B167" t="str">
        <f xml:space="preserve"> "600377"</f>
        <v>600377</v>
      </c>
      <c r="C167" t="s">
        <v>1345</v>
      </c>
      <c r="D167">
        <v>10.11</v>
      </c>
      <c r="E167">
        <v>0.9</v>
      </c>
      <c r="F167">
        <v>0.09</v>
      </c>
      <c r="G167" t="s">
        <v>1346</v>
      </c>
      <c r="H167">
        <v>11</v>
      </c>
      <c r="I167">
        <v>10.119999999999999</v>
      </c>
      <c r="J167">
        <v>10.130000000000001</v>
      </c>
      <c r="K167">
        <v>-0.2</v>
      </c>
      <c r="L167">
        <v>0.11</v>
      </c>
      <c r="M167" t="s">
        <v>1347</v>
      </c>
      <c r="N167">
        <v>13.41</v>
      </c>
      <c r="O167" t="s">
        <v>1348</v>
      </c>
      <c r="P167">
        <v>10.15</v>
      </c>
      <c r="Q167">
        <v>9.98</v>
      </c>
      <c r="R167">
        <v>10.01</v>
      </c>
      <c r="S167">
        <v>10.02</v>
      </c>
      <c r="T167">
        <v>1.7</v>
      </c>
      <c r="U167">
        <v>0.99</v>
      </c>
      <c r="V167">
        <v>-2.0699999999999998</v>
      </c>
      <c r="W167">
        <v>-77</v>
      </c>
      <c r="X167">
        <v>10.09</v>
      </c>
      <c r="Y167" t="s">
        <v>1349</v>
      </c>
      <c r="Z167" t="s">
        <v>87</v>
      </c>
      <c r="AA167">
        <v>0.69</v>
      </c>
      <c r="AB167">
        <v>9</v>
      </c>
      <c r="AC167">
        <v>497</v>
      </c>
      <c r="AD167">
        <v>2.56</v>
      </c>
      <c r="AE167" t="s">
        <v>1350</v>
      </c>
      <c r="AF167" t="s">
        <v>1048</v>
      </c>
      <c r="AG167" t="s">
        <v>301</v>
      </c>
      <c r="AH167" t="s">
        <v>1351</v>
      </c>
      <c r="AI167">
        <v>1.2</v>
      </c>
      <c r="AJ167">
        <v>3.06</v>
      </c>
      <c r="AK167">
        <v>0.27</v>
      </c>
      <c r="AL167">
        <v>0.67</v>
      </c>
    </row>
    <row r="168" spans="1:38" x14ac:dyDescent="0.25">
      <c r="A168">
        <v>167</v>
      </c>
      <c r="B168" t="str">
        <f xml:space="preserve"> "601877"</f>
        <v>601877</v>
      </c>
      <c r="C168" t="s">
        <v>1352</v>
      </c>
      <c r="D168">
        <v>23.29</v>
      </c>
      <c r="E168">
        <v>0.22</v>
      </c>
      <c r="F168">
        <v>0.05</v>
      </c>
      <c r="G168" t="s">
        <v>1353</v>
      </c>
      <c r="H168">
        <v>13</v>
      </c>
      <c r="I168">
        <v>23.29</v>
      </c>
      <c r="J168">
        <v>23.3</v>
      </c>
      <c r="K168">
        <v>-0.13</v>
      </c>
      <c r="L168">
        <v>0.75</v>
      </c>
      <c r="M168" t="s">
        <v>1354</v>
      </c>
      <c r="N168">
        <v>19.940000000000001</v>
      </c>
      <c r="O168" t="s">
        <v>680</v>
      </c>
      <c r="P168">
        <v>23.77</v>
      </c>
      <c r="Q168">
        <v>22.93</v>
      </c>
      <c r="R168">
        <v>23.33</v>
      </c>
      <c r="S168">
        <v>23.24</v>
      </c>
      <c r="T168">
        <v>3.61</v>
      </c>
      <c r="U168">
        <v>0.88</v>
      </c>
      <c r="V168">
        <v>3.24</v>
      </c>
      <c r="W168">
        <v>22</v>
      </c>
      <c r="X168">
        <v>23.41</v>
      </c>
      <c r="Y168" t="s">
        <v>1355</v>
      </c>
      <c r="Z168" t="s">
        <v>1356</v>
      </c>
      <c r="AA168">
        <v>0.91</v>
      </c>
      <c r="AB168">
        <v>83</v>
      </c>
      <c r="AC168">
        <v>164</v>
      </c>
      <c r="AD168">
        <v>2.71</v>
      </c>
      <c r="AE168" t="s">
        <v>1335</v>
      </c>
      <c r="AF168" t="s">
        <v>1357</v>
      </c>
      <c r="AG168" t="s">
        <v>1358</v>
      </c>
      <c r="AH168" t="s">
        <v>1359</v>
      </c>
      <c r="AI168">
        <v>2.92</v>
      </c>
      <c r="AJ168">
        <v>8.33</v>
      </c>
      <c r="AK168">
        <v>2.73</v>
      </c>
      <c r="AL168">
        <v>5.03</v>
      </c>
    </row>
    <row r="169" spans="1:38" x14ac:dyDescent="0.25">
      <c r="A169">
        <v>168</v>
      </c>
      <c r="B169" t="str">
        <f xml:space="preserve"> "600516"</f>
        <v>600516</v>
      </c>
      <c r="C169" t="s">
        <v>1360</v>
      </c>
      <c r="D169">
        <v>27.85</v>
      </c>
      <c r="E169">
        <v>-0.82</v>
      </c>
      <c r="F169">
        <v>-0.23</v>
      </c>
      <c r="G169" t="s">
        <v>1361</v>
      </c>
      <c r="H169">
        <v>443</v>
      </c>
      <c r="I169">
        <v>27.85</v>
      </c>
      <c r="J169">
        <v>27.86</v>
      </c>
      <c r="K169">
        <v>-7.0000000000000007E-2</v>
      </c>
      <c r="L169">
        <v>3.9</v>
      </c>
      <c r="M169" t="s">
        <v>1362</v>
      </c>
      <c r="N169">
        <v>60.48</v>
      </c>
      <c r="O169" t="s">
        <v>859</v>
      </c>
      <c r="P169">
        <v>28.11</v>
      </c>
      <c r="Q169">
        <v>27.42</v>
      </c>
      <c r="R169">
        <v>27.95</v>
      </c>
      <c r="S169">
        <v>28.08</v>
      </c>
      <c r="T169">
        <v>2.46</v>
      </c>
      <c r="U169">
        <v>0.62</v>
      </c>
      <c r="V169">
        <v>-34.03</v>
      </c>
      <c r="W169">
        <v>-1862</v>
      </c>
      <c r="X169">
        <v>27.84</v>
      </c>
      <c r="Y169" t="s">
        <v>1363</v>
      </c>
      <c r="Z169" t="s">
        <v>1364</v>
      </c>
      <c r="AA169">
        <v>1.1299999999999999</v>
      </c>
      <c r="AB169">
        <v>982</v>
      </c>
      <c r="AC169">
        <v>646</v>
      </c>
      <c r="AD169">
        <v>7.61</v>
      </c>
      <c r="AE169" t="s">
        <v>1365</v>
      </c>
      <c r="AF169" t="s">
        <v>1366</v>
      </c>
      <c r="AG169" t="s">
        <v>1367</v>
      </c>
      <c r="AH169" t="s">
        <v>1368</v>
      </c>
      <c r="AI169">
        <v>-11.53</v>
      </c>
      <c r="AJ169">
        <v>-7.72</v>
      </c>
      <c r="AK169">
        <v>22.52</v>
      </c>
      <c r="AL169">
        <v>35.44</v>
      </c>
    </row>
    <row r="170" spans="1:38" x14ac:dyDescent="0.25">
      <c r="A170">
        <v>169</v>
      </c>
      <c r="B170" t="str">
        <f xml:space="preserve"> "300124"</f>
        <v>300124</v>
      </c>
      <c r="C170" t="s">
        <v>1369</v>
      </c>
      <c r="D170">
        <v>29.9</v>
      </c>
      <c r="E170">
        <v>-0.43</v>
      </c>
      <c r="F170">
        <v>-0.13</v>
      </c>
      <c r="G170" t="s">
        <v>1370</v>
      </c>
      <c r="H170">
        <v>164</v>
      </c>
      <c r="I170">
        <v>29.9</v>
      </c>
      <c r="J170">
        <v>29.91</v>
      </c>
      <c r="K170">
        <v>0.34</v>
      </c>
      <c r="L170">
        <v>0.49</v>
      </c>
      <c r="M170" t="s">
        <v>1371</v>
      </c>
      <c r="N170">
        <v>58.06</v>
      </c>
      <c r="O170" t="s">
        <v>1372</v>
      </c>
      <c r="P170">
        <v>30.18</v>
      </c>
      <c r="Q170">
        <v>29.6</v>
      </c>
      <c r="R170">
        <v>29.99</v>
      </c>
      <c r="S170">
        <v>30.03</v>
      </c>
      <c r="T170">
        <v>1.93</v>
      </c>
      <c r="U170">
        <v>0.73</v>
      </c>
      <c r="V170">
        <v>-29.97</v>
      </c>
      <c r="W170">
        <v>-399</v>
      </c>
      <c r="X170">
        <v>29.9</v>
      </c>
      <c r="Y170" t="s">
        <v>1373</v>
      </c>
      <c r="Z170" t="s">
        <v>1374</v>
      </c>
      <c r="AA170">
        <v>1.42</v>
      </c>
      <c r="AB170">
        <v>69</v>
      </c>
      <c r="AC170">
        <v>540</v>
      </c>
      <c r="AD170">
        <v>10.46</v>
      </c>
      <c r="AE170" t="s">
        <v>1375</v>
      </c>
      <c r="AF170" t="s">
        <v>1366</v>
      </c>
      <c r="AG170" t="s">
        <v>1376</v>
      </c>
      <c r="AH170" t="s">
        <v>1377</v>
      </c>
      <c r="AI170">
        <v>0.27</v>
      </c>
      <c r="AJ170">
        <v>4.07</v>
      </c>
      <c r="AK170">
        <v>1.66</v>
      </c>
      <c r="AL170">
        <v>3.9</v>
      </c>
    </row>
    <row r="171" spans="1:38" x14ac:dyDescent="0.25">
      <c r="A171">
        <v>170</v>
      </c>
      <c r="B171" t="str">
        <f xml:space="preserve"> "601198"</f>
        <v>601198</v>
      </c>
      <c r="C171" t="s">
        <v>1378</v>
      </c>
      <c r="D171">
        <v>17.89</v>
      </c>
      <c r="E171">
        <v>0.28000000000000003</v>
      </c>
      <c r="F171">
        <v>0.05</v>
      </c>
      <c r="G171" t="s">
        <v>1379</v>
      </c>
      <c r="H171">
        <v>10</v>
      </c>
      <c r="I171">
        <v>17.88</v>
      </c>
      <c r="J171">
        <v>17.89</v>
      </c>
      <c r="K171">
        <v>-0.11</v>
      </c>
      <c r="L171">
        <v>0.47</v>
      </c>
      <c r="M171" t="s">
        <v>1380</v>
      </c>
      <c r="N171">
        <v>43.7</v>
      </c>
      <c r="O171" t="s">
        <v>306</v>
      </c>
      <c r="P171">
        <v>17.989999999999998</v>
      </c>
      <c r="Q171">
        <v>17.850000000000001</v>
      </c>
      <c r="R171">
        <v>17.86</v>
      </c>
      <c r="S171">
        <v>17.84</v>
      </c>
      <c r="T171">
        <v>0.78</v>
      </c>
      <c r="U171">
        <v>0.65</v>
      </c>
      <c r="V171">
        <v>-11.59</v>
      </c>
      <c r="W171">
        <v>-517</v>
      </c>
      <c r="X171">
        <v>17.91</v>
      </c>
      <c r="Y171" t="s">
        <v>623</v>
      </c>
      <c r="Z171" t="s">
        <v>1381</v>
      </c>
      <c r="AA171">
        <v>1.34</v>
      </c>
      <c r="AB171">
        <v>144</v>
      </c>
      <c r="AC171">
        <v>416</v>
      </c>
      <c r="AD171">
        <v>2.64</v>
      </c>
      <c r="AE171" t="s">
        <v>1382</v>
      </c>
      <c r="AF171" t="s">
        <v>1383</v>
      </c>
      <c r="AG171" t="s">
        <v>1384</v>
      </c>
      <c r="AH171" t="s">
        <v>1385</v>
      </c>
      <c r="AI171">
        <v>-1.6</v>
      </c>
      <c r="AJ171">
        <v>-2.0299999999999998</v>
      </c>
      <c r="AK171">
        <v>1.68</v>
      </c>
      <c r="AL171">
        <v>4.09</v>
      </c>
    </row>
    <row r="172" spans="1:38" x14ac:dyDescent="0.25">
      <c r="A172">
        <v>171</v>
      </c>
      <c r="B172" t="str">
        <f xml:space="preserve"> "600068"</f>
        <v>600068</v>
      </c>
      <c r="C172" t="s">
        <v>1386</v>
      </c>
      <c r="D172">
        <v>10.66</v>
      </c>
      <c r="E172">
        <v>0.56999999999999995</v>
      </c>
      <c r="F172">
        <v>0.06</v>
      </c>
      <c r="G172" t="s">
        <v>1387</v>
      </c>
      <c r="H172">
        <v>1</v>
      </c>
      <c r="I172">
        <v>10.66</v>
      </c>
      <c r="J172">
        <v>10.67</v>
      </c>
      <c r="K172">
        <v>0</v>
      </c>
      <c r="L172">
        <v>0.87</v>
      </c>
      <c r="M172" t="s">
        <v>1134</v>
      </c>
      <c r="N172">
        <v>14.16</v>
      </c>
      <c r="O172" t="s">
        <v>263</v>
      </c>
      <c r="P172">
        <v>10.68</v>
      </c>
      <c r="Q172">
        <v>10.55</v>
      </c>
      <c r="R172">
        <v>10.6</v>
      </c>
      <c r="S172">
        <v>10.6</v>
      </c>
      <c r="T172">
        <v>1.23</v>
      </c>
      <c r="U172">
        <v>0.75</v>
      </c>
      <c r="V172">
        <v>-42.77</v>
      </c>
      <c r="W172" t="s">
        <v>1388</v>
      </c>
      <c r="X172">
        <v>10.61</v>
      </c>
      <c r="Y172" t="s">
        <v>1389</v>
      </c>
      <c r="Z172" t="s">
        <v>1390</v>
      </c>
      <c r="AA172">
        <v>1.31</v>
      </c>
      <c r="AB172">
        <v>1023</v>
      </c>
      <c r="AC172">
        <v>6095</v>
      </c>
      <c r="AD172">
        <v>2.1</v>
      </c>
      <c r="AE172" t="s">
        <v>1391</v>
      </c>
      <c r="AF172" t="s">
        <v>1392</v>
      </c>
      <c r="AG172" t="s">
        <v>1391</v>
      </c>
      <c r="AH172" t="s">
        <v>1392</v>
      </c>
      <c r="AI172">
        <v>1.91</v>
      </c>
      <c r="AJ172">
        <v>2.8</v>
      </c>
      <c r="AK172">
        <v>3.58</v>
      </c>
      <c r="AL172">
        <v>6.62</v>
      </c>
    </row>
    <row r="173" spans="1:38" x14ac:dyDescent="0.25">
      <c r="A173">
        <v>172</v>
      </c>
      <c r="B173" t="str">
        <f xml:space="preserve"> "600390"</f>
        <v>600390</v>
      </c>
      <c r="C173" t="s">
        <v>1393</v>
      </c>
      <c r="D173">
        <v>13.09</v>
      </c>
      <c r="E173">
        <v>0.08</v>
      </c>
      <c r="F173">
        <v>0.01</v>
      </c>
      <c r="G173" t="s">
        <v>991</v>
      </c>
      <c r="H173">
        <v>21</v>
      </c>
      <c r="I173">
        <v>13.09</v>
      </c>
      <c r="J173">
        <v>13.1</v>
      </c>
      <c r="K173">
        <v>-0.08</v>
      </c>
      <c r="L173">
        <v>2.34</v>
      </c>
      <c r="M173" t="s">
        <v>746</v>
      </c>
      <c r="N173">
        <v>24.58</v>
      </c>
      <c r="O173" t="s">
        <v>482</v>
      </c>
      <c r="P173">
        <v>13.14</v>
      </c>
      <c r="Q173">
        <v>13</v>
      </c>
      <c r="R173">
        <v>13.05</v>
      </c>
      <c r="S173">
        <v>13.08</v>
      </c>
      <c r="T173">
        <v>1.07</v>
      </c>
      <c r="U173">
        <v>0.41</v>
      </c>
      <c r="V173">
        <v>-7.69</v>
      </c>
      <c r="W173">
        <v>-456</v>
      </c>
      <c r="X173">
        <v>13.08</v>
      </c>
      <c r="Y173" t="s">
        <v>1283</v>
      </c>
      <c r="Z173" t="s">
        <v>953</v>
      </c>
      <c r="AA173">
        <v>1.31</v>
      </c>
      <c r="AB173">
        <v>208</v>
      </c>
      <c r="AC173">
        <v>800</v>
      </c>
      <c r="AD173">
        <v>1.64</v>
      </c>
      <c r="AE173" t="s">
        <v>1394</v>
      </c>
      <c r="AF173" t="s">
        <v>1392</v>
      </c>
      <c r="AG173" t="s">
        <v>1395</v>
      </c>
      <c r="AH173" t="s">
        <v>1396</v>
      </c>
      <c r="AI173">
        <v>-3.82</v>
      </c>
      <c r="AJ173">
        <v>-3.82</v>
      </c>
      <c r="AK173">
        <v>12.07</v>
      </c>
      <c r="AL173">
        <v>30.67</v>
      </c>
    </row>
    <row r="174" spans="1:38" x14ac:dyDescent="0.25">
      <c r="A174">
        <v>173</v>
      </c>
      <c r="B174" t="str">
        <f xml:space="preserve"> "603799"</f>
        <v>603799</v>
      </c>
      <c r="C174" t="s">
        <v>1397</v>
      </c>
      <c r="D174">
        <v>82.73</v>
      </c>
      <c r="E174">
        <v>0.11</v>
      </c>
      <c r="F174">
        <v>0.09</v>
      </c>
      <c r="G174" t="s">
        <v>102</v>
      </c>
      <c r="H174">
        <v>18</v>
      </c>
      <c r="I174">
        <v>82.73</v>
      </c>
      <c r="J174">
        <v>82.75</v>
      </c>
      <c r="K174">
        <v>-0.21</v>
      </c>
      <c r="L174">
        <v>4.1900000000000004</v>
      </c>
      <c r="M174" t="s">
        <v>1398</v>
      </c>
      <c r="N174">
        <v>36.32</v>
      </c>
      <c r="O174" t="s">
        <v>449</v>
      </c>
      <c r="P174">
        <v>84.39</v>
      </c>
      <c r="Q174">
        <v>82.28</v>
      </c>
      <c r="R174">
        <v>83.51</v>
      </c>
      <c r="S174">
        <v>82.64</v>
      </c>
      <c r="T174">
        <v>2.5499999999999998</v>
      </c>
      <c r="U174">
        <v>0.68</v>
      </c>
      <c r="V174">
        <v>-69.08</v>
      </c>
      <c r="W174">
        <v>-210</v>
      </c>
      <c r="X174">
        <v>83.23</v>
      </c>
      <c r="Y174" t="s">
        <v>1399</v>
      </c>
      <c r="Z174" t="s">
        <v>345</v>
      </c>
      <c r="AA174">
        <v>0.99</v>
      </c>
      <c r="AB174">
        <v>12</v>
      </c>
      <c r="AC174">
        <v>70</v>
      </c>
      <c r="AD174">
        <v>9.84</v>
      </c>
      <c r="AE174" t="s">
        <v>1400</v>
      </c>
      <c r="AF174" t="s">
        <v>1401</v>
      </c>
      <c r="AG174" t="s">
        <v>159</v>
      </c>
      <c r="AH174" t="s">
        <v>1402</v>
      </c>
      <c r="AI174">
        <v>-4.9800000000000004</v>
      </c>
      <c r="AJ174">
        <v>-8.85</v>
      </c>
      <c r="AK174">
        <v>17.649999999999999</v>
      </c>
      <c r="AL174">
        <v>34.83</v>
      </c>
    </row>
    <row r="175" spans="1:38" x14ac:dyDescent="0.25">
      <c r="A175">
        <v>174</v>
      </c>
      <c r="B175" t="str">
        <f xml:space="preserve"> "002202"</f>
        <v>002202</v>
      </c>
      <c r="C175" t="s">
        <v>1403</v>
      </c>
      <c r="D175">
        <v>13.67</v>
      </c>
      <c r="E175">
        <v>-0.94</v>
      </c>
      <c r="F175">
        <v>-0.13</v>
      </c>
      <c r="G175" t="s">
        <v>314</v>
      </c>
      <c r="H175">
        <v>877</v>
      </c>
      <c r="I175">
        <v>13.67</v>
      </c>
      <c r="J175">
        <v>13.68</v>
      </c>
      <c r="K175">
        <v>0</v>
      </c>
      <c r="L175">
        <v>0.52</v>
      </c>
      <c r="M175" t="s">
        <v>1404</v>
      </c>
      <c r="N175">
        <v>21.45</v>
      </c>
      <c r="O175" t="s">
        <v>680</v>
      </c>
      <c r="P175">
        <v>13.98</v>
      </c>
      <c r="Q175">
        <v>13.64</v>
      </c>
      <c r="R175">
        <v>13.76</v>
      </c>
      <c r="S175">
        <v>13.8</v>
      </c>
      <c r="T175">
        <v>2.46</v>
      </c>
      <c r="U175">
        <v>0.81</v>
      </c>
      <c r="V175">
        <v>0.42</v>
      </c>
      <c r="W175">
        <v>22</v>
      </c>
      <c r="X175">
        <v>13.78</v>
      </c>
      <c r="Y175" t="s">
        <v>384</v>
      </c>
      <c r="Z175" t="s">
        <v>1405</v>
      </c>
      <c r="AA175">
        <v>1.39</v>
      </c>
      <c r="AB175">
        <v>640</v>
      </c>
      <c r="AC175">
        <v>146</v>
      </c>
      <c r="AD175">
        <v>2.62</v>
      </c>
      <c r="AE175" t="s">
        <v>1406</v>
      </c>
      <c r="AF175" t="s">
        <v>1407</v>
      </c>
      <c r="AG175" t="s">
        <v>1408</v>
      </c>
      <c r="AH175" t="s">
        <v>1409</v>
      </c>
      <c r="AI175">
        <v>2.17</v>
      </c>
      <c r="AJ175">
        <v>4.1100000000000003</v>
      </c>
      <c r="AK175">
        <v>2.1800000000000002</v>
      </c>
      <c r="AL175">
        <v>3.74</v>
      </c>
    </row>
    <row r="176" spans="1:38" x14ac:dyDescent="0.25">
      <c r="A176">
        <v>175</v>
      </c>
      <c r="B176" t="str">
        <f xml:space="preserve"> "603858"</f>
        <v>603858</v>
      </c>
      <c r="C176" t="s">
        <v>1410</v>
      </c>
      <c r="D176">
        <v>70.97</v>
      </c>
      <c r="E176">
        <v>2.56</v>
      </c>
      <c r="F176">
        <v>1.77</v>
      </c>
      <c r="G176" t="s">
        <v>507</v>
      </c>
      <c r="H176">
        <v>15</v>
      </c>
      <c r="I176">
        <v>70.959999999999994</v>
      </c>
      <c r="J176">
        <v>70.97</v>
      </c>
      <c r="K176">
        <v>-0.01</v>
      </c>
      <c r="L176">
        <v>2.8</v>
      </c>
      <c r="M176" t="s">
        <v>746</v>
      </c>
      <c r="N176">
        <v>35.68</v>
      </c>
      <c r="O176" t="s">
        <v>392</v>
      </c>
      <c r="P176">
        <v>71.63</v>
      </c>
      <c r="Q176">
        <v>69.010000000000005</v>
      </c>
      <c r="R176">
        <v>69.06</v>
      </c>
      <c r="S176">
        <v>69.2</v>
      </c>
      <c r="T176">
        <v>3.79</v>
      </c>
      <c r="U176">
        <v>1.92</v>
      </c>
      <c r="V176">
        <v>-10.71</v>
      </c>
      <c r="W176">
        <v>-42</v>
      </c>
      <c r="X176">
        <v>70.86</v>
      </c>
      <c r="Y176">
        <v>8570</v>
      </c>
      <c r="Z176" t="s">
        <v>1411</v>
      </c>
      <c r="AA176">
        <v>0.78</v>
      </c>
      <c r="AB176">
        <v>47</v>
      </c>
      <c r="AC176">
        <v>45</v>
      </c>
      <c r="AD176">
        <v>4.37</v>
      </c>
      <c r="AE176" t="s">
        <v>1412</v>
      </c>
      <c r="AF176" t="s">
        <v>1413</v>
      </c>
      <c r="AG176" t="s">
        <v>1414</v>
      </c>
      <c r="AH176" t="s">
        <v>722</v>
      </c>
      <c r="AI176">
        <v>1.21</v>
      </c>
      <c r="AJ176">
        <v>5</v>
      </c>
      <c r="AK176">
        <v>5.69</v>
      </c>
      <c r="AL176">
        <v>10.08</v>
      </c>
    </row>
    <row r="177" spans="1:38" x14ac:dyDescent="0.25">
      <c r="A177">
        <v>176</v>
      </c>
      <c r="B177" t="str">
        <f xml:space="preserve"> "000898"</f>
        <v>000898</v>
      </c>
      <c r="C177" t="s">
        <v>1415</v>
      </c>
      <c r="D177">
        <v>6.66</v>
      </c>
      <c r="E177">
        <v>2.15</v>
      </c>
      <c r="F177">
        <v>0.14000000000000001</v>
      </c>
      <c r="G177" t="s">
        <v>1148</v>
      </c>
      <c r="H177" t="s">
        <v>1416</v>
      </c>
      <c r="I177">
        <v>6.65</v>
      </c>
      <c r="J177">
        <v>6.66</v>
      </c>
      <c r="K177">
        <v>0.76</v>
      </c>
      <c r="L177">
        <v>0.82</v>
      </c>
      <c r="M177" t="s">
        <v>1417</v>
      </c>
      <c r="N177">
        <v>13.22</v>
      </c>
      <c r="O177" t="s">
        <v>416</v>
      </c>
      <c r="P177">
        <v>6.66</v>
      </c>
      <c r="Q177">
        <v>6.5</v>
      </c>
      <c r="R177">
        <v>6.52</v>
      </c>
      <c r="S177">
        <v>6.52</v>
      </c>
      <c r="T177">
        <v>2.4500000000000002</v>
      </c>
      <c r="U177">
        <v>1.1299999999999999</v>
      </c>
      <c r="V177">
        <v>-76.14</v>
      </c>
      <c r="W177" t="s">
        <v>1418</v>
      </c>
      <c r="X177">
        <v>6.57</v>
      </c>
      <c r="Y177" t="s">
        <v>1419</v>
      </c>
      <c r="Z177" t="s">
        <v>1247</v>
      </c>
      <c r="AA177">
        <v>0.77</v>
      </c>
      <c r="AB177">
        <v>670</v>
      </c>
      <c r="AC177" t="s">
        <v>1420</v>
      </c>
      <c r="AD177">
        <v>1.04</v>
      </c>
      <c r="AE177" t="s">
        <v>1421</v>
      </c>
      <c r="AF177" t="s">
        <v>1422</v>
      </c>
      <c r="AG177" t="s">
        <v>1423</v>
      </c>
      <c r="AH177" t="s">
        <v>1424</v>
      </c>
      <c r="AI177">
        <v>3.9</v>
      </c>
      <c r="AJ177">
        <v>1.83</v>
      </c>
      <c r="AK177">
        <v>1.96</v>
      </c>
      <c r="AL177">
        <v>4.42</v>
      </c>
    </row>
    <row r="178" spans="1:38" x14ac:dyDescent="0.25">
      <c r="A178">
        <v>177</v>
      </c>
      <c r="B178" t="str">
        <f xml:space="preserve"> "002008"</f>
        <v>002008</v>
      </c>
      <c r="C178" t="s">
        <v>1425</v>
      </c>
      <c r="D178">
        <v>44.9</v>
      </c>
      <c r="E178">
        <v>0.74</v>
      </c>
      <c r="F178">
        <v>0.33</v>
      </c>
      <c r="G178" t="s">
        <v>460</v>
      </c>
      <c r="H178">
        <v>2147</v>
      </c>
      <c r="I178">
        <v>44.9</v>
      </c>
      <c r="J178">
        <v>44.95</v>
      </c>
      <c r="K178">
        <v>-0.2</v>
      </c>
      <c r="L178">
        <v>1.81</v>
      </c>
      <c r="M178" t="s">
        <v>1426</v>
      </c>
      <c r="N178">
        <v>26.21</v>
      </c>
      <c r="O178" t="s">
        <v>648</v>
      </c>
      <c r="P178">
        <v>45.94</v>
      </c>
      <c r="Q178">
        <v>44.33</v>
      </c>
      <c r="R178">
        <v>44.52</v>
      </c>
      <c r="S178">
        <v>44.57</v>
      </c>
      <c r="T178">
        <v>3.61</v>
      </c>
      <c r="U178">
        <v>0.95</v>
      </c>
      <c r="V178">
        <v>13.43</v>
      </c>
      <c r="W178">
        <v>225</v>
      </c>
      <c r="X178">
        <v>45.13</v>
      </c>
      <c r="Y178" t="s">
        <v>1427</v>
      </c>
      <c r="Z178" t="s">
        <v>1428</v>
      </c>
      <c r="AA178">
        <v>0.84</v>
      </c>
      <c r="AB178">
        <v>659</v>
      </c>
      <c r="AC178">
        <v>18</v>
      </c>
      <c r="AD178">
        <v>7.85</v>
      </c>
      <c r="AE178" t="s">
        <v>1429</v>
      </c>
      <c r="AF178" t="s">
        <v>1368</v>
      </c>
      <c r="AG178" t="s">
        <v>1430</v>
      </c>
      <c r="AH178" t="s">
        <v>1431</v>
      </c>
      <c r="AI178">
        <v>4.8600000000000003</v>
      </c>
      <c r="AJ178">
        <v>5.82</v>
      </c>
      <c r="AK178">
        <v>5.56</v>
      </c>
      <c r="AL178">
        <v>11.34</v>
      </c>
    </row>
    <row r="179" spans="1:38" x14ac:dyDescent="0.25">
      <c r="A179">
        <v>178</v>
      </c>
      <c r="B179" t="str">
        <f xml:space="preserve"> "600487"</f>
        <v>600487</v>
      </c>
      <c r="C179" t="s">
        <v>1432</v>
      </c>
      <c r="D179">
        <v>35.19</v>
      </c>
      <c r="E179">
        <v>2.2999999999999998</v>
      </c>
      <c r="F179">
        <v>0.79</v>
      </c>
      <c r="G179" t="s">
        <v>1433</v>
      </c>
      <c r="H179">
        <v>27</v>
      </c>
      <c r="I179">
        <v>35.17</v>
      </c>
      <c r="J179">
        <v>35.18</v>
      </c>
      <c r="K179">
        <v>0.03</v>
      </c>
      <c r="L179">
        <v>2.7</v>
      </c>
      <c r="M179" t="s">
        <v>896</v>
      </c>
      <c r="N179">
        <v>31.18</v>
      </c>
      <c r="O179" t="s">
        <v>580</v>
      </c>
      <c r="P179">
        <v>35.82</v>
      </c>
      <c r="Q179">
        <v>34.42</v>
      </c>
      <c r="R179">
        <v>34.47</v>
      </c>
      <c r="S179">
        <v>34.4</v>
      </c>
      <c r="T179">
        <v>4.07</v>
      </c>
      <c r="U179">
        <v>1.02</v>
      </c>
      <c r="V179">
        <v>-15.4</v>
      </c>
      <c r="W179">
        <v>-278</v>
      </c>
      <c r="X179">
        <v>35.22</v>
      </c>
      <c r="Y179" t="s">
        <v>184</v>
      </c>
      <c r="Z179" t="s">
        <v>254</v>
      </c>
      <c r="AA179">
        <v>0.71</v>
      </c>
      <c r="AB179">
        <v>213</v>
      </c>
      <c r="AC179">
        <v>275</v>
      </c>
      <c r="AD179">
        <v>5.17</v>
      </c>
      <c r="AE179" t="s">
        <v>1434</v>
      </c>
      <c r="AF179" t="s">
        <v>1368</v>
      </c>
      <c r="AG179" t="s">
        <v>361</v>
      </c>
      <c r="AH179" t="s">
        <v>645</v>
      </c>
      <c r="AI179">
        <v>3.59</v>
      </c>
      <c r="AJ179">
        <v>2.36</v>
      </c>
      <c r="AK179">
        <v>6.45</v>
      </c>
      <c r="AL179">
        <v>15.97</v>
      </c>
    </row>
    <row r="180" spans="1:38" x14ac:dyDescent="0.25">
      <c r="A180">
        <v>179</v>
      </c>
      <c r="B180" t="str">
        <f xml:space="preserve"> "600809"</f>
        <v>600809</v>
      </c>
      <c r="C180" t="s">
        <v>1435</v>
      </c>
      <c r="D180">
        <v>55.05</v>
      </c>
      <c r="E180">
        <v>-1.63</v>
      </c>
      <c r="F180">
        <v>-0.91</v>
      </c>
      <c r="G180" t="s">
        <v>104</v>
      </c>
      <c r="H180">
        <v>9</v>
      </c>
      <c r="I180">
        <v>55.02</v>
      </c>
      <c r="J180">
        <v>55.05</v>
      </c>
      <c r="K180">
        <v>0.13</v>
      </c>
      <c r="L180">
        <v>0.86</v>
      </c>
      <c r="M180" t="s">
        <v>1436</v>
      </c>
      <c r="N180">
        <v>39.61</v>
      </c>
      <c r="O180" t="s">
        <v>123</v>
      </c>
      <c r="P180">
        <v>56</v>
      </c>
      <c r="Q180">
        <v>54.6</v>
      </c>
      <c r="R180">
        <v>55.92</v>
      </c>
      <c r="S180">
        <v>55.96</v>
      </c>
      <c r="T180">
        <v>2.5</v>
      </c>
      <c r="U180">
        <v>0.86</v>
      </c>
      <c r="V180">
        <v>17.579999999999998</v>
      </c>
      <c r="W180">
        <v>72</v>
      </c>
      <c r="X180">
        <v>55.07</v>
      </c>
      <c r="Y180" t="s">
        <v>1437</v>
      </c>
      <c r="Z180" t="s">
        <v>1199</v>
      </c>
      <c r="AA180">
        <v>1.53</v>
      </c>
      <c r="AB180">
        <v>55</v>
      </c>
      <c r="AC180">
        <v>105</v>
      </c>
      <c r="AD180">
        <v>10.8</v>
      </c>
      <c r="AE180" t="s">
        <v>1438</v>
      </c>
      <c r="AF180" t="s">
        <v>1439</v>
      </c>
      <c r="AG180" t="s">
        <v>1438</v>
      </c>
      <c r="AH180" t="s">
        <v>1439</v>
      </c>
      <c r="AI180">
        <v>1.27</v>
      </c>
      <c r="AJ180">
        <v>-2.4300000000000002</v>
      </c>
      <c r="AK180">
        <v>2.85</v>
      </c>
      <c r="AL180">
        <v>5.87</v>
      </c>
    </row>
    <row r="181" spans="1:38" x14ac:dyDescent="0.25">
      <c r="A181">
        <v>180</v>
      </c>
      <c r="B181" t="str">
        <f xml:space="preserve"> "600398"</f>
        <v>600398</v>
      </c>
      <c r="C181" t="s">
        <v>1440</v>
      </c>
      <c r="D181">
        <v>10.56</v>
      </c>
      <c r="E181">
        <v>-0.19</v>
      </c>
      <c r="F181">
        <v>-0.02</v>
      </c>
      <c r="G181" t="s">
        <v>1441</v>
      </c>
      <c r="H181">
        <v>30</v>
      </c>
      <c r="I181">
        <v>10.56</v>
      </c>
      <c r="J181">
        <v>10.57</v>
      </c>
      <c r="K181">
        <v>0.09</v>
      </c>
      <c r="L181">
        <v>0.21</v>
      </c>
      <c r="M181" t="s">
        <v>1442</v>
      </c>
      <c r="N181">
        <v>12.65</v>
      </c>
      <c r="O181" t="s">
        <v>1443</v>
      </c>
      <c r="P181">
        <v>10.69</v>
      </c>
      <c r="Q181">
        <v>10.52</v>
      </c>
      <c r="R181">
        <v>10.55</v>
      </c>
      <c r="S181">
        <v>10.58</v>
      </c>
      <c r="T181">
        <v>1.61</v>
      </c>
      <c r="U181">
        <v>0.62</v>
      </c>
      <c r="V181">
        <v>19.989999999999998</v>
      </c>
      <c r="W181">
        <v>680</v>
      </c>
      <c r="X181">
        <v>10.59</v>
      </c>
      <c r="Y181" t="s">
        <v>1444</v>
      </c>
      <c r="Z181" t="s">
        <v>1445</v>
      </c>
      <c r="AA181">
        <v>1.37</v>
      </c>
      <c r="AB181">
        <v>20</v>
      </c>
      <c r="AC181">
        <v>95</v>
      </c>
      <c r="AD181">
        <v>4.88</v>
      </c>
      <c r="AE181" t="s">
        <v>1446</v>
      </c>
      <c r="AF181" t="s">
        <v>1256</v>
      </c>
      <c r="AG181" t="s">
        <v>1446</v>
      </c>
      <c r="AH181" t="s">
        <v>1256</v>
      </c>
      <c r="AI181">
        <v>0.67</v>
      </c>
      <c r="AJ181">
        <v>5.71</v>
      </c>
      <c r="AK181">
        <v>1.04</v>
      </c>
      <c r="AL181">
        <v>1.95</v>
      </c>
    </row>
    <row r="182" spans="1:38" x14ac:dyDescent="0.25">
      <c r="A182">
        <v>181</v>
      </c>
      <c r="B182" t="str">
        <f xml:space="preserve"> "601326"</f>
        <v>601326</v>
      </c>
      <c r="C182" t="s">
        <v>1447</v>
      </c>
      <c r="D182">
        <v>8.49</v>
      </c>
      <c r="E182">
        <v>-0.59</v>
      </c>
      <c r="F182">
        <v>-0.05</v>
      </c>
      <c r="G182" t="s">
        <v>473</v>
      </c>
      <c r="H182">
        <v>3</v>
      </c>
      <c r="I182">
        <v>8.49</v>
      </c>
      <c r="J182">
        <v>8.5</v>
      </c>
      <c r="K182">
        <v>0</v>
      </c>
      <c r="L182">
        <v>4.37</v>
      </c>
      <c r="M182" t="s">
        <v>883</v>
      </c>
      <c r="N182">
        <v>38.44</v>
      </c>
      <c r="O182" t="s">
        <v>440</v>
      </c>
      <c r="P182">
        <v>8.56</v>
      </c>
      <c r="Q182">
        <v>8.41</v>
      </c>
      <c r="R182">
        <v>8.5</v>
      </c>
      <c r="S182">
        <v>8.5399999999999991</v>
      </c>
      <c r="T182">
        <v>1.76</v>
      </c>
      <c r="U182">
        <v>0.53</v>
      </c>
      <c r="V182">
        <v>-5.99</v>
      </c>
      <c r="W182">
        <v>-811</v>
      </c>
      <c r="X182">
        <v>8.49</v>
      </c>
      <c r="Y182" t="s">
        <v>982</v>
      </c>
      <c r="Z182" t="s">
        <v>1448</v>
      </c>
      <c r="AA182">
        <v>1.37</v>
      </c>
      <c r="AB182">
        <v>33</v>
      </c>
      <c r="AC182">
        <v>1191</v>
      </c>
      <c r="AD182">
        <v>3.57</v>
      </c>
      <c r="AE182" t="s">
        <v>1449</v>
      </c>
      <c r="AF182" t="s">
        <v>1256</v>
      </c>
      <c r="AG182" t="s">
        <v>1450</v>
      </c>
      <c r="AH182" t="s">
        <v>1451</v>
      </c>
      <c r="AI182">
        <v>-1.85</v>
      </c>
      <c r="AJ182">
        <v>5.47</v>
      </c>
      <c r="AK182">
        <v>19.09</v>
      </c>
      <c r="AL182">
        <v>45.84</v>
      </c>
    </row>
    <row r="183" spans="1:38" x14ac:dyDescent="0.25">
      <c r="A183">
        <v>182</v>
      </c>
      <c r="B183" t="str">
        <f xml:space="preserve"> "000709"</f>
        <v>000709</v>
      </c>
      <c r="C183" t="s">
        <v>1452</v>
      </c>
      <c r="D183">
        <v>4.43</v>
      </c>
      <c r="E183">
        <v>0.45</v>
      </c>
      <c r="F183">
        <v>0.02</v>
      </c>
      <c r="G183" t="s">
        <v>1453</v>
      </c>
      <c r="H183" t="s">
        <v>1454</v>
      </c>
      <c r="I183">
        <v>4.42</v>
      </c>
      <c r="J183">
        <v>4.43</v>
      </c>
      <c r="K183">
        <v>0.23</v>
      </c>
      <c r="L183">
        <v>1.04</v>
      </c>
      <c r="M183" t="s">
        <v>1455</v>
      </c>
      <c r="N183">
        <v>18.8</v>
      </c>
      <c r="O183" t="s">
        <v>416</v>
      </c>
      <c r="P183">
        <v>4.4400000000000004</v>
      </c>
      <c r="Q183">
        <v>4.38</v>
      </c>
      <c r="R183">
        <v>4.42</v>
      </c>
      <c r="S183">
        <v>4.41</v>
      </c>
      <c r="T183">
        <v>1.36</v>
      </c>
      <c r="U183">
        <v>1.26</v>
      </c>
      <c r="V183">
        <v>-16.989999999999998</v>
      </c>
      <c r="W183" t="s">
        <v>1456</v>
      </c>
      <c r="X183">
        <v>4.41</v>
      </c>
      <c r="Y183" t="s">
        <v>1457</v>
      </c>
      <c r="Z183" t="s">
        <v>1458</v>
      </c>
      <c r="AA183">
        <v>0.82</v>
      </c>
      <c r="AB183" t="s">
        <v>433</v>
      </c>
      <c r="AC183" t="s">
        <v>1346</v>
      </c>
      <c r="AD183">
        <v>1.04</v>
      </c>
      <c r="AE183" t="s">
        <v>1459</v>
      </c>
      <c r="AF183" t="s">
        <v>1460</v>
      </c>
      <c r="AG183" t="s">
        <v>1459</v>
      </c>
      <c r="AH183" t="s">
        <v>1460</v>
      </c>
      <c r="AI183">
        <v>0.68</v>
      </c>
      <c r="AJ183">
        <v>0.91</v>
      </c>
      <c r="AK183">
        <v>2.87</v>
      </c>
      <c r="AL183">
        <v>5.16</v>
      </c>
    </row>
    <row r="184" spans="1:38" x14ac:dyDescent="0.25">
      <c r="A184">
        <v>183</v>
      </c>
      <c r="B184" t="str">
        <f xml:space="preserve"> "600332"</f>
        <v>600332</v>
      </c>
      <c r="C184" t="s">
        <v>1461</v>
      </c>
      <c r="D184">
        <v>28.84</v>
      </c>
      <c r="E184">
        <v>-0.03</v>
      </c>
      <c r="F184">
        <v>-0.01</v>
      </c>
      <c r="G184" t="s">
        <v>1462</v>
      </c>
      <c r="H184">
        <v>6</v>
      </c>
      <c r="I184">
        <v>28.82</v>
      </c>
      <c r="J184">
        <v>28.84</v>
      </c>
      <c r="K184">
        <v>7.0000000000000007E-2</v>
      </c>
      <c r="L184">
        <v>0.88</v>
      </c>
      <c r="M184" t="s">
        <v>1463</v>
      </c>
      <c r="N184">
        <v>20.239999999999998</v>
      </c>
      <c r="O184" t="s">
        <v>392</v>
      </c>
      <c r="P184">
        <v>29.29</v>
      </c>
      <c r="Q184">
        <v>28.79</v>
      </c>
      <c r="R184">
        <v>28.88</v>
      </c>
      <c r="S184">
        <v>28.85</v>
      </c>
      <c r="T184">
        <v>1.73</v>
      </c>
      <c r="U184">
        <v>0.74</v>
      </c>
      <c r="V184">
        <v>68.86</v>
      </c>
      <c r="W184">
        <v>615</v>
      </c>
      <c r="X184">
        <v>29.02</v>
      </c>
      <c r="Y184" t="s">
        <v>868</v>
      </c>
      <c r="Z184" t="s">
        <v>800</v>
      </c>
      <c r="AA184">
        <v>1.1399999999999999</v>
      </c>
      <c r="AB184">
        <v>138</v>
      </c>
      <c r="AC184">
        <v>14</v>
      </c>
      <c r="AD184">
        <v>2.67</v>
      </c>
      <c r="AE184" t="s">
        <v>1464</v>
      </c>
      <c r="AF184" t="s">
        <v>1465</v>
      </c>
      <c r="AG184" t="s">
        <v>1429</v>
      </c>
      <c r="AH184" t="s">
        <v>1466</v>
      </c>
      <c r="AI184">
        <v>-0.48</v>
      </c>
      <c r="AJ184">
        <v>3.67</v>
      </c>
      <c r="AK184">
        <v>2.9</v>
      </c>
      <c r="AL184">
        <v>6.85</v>
      </c>
    </row>
    <row r="185" spans="1:38" x14ac:dyDescent="0.25">
      <c r="A185">
        <v>184</v>
      </c>
      <c r="B185" t="str">
        <f xml:space="preserve"> "603833"</f>
        <v>603833</v>
      </c>
      <c r="C185" t="s">
        <v>1467</v>
      </c>
      <c r="D185">
        <v>110.66</v>
      </c>
      <c r="E185">
        <v>-1.49</v>
      </c>
      <c r="F185">
        <v>-1.67</v>
      </c>
      <c r="G185">
        <v>7462</v>
      </c>
      <c r="H185">
        <v>1</v>
      </c>
      <c r="I185">
        <v>110.58</v>
      </c>
      <c r="J185">
        <v>110.78</v>
      </c>
      <c r="K185">
        <v>-0.31</v>
      </c>
      <c r="L185">
        <v>1.8</v>
      </c>
      <c r="M185" t="s">
        <v>1468</v>
      </c>
      <c r="N185">
        <v>56.2</v>
      </c>
      <c r="O185" t="s">
        <v>1469</v>
      </c>
      <c r="P185">
        <v>112.96</v>
      </c>
      <c r="Q185">
        <v>109.75</v>
      </c>
      <c r="R185">
        <v>110.71</v>
      </c>
      <c r="S185">
        <v>112.33</v>
      </c>
      <c r="T185">
        <v>2.86</v>
      </c>
      <c r="U185">
        <v>0.81</v>
      </c>
      <c r="V185">
        <v>-94.08</v>
      </c>
      <c r="W185">
        <v>-700</v>
      </c>
      <c r="X185">
        <v>110.91</v>
      </c>
      <c r="Y185">
        <v>3487</v>
      </c>
      <c r="Z185">
        <v>3975</v>
      </c>
      <c r="AA185">
        <v>0.88</v>
      </c>
      <c r="AB185">
        <v>7</v>
      </c>
      <c r="AC185">
        <v>1</v>
      </c>
      <c r="AD185">
        <v>7.88</v>
      </c>
      <c r="AE185" t="s">
        <v>1470</v>
      </c>
      <c r="AF185" t="s">
        <v>1471</v>
      </c>
      <c r="AG185" t="s">
        <v>1472</v>
      </c>
      <c r="AH185" t="s">
        <v>1473</v>
      </c>
      <c r="AI185">
        <v>5.49</v>
      </c>
      <c r="AJ185">
        <v>8.3699999999999992</v>
      </c>
      <c r="AK185">
        <v>9.26</v>
      </c>
      <c r="AL185">
        <v>12.94</v>
      </c>
    </row>
    <row r="186" spans="1:38" x14ac:dyDescent="0.25">
      <c r="A186">
        <v>185</v>
      </c>
      <c r="B186" t="str">
        <f xml:space="preserve"> "000792"</f>
        <v>000792</v>
      </c>
      <c r="C186" t="s">
        <v>1474</v>
      </c>
      <c r="D186">
        <v>16.66</v>
      </c>
      <c r="E186">
        <v>-1.48</v>
      </c>
      <c r="F186">
        <v>-0.25</v>
      </c>
      <c r="G186" t="s">
        <v>1475</v>
      </c>
      <c r="H186" t="s">
        <v>1476</v>
      </c>
      <c r="I186">
        <v>16.66</v>
      </c>
      <c r="J186">
        <v>16.670000000000002</v>
      </c>
      <c r="K186">
        <v>0</v>
      </c>
      <c r="L186">
        <v>3.44</v>
      </c>
      <c r="M186" t="s">
        <v>1477</v>
      </c>
      <c r="N186">
        <v>-44.42</v>
      </c>
      <c r="O186" t="s">
        <v>667</v>
      </c>
      <c r="P186">
        <v>17.05</v>
      </c>
      <c r="Q186">
        <v>16.61</v>
      </c>
      <c r="R186">
        <v>16.89</v>
      </c>
      <c r="S186">
        <v>16.91</v>
      </c>
      <c r="T186">
        <v>2.6</v>
      </c>
      <c r="U186">
        <v>0.62</v>
      </c>
      <c r="V186">
        <v>20.3</v>
      </c>
      <c r="W186">
        <v>2804</v>
      </c>
      <c r="X186">
        <v>16.850000000000001</v>
      </c>
      <c r="Y186" t="s">
        <v>1478</v>
      </c>
      <c r="Z186" t="s">
        <v>407</v>
      </c>
      <c r="AA186">
        <v>1.08</v>
      </c>
      <c r="AB186">
        <v>3464</v>
      </c>
      <c r="AC186">
        <v>1478</v>
      </c>
      <c r="AD186">
        <v>2.0699999999999998</v>
      </c>
      <c r="AE186" t="s">
        <v>1479</v>
      </c>
      <c r="AF186" t="s">
        <v>1325</v>
      </c>
      <c r="AG186" t="s">
        <v>1480</v>
      </c>
      <c r="AH186" t="s">
        <v>1481</v>
      </c>
      <c r="AI186">
        <v>-4.8499999999999996</v>
      </c>
      <c r="AJ186">
        <v>-14.48</v>
      </c>
      <c r="AK186">
        <v>12.17</v>
      </c>
      <c r="AL186">
        <v>31.32</v>
      </c>
    </row>
    <row r="187" spans="1:38" x14ac:dyDescent="0.25">
      <c r="A187">
        <v>186</v>
      </c>
      <c r="B187" t="str">
        <f xml:space="preserve"> "002625"</f>
        <v>002625</v>
      </c>
      <c r="C187" t="s">
        <v>1482</v>
      </c>
      <c r="D187" t="s">
        <v>616</v>
      </c>
      <c r="E187" t="s">
        <v>616</v>
      </c>
      <c r="F187" t="s">
        <v>616</v>
      </c>
      <c r="G187" t="s">
        <v>616</v>
      </c>
      <c r="H187" t="s">
        <v>616</v>
      </c>
      <c r="I187" t="s">
        <v>616</v>
      </c>
      <c r="J187" t="s">
        <v>616</v>
      </c>
      <c r="K187" t="s">
        <v>616</v>
      </c>
      <c r="L187" t="s">
        <v>616</v>
      </c>
      <c r="M187" t="s">
        <v>616</v>
      </c>
      <c r="N187">
        <v>452.55</v>
      </c>
      <c r="O187" t="s">
        <v>169</v>
      </c>
      <c r="P187" t="s">
        <v>616</v>
      </c>
      <c r="Q187" t="s">
        <v>616</v>
      </c>
      <c r="R187" t="s">
        <v>616</v>
      </c>
      <c r="S187">
        <v>36.36</v>
      </c>
      <c r="T187" t="s">
        <v>616</v>
      </c>
      <c r="U187" t="s">
        <v>616</v>
      </c>
      <c r="V187" t="s">
        <v>616</v>
      </c>
      <c r="W187" t="s">
        <v>616</v>
      </c>
      <c r="X187" t="s">
        <v>616</v>
      </c>
      <c r="Y187" t="s">
        <v>616</v>
      </c>
      <c r="Z187" t="s">
        <v>616</v>
      </c>
      <c r="AA187" t="s">
        <v>616</v>
      </c>
      <c r="AB187" t="s">
        <v>616</v>
      </c>
      <c r="AC187" t="s">
        <v>616</v>
      </c>
      <c r="AD187">
        <v>6.15</v>
      </c>
      <c r="AE187" t="s">
        <v>1483</v>
      </c>
      <c r="AF187" t="s">
        <v>1484</v>
      </c>
      <c r="AG187" t="s">
        <v>1485</v>
      </c>
      <c r="AH187" t="s">
        <v>1486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>
        <v>187</v>
      </c>
      <c r="B188" t="str">
        <f xml:space="preserve"> "000100"</f>
        <v>000100</v>
      </c>
      <c r="C188" t="s">
        <v>1487</v>
      </c>
      <c r="D188">
        <v>3.76</v>
      </c>
      <c r="E188">
        <v>2.17</v>
      </c>
      <c r="F188">
        <v>0.08</v>
      </c>
      <c r="G188" t="s">
        <v>1488</v>
      </c>
      <c r="H188" t="s">
        <v>1489</v>
      </c>
      <c r="I188">
        <v>3.76</v>
      </c>
      <c r="J188">
        <v>3.77</v>
      </c>
      <c r="K188">
        <v>0.27</v>
      </c>
      <c r="L188">
        <v>2.0099999999999998</v>
      </c>
      <c r="M188" t="s">
        <v>1490</v>
      </c>
      <c r="N188">
        <v>22.21</v>
      </c>
      <c r="O188" t="s">
        <v>215</v>
      </c>
      <c r="P188">
        <v>3.76</v>
      </c>
      <c r="Q188">
        <v>3.66</v>
      </c>
      <c r="R188">
        <v>3.67</v>
      </c>
      <c r="S188">
        <v>3.68</v>
      </c>
      <c r="T188">
        <v>2.72</v>
      </c>
      <c r="U188">
        <v>1.29</v>
      </c>
      <c r="V188">
        <v>-25.62</v>
      </c>
      <c r="W188" t="s">
        <v>1491</v>
      </c>
      <c r="X188">
        <v>3.73</v>
      </c>
      <c r="Y188" t="s">
        <v>1492</v>
      </c>
      <c r="Z188" t="s">
        <v>261</v>
      </c>
      <c r="AA188">
        <v>0.67</v>
      </c>
      <c r="AB188" t="s">
        <v>1493</v>
      </c>
      <c r="AC188" t="s">
        <v>1494</v>
      </c>
      <c r="AD188">
        <v>1.94</v>
      </c>
      <c r="AE188" t="s">
        <v>555</v>
      </c>
      <c r="AF188" t="s">
        <v>1495</v>
      </c>
      <c r="AG188" t="s">
        <v>1496</v>
      </c>
      <c r="AH188" t="s">
        <v>1497</v>
      </c>
      <c r="AI188">
        <v>0.53</v>
      </c>
      <c r="AJ188">
        <v>4.16</v>
      </c>
      <c r="AK188">
        <v>4.3600000000000003</v>
      </c>
      <c r="AL188">
        <v>9.77</v>
      </c>
    </row>
    <row r="189" spans="1:38" x14ac:dyDescent="0.25">
      <c r="A189">
        <v>188</v>
      </c>
      <c r="B189" t="str">
        <f xml:space="preserve"> "002797"</f>
        <v>002797</v>
      </c>
      <c r="C189" t="s">
        <v>1498</v>
      </c>
      <c r="D189">
        <v>13.09</v>
      </c>
      <c r="E189">
        <v>2.19</v>
      </c>
      <c r="F189">
        <v>0.28000000000000003</v>
      </c>
      <c r="G189" t="s">
        <v>1499</v>
      </c>
      <c r="H189" t="s">
        <v>1500</v>
      </c>
      <c r="I189">
        <v>13.09</v>
      </c>
      <c r="J189">
        <v>13.1</v>
      </c>
      <c r="K189">
        <v>0</v>
      </c>
      <c r="L189">
        <v>7.84</v>
      </c>
      <c r="M189" t="s">
        <v>1501</v>
      </c>
      <c r="N189">
        <v>121.15</v>
      </c>
      <c r="O189" t="s">
        <v>306</v>
      </c>
      <c r="P189">
        <v>13.15</v>
      </c>
      <c r="Q189">
        <v>12.63</v>
      </c>
      <c r="R189">
        <v>12.78</v>
      </c>
      <c r="S189">
        <v>12.81</v>
      </c>
      <c r="T189">
        <v>4.0599999999999996</v>
      </c>
      <c r="U189">
        <v>0.76</v>
      </c>
      <c r="V189">
        <v>7.37</v>
      </c>
      <c r="W189">
        <v>4528</v>
      </c>
      <c r="X189">
        <v>12.93</v>
      </c>
      <c r="Y189" t="s">
        <v>1502</v>
      </c>
      <c r="Z189" t="s">
        <v>1503</v>
      </c>
      <c r="AA189">
        <v>0.86</v>
      </c>
      <c r="AB189" t="s">
        <v>1504</v>
      </c>
      <c r="AC189">
        <v>8763</v>
      </c>
      <c r="AD189">
        <v>5.27</v>
      </c>
      <c r="AE189" t="s">
        <v>1239</v>
      </c>
      <c r="AF189" t="s">
        <v>1481</v>
      </c>
      <c r="AG189" t="s">
        <v>486</v>
      </c>
      <c r="AH189" t="s">
        <v>1505</v>
      </c>
      <c r="AI189">
        <v>-1.28</v>
      </c>
      <c r="AJ189">
        <v>10.19</v>
      </c>
      <c r="AK189">
        <v>24.84</v>
      </c>
      <c r="AL189">
        <v>59.08</v>
      </c>
    </row>
    <row r="190" spans="1:38" x14ac:dyDescent="0.25">
      <c r="A190">
        <v>189</v>
      </c>
      <c r="B190" t="str">
        <f xml:space="preserve"> "002624"</f>
        <v>002624</v>
      </c>
      <c r="C190" t="s">
        <v>1506</v>
      </c>
      <c r="D190">
        <v>34.590000000000003</v>
      </c>
      <c r="E190">
        <v>2.04</v>
      </c>
      <c r="F190">
        <v>0.69</v>
      </c>
      <c r="G190" t="s">
        <v>1507</v>
      </c>
      <c r="H190">
        <v>529</v>
      </c>
      <c r="I190">
        <v>34.58</v>
      </c>
      <c r="J190">
        <v>34.590000000000003</v>
      </c>
      <c r="K190">
        <v>0.12</v>
      </c>
      <c r="L190">
        <v>1.23</v>
      </c>
      <c r="M190" t="s">
        <v>223</v>
      </c>
      <c r="N190">
        <v>33.869999999999997</v>
      </c>
      <c r="O190" t="s">
        <v>1126</v>
      </c>
      <c r="P190">
        <v>34.799999999999997</v>
      </c>
      <c r="Q190">
        <v>33.65</v>
      </c>
      <c r="R190">
        <v>33.9</v>
      </c>
      <c r="S190">
        <v>33.9</v>
      </c>
      <c r="T190">
        <v>3.39</v>
      </c>
      <c r="U190">
        <v>1.1299999999999999</v>
      </c>
      <c r="V190">
        <v>-91.47</v>
      </c>
      <c r="W190">
        <v>-901</v>
      </c>
      <c r="X190">
        <v>34.479999999999997</v>
      </c>
      <c r="Y190" t="s">
        <v>1508</v>
      </c>
      <c r="Z190" t="s">
        <v>1509</v>
      </c>
      <c r="AA190">
        <v>0.6</v>
      </c>
      <c r="AB190">
        <v>2</v>
      </c>
      <c r="AC190">
        <v>50</v>
      </c>
      <c r="AD190">
        <v>5.81</v>
      </c>
      <c r="AE190" t="s">
        <v>1510</v>
      </c>
      <c r="AF190" t="s">
        <v>1511</v>
      </c>
      <c r="AG190" t="s">
        <v>1512</v>
      </c>
      <c r="AH190" t="s">
        <v>1513</v>
      </c>
      <c r="AI190">
        <v>0.76</v>
      </c>
      <c r="AJ190">
        <v>5.78</v>
      </c>
      <c r="AK190">
        <v>4.01</v>
      </c>
      <c r="AL190">
        <v>6.69</v>
      </c>
    </row>
    <row r="191" spans="1:38" x14ac:dyDescent="0.25">
      <c r="A191">
        <v>190</v>
      </c>
      <c r="B191" t="str">
        <f xml:space="preserve"> "300136"</f>
        <v>300136</v>
      </c>
      <c r="C191" t="s">
        <v>1514</v>
      </c>
      <c r="D191">
        <v>46.18</v>
      </c>
      <c r="E191">
        <v>8.02</v>
      </c>
      <c r="F191">
        <v>3.43</v>
      </c>
      <c r="G191" t="s">
        <v>335</v>
      </c>
      <c r="H191">
        <v>3507</v>
      </c>
      <c r="I191">
        <v>46.17</v>
      </c>
      <c r="J191">
        <v>46.18</v>
      </c>
      <c r="K191">
        <v>7.0000000000000007E-2</v>
      </c>
      <c r="L191">
        <v>2.59</v>
      </c>
      <c r="M191" t="s">
        <v>1515</v>
      </c>
      <c r="N191">
        <v>56.26</v>
      </c>
      <c r="O191" t="s">
        <v>580</v>
      </c>
      <c r="P191">
        <v>46.57</v>
      </c>
      <c r="Q191">
        <v>43.05</v>
      </c>
      <c r="R191">
        <v>43.05</v>
      </c>
      <c r="S191">
        <v>42.75</v>
      </c>
      <c r="T191">
        <v>8.23</v>
      </c>
      <c r="U191">
        <v>3.2</v>
      </c>
      <c r="V191">
        <v>-87.78</v>
      </c>
      <c r="W191">
        <v>-7081</v>
      </c>
      <c r="X191">
        <v>44.91</v>
      </c>
      <c r="Y191" t="s">
        <v>1516</v>
      </c>
      <c r="Z191" t="s">
        <v>767</v>
      </c>
      <c r="AA191">
        <v>0.59</v>
      </c>
      <c r="AB191">
        <v>31</v>
      </c>
      <c r="AC191">
        <v>7122</v>
      </c>
      <c r="AD191">
        <v>20.100000000000001</v>
      </c>
      <c r="AE191" t="s">
        <v>1517</v>
      </c>
      <c r="AF191" t="s">
        <v>1518</v>
      </c>
      <c r="AG191" t="s">
        <v>1519</v>
      </c>
      <c r="AH191" t="s">
        <v>1520</v>
      </c>
      <c r="AI191">
        <v>10.48</v>
      </c>
      <c r="AJ191">
        <v>9.43</v>
      </c>
      <c r="AK191">
        <v>4.05</v>
      </c>
      <c r="AL191">
        <v>6.63</v>
      </c>
    </row>
    <row r="192" spans="1:38" x14ac:dyDescent="0.25">
      <c r="A192">
        <v>191</v>
      </c>
      <c r="B192" t="str">
        <f xml:space="preserve"> "601866"</f>
        <v>601866</v>
      </c>
      <c r="C192" t="s">
        <v>1521</v>
      </c>
      <c r="D192">
        <v>3.85</v>
      </c>
      <c r="E192">
        <v>0.26</v>
      </c>
      <c r="F192">
        <v>0.01</v>
      </c>
      <c r="G192" t="s">
        <v>1522</v>
      </c>
      <c r="H192">
        <v>43</v>
      </c>
      <c r="I192">
        <v>3.84</v>
      </c>
      <c r="J192">
        <v>3.85</v>
      </c>
      <c r="K192">
        <v>0</v>
      </c>
      <c r="L192">
        <v>0.1</v>
      </c>
      <c r="M192" t="s">
        <v>1523</v>
      </c>
      <c r="N192">
        <v>21.32</v>
      </c>
      <c r="O192" t="s">
        <v>440</v>
      </c>
      <c r="P192">
        <v>3.85</v>
      </c>
      <c r="Q192">
        <v>3.83</v>
      </c>
      <c r="R192">
        <v>3.84</v>
      </c>
      <c r="S192">
        <v>3.84</v>
      </c>
      <c r="T192">
        <v>0.52</v>
      </c>
      <c r="U192">
        <v>0.64</v>
      </c>
      <c r="V192">
        <v>7.13</v>
      </c>
      <c r="W192">
        <v>3282</v>
      </c>
      <c r="X192">
        <v>3.84</v>
      </c>
      <c r="Y192" t="s">
        <v>1524</v>
      </c>
      <c r="Z192" t="s">
        <v>1525</v>
      </c>
      <c r="AA192">
        <v>1.41</v>
      </c>
      <c r="AB192">
        <v>4341</v>
      </c>
      <c r="AC192">
        <v>4212</v>
      </c>
      <c r="AD192">
        <v>3.17</v>
      </c>
      <c r="AE192" t="s">
        <v>171</v>
      </c>
      <c r="AF192" t="s">
        <v>1526</v>
      </c>
      <c r="AG192" t="s">
        <v>1527</v>
      </c>
      <c r="AH192" t="s">
        <v>1528</v>
      </c>
      <c r="AI192">
        <v>-1.03</v>
      </c>
      <c r="AJ192">
        <v>1.05</v>
      </c>
      <c r="AK192">
        <v>0.38</v>
      </c>
      <c r="AL192">
        <v>0.85</v>
      </c>
    </row>
    <row r="193" spans="1:38" x14ac:dyDescent="0.25">
      <c r="A193">
        <v>192</v>
      </c>
      <c r="B193" t="str">
        <f xml:space="preserve"> "300122"</f>
        <v>300122</v>
      </c>
      <c r="C193" t="s">
        <v>1529</v>
      </c>
      <c r="D193">
        <v>28.08</v>
      </c>
      <c r="E193">
        <v>0.72</v>
      </c>
      <c r="F193">
        <v>0.2</v>
      </c>
      <c r="G193" t="s">
        <v>1530</v>
      </c>
      <c r="H193">
        <v>1217</v>
      </c>
      <c r="I193">
        <v>28.07</v>
      </c>
      <c r="J193">
        <v>28.08</v>
      </c>
      <c r="K193">
        <v>-0.11</v>
      </c>
      <c r="L193">
        <v>0.7</v>
      </c>
      <c r="M193" t="s">
        <v>1531</v>
      </c>
      <c r="N193">
        <v>130.76</v>
      </c>
      <c r="O193" t="s">
        <v>392</v>
      </c>
      <c r="P193">
        <v>28.47</v>
      </c>
      <c r="Q193">
        <v>27.92</v>
      </c>
      <c r="R193">
        <v>28.3</v>
      </c>
      <c r="S193">
        <v>27.88</v>
      </c>
      <c r="T193">
        <v>1.97</v>
      </c>
      <c r="U193">
        <v>0.8</v>
      </c>
      <c r="V193">
        <v>-19.45</v>
      </c>
      <c r="W193">
        <v>-103</v>
      </c>
      <c r="X193">
        <v>28.2</v>
      </c>
      <c r="Y193" t="s">
        <v>1532</v>
      </c>
      <c r="Z193" t="s">
        <v>1533</v>
      </c>
      <c r="AA193">
        <v>1.21</v>
      </c>
      <c r="AB193">
        <v>29</v>
      </c>
      <c r="AC193">
        <v>95</v>
      </c>
      <c r="AD193">
        <v>16.78</v>
      </c>
      <c r="AE193" t="s">
        <v>1147</v>
      </c>
      <c r="AF193" t="s">
        <v>1534</v>
      </c>
      <c r="AG193" t="s">
        <v>1535</v>
      </c>
      <c r="AH193" t="s">
        <v>1536</v>
      </c>
      <c r="AI193">
        <v>0.39</v>
      </c>
      <c r="AJ193">
        <v>5.96</v>
      </c>
      <c r="AK193">
        <v>2.75</v>
      </c>
      <c r="AL193">
        <v>5.0999999999999996</v>
      </c>
    </row>
    <row r="194" spans="1:38" x14ac:dyDescent="0.25">
      <c r="A194">
        <v>193</v>
      </c>
      <c r="B194" t="str">
        <f xml:space="preserve"> "600482"</f>
        <v>600482</v>
      </c>
      <c r="C194" t="s">
        <v>1537</v>
      </c>
      <c r="D194">
        <v>25.78</v>
      </c>
      <c r="E194">
        <v>0.59</v>
      </c>
      <c r="F194">
        <v>0.15</v>
      </c>
      <c r="G194" t="s">
        <v>728</v>
      </c>
      <c r="H194">
        <v>5</v>
      </c>
      <c r="I194">
        <v>25.78</v>
      </c>
      <c r="J194">
        <v>25.79</v>
      </c>
      <c r="K194">
        <v>0</v>
      </c>
      <c r="L194">
        <v>0.89</v>
      </c>
      <c r="M194" t="s">
        <v>1538</v>
      </c>
      <c r="N194">
        <v>39.979999999999997</v>
      </c>
      <c r="O194" t="s">
        <v>648</v>
      </c>
      <c r="P194">
        <v>25.89</v>
      </c>
      <c r="Q194">
        <v>25.66</v>
      </c>
      <c r="R194">
        <v>25.66</v>
      </c>
      <c r="S194">
        <v>25.63</v>
      </c>
      <c r="T194">
        <v>0.9</v>
      </c>
      <c r="U194">
        <v>1.25</v>
      </c>
      <c r="V194">
        <v>-60.6</v>
      </c>
      <c r="W194">
        <v>-2243</v>
      </c>
      <c r="X194">
        <v>25.78</v>
      </c>
      <c r="Y194" t="s">
        <v>1539</v>
      </c>
      <c r="Z194" t="s">
        <v>753</v>
      </c>
      <c r="AA194">
        <v>0.91</v>
      </c>
      <c r="AB194">
        <v>134</v>
      </c>
      <c r="AC194">
        <v>308</v>
      </c>
      <c r="AD194">
        <v>1.77</v>
      </c>
      <c r="AE194" t="s">
        <v>1540</v>
      </c>
      <c r="AF194" t="s">
        <v>1541</v>
      </c>
      <c r="AG194" t="s">
        <v>1542</v>
      </c>
      <c r="AH194" t="s">
        <v>1543</v>
      </c>
      <c r="AI194">
        <v>2.34</v>
      </c>
      <c r="AJ194">
        <v>3.58</v>
      </c>
      <c r="AK194">
        <v>2.9</v>
      </c>
      <c r="AL194">
        <v>4.47</v>
      </c>
    </row>
    <row r="195" spans="1:38" x14ac:dyDescent="0.25">
      <c r="A195">
        <v>194</v>
      </c>
      <c r="B195" t="str">
        <f xml:space="preserve"> "002508"</f>
        <v>002508</v>
      </c>
      <c r="C195" t="s">
        <v>1544</v>
      </c>
      <c r="D195">
        <v>47.18</v>
      </c>
      <c r="E195">
        <v>2.74</v>
      </c>
      <c r="F195">
        <v>1.26</v>
      </c>
      <c r="G195" t="s">
        <v>1545</v>
      </c>
      <c r="H195">
        <v>293</v>
      </c>
      <c r="I195">
        <v>47.17</v>
      </c>
      <c r="J195">
        <v>47.18</v>
      </c>
      <c r="K195">
        <v>0.02</v>
      </c>
      <c r="L195">
        <v>0.85</v>
      </c>
      <c r="M195" t="s">
        <v>1546</v>
      </c>
      <c r="N195">
        <v>37.450000000000003</v>
      </c>
      <c r="O195" t="s">
        <v>215</v>
      </c>
      <c r="P195">
        <v>47.2</v>
      </c>
      <c r="Q195">
        <v>46</v>
      </c>
      <c r="R195">
        <v>46.18</v>
      </c>
      <c r="S195">
        <v>45.92</v>
      </c>
      <c r="T195">
        <v>2.61</v>
      </c>
      <c r="U195">
        <v>0.86</v>
      </c>
      <c r="V195">
        <v>33.369999999999997</v>
      </c>
      <c r="W195">
        <v>280</v>
      </c>
      <c r="X195">
        <v>46.87</v>
      </c>
      <c r="Y195" t="s">
        <v>1090</v>
      </c>
      <c r="Z195" t="s">
        <v>1547</v>
      </c>
      <c r="AA195">
        <v>0.88</v>
      </c>
      <c r="AB195">
        <v>99</v>
      </c>
      <c r="AC195">
        <v>71</v>
      </c>
      <c r="AD195">
        <v>10.19</v>
      </c>
      <c r="AE195" t="s">
        <v>40</v>
      </c>
      <c r="AF195" t="s">
        <v>1541</v>
      </c>
      <c r="AG195" t="s">
        <v>1548</v>
      </c>
      <c r="AH195" t="s">
        <v>1549</v>
      </c>
      <c r="AI195">
        <v>3.01</v>
      </c>
      <c r="AJ195">
        <v>13.55</v>
      </c>
      <c r="AK195">
        <v>2.67</v>
      </c>
      <c r="AL195">
        <v>5.8</v>
      </c>
    </row>
    <row r="196" spans="1:38" x14ac:dyDescent="0.25">
      <c r="A196">
        <v>195</v>
      </c>
      <c r="B196" t="str">
        <f xml:space="preserve"> "002044"</f>
        <v>002044</v>
      </c>
      <c r="C196" t="s">
        <v>1550</v>
      </c>
      <c r="D196">
        <v>18.48</v>
      </c>
      <c r="E196">
        <v>1.76</v>
      </c>
      <c r="F196">
        <v>0.32</v>
      </c>
      <c r="G196" t="s">
        <v>1551</v>
      </c>
      <c r="H196">
        <v>969</v>
      </c>
      <c r="I196">
        <v>18.47</v>
      </c>
      <c r="J196">
        <v>18.48</v>
      </c>
      <c r="K196">
        <v>0.05</v>
      </c>
      <c r="L196">
        <v>0.63</v>
      </c>
      <c r="M196" t="s">
        <v>943</v>
      </c>
      <c r="N196">
        <v>784.49</v>
      </c>
      <c r="O196" t="s">
        <v>1552</v>
      </c>
      <c r="P196">
        <v>18.559999999999999</v>
      </c>
      <c r="Q196">
        <v>18.05</v>
      </c>
      <c r="R196">
        <v>18.239999999999998</v>
      </c>
      <c r="S196">
        <v>18.16</v>
      </c>
      <c r="T196">
        <v>2.81</v>
      </c>
      <c r="U196">
        <v>0.91</v>
      </c>
      <c r="V196">
        <v>-21.15</v>
      </c>
      <c r="W196">
        <v>-669</v>
      </c>
      <c r="X196">
        <v>18.37</v>
      </c>
      <c r="Y196" t="s">
        <v>997</v>
      </c>
      <c r="Z196" t="s">
        <v>1553</v>
      </c>
      <c r="AA196">
        <v>0.72</v>
      </c>
      <c r="AB196">
        <v>336</v>
      </c>
      <c r="AC196">
        <v>559</v>
      </c>
      <c r="AD196">
        <v>13.55</v>
      </c>
      <c r="AE196" t="s">
        <v>1104</v>
      </c>
      <c r="AF196" t="s">
        <v>1173</v>
      </c>
      <c r="AG196" t="s">
        <v>1554</v>
      </c>
      <c r="AH196" t="s">
        <v>1555</v>
      </c>
      <c r="AI196">
        <v>2.1</v>
      </c>
      <c r="AJ196">
        <v>8.4499999999999993</v>
      </c>
      <c r="AK196">
        <v>2.2200000000000002</v>
      </c>
      <c r="AL196">
        <v>4.07</v>
      </c>
    </row>
    <row r="197" spans="1:38" x14ac:dyDescent="0.25">
      <c r="A197">
        <v>196</v>
      </c>
      <c r="B197" t="str">
        <f xml:space="preserve"> "600157"</f>
        <v>600157</v>
      </c>
      <c r="C197" t="s">
        <v>1556</v>
      </c>
      <c r="D197">
        <v>3.6</v>
      </c>
      <c r="E197">
        <v>0.28000000000000003</v>
      </c>
      <c r="F197">
        <v>0.01</v>
      </c>
      <c r="G197" t="s">
        <v>1557</v>
      </c>
      <c r="H197">
        <v>34</v>
      </c>
      <c r="I197">
        <v>3.59</v>
      </c>
      <c r="J197">
        <v>3.6</v>
      </c>
      <c r="K197">
        <v>0</v>
      </c>
      <c r="L197">
        <v>0.11</v>
      </c>
      <c r="M197" t="s">
        <v>1558</v>
      </c>
      <c r="N197">
        <v>87.82</v>
      </c>
      <c r="O197" t="s">
        <v>150</v>
      </c>
      <c r="P197">
        <v>3.61</v>
      </c>
      <c r="Q197">
        <v>3.58</v>
      </c>
      <c r="R197">
        <v>3.59</v>
      </c>
      <c r="S197">
        <v>3.59</v>
      </c>
      <c r="T197">
        <v>0.84</v>
      </c>
      <c r="U197">
        <v>0.57999999999999996</v>
      </c>
      <c r="V197">
        <v>-27.34</v>
      </c>
      <c r="W197" t="s">
        <v>1559</v>
      </c>
      <c r="X197">
        <v>3.59</v>
      </c>
      <c r="Y197" t="s">
        <v>1560</v>
      </c>
      <c r="Z197" t="s">
        <v>468</v>
      </c>
      <c r="AA197">
        <v>2.1</v>
      </c>
      <c r="AB197">
        <v>7598</v>
      </c>
      <c r="AC197">
        <v>8974</v>
      </c>
      <c r="AD197">
        <v>1.89</v>
      </c>
      <c r="AE197" t="s">
        <v>1561</v>
      </c>
      <c r="AF197" t="s">
        <v>1173</v>
      </c>
      <c r="AG197" t="s">
        <v>1562</v>
      </c>
      <c r="AH197" t="s">
        <v>1563</v>
      </c>
      <c r="AI197">
        <v>-0.83</v>
      </c>
      <c r="AJ197">
        <v>0.84</v>
      </c>
      <c r="AK197">
        <v>0.5</v>
      </c>
      <c r="AL197">
        <v>1.0900000000000001</v>
      </c>
    </row>
    <row r="198" spans="1:38" x14ac:dyDescent="0.25">
      <c r="A198">
        <v>197</v>
      </c>
      <c r="B198" t="str">
        <f xml:space="preserve"> "600085"</f>
        <v>600085</v>
      </c>
      <c r="C198" t="s">
        <v>1564</v>
      </c>
      <c r="D198">
        <v>32.58</v>
      </c>
      <c r="E198">
        <v>0.28000000000000003</v>
      </c>
      <c r="F198">
        <v>0.09</v>
      </c>
      <c r="G198" t="s">
        <v>336</v>
      </c>
      <c r="H198">
        <v>12</v>
      </c>
      <c r="I198">
        <v>32.6</v>
      </c>
      <c r="J198">
        <v>32.61</v>
      </c>
      <c r="K198">
        <v>-0.09</v>
      </c>
      <c r="L198">
        <v>0.34</v>
      </c>
      <c r="M198" t="s">
        <v>621</v>
      </c>
      <c r="N198">
        <v>37.25</v>
      </c>
      <c r="O198" t="s">
        <v>392</v>
      </c>
      <c r="P198">
        <v>32.69</v>
      </c>
      <c r="Q198">
        <v>32.4</v>
      </c>
      <c r="R198">
        <v>32.49</v>
      </c>
      <c r="S198">
        <v>32.49</v>
      </c>
      <c r="T198">
        <v>0.89</v>
      </c>
      <c r="U198">
        <v>0.57999999999999996</v>
      </c>
      <c r="V198">
        <v>-90.41</v>
      </c>
      <c r="W198">
        <v>-1169</v>
      </c>
      <c r="X198">
        <v>32.57</v>
      </c>
      <c r="Y198" t="s">
        <v>1285</v>
      </c>
      <c r="Z198" t="s">
        <v>1565</v>
      </c>
      <c r="AA198">
        <v>1.1100000000000001</v>
      </c>
      <c r="AB198">
        <v>20</v>
      </c>
      <c r="AC198">
        <v>121</v>
      </c>
      <c r="AD198">
        <v>5.79</v>
      </c>
      <c r="AE198" t="s">
        <v>1566</v>
      </c>
      <c r="AF198" t="s">
        <v>1173</v>
      </c>
      <c r="AG198" t="s">
        <v>1566</v>
      </c>
      <c r="AH198" t="s">
        <v>1173</v>
      </c>
      <c r="AI198">
        <v>-0.88</v>
      </c>
      <c r="AJ198">
        <v>1.56</v>
      </c>
      <c r="AK198">
        <v>1.52</v>
      </c>
      <c r="AL198">
        <v>3.31</v>
      </c>
    </row>
    <row r="199" spans="1:38" x14ac:dyDescent="0.25">
      <c r="A199">
        <v>198</v>
      </c>
      <c r="B199" t="str">
        <f xml:space="preserve"> "002714"</f>
        <v>002714</v>
      </c>
      <c r="C199" t="s">
        <v>1567</v>
      </c>
      <c r="D199">
        <v>38.549999999999997</v>
      </c>
      <c r="E199">
        <v>-2.8</v>
      </c>
      <c r="F199">
        <v>-1.1100000000000001</v>
      </c>
      <c r="G199" t="s">
        <v>1568</v>
      </c>
      <c r="H199">
        <v>665</v>
      </c>
      <c r="I199">
        <v>38.549999999999997</v>
      </c>
      <c r="J199">
        <v>38.57</v>
      </c>
      <c r="K199">
        <v>-0.1</v>
      </c>
      <c r="L199">
        <v>1.32</v>
      </c>
      <c r="M199" t="s">
        <v>1569</v>
      </c>
      <c r="N199">
        <v>18.600000000000001</v>
      </c>
      <c r="O199" t="s">
        <v>622</v>
      </c>
      <c r="P199">
        <v>39.450000000000003</v>
      </c>
      <c r="Q199">
        <v>38.409999999999997</v>
      </c>
      <c r="R199">
        <v>39.4</v>
      </c>
      <c r="S199">
        <v>39.659999999999997</v>
      </c>
      <c r="T199">
        <v>2.62</v>
      </c>
      <c r="U199">
        <v>1.19</v>
      </c>
      <c r="V199">
        <v>-47.92</v>
      </c>
      <c r="W199">
        <v>-481</v>
      </c>
      <c r="X199">
        <v>38.69</v>
      </c>
      <c r="Y199" t="s">
        <v>1570</v>
      </c>
      <c r="Z199" t="s">
        <v>1571</v>
      </c>
      <c r="AA199">
        <v>1.36</v>
      </c>
      <c r="AB199">
        <v>177</v>
      </c>
      <c r="AC199">
        <v>7</v>
      </c>
      <c r="AD199">
        <v>5.37</v>
      </c>
      <c r="AE199" t="s">
        <v>1572</v>
      </c>
      <c r="AF199" t="s">
        <v>1173</v>
      </c>
      <c r="AG199" t="s">
        <v>1573</v>
      </c>
      <c r="AH199" t="s">
        <v>443</v>
      </c>
      <c r="AI199">
        <v>-3.41</v>
      </c>
      <c r="AJ199">
        <v>6.37</v>
      </c>
      <c r="AK199">
        <v>3.12</v>
      </c>
      <c r="AL199">
        <v>6.86</v>
      </c>
    </row>
    <row r="200" spans="1:38" x14ac:dyDescent="0.25">
      <c r="A200">
        <v>199</v>
      </c>
      <c r="B200" t="str">
        <f xml:space="preserve"> "600871"</f>
        <v>600871</v>
      </c>
      <c r="C200" t="s">
        <v>1574</v>
      </c>
      <c r="D200">
        <v>3.15</v>
      </c>
      <c r="E200">
        <v>0.32</v>
      </c>
      <c r="F200">
        <v>0.01</v>
      </c>
      <c r="G200" t="s">
        <v>563</v>
      </c>
      <c r="H200">
        <v>89</v>
      </c>
      <c r="I200">
        <v>3.15</v>
      </c>
      <c r="J200">
        <v>3.16</v>
      </c>
      <c r="K200">
        <v>0.32</v>
      </c>
      <c r="L200">
        <v>0.65</v>
      </c>
      <c r="M200" t="s">
        <v>1575</v>
      </c>
      <c r="N200">
        <v>-9.75</v>
      </c>
      <c r="O200" t="s">
        <v>61</v>
      </c>
      <c r="P200">
        <v>3.16</v>
      </c>
      <c r="Q200">
        <v>3.12</v>
      </c>
      <c r="R200">
        <v>3.14</v>
      </c>
      <c r="S200">
        <v>3.14</v>
      </c>
      <c r="T200">
        <v>1.27</v>
      </c>
      <c r="U200">
        <v>0.88</v>
      </c>
      <c r="V200">
        <v>16.7</v>
      </c>
      <c r="W200" t="s">
        <v>1576</v>
      </c>
      <c r="X200">
        <v>3.14</v>
      </c>
      <c r="Y200" t="s">
        <v>337</v>
      </c>
      <c r="Z200" t="s">
        <v>1577</v>
      </c>
      <c r="AA200">
        <v>1.55</v>
      </c>
      <c r="AB200" t="s">
        <v>1578</v>
      </c>
      <c r="AC200" t="s">
        <v>1579</v>
      </c>
      <c r="AD200">
        <v>7.05</v>
      </c>
      <c r="AE200" t="s">
        <v>1580</v>
      </c>
      <c r="AF200" t="s">
        <v>1431</v>
      </c>
      <c r="AG200" t="s">
        <v>395</v>
      </c>
      <c r="AH200" t="s">
        <v>1581</v>
      </c>
      <c r="AI200">
        <v>-0.63</v>
      </c>
      <c r="AJ200">
        <v>1.29</v>
      </c>
      <c r="AK200">
        <v>2.11</v>
      </c>
      <c r="AL200">
        <v>4.38</v>
      </c>
    </row>
    <row r="201" spans="1:38" x14ac:dyDescent="0.25">
      <c r="A201">
        <v>200</v>
      </c>
      <c r="B201" t="str">
        <f xml:space="preserve"> "600600"</f>
        <v>600600</v>
      </c>
      <c r="C201" t="s">
        <v>1582</v>
      </c>
      <c r="D201">
        <v>32.85</v>
      </c>
      <c r="E201">
        <v>4.99</v>
      </c>
      <c r="F201">
        <v>1.56</v>
      </c>
      <c r="G201" t="s">
        <v>1583</v>
      </c>
      <c r="H201">
        <v>28</v>
      </c>
      <c r="I201">
        <v>32.85</v>
      </c>
      <c r="J201">
        <v>32.86</v>
      </c>
      <c r="K201">
        <v>0.34</v>
      </c>
      <c r="L201">
        <v>2.09</v>
      </c>
      <c r="M201" t="s">
        <v>1584</v>
      </c>
      <c r="N201">
        <v>19.32</v>
      </c>
      <c r="O201" t="s">
        <v>123</v>
      </c>
      <c r="P201">
        <v>33.6</v>
      </c>
      <c r="Q201">
        <v>32</v>
      </c>
      <c r="R201">
        <v>32</v>
      </c>
      <c r="S201">
        <v>31.29</v>
      </c>
      <c r="T201">
        <v>5.1100000000000003</v>
      </c>
      <c r="U201">
        <v>5.28</v>
      </c>
      <c r="V201">
        <v>12.91</v>
      </c>
      <c r="W201">
        <v>233</v>
      </c>
      <c r="X201">
        <v>32.92</v>
      </c>
      <c r="Y201" t="s">
        <v>1585</v>
      </c>
      <c r="Z201" t="s">
        <v>1586</v>
      </c>
      <c r="AA201">
        <v>0.97</v>
      </c>
      <c r="AB201">
        <v>963</v>
      </c>
      <c r="AC201">
        <v>37</v>
      </c>
      <c r="AD201">
        <v>2.69</v>
      </c>
      <c r="AE201" t="s">
        <v>1587</v>
      </c>
      <c r="AF201" t="s">
        <v>1203</v>
      </c>
      <c r="AG201" t="s">
        <v>1588</v>
      </c>
      <c r="AH201" t="s">
        <v>258</v>
      </c>
      <c r="AI201">
        <v>5.32</v>
      </c>
      <c r="AJ201">
        <v>7.39</v>
      </c>
      <c r="AK201">
        <v>3.01</v>
      </c>
      <c r="AL201">
        <v>4.07</v>
      </c>
    </row>
    <row r="202" spans="1:38" x14ac:dyDescent="0.25">
      <c r="A202">
        <v>201</v>
      </c>
      <c r="B202" t="str">
        <f xml:space="preserve"> "600027"</f>
        <v>600027</v>
      </c>
      <c r="C202" t="s">
        <v>1589</v>
      </c>
      <c r="D202">
        <v>4.4000000000000004</v>
      </c>
      <c r="E202">
        <v>0</v>
      </c>
      <c r="F202">
        <v>0</v>
      </c>
      <c r="G202" t="s">
        <v>1590</v>
      </c>
      <c r="H202">
        <v>50</v>
      </c>
      <c r="I202">
        <v>4.4000000000000004</v>
      </c>
      <c r="J202">
        <v>4.41</v>
      </c>
      <c r="K202">
        <v>-0.23</v>
      </c>
      <c r="L202">
        <v>0.1</v>
      </c>
      <c r="M202" t="s">
        <v>1591</v>
      </c>
      <c r="N202">
        <v>-102.42</v>
      </c>
      <c r="O202" t="s">
        <v>186</v>
      </c>
      <c r="P202">
        <v>4.41</v>
      </c>
      <c r="Q202">
        <v>4.3899999999999997</v>
      </c>
      <c r="R202">
        <v>4.41</v>
      </c>
      <c r="S202">
        <v>4.4000000000000004</v>
      </c>
      <c r="T202">
        <v>0.45</v>
      </c>
      <c r="U202">
        <v>0.78</v>
      </c>
      <c r="V202">
        <v>-30.49</v>
      </c>
      <c r="W202" t="s">
        <v>1592</v>
      </c>
      <c r="X202">
        <v>4.4000000000000004</v>
      </c>
      <c r="Y202" t="s">
        <v>1593</v>
      </c>
      <c r="Z202" t="s">
        <v>603</v>
      </c>
      <c r="AA202">
        <v>3.83</v>
      </c>
      <c r="AB202">
        <v>2421</v>
      </c>
      <c r="AC202">
        <v>6170</v>
      </c>
      <c r="AD202">
        <v>1.0900000000000001</v>
      </c>
      <c r="AE202" t="s">
        <v>1594</v>
      </c>
      <c r="AF202" t="s">
        <v>1595</v>
      </c>
      <c r="AG202" t="s">
        <v>1596</v>
      </c>
      <c r="AH202" t="s">
        <v>1597</v>
      </c>
      <c r="AI202">
        <v>-0.68</v>
      </c>
      <c r="AJ202">
        <v>-0.23</v>
      </c>
      <c r="AK202">
        <v>0.41</v>
      </c>
      <c r="AL202">
        <v>0.75</v>
      </c>
    </row>
    <row r="203" spans="1:38" x14ac:dyDescent="0.25">
      <c r="A203">
        <v>202</v>
      </c>
      <c r="B203" t="str">
        <f xml:space="preserve"> "000423"</f>
        <v>000423</v>
      </c>
      <c r="C203" t="s">
        <v>1598</v>
      </c>
      <c r="D203">
        <v>66.069999999999993</v>
      </c>
      <c r="E203">
        <v>-1.08</v>
      </c>
      <c r="F203">
        <v>-0.72</v>
      </c>
      <c r="G203" t="s">
        <v>1599</v>
      </c>
      <c r="H203">
        <v>918</v>
      </c>
      <c r="I203">
        <v>66.069999999999993</v>
      </c>
      <c r="J203">
        <v>66.08</v>
      </c>
      <c r="K203">
        <v>0.05</v>
      </c>
      <c r="L203">
        <v>1.1499999999999999</v>
      </c>
      <c r="M203" t="s">
        <v>1600</v>
      </c>
      <c r="N203">
        <v>23.97</v>
      </c>
      <c r="O203" t="s">
        <v>392</v>
      </c>
      <c r="P203">
        <v>67.28</v>
      </c>
      <c r="Q203">
        <v>65.87</v>
      </c>
      <c r="R203">
        <v>66.790000000000006</v>
      </c>
      <c r="S203">
        <v>66.790000000000006</v>
      </c>
      <c r="T203">
        <v>2.11</v>
      </c>
      <c r="U203">
        <v>0.82</v>
      </c>
      <c r="V203">
        <v>91.43</v>
      </c>
      <c r="W203">
        <v>1195</v>
      </c>
      <c r="X203">
        <v>66.260000000000005</v>
      </c>
      <c r="Y203" t="s">
        <v>1601</v>
      </c>
      <c r="Z203" t="s">
        <v>1602</v>
      </c>
      <c r="AA203">
        <v>1.45</v>
      </c>
      <c r="AB203">
        <v>115</v>
      </c>
      <c r="AC203">
        <v>1</v>
      </c>
      <c r="AD203">
        <v>5.36</v>
      </c>
      <c r="AE203" t="s">
        <v>1603</v>
      </c>
      <c r="AF203" t="s">
        <v>1604</v>
      </c>
      <c r="AG203" t="s">
        <v>1603</v>
      </c>
      <c r="AH203" t="s">
        <v>1604</v>
      </c>
      <c r="AI203">
        <v>-0.48</v>
      </c>
      <c r="AJ203">
        <v>1.43</v>
      </c>
      <c r="AK203">
        <v>4.05</v>
      </c>
      <c r="AL203">
        <v>8.18</v>
      </c>
    </row>
    <row r="204" spans="1:38" x14ac:dyDescent="0.25">
      <c r="A204">
        <v>203</v>
      </c>
      <c r="B204" t="str">
        <f xml:space="preserve"> "603160"</f>
        <v>603160</v>
      </c>
      <c r="C204" t="s">
        <v>1605</v>
      </c>
      <c r="D204">
        <v>94.65</v>
      </c>
      <c r="E204">
        <v>-0.14000000000000001</v>
      </c>
      <c r="F204">
        <v>-0.13</v>
      </c>
      <c r="G204" t="s">
        <v>1095</v>
      </c>
      <c r="H204">
        <v>1</v>
      </c>
      <c r="I204">
        <v>94.62</v>
      </c>
      <c r="J204">
        <v>94.63</v>
      </c>
      <c r="K204">
        <v>0.05</v>
      </c>
      <c r="L204">
        <v>2.78</v>
      </c>
      <c r="M204" t="s">
        <v>1606</v>
      </c>
      <c r="N204">
        <v>44.6</v>
      </c>
      <c r="O204" t="s">
        <v>380</v>
      </c>
      <c r="P204">
        <v>94.97</v>
      </c>
      <c r="Q204">
        <v>93.4</v>
      </c>
      <c r="R204">
        <v>94.85</v>
      </c>
      <c r="S204">
        <v>94.78</v>
      </c>
      <c r="T204">
        <v>1.66</v>
      </c>
      <c r="U204">
        <v>0.72</v>
      </c>
      <c r="V204">
        <v>-25.41</v>
      </c>
      <c r="W204">
        <v>-24</v>
      </c>
      <c r="X204">
        <v>94.41</v>
      </c>
      <c r="Y204">
        <v>7352</v>
      </c>
      <c r="Z204">
        <v>5176</v>
      </c>
      <c r="AA204">
        <v>1.42</v>
      </c>
      <c r="AB204">
        <v>10</v>
      </c>
      <c r="AC204">
        <v>1</v>
      </c>
      <c r="AD204">
        <v>12.32</v>
      </c>
      <c r="AE204" t="s">
        <v>1607</v>
      </c>
      <c r="AF204" t="s">
        <v>1608</v>
      </c>
      <c r="AG204" t="s">
        <v>1609</v>
      </c>
      <c r="AH204" t="s">
        <v>1610</v>
      </c>
      <c r="AI204">
        <v>-0.16</v>
      </c>
      <c r="AJ204">
        <v>1</v>
      </c>
      <c r="AK204">
        <v>9.75</v>
      </c>
      <c r="AL204">
        <v>22.14</v>
      </c>
    </row>
    <row r="205" spans="1:38" x14ac:dyDescent="0.25">
      <c r="A205">
        <v>204</v>
      </c>
      <c r="B205" t="str">
        <f xml:space="preserve"> "000839"</f>
        <v>000839</v>
      </c>
      <c r="C205" t="s">
        <v>1611</v>
      </c>
      <c r="D205">
        <v>10.96</v>
      </c>
      <c r="E205">
        <v>0.74</v>
      </c>
      <c r="F205">
        <v>0.08</v>
      </c>
      <c r="G205" t="s">
        <v>1612</v>
      </c>
      <c r="H205">
        <v>6657</v>
      </c>
      <c r="I205">
        <v>10.96</v>
      </c>
      <c r="J205">
        <v>10.97</v>
      </c>
      <c r="K205">
        <v>-0.09</v>
      </c>
      <c r="L205">
        <v>1.17</v>
      </c>
      <c r="M205" t="s">
        <v>1613</v>
      </c>
      <c r="N205">
        <v>89.19</v>
      </c>
      <c r="O205" t="s">
        <v>553</v>
      </c>
      <c r="P205">
        <v>11.02</v>
      </c>
      <c r="Q205">
        <v>10.82</v>
      </c>
      <c r="R205">
        <v>10.83</v>
      </c>
      <c r="S205">
        <v>10.88</v>
      </c>
      <c r="T205">
        <v>1.84</v>
      </c>
      <c r="U205">
        <v>0.45</v>
      </c>
      <c r="V205">
        <v>-30.79</v>
      </c>
      <c r="W205">
        <v>-7751</v>
      </c>
      <c r="X205">
        <v>10.93</v>
      </c>
      <c r="Y205" t="s">
        <v>1614</v>
      </c>
      <c r="Z205" t="s">
        <v>1615</v>
      </c>
      <c r="AA205">
        <v>0.99</v>
      </c>
      <c r="AB205">
        <v>3743</v>
      </c>
      <c r="AC205">
        <v>5583</v>
      </c>
      <c r="AD205">
        <v>6.31</v>
      </c>
      <c r="AE205" t="s">
        <v>1616</v>
      </c>
      <c r="AF205" t="s">
        <v>1608</v>
      </c>
      <c r="AG205" t="s">
        <v>1616</v>
      </c>
      <c r="AH205" t="s">
        <v>1608</v>
      </c>
      <c r="AI205">
        <v>-5.27</v>
      </c>
      <c r="AJ205">
        <v>-1.7</v>
      </c>
      <c r="AK205">
        <v>7.24</v>
      </c>
      <c r="AL205">
        <v>14.15</v>
      </c>
    </row>
    <row r="206" spans="1:38" x14ac:dyDescent="0.25">
      <c r="A206">
        <v>205</v>
      </c>
      <c r="B206" t="str">
        <f xml:space="preserve"> "600682"</f>
        <v>600682</v>
      </c>
      <c r="C206" t="s">
        <v>1617</v>
      </c>
      <c r="D206" t="s">
        <v>616</v>
      </c>
      <c r="E206" t="s">
        <v>616</v>
      </c>
      <c r="F206" t="s">
        <v>616</v>
      </c>
      <c r="G206" t="s">
        <v>616</v>
      </c>
      <c r="H206" t="s">
        <v>616</v>
      </c>
      <c r="I206" t="s">
        <v>616</v>
      </c>
      <c r="J206" t="s">
        <v>616</v>
      </c>
      <c r="K206" t="s">
        <v>616</v>
      </c>
      <c r="L206" t="s">
        <v>616</v>
      </c>
      <c r="M206" t="s">
        <v>616</v>
      </c>
      <c r="N206">
        <v>241.57</v>
      </c>
      <c r="O206" t="s">
        <v>532</v>
      </c>
      <c r="P206" t="s">
        <v>616</v>
      </c>
      <c r="Q206" t="s">
        <v>616</v>
      </c>
      <c r="R206" t="s">
        <v>616</v>
      </c>
      <c r="S206">
        <v>38.549999999999997</v>
      </c>
      <c r="T206" t="s">
        <v>616</v>
      </c>
      <c r="U206" t="s">
        <v>616</v>
      </c>
      <c r="V206" t="s">
        <v>616</v>
      </c>
      <c r="W206" t="s">
        <v>616</v>
      </c>
      <c r="X206" t="s">
        <v>616</v>
      </c>
      <c r="Y206" t="s">
        <v>616</v>
      </c>
      <c r="Z206" t="s">
        <v>616</v>
      </c>
      <c r="AA206" t="s">
        <v>616</v>
      </c>
      <c r="AB206" t="s">
        <v>616</v>
      </c>
      <c r="AC206" t="s">
        <v>616</v>
      </c>
      <c r="AD206">
        <v>6.05</v>
      </c>
      <c r="AE206" t="s">
        <v>204</v>
      </c>
      <c r="AF206" t="s">
        <v>1618</v>
      </c>
      <c r="AG206" t="s">
        <v>1619</v>
      </c>
      <c r="AH206" t="s">
        <v>1620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>
        <v>206</v>
      </c>
      <c r="B207" t="str">
        <f xml:space="preserve"> "002468"</f>
        <v>002468</v>
      </c>
      <c r="C207" t="s">
        <v>1621</v>
      </c>
      <c r="D207">
        <v>28</v>
      </c>
      <c r="E207">
        <v>1.6</v>
      </c>
      <c r="F207">
        <v>0.44</v>
      </c>
      <c r="G207" t="s">
        <v>1448</v>
      </c>
      <c r="H207">
        <v>1388</v>
      </c>
      <c r="I207">
        <v>27.99</v>
      </c>
      <c r="J207">
        <v>28</v>
      </c>
      <c r="K207">
        <v>0.04</v>
      </c>
      <c r="L207">
        <v>3.12</v>
      </c>
      <c r="M207" t="s">
        <v>1622</v>
      </c>
      <c r="N207">
        <v>28.71</v>
      </c>
      <c r="O207" t="s">
        <v>274</v>
      </c>
      <c r="P207">
        <v>28.16</v>
      </c>
      <c r="Q207">
        <v>27.14</v>
      </c>
      <c r="R207">
        <v>27.39</v>
      </c>
      <c r="S207">
        <v>27.56</v>
      </c>
      <c r="T207">
        <v>3.7</v>
      </c>
      <c r="U207">
        <v>1.1100000000000001</v>
      </c>
      <c r="V207">
        <v>-1.06</v>
      </c>
      <c r="W207">
        <v>-34</v>
      </c>
      <c r="X207">
        <v>27.76</v>
      </c>
      <c r="Y207" t="s">
        <v>1623</v>
      </c>
      <c r="Z207" t="s">
        <v>399</v>
      </c>
      <c r="AA207">
        <v>0.84</v>
      </c>
      <c r="AB207">
        <v>229</v>
      </c>
      <c r="AC207">
        <v>508</v>
      </c>
      <c r="AD207">
        <v>7.1</v>
      </c>
      <c r="AE207" t="s">
        <v>122</v>
      </c>
      <c r="AF207" t="s">
        <v>1618</v>
      </c>
      <c r="AG207" t="s">
        <v>1624</v>
      </c>
      <c r="AH207" t="s">
        <v>1625</v>
      </c>
      <c r="AI207">
        <v>6.14</v>
      </c>
      <c r="AJ207">
        <v>8.82</v>
      </c>
      <c r="AK207">
        <v>12.79</v>
      </c>
      <c r="AL207">
        <v>17.170000000000002</v>
      </c>
    </row>
    <row r="208" spans="1:38" x14ac:dyDescent="0.25">
      <c r="A208">
        <v>207</v>
      </c>
      <c r="B208" t="str">
        <f xml:space="preserve"> "601228"</f>
        <v>601228</v>
      </c>
      <c r="C208" t="s">
        <v>1626</v>
      </c>
      <c r="D208">
        <v>6.92</v>
      </c>
      <c r="E208">
        <v>0.44</v>
      </c>
      <c r="F208">
        <v>0.03</v>
      </c>
      <c r="G208" t="s">
        <v>1627</v>
      </c>
      <c r="H208">
        <v>20</v>
      </c>
      <c r="I208">
        <v>6.92</v>
      </c>
      <c r="J208">
        <v>6.93</v>
      </c>
      <c r="K208">
        <v>0.14000000000000001</v>
      </c>
      <c r="L208">
        <v>1.77</v>
      </c>
      <c r="M208" t="s">
        <v>1628</v>
      </c>
      <c r="N208">
        <v>60.45</v>
      </c>
      <c r="O208" t="s">
        <v>440</v>
      </c>
      <c r="P208">
        <v>6.92</v>
      </c>
      <c r="Q208">
        <v>6.85</v>
      </c>
      <c r="R208">
        <v>6.87</v>
      </c>
      <c r="S208">
        <v>6.89</v>
      </c>
      <c r="T208">
        <v>1.02</v>
      </c>
      <c r="U208">
        <v>0.63</v>
      </c>
      <c r="V208">
        <v>36.83</v>
      </c>
      <c r="W208" t="s">
        <v>603</v>
      </c>
      <c r="X208">
        <v>6.89</v>
      </c>
      <c r="Y208" t="s">
        <v>1629</v>
      </c>
      <c r="Z208" t="s">
        <v>1630</v>
      </c>
      <c r="AA208">
        <v>0.96</v>
      </c>
      <c r="AB208">
        <v>5252</v>
      </c>
      <c r="AC208">
        <v>3738</v>
      </c>
      <c r="AD208">
        <v>3.7</v>
      </c>
      <c r="AE208" t="s">
        <v>1631</v>
      </c>
      <c r="AF208" t="s">
        <v>1618</v>
      </c>
      <c r="AG208" t="s">
        <v>1632</v>
      </c>
      <c r="AH208" t="s">
        <v>1633</v>
      </c>
      <c r="AI208">
        <v>0.73</v>
      </c>
      <c r="AJ208">
        <v>3.44</v>
      </c>
      <c r="AK208">
        <v>10.26</v>
      </c>
      <c r="AL208">
        <v>15.73</v>
      </c>
    </row>
    <row r="209" spans="1:38" x14ac:dyDescent="0.25">
      <c r="A209">
        <v>208</v>
      </c>
      <c r="B209" t="str">
        <f xml:space="preserve"> "601216"</f>
        <v>601216</v>
      </c>
      <c r="C209" t="s">
        <v>1634</v>
      </c>
      <c r="D209">
        <v>5.0599999999999996</v>
      </c>
      <c r="E209">
        <v>0.2</v>
      </c>
      <c r="F209">
        <v>0.01</v>
      </c>
      <c r="G209" t="s">
        <v>131</v>
      </c>
      <c r="H209">
        <v>222</v>
      </c>
      <c r="I209">
        <v>5.0599999999999996</v>
      </c>
      <c r="J209">
        <v>5.07</v>
      </c>
      <c r="K209">
        <v>0</v>
      </c>
      <c r="L209">
        <v>0.25</v>
      </c>
      <c r="M209" t="s">
        <v>1635</v>
      </c>
      <c r="N209">
        <v>23.1</v>
      </c>
      <c r="O209" t="s">
        <v>667</v>
      </c>
      <c r="P209">
        <v>5.08</v>
      </c>
      <c r="Q209">
        <v>5.03</v>
      </c>
      <c r="R209">
        <v>5.04</v>
      </c>
      <c r="S209">
        <v>5.05</v>
      </c>
      <c r="T209">
        <v>0.99</v>
      </c>
      <c r="U209">
        <v>0.74</v>
      </c>
      <c r="V209">
        <v>-12.46</v>
      </c>
      <c r="W209">
        <v>-9545</v>
      </c>
      <c r="X209">
        <v>5.0599999999999996</v>
      </c>
      <c r="Y209" t="s">
        <v>1270</v>
      </c>
      <c r="Z209" t="s">
        <v>991</v>
      </c>
      <c r="AA209">
        <v>0.99</v>
      </c>
      <c r="AB209">
        <v>2142</v>
      </c>
      <c r="AC209">
        <v>6125</v>
      </c>
      <c r="AD209">
        <v>2.95</v>
      </c>
      <c r="AE209" t="s">
        <v>1636</v>
      </c>
      <c r="AF209" t="s">
        <v>1637</v>
      </c>
      <c r="AG209" t="s">
        <v>1636</v>
      </c>
      <c r="AH209" t="s">
        <v>1637</v>
      </c>
      <c r="AI209">
        <v>-1.17</v>
      </c>
      <c r="AJ209">
        <v>0</v>
      </c>
      <c r="AK209">
        <v>1</v>
      </c>
      <c r="AL209">
        <v>1.94</v>
      </c>
    </row>
    <row r="210" spans="1:38" x14ac:dyDescent="0.25">
      <c r="A210">
        <v>209</v>
      </c>
      <c r="B210" t="str">
        <f xml:space="preserve"> "300408"</f>
        <v>300408</v>
      </c>
      <c r="C210" t="s">
        <v>1638</v>
      </c>
      <c r="D210">
        <v>24.7</v>
      </c>
      <c r="E210">
        <v>1.86</v>
      </c>
      <c r="F210">
        <v>0.45</v>
      </c>
      <c r="G210" t="s">
        <v>1639</v>
      </c>
      <c r="H210">
        <v>808</v>
      </c>
      <c r="I210">
        <v>24.7</v>
      </c>
      <c r="J210">
        <v>24.71</v>
      </c>
      <c r="K210">
        <v>0</v>
      </c>
      <c r="L210">
        <v>0.97</v>
      </c>
      <c r="M210" t="s">
        <v>1640</v>
      </c>
      <c r="N210">
        <v>49.64</v>
      </c>
      <c r="O210" t="s">
        <v>380</v>
      </c>
      <c r="P210">
        <v>24.84</v>
      </c>
      <c r="Q210">
        <v>23.8</v>
      </c>
      <c r="R210">
        <v>23.98</v>
      </c>
      <c r="S210">
        <v>24.25</v>
      </c>
      <c r="T210">
        <v>4.29</v>
      </c>
      <c r="U210">
        <v>0.76</v>
      </c>
      <c r="V210">
        <v>-62.47</v>
      </c>
      <c r="W210">
        <v>-1748</v>
      </c>
      <c r="X210">
        <v>24.47</v>
      </c>
      <c r="Y210" t="s">
        <v>105</v>
      </c>
      <c r="Z210" t="s">
        <v>1641</v>
      </c>
      <c r="AA210">
        <v>0.7</v>
      </c>
      <c r="AB210">
        <v>351</v>
      </c>
      <c r="AC210">
        <v>1</v>
      </c>
      <c r="AD210">
        <v>8.19</v>
      </c>
      <c r="AE210" t="s">
        <v>531</v>
      </c>
      <c r="AF210" t="s">
        <v>1637</v>
      </c>
      <c r="AG210" t="s">
        <v>1517</v>
      </c>
      <c r="AH210" t="s">
        <v>1642</v>
      </c>
      <c r="AI210">
        <v>-0.72</v>
      </c>
      <c r="AJ210">
        <v>3.56</v>
      </c>
      <c r="AK210">
        <v>3.05</v>
      </c>
      <c r="AL210">
        <v>7.31</v>
      </c>
    </row>
    <row r="211" spans="1:38" x14ac:dyDescent="0.25">
      <c r="A211">
        <v>210</v>
      </c>
      <c r="B211" t="str">
        <f xml:space="preserve"> "600485"</f>
        <v>600485</v>
      </c>
      <c r="C211" t="s">
        <v>1643</v>
      </c>
      <c r="D211" t="s">
        <v>616</v>
      </c>
      <c r="E211" t="s">
        <v>616</v>
      </c>
      <c r="F211" t="s">
        <v>616</v>
      </c>
      <c r="G211" t="s">
        <v>616</v>
      </c>
      <c r="H211" t="s">
        <v>616</v>
      </c>
      <c r="I211" t="s">
        <v>616</v>
      </c>
      <c r="J211" t="s">
        <v>616</v>
      </c>
      <c r="K211" t="s">
        <v>616</v>
      </c>
      <c r="L211" t="s">
        <v>616</v>
      </c>
      <c r="M211" t="s">
        <v>616</v>
      </c>
      <c r="N211">
        <v>29.34</v>
      </c>
      <c r="O211" t="s">
        <v>580</v>
      </c>
      <c r="P211" t="s">
        <v>616</v>
      </c>
      <c r="Q211" t="s">
        <v>616</v>
      </c>
      <c r="R211" t="s">
        <v>616</v>
      </c>
      <c r="S211">
        <v>14.59</v>
      </c>
      <c r="T211" t="s">
        <v>616</v>
      </c>
      <c r="U211" t="s">
        <v>616</v>
      </c>
      <c r="V211" t="s">
        <v>616</v>
      </c>
      <c r="W211" t="s">
        <v>616</v>
      </c>
      <c r="X211" t="s">
        <v>616</v>
      </c>
      <c r="Y211" t="s">
        <v>616</v>
      </c>
      <c r="Z211" t="s">
        <v>616</v>
      </c>
      <c r="AA211" t="s">
        <v>616</v>
      </c>
      <c r="AB211" t="s">
        <v>616</v>
      </c>
      <c r="AC211" t="s">
        <v>616</v>
      </c>
      <c r="AD211">
        <v>3.41</v>
      </c>
      <c r="AE211" t="s">
        <v>1644</v>
      </c>
      <c r="AF211" t="s">
        <v>1637</v>
      </c>
      <c r="AG211" t="s">
        <v>1464</v>
      </c>
      <c r="AH211" t="s">
        <v>1645</v>
      </c>
      <c r="AI211">
        <v>0</v>
      </c>
      <c r="AJ211">
        <v>0</v>
      </c>
      <c r="AK211">
        <v>0</v>
      </c>
      <c r="AL211">
        <v>0</v>
      </c>
    </row>
    <row r="212" spans="1:38" x14ac:dyDescent="0.25">
      <c r="A212">
        <v>211</v>
      </c>
      <c r="B212" t="str">
        <f xml:space="preserve"> "600674"</f>
        <v>600674</v>
      </c>
      <c r="C212" t="s">
        <v>1646</v>
      </c>
      <c r="D212">
        <v>9.64</v>
      </c>
      <c r="E212">
        <v>-0.21</v>
      </c>
      <c r="F212">
        <v>-0.02</v>
      </c>
      <c r="G212" t="s">
        <v>188</v>
      </c>
      <c r="H212">
        <v>5</v>
      </c>
      <c r="I212">
        <v>9.64</v>
      </c>
      <c r="J212">
        <v>9.66</v>
      </c>
      <c r="K212">
        <v>-0.31</v>
      </c>
      <c r="L212">
        <v>0.13</v>
      </c>
      <c r="M212" t="s">
        <v>1647</v>
      </c>
      <c r="N212">
        <v>17.25</v>
      </c>
      <c r="O212" t="s">
        <v>186</v>
      </c>
      <c r="P212">
        <v>9.7100000000000009</v>
      </c>
      <c r="Q212">
        <v>9.64</v>
      </c>
      <c r="R212">
        <v>9.66</v>
      </c>
      <c r="S212">
        <v>9.66</v>
      </c>
      <c r="T212">
        <v>0.72</v>
      </c>
      <c r="U212">
        <v>0.63</v>
      </c>
      <c r="V212">
        <v>-50.53</v>
      </c>
      <c r="W212" t="s">
        <v>1648</v>
      </c>
      <c r="X212">
        <v>9.67</v>
      </c>
      <c r="Y212" t="s">
        <v>1649</v>
      </c>
      <c r="Z212" t="s">
        <v>1650</v>
      </c>
      <c r="AA212">
        <v>1.49</v>
      </c>
      <c r="AB212">
        <v>265</v>
      </c>
      <c r="AC212">
        <v>28</v>
      </c>
      <c r="AD212">
        <v>2.2200000000000002</v>
      </c>
      <c r="AE212" t="s">
        <v>716</v>
      </c>
      <c r="AF212" t="s">
        <v>1651</v>
      </c>
      <c r="AG212" t="s">
        <v>716</v>
      </c>
      <c r="AH212" t="s">
        <v>1651</v>
      </c>
      <c r="AI212">
        <v>1.1499999999999999</v>
      </c>
      <c r="AJ212">
        <v>2.44</v>
      </c>
      <c r="AK212">
        <v>0.67</v>
      </c>
      <c r="AL212">
        <v>1.21</v>
      </c>
    </row>
    <row r="213" spans="1:38" x14ac:dyDescent="0.25">
      <c r="A213">
        <v>212</v>
      </c>
      <c r="B213" t="str">
        <f xml:space="preserve"> "000046"</f>
        <v>000046</v>
      </c>
      <c r="C213" t="s">
        <v>1652</v>
      </c>
      <c r="D213">
        <v>8.16</v>
      </c>
      <c r="E213">
        <v>0.25</v>
      </c>
      <c r="F213">
        <v>0.02</v>
      </c>
      <c r="G213" t="s">
        <v>1653</v>
      </c>
      <c r="H213">
        <v>329</v>
      </c>
      <c r="I213">
        <v>8.15</v>
      </c>
      <c r="J213">
        <v>8.16</v>
      </c>
      <c r="K213">
        <v>0</v>
      </c>
      <c r="L213">
        <v>0.04</v>
      </c>
      <c r="M213" t="s">
        <v>1654</v>
      </c>
      <c r="N213">
        <v>23.46</v>
      </c>
      <c r="O213" t="s">
        <v>244</v>
      </c>
      <c r="P213">
        <v>8.17</v>
      </c>
      <c r="Q213">
        <v>8.1300000000000008</v>
      </c>
      <c r="R213">
        <v>8.14</v>
      </c>
      <c r="S213">
        <v>8.14</v>
      </c>
      <c r="T213">
        <v>0.49</v>
      </c>
      <c r="U213">
        <v>0.71</v>
      </c>
      <c r="V213">
        <v>-37.07</v>
      </c>
      <c r="W213">
        <v>-3488</v>
      </c>
      <c r="X213">
        <v>8.15</v>
      </c>
      <c r="Y213" t="s">
        <v>124</v>
      </c>
      <c r="Z213">
        <v>7140</v>
      </c>
      <c r="AA213">
        <v>1.77</v>
      </c>
      <c r="AB213">
        <v>414</v>
      </c>
      <c r="AC213">
        <v>237</v>
      </c>
      <c r="AD213">
        <v>2.34</v>
      </c>
      <c r="AE213" t="s">
        <v>1655</v>
      </c>
      <c r="AF213" t="s">
        <v>1651</v>
      </c>
      <c r="AG213" t="s">
        <v>1656</v>
      </c>
      <c r="AH213" t="s">
        <v>1657</v>
      </c>
      <c r="AI213">
        <v>-0.24</v>
      </c>
      <c r="AJ213">
        <v>0.49</v>
      </c>
      <c r="AK213">
        <v>0.14000000000000001</v>
      </c>
      <c r="AL213">
        <v>0.31</v>
      </c>
    </row>
    <row r="214" spans="1:38" x14ac:dyDescent="0.25">
      <c r="A214">
        <v>213</v>
      </c>
      <c r="B214" t="str">
        <f xml:space="preserve"> "600959"</f>
        <v>600959</v>
      </c>
      <c r="C214" t="s">
        <v>1658</v>
      </c>
      <c r="D214">
        <v>10.84</v>
      </c>
      <c r="E214">
        <v>-0.37</v>
      </c>
      <c r="F214">
        <v>-0.04</v>
      </c>
      <c r="G214" t="s">
        <v>1659</v>
      </c>
      <c r="H214">
        <v>28</v>
      </c>
      <c r="I214">
        <v>10.84</v>
      </c>
      <c r="J214">
        <v>10.85</v>
      </c>
      <c r="K214">
        <v>0</v>
      </c>
      <c r="L214">
        <v>0.67</v>
      </c>
      <c r="M214" t="s">
        <v>1442</v>
      </c>
      <c r="N214">
        <v>55.38</v>
      </c>
      <c r="O214" t="s">
        <v>1126</v>
      </c>
      <c r="P214">
        <v>10.94</v>
      </c>
      <c r="Q214">
        <v>10.81</v>
      </c>
      <c r="R214">
        <v>10.86</v>
      </c>
      <c r="S214">
        <v>10.88</v>
      </c>
      <c r="T214">
        <v>1.19</v>
      </c>
      <c r="U214">
        <v>0.57999999999999996</v>
      </c>
      <c r="V214">
        <v>-14.95</v>
      </c>
      <c r="W214">
        <v>-1003</v>
      </c>
      <c r="X214">
        <v>10.87</v>
      </c>
      <c r="Y214" t="s">
        <v>1660</v>
      </c>
      <c r="Z214" t="s">
        <v>1661</v>
      </c>
      <c r="AA214">
        <v>1.38</v>
      </c>
      <c r="AB214">
        <v>34</v>
      </c>
      <c r="AC214">
        <v>540</v>
      </c>
      <c r="AD214">
        <v>3.25</v>
      </c>
      <c r="AE214" t="s">
        <v>1662</v>
      </c>
      <c r="AF214" t="s">
        <v>1663</v>
      </c>
      <c r="AG214" t="s">
        <v>803</v>
      </c>
      <c r="AH214" t="s">
        <v>1664</v>
      </c>
      <c r="AI214">
        <v>2.5499999999999998</v>
      </c>
      <c r="AJ214">
        <v>2.5499999999999998</v>
      </c>
      <c r="AK214">
        <v>5.29</v>
      </c>
      <c r="AL214">
        <v>5.29</v>
      </c>
    </row>
    <row r="215" spans="1:38" x14ac:dyDescent="0.25">
      <c r="A215">
        <v>214</v>
      </c>
      <c r="B215" t="str">
        <f xml:space="preserve"> "002146"</f>
        <v>002146</v>
      </c>
      <c r="C215" t="s">
        <v>1665</v>
      </c>
      <c r="D215">
        <v>9.61</v>
      </c>
      <c r="E215">
        <v>0.84</v>
      </c>
      <c r="F215">
        <v>0.08</v>
      </c>
      <c r="G215" t="s">
        <v>1614</v>
      </c>
      <c r="H215">
        <v>3572</v>
      </c>
      <c r="I215">
        <v>9.61</v>
      </c>
      <c r="J215">
        <v>9.6199999999999992</v>
      </c>
      <c r="K215">
        <v>0</v>
      </c>
      <c r="L215">
        <v>0.59</v>
      </c>
      <c r="M215" t="s">
        <v>1666</v>
      </c>
      <c r="N215">
        <v>12.4</v>
      </c>
      <c r="O215" t="s">
        <v>244</v>
      </c>
      <c r="P215">
        <v>9.66</v>
      </c>
      <c r="Q215">
        <v>9.4700000000000006</v>
      </c>
      <c r="R215">
        <v>9.52</v>
      </c>
      <c r="S215">
        <v>9.5299999999999994</v>
      </c>
      <c r="T215">
        <v>1.99</v>
      </c>
      <c r="U215">
        <v>1.05</v>
      </c>
      <c r="V215">
        <v>-52.75</v>
      </c>
      <c r="W215" t="s">
        <v>1667</v>
      </c>
      <c r="X215">
        <v>9.56</v>
      </c>
      <c r="Y215" t="s">
        <v>337</v>
      </c>
      <c r="Z215" t="s">
        <v>1668</v>
      </c>
      <c r="AA215">
        <v>0.96</v>
      </c>
      <c r="AB215">
        <v>604</v>
      </c>
      <c r="AC215">
        <v>3437</v>
      </c>
      <c r="AD215">
        <v>1.77</v>
      </c>
      <c r="AE215" t="s">
        <v>1669</v>
      </c>
      <c r="AF215" t="s">
        <v>1670</v>
      </c>
      <c r="AG215" t="s">
        <v>1671</v>
      </c>
      <c r="AH215" t="s">
        <v>1672</v>
      </c>
      <c r="AI215">
        <v>0.52</v>
      </c>
      <c r="AJ215">
        <v>0.95</v>
      </c>
      <c r="AK215">
        <v>1.55</v>
      </c>
      <c r="AL215">
        <v>3.38</v>
      </c>
    </row>
    <row r="216" spans="1:38" x14ac:dyDescent="0.25">
      <c r="A216">
        <v>215</v>
      </c>
      <c r="B216" t="str">
        <f xml:space="preserve"> "600715"</f>
        <v>600715</v>
      </c>
      <c r="C216" t="s">
        <v>1673</v>
      </c>
      <c r="D216" t="s">
        <v>616</v>
      </c>
      <c r="E216" t="s">
        <v>616</v>
      </c>
      <c r="F216" t="s">
        <v>616</v>
      </c>
      <c r="G216" t="s">
        <v>616</v>
      </c>
      <c r="H216" t="s">
        <v>616</v>
      </c>
      <c r="I216" t="s">
        <v>616</v>
      </c>
      <c r="J216" t="s">
        <v>616</v>
      </c>
      <c r="K216" t="s">
        <v>616</v>
      </c>
      <c r="L216" t="s">
        <v>616</v>
      </c>
      <c r="M216" t="s">
        <v>616</v>
      </c>
      <c r="N216">
        <v>59.48</v>
      </c>
      <c r="O216" t="s">
        <v>1126</v>
      </c>
      <c r="P216" t="s">
        <v>616</v>
      </c>
      <c r="Q216" t="s">
        <v>616</v>
      </c>
      <c r="R216" t="s">
        <v>616</v>
      </c>
      <c r="S216">
        <v>22.47</v>
      </c>
      <c r="T216" t="s">
        <v>616</v>
      </c>
      <c r="U216" t="s">
        <v>616</v>
      </c>
      <c r="V216" t="s">
        <v>616</v>
      </c>
      <c r="W216" t="s">
        <v>616</v>
      </c>
      <c r="X216" t="s">
        <v>616</v>
      </c>
      <c r="Y216" t="s">
        <v>616</v>
      </c>
      <c r="Z216" t="s">
        <v>616</v>
      </c>
      <c r="AA216" t="s">
        <v>616</v>
      </c>
      <c r="AB216" t="s">
        <v>616</v>
      </c>
      <c r="AC216" t="s">
        <v>616</v>
      </c>
      <c r="AD216">
        <v>5.83</v>
      </c>
      <c r="AE216" t="s">
        <v>1674</v>
      </c>
      <c r="AF216" t="s">
        <v>1675</v>
      </c>
      <c r="AG216" t="s">
        <v>1676</v>
      </c>
      <c r="AH216" t="s">
        <v>475</v>
      </c>
      <c r="AI216">
        <v>0</v>
      </c>
      <c r="AJ216">
        <v>0</v>
      </c>
      <c r="AK216">
        <v>0</v>
      </c>
      <c r="AL216">
        <v>0</v>
      </c>
    </row>
    <row r="217" spans="1:38" x14ac:dyDescent="0.25">
      <c r="A217">
        <v>216</v>
      </c>
      <c r="B217" t="str">
        <f xml:space="preserve"> "600522"</f>
        <v>600522</v>
      </c>
      <c r="C217" t="s">
        <v>1677</v>
      </c>
      <c r="D217">
        <v>13.57</v>
      </c>
      <c r="E217">
        <v>1.04</v>
      </c>
      <c r="F217">
        <v>0.14000000000000001</v>
      </c>
      <c r="G217" t="s">
        <v>742</v>
      </c>
      <c r="H217">
        <v>3</v>
      </c>
      <c r="I217">
        <v>13.57</v>
      </c>
      <c r="J217">
        <v>13.58</v>
      </c>
      <c r="K217">
        <v>-7.0000000000000007E-2</v>
      </c>
      <c r="L217">
        <v>3.04</v>
      </c>
      <c r="M217" t="s">
        <v>214</v>
      </c>
      <c r="N217">
        <v>21.88</v>
      </c>
      <c r="O217" t="s">
        <v>580</v>
      </c>
      <c r="P217">
        <v>13.75</v>
      </c>
      <c r="Q217">
        <v>13.32</v>
      </c>
      <c r="R217">
        <v>13.47</v>
      </c>
      <c r="S217">
        <v>13.43</v>
      </c>
      <c r="T217">
        <v>3.2</v>
      </c>
      <c r="U217">
        <v>0.5</v>
      </c>
      <c r="V217">
        <v>-18.559999999999999</v>
      </c>
      <c r="W217">
        <v>-1991</v>
      </c>
      <c r="X217">
        <v>13.57</v>
      </c>
      <c r="Y217" t="s">
        <v>1678</v>
      </c>
      <c r="Z217" t="s">
        <v>1679</v>
      </c>
      <c r="AA217">
        <v>0.83</v>
      </c>
      <c r="AB217">
        <v>150</v>
      </c>
      <c r="AC217">
        <v>582</v>
      </c>
      <c r="AD217">
        <v>2.4900000000000002</v>
      </c>
      <c r="AE217" t="s">
        <v>1680</v>
      </c>
      <c r="AF217" t="s">
        <v>708</v>
      </c>
      <c r="AG217" t="s">
        <v>1681</v>
      </c>
      <c r="AH217" t="s">
        <v>1466</v>
      </c>
      <c r="AI217">
        <v>-7.0000000000000007E-2</v>
      </c>
      <c r="AJ217">
        <v>-5.04</v>
      </c>
      <c r="AK217">
        <v>10.98</v>
      </c>
      <c r="AL217">
        <v>33.56</v>
      </c>
    </row>
    <row r="218" spans="1:38" x14ac:dyDescent="0.25">
      <c r="A218">
        <v>217</v>
      </c>
      <c r="B218" t="str">
        <f xml:space="preserve"> "002411"</f>
        <v>002411</v>
      </c>
      <c r="C218" t="s">
        <v>1682</v>
      </c>
      <c r="D218">
        <v>26.99</v>
      </c>
      <c r="E218">
        <v>0.41</v>
      </c>
      <c r="F218">
        <v>0.11</v>
      </c>
      <c r="G218" t="s">
        <v>1683</v>
      </c>
      <c r="H218">
        <v>808</v>
      </c>
      <c r="I218">
        <v>26.96</v>
      </c>
      <c r="J218">
        <v>26.99</v>
      </c>
      <c r="K218">
        <v>0.15</v>
      </c>
      <c r="L218">
        <v>0.56000000000000005</v>
      </c>
      <c r="M218" t="s">
        <v>1684</v>
      </c>
      <c r="N218">
        <v>45.33</v>
      </c>
      <c r="O218" t="s">
        <v>392</v>
      </c>
      <c r="P218">
        <v>27.03</v>
      </c>
      <c r="Q218">
        <v>26.86</v>
      </c>
      <c r="R218">
        <v>26.88</v>
      </c>
      <c r="S218">
        <v>26.88</v>
      </c>
      <c r="T218">
        <v>0.63</v>
      </c>
      <c r="U218">
        <v>0.75</v>
      </c>
      <c r="V218">
        <v>-92.26</v>
      </c>
      <c r="W218">
        <v>-2981</v>
      </c>
      <c r="X218">
        <v>26.95</v>
      </c>
      <c r="Y218">
        <v>5870</v>
      </c>
      <c r="Z218" t="s">
        <v>1685</v>
      </c>
      <c r="AA218">
        <v>0.57999999999999996</v>
      </c>
      <c r="AB218">
        <v>7</v>
      </c>
      <c r="AC218">
        <v>287</v>
      </c>
      <c r="AD218">
        <v>4.8499999999999996</v>
      </c>
      <c r="AE218" t="s">
        <v>122</v>
      </c>
      <c r="AF218" t="s">
        <v>1686</v>
      </c>
      <c r="AG218" t="s">
        <v>1622</v>
      </c>
      <c r="AH218" t="s">
        <v>1687</v>
      </c>
      <c r="AI218">
        <v>1.1200000000000001</v>
      </c>
      <c r="AJ218">
        <v>1.35</v>
      </c>
      <c r="AK218">
        <v>2.14</v>
      </c>
      <c r="AL218">
        <v>4.25</v>
      </c>
    </row>
    <row r="219" spans="1:38" x14ac:dyDescent="0.25">
      <c r="A219">
        <v>218</v>
      </c>
      <c r="B219" t="str">
        <f xml:space="preserve"> "000415"</f>
        <v>000415</v>
      </c>
      <c r="C219" t="s">
        <v>1688</v>
      </c>
      <c r="D219">
        <v>6.65</v>
      </c>
      <c r="E219">
        <v>-0.15</v>
      </c>
      <c r="F219">
        <v>-0.01</v>
      </c>
      <c r="G219" t="s">
        <v>1689</v>
      </c>
      <c r="H219">
        <v>561</v>
      </c>
      <c r="I219">
        <v>6.64</v>
      </c>
      <c r="J219">
        <v>6.65</v>
      </c>
      <c r="K219">
        <v>0</v>
      </c>
      <c r="L219">
        <v>0.32</v>
      </c>
      <c r="M219" t="s">
        <v>1690</v>
      </c>
      <c r="N219">
        <v>20.03</v>
      </c>
      <c r="O219" t="s">
        <v>482</v>
      </c>
      <c r="P219">
        <v>6.66</v>
      </c>
      <c r="Q219">
        <v>6.61</v>
      </c>
      <c r="R219">
        <v>6.66</v>
      </c>
      <c r="S219">
        <v>6.66</v>
      </c>
      <c r="T219">
        <v>0.75</v>
      </c>
      <c r="U219">
        <v>0.95</v>
      </c>
      <c r="V219">
        <v>34.28</v>
      </c>
      <c r="W219">
        <v>5049</v>
      </c>
      <c r="X219">
        <v>6.63</v>
      </c>
      <c r="Y219" t="s">
        <v>1691</v>
      </c>
      <c r="Z219" t="s">
        <v>1692</v>
      </c>
      <c r="AA219">
        <v>1.59</v>
      </c>
      <c r="AB219">
        <v>477</v>
      </c>
      <c r="AC219">
        <v>252</v>
      </c>
      <c r="AD219">
        <v>1.34</v>
      </c>
      <c r="AE219" t="s">
        <v>1693</v>
      </c>
      <c r="AF219" t="s">
        <v>1694</v>
      </c>
      <c r="AG219" t="s">
        <v>364</v>
      </c>
      <c r="AH219" t="s">
        <v>692</v>
      </c>
      <c r="AI219">
        <v>-1.04</v>
      </c>
      <c r="AJ219">
        <v>1.22</v>
      </c>
      <c r="AK219">
        <v>1.03</v>
      </c>
      <c r="AL219">
        <v>1.99</v>
      </c>
    </row>
    <row r="220" spans="1:38" x14ac:dyDescent="0.25">
      <c r="A220">
        <v>219</v>
      </c>
      <c r="B220" t="str">
        <f xml:space="preserve"> "000728"</f>
        <v>000728</v>
      </c>
      <c r="C220" t="s">
        <v>1695</v>
      </c>
      <c r="D220">
        <v>13.9</v>
      </c>
      <c r="E220">
        <v>0.14000000000000001</v>
      </c>
      <c r="F220">
        <v>0.02</v>
      </c>
      <c r="G220" t="s">
        <v>1419</v>
      </c>
      <c r="H220">
        <v>2288</v>
      </c>
      <c r="I220">
        <v>13.89</v>
      </c>
      <c r="J220">
        <v>13.9</v>
      </c>
      <c r="K220">
        <v>0</v>
      </c>
      <c r="L220">
        <v>0.74</v>
      </c>
      <c r="M220" t="s">
        <v>1696</v>
      </c>
      <c r="N220">
        <v>39.86</v>
      </c>
      <c r="O220" t="s">
        <v>306</v>
      </c>
      <c r="P220">
        <v>13.94</v>
      </c>
      <c r="Q220">
        <v>13.8</v>
      </c>
      <c r="R220">
        <v>13.85</v>
      </c>
      <c r="S220">
        <v>13.88</v>
      </c>
      <c r="T220">
        <v>1.01</v>
      </c>
      <c r="U220">
        <v>0.82</v>
      </c>
      <c r="V220">
        <v>-43.79</v>
      </c>
      <c r="W220">
        <v>-5367</v>
      </c>
      <c r="X220">
        <v>13.88</v>
      </c>
      <c r="Y220" t="s">
        <v>102</v>
      </c>
      <c r="Z220" t="s">
        <v>1270</v>
      </c>
      <c r="AA220">
        <v>1.08</v>
      </c>
      <c r="AB220">
        <v>840</v>
      </c>
      <c r="AC220">
        <v>2812</v>
      </c>
      <c r="AD220">
        <v>1.99</v>
      </c>
      <c r="AE220" t="s">
        <v>775</v>
      </c>
      <c r="AF220" t="s">
        <v>1424</v>
      </c>
      <c r="AG220" t="s">
        <v>775</v>
      </c>
      <c r="AH220" t="s">
        <v>1424</v>
      </c>
      <c r="AI220">
        <v>-1.77</v>
      </c>
      <c r="AJ220">
        <v>-0.5</v>
      </c>
      <c r="AK220">
        <v>2.2799999999999998</v>
      </c>
      <c r="AL220">
        <v>5.31</v>
      </c>
    </row>
    <row r="221" spans="1:38" x14ac:dyDescent="0.25">
      <c r="A221">
        <v>220</v>
      </c>
      <c r="B221" t="str">
        <f xml:space="preserve"> "600406"</f>
        <v>600406</v>
      </c>
      <c r="C221" t="s">
        <v>1697</v>
      </c>
      <c r="D221">
        <v>16.649999999999999</v>
      </c>
      <c r="E221">
        <v>0.18</v>
      </c>
      <c r="F221">
        <v>0.03</v>
      </c>
      <c r="G221" t="s">
        <v>337</v>
      </c>
      <c r="H221">
        <v>5</v>
      </c>
      <c r="I221">
        <v>16.63</v>
      </c>
      <c r="J221">
        <v>16.649999999999999</v>
      </c>
      <c r="K221">
        <v>0</v>
      </c>
      <c r="L221">
        <v>0.51</v>
      </c>
      <c r="M221" t="s">
        <v>398</v>
      </c>
      <c r="N221">
        <v>57.84</v>
      </c>
      <c r="O221" t="s">
        <v>680</v>
      </c>
      <c r="P221">
        <v>16.690000000000001</v>
      </c>
      <c r="Q221">
        <v>16.55</v>
      </c>
      <c r="R221">
        <v>16.68</v>
      </c>
      <c r="S221">
        <v>16.62</v>
      </c>
      <c r="T221">
        <v>0.84</v>
      </c>
      <c r="U221">
        <v>0.59</v>
      </c>
      <c r="V221">
        <v>-51.63</v>
      </c>
      <c r="W221">
        <v>-2659</v>
      </c>
      <c r="X221">
        <v>16.62</v>
      </c>
      <c r="Y221" t="s">
        <v>1698</v>
      </c>
      <c r="Z221" t="s">
        <v>1699</v>
      </c>
      <c r="AA221">
        <v>1.0900000000000001</v>
      </c>
      <c r="AB221">
        <v>24</v>
      </c>
      <c r="AC221">
        <v>162</v>
      </c>
      <c r="AD221">
        <v>4.7699999999999996</v>
      </c>
      <c r="AE221" t="s">
        <v>1700</v>
      </c>
      <c r="AF221" t="s">
        <v>1701</v>
      </c>
      <c r="AG221" t="s">
        <v>1254</v>
      </c>
      <c r="AH221" t="s">
        <v>1702</v>
      </c>
      <c r="AI221">
        <v>-0.77</v>
      </c>
      <c r="AJ221">
        <v>1.1499999999999999</v>
      </c>
      <c r="AK221">
        <v>1.9</v>
      </c>
      <c r="AL221">
        <v>4.83</v>
      </c>
    </row>
    <row r="222" spans="1:38" x14ac:dyDescent="0.25">
      <c r="A222">
        <v>221</v>
      </c>
      <c r="B222" t="str">
        <f xml:space="preserve"> "300015"</f>
        <v>300015</v>
      </c>
      <c r="C222" t="s">
        <v>1703</v>
      </c>
      <c r="D222">
        <v>26.49</v>
      </c>
      <c r="E222">
        <v>0.56999999999999995</v>
      </c>
      <c r="F222">
        <v>0.15</v>
      </c>
      <c r="G222" t="s">
        <v>1319</v>
      </c>
      <c r="H222">
        <v>616</v>
      </c>
      <c r="I222">
        <v>26.49</v>
      </c>
      <c r="J222">
        <v>26.5</v>
      </c>
      <c r="K222">
        <v>0</v>
      </c>
      <c r="L222">
        <v>0.45</v>
      </c>
      <c r="M222" t="s">
        <v>223</v>
      </c>
      <c r="N222">
        <v>55.67</v>
      </c>
      <c r="O222" t="s">
        <v>392</v>
      </c>
      <c r="P222">
        <v>26.82</v>
      </c>
      <c r="Q222">
        <v>26.25</v>
      </c>
      <c r="R222">
        <v>26.26</v>
      </c>
      <c r="S222">
        <v>26.34</v>
      </c>
      <c r="T222">
        <v>2.16</v>
      </c>
      <c r="U222">
        <v>0.63</v>
      </c>
      <c r="V222">
        <v>6.69</v>
      </c>
      <c r="W222">
        <v>45</v>
      </c>
      <c r="X222">
        <v>26.56</v>
      </c>
      <c r="Y222" t="s">
        <v>1704</v>
      </c>
      <c r="Z222" t="s">
        <v>1705</v>
      </c>
      <c r="AA222">
        <v>0.97</v>
      </c>
      <c r="AB222">
        <v>19</v>
      </c>
      <c r="AC222">
        <v>248</v>
      </c>
      <c r="AD222">
        <v>13.07</v>
      </c>
      <c r="AE222" t="s">
        <v>1225</v>
      </c>
      <c r="AF222" t="s">
        <v>1706</v>
      </c>
      <c r="AG222" t="s">
        <v>177</v>
      </c>
      <c r="AH222" t="s">
        <v>1707</v>
      </c>
      <c r="AI222">
        <v>1.3</v>
      </c>
      <c r="AJ222">
        <v>4.41</v>
      </c>
      <c r="AK222">
        <v>1.86</v>
      </c>
      <c r="AL222">
        <v>3.96</v>
      </c>
    </row>
    <row r="223" spans="1:38" x14ac:dyDescent="0.25">
      <c r="A223">
        <v>222</v>
      </c>
      <c r="B223" t="str">
        <f xml:space="preserve"> "300003"</f>
        <v>300003</v>
      </c>
      <c r="C223" t="s">
        <v>1708</v>
      </c>
      <c r="D223">
        <v>22.49</v>
      </c>
      <c r="E223">
        <v>0.85</v>
      </c>
      <c r="F223">
        <v>0.19</v>
      </c>
      <c r="G223" t="s">
        <v>1709</v>
      </c>
      <c r="H223">
        <v>675</v>
      </c>
      <c r="I223">
        <v>22.48</v>
      </c>
      <c r="J223">
        <v>22.49</v>
      </c>
      <c r="K223">
        <v>0.04</v>
      </c>
      <c r="L223">
        <v>0.56000000000000005</v>
      </c>
      <c r="M223" t="s">
        <v>1710</v>
      </c>
      <c r="N223">
        <v>40.450000000000003</v>
      </c>
      <c r="O223" t="s">
        <v>1552</v>
      </c>
      <c r="P223">
        <v>22.68</v>
      </c>
      <c r="Q223">
        <v>22.17</v>
      </c>
      <c r="R223">
        <v>22.39</v>
      </c>
      <c r="S223">
        <v>22.3</v>
      </c>
      <c r="T223">
        <v>2.29</v>
      </c>
      <c r="U223">
        <v>0.66</v>
      </c>
      <c r="V223">
        <v>11.76</v>
      </c>
      <c r="W223">
        <v>106</v>
      </c>
      <c r="X223">
        <v>22.44</v>
      </c>
      <c r="Y223" t="s">
        <v>1711</v>
      </c>
      <c r="Z223" t="s">
        <v>1712</v>
      </c>
      <c r="AA223">
        <v>1.18</v>
      </c>
      <c r="AB223">
        <v>243</v>
      </c>
      <c r="AC223">
        <v>132</v>
      </c>
      <c r="AD223">
        <v>6.86</v>
      </c>
      <c r="AE223" t="s">
        <v>1713</v>
      </c>
      <c r="AF223" t="s">
        <v>1714</v>
      </c>
      <c r="AG223" t="s">
        <v>1715</v>
      </c>
      <c r="AH223" t="s">
        <v>1707</v>
      </c>
      <c r="AI223">
        <v>-1.36</v>
      </c>
      <c r="AJ223">
        <v>4.9000000000000004</v>
      </c>
      <c r="AK223">
        <v>2.48</v>
      </c>
      <c r="AL223">
        <v>4.8099999999999996</v>
      </c>
    </row>
    <row r="224" spans="1:38" x14ac:dyDescent="0.25">
      <c r="A224">
        <v>223</v>
      </c>
      <c r="B224" t="str">
        <f xml:space="preserve"> "601155"</f>
        <v>601155</v>
      </c>
      <c r="C224" t="s">
        <v>1716</v>
      </c>
      <c r="D224">
        <v>17.600000000000001</v>
      </c>
      <c r="E224">
        <v>0.06</v>
      </c>
      <c r="F224">
        <v>0.01</v>
      </c>
      <c r="G224" t="s">
        <v>1717</v>
      </c>
      <c r="H224">
        <v>85</v>
      </c>
      <c r="I224">
        <v>17.61</v>
      </c>
      <c r="J224">
        <v>17.62</v>
      </c>
      <c r="K224">
        <v>-0.11</v>
      </c>
      <c r="L224">
        <v>0.84</v>
      </c>
      <c r="M224" t="s">
        <v>1718</v>
      </c>
      <c r="N224">
        <v>17.45</v>
      </c>
      <c r="O224" t="s">
        <v>244</v>
      </c>
      <c r="P224">
        <v>17.72</v>
      </c>
      <c r="Q224">
        <v>17.510000000000002</v>
      </c>
      <c r="R224">
        <v>17.61</v>
      </c>
      <c r="S224">
        <v>17.59</v>
      </c>
      <c r="T224">
        <v>1.19</v>
      </c>
      <c r="U224">
        <v>0.52</v>
      </c>
      <c r="V224">
        <v>-24.74</v>
      </c>
      <c r="W224">
        <v>-252</v>
      </c>
      <c r="X224">
        <v>17.600000000000001</v>
      </c>
      <c r="Y224" t="s">
        <v>1719</v>
      </c>
      <c r="Z224" t="s">
        <v>1416</v>
      </c>
      <c r="AA224">
        <v>1.7</v>
      </c>
      <c r="AB224">
        <v>10</v>
      </c>
      <c r="AC224">
        <v>44</v>
      </c>
      <c r="AD224">
        <v>2.6</v>
      </c>
      <c r="AE224" t="s">
        <v>1720</v>
      </c>
      <c r="AF224" t="s">
        <v>1721</v>
      </c>
      <c r="AG224" t="s">
        <v>1722</v>
      </c>
      <c r="AH224" t="s">
        <v>1561</v>
      </c>
      <c r="AI224">
        <v>-0.51</v>
      </c>
      <c r="AJ224">
        <v>-3.19</v>
      </c>
      <c r="AK224">
        <v>2.98</v>
      </c>
      <c r="AL224">
        <v>8.94</v>
      </c>
    </row>
    <row r="225" spans="1:38" x14ac:dyDescent="0.25">
      <c r="A225">
        <v>224</v>
      </c>
      <c r="B225" t="str">
        <f xml:space="preserve"> "600535"</f>
        <v>600535</v>
      </c>
      <c r="C225" t="s">
        <v>1723</v>
      </c>
      <c r="D225">
        <v>36.14</v>
      </c>
      <c r="E225">
        <v>-0.3</v>
      </c>
      <c r="F225">
        <v>-0.11</v>
      </c>
      <c r="G225" t="s">
        <v>1724</v>
      </c>
      <c r="H225">
        <v>48</v>
      </c>
      <c r="I225">
        <v>36.130000000000003</v>
      </c>
      <c r="J225">
        <v>36.15</v>
      </c>
      <c r="K225">
        <v>0</v>
      </c>
      <c r="L225">
        <v>0.2</v>
      </c>
      <c r="M225" t="s">
        <v>1725</v>
      </c>
      <c r="N225">
        <v>25.82</v>
      </c>
      <c r="O225" t="s">
        <v>392</v>
      </c>
      <c r="P225">
        <v>36.299999999999997</v>
      </c>
      <c r="Q225">
        <v>35.97</v>
      </c>
      <c r="R225">
        <v>36.24</v>
      </c>
      <c r="S225">
        <v>36.25</v>
      </c>
      <c r="T225">
        <v>0.91</v>
      </c>
      <c r="U225">
        <v>0.46</v>
      </c>
      <c r="V225">
        <v>-14.78</v>
      </c>
      <c r="W225">
        <v>-60</v>
      </c>
      <c r="X225">
        <v>36.119999999999997</v>
      </c>
      <c r="Y225" t="s">
        <v>1726</v>
      </c>
      <c r="Z225">
        <v>7855</v>
      </c>
      <c r="AA225">
        <v>1.66</v>
      </c>
      <c r="AB225">
        <v>8</v>
      </c>
      <c r="AC225">
        <v>3</v>
      </c>
      <c r="AD225">
        <v>4.8099999999999996</v>
      </c>
      <c r="AE225" t="s">
        <v>352</v>
      </c>
      <c r="AF225" t="s">
        <v>1727</v>
      </c>
      <c r="AG225" t="s">
        <v>707</v>
      </c>
      <c r="AH225" t="s">
        <v>1728</v>
      </c>
      <c r="AI225">
        <v>-1.07</v>
      </c>
      <c r="AJ225">
        <v>3.05</v>
      </c>
      <c r="AK225">
        <v>0.79</v>
      </c>
      <c r="AL225">
        <v>2.38</v>
      </c>
    </row>
    <row r="226" spans="1:38" x14ac:dyDescent="0.25">
      <c r="A226">
        <v>225</v>
      </c>
      <c r="B226" t="str">
        <f xml:space="preserve"> "002085"</f>
        <v>002085</v>
      </c>
      <c r="C226" t="s">
        <v>1729</v>
      </c>
      <c r="D226">
        <v>17.82</v>
      </c>
      <c r="E226">
        <v>-1.55</v>
      </c>
      <c r="F226">
        <v>-0.28000000000000003</v>
      </c>
      <c r="G226" t="s">
        <v>1730</v>
      </c>
      <c r="H226">
        <v>838</v>
      </c>
      <c r="I226">
        <v>17.82</v>
      </c>
      <c r="J226">
        <v>17.829999999999998</v>
      </c>
      <c r="K226">
        <v>0</v>
      </c>
      <c r="L226">
        <v>0.25</v>
      </c>
      <c r="M226" t="s">
        <v>1731</v>
      </c>
      <c r="N226">
        <v>40.5</v>
      </c>
      <c r="O226" t="s">
        <v>169</v>
      </c>
      <c r="P226">
        <v>18.12</v>
      </c>
      <c r="Q226">
        <v>17.71</v>
      </c>
      <c r="R226">
        <v>18.100000000000001</v>
      </c>
      <c r="S226">
        <v>18.100000000000001</v>
      </c>
      <c r="T226">
        <v>2.27</v>
      </c>
      <c r="U226">
        <v>0.74</v>
      </c>
      <c r="V226">
        <v>23.42</v>
      </c>
      <c r="W226">
        <v>269</v>
      </c>
      <c r="X226">
        <v>17.84</v>
      </c>
      <c r="Y226" t="s">
        <v>1553</v>
      </c>
      <c r="Z226" t="s">
        <v>1732</v>
      </c>
      <c r="AA226">
        <v>2.67</v>
      </c>
      <c r="AB226">
        <v>235</v>
      </c>
      <c r="AC226">
        <v>1</v>
      </c>
      <c r="AD226">
        <v>6.97</v>
      </c>
      <c r="AE226" t="s">
        <v>1733</v>
      </c>
      <c r="AF226" t="s">
        <v>1727</v>
      </c>
      <c r="AG226" t="s">
        <v>1734</v>
      </c>
      <c r="AH226" t="s">
        <v>1735</v>
      </c>
      <c r="AI226">
        <v>-2.52</v>
      </c>
      <c r="AJ226">
        <v>-13.91</v>
      </c>
      <c r="AK226">
        <v>0.66</v>
      </c>
      <c r="AL226">
        <v>1.96</v>
      </c>
    </row>
    <row r="227" spans="1:38" x14ac:dyDescent="0.25">
      <c r="A227">
        <v>226</v>
      </c>
      <c r="B227" t="str">
        <f xml:space="preserve"> "000627"</f>
        <v>000627</v>
      </c>
      <c r="C227" t="s">
        <v>1736</v>
      </c>
      <c r="D227">
        <v>9.09</v>
      </c>
      <c r="E227">
        <v>-0.33</v>
      </c>
      <c r="F227">
        <v>-0.03</v>
      </c>
      <c r="G227" t="s">
        <v>912</v>
      </c>
      <c r="H227">
        <v>729</v>
      </c>
      <c r="I227">
        <v>9.09</v>
      </c>
      <c r="J227">
        <v>9.1</v>
      </c>
      <c r="K227">
        <v>0</v>
      </c>
      <c r="L227">
        <v>0.79</v>
      </c>
      <c r="M227" t="s">
        <v>1737</v>
      </c>
      <c r="N227">
        <v>30.93</v>
      </c>
      <c r="O227" t="s">
        <v>94</v>
      </c>
      <c r="P227">
        <v>9.17</v>
      </c>
      <c r="Q227">
        <v>9.07</v>
      </c>
      <c r="R227">
        <v>9.1300000000000008</v>
      </c>
      <c r="S227">
        <v>9.1199999999999992</v>
      </c>
      <c r="T227">
        <v>1.1000000000000001</v>
      </c>
      <c r="U227">
        <v>0.63</v>
      </c>
      <c r="V227">
        <v>24.9</v>
      </c>
      <c r="W227">
        <v>3490</v>
      </c>
      <c r="X227">
        <v>9.11</v>
      </c>
      <c r="Y227" t="s">
        <v>1738</v>
      </c>
      <c r="Z227" t="s">
        <v>1739</v>
      </c>
      <c r="AA227">
        <v>1.57</v>
      </c>
      <c r="AB227">
        <v>1244</v>
      </c>
      <c r="AC227">
        <v>514</v>
      </c>
      <c r="AD227">
        <v>2.88</v>
      </c>
      <c r="AE227" t="s">
        <v>1610</v>
      </c>
      <c r="AF227" t="s">
        <v>1740</v>
      </c>
      <c r="AG227" t="s">
        <v>1587</v>
      </c>
      <c r="AH227" t="s">
        <v>1741</v>
      </c>
      <c r="AI227">
        <v>0</v>
      </c>
      <c r="AJ227">
        <v>2.71</v>
      </c>
      <c r="AK227">
        <v>3.33</v>
      </c>
      <c r="AL227">
        <v>7.06</v>
      </c>
    </row>
    <row r="228" spans="1:38" x14ac:dyDescent="0.25">
      <c r="A228">
        <v>227</v>
      </c>
      <c r="B228" t="str">
        <f xml:space="preserve"> "600339"</f>
        <v>600339</v>
      </c>
      <c r="C228" t="s">
        <v>1742</v>
      </c>
      <c r="D228">
        <v>6.93</v>
      </c>
      <c r="E228">
        <v>0.73</v>
      </c>
      <c r="F228">
        <v>0.05</v>
      </c>
      <c r="G228" t="s">
        <v>1743</v>
      </c>
      <c r="H228">
        <v>30</v>
      </c>
      <c r="I228">
        <v>6.93</v>
      </c>
      <c r="J228">
        <v>6.94</v>
      </c>
      <c r="K228">
        <v>0</v>
      </c>
      <c r="L228">
        <v>0.65</v>
      </c>
      <c r="M228" t="s">
        <v>1744</v>
      </c>
      <c r="N228">
        <v>33.65</v>
      </c>
      <c r="O228" t="s">
        <v>263</v>
      </c>
      <c r="P228">
        <v>6.95</v>
      </c>
      <c r="Q228">
        <v>6.84</v>
      </c>
      <c r="R228">
        <v>6.9</v>
      </c>
      <c r="S228">
        <v>6.88</v>
      </c>
      <c r="T228">
        <v>1.6</v>
      </c>
      <c r="U228">
        <v>0.82</v>
      </c>
      <c r="V228">
        <v>-22.81</v>
      </c>
      <c r="W228">
        <v>-2396</v>
      </c>
      <c r="X228">
        <v>6.9</v>
      </c>
      <c r="Y228" t="s">
        <v>433</v>
      </c>
      <c r="Z228" t="s">
        <v>1745</v>
      </c>
      <c r="AA228">
        <v>0.68</v>
      </c>
      <c r="AB228">
        <v>756</v>
      </c>
      <c r="AC228">
        <v>703</v>
      </c>
      <c r="AD228">
        <v>1.69</v>
      </c>
      <c r="AE228" t="s">
        <v>1746</v>
      </c>
      <c r="AF228" t="s">
        <v>1740</v>
      </c>
      <c r="AG228" t="s">
        <v>1747</v>
      </c>
      <c r="AH228" t="s">
        <v>1748</v>
      </c>
      <c r="AI228">
        <v>0.43</v>
      </c>
      <c r="AJ228">
        <v>0.43</v>
      </c>
      <c r="AK228">
        <v>2.25</v>
      </c>
      <c r="AL228">
        <v>4.5999999999999996</v>
      </c>
    </row>
    <row r="229" spans="1:38" x14ac:dyDescent="0.25">
      <c r="A229">
        <v>228</v>
      </c>
      <c r="B229" t="str">
        <f xml:space="preserve"> "600909"</f>
        <v>600909</v>
      </c>
      <c r="C229" t="s">
        <v>1749</v>
      </c>
      <c r="D229">
        <v>10.66</v>
      </c>
      <c r="E229">
        <v>0.56999999999999995</v>
      </c>
      <c r="F229">
        <v>0.06</v>
      </c>
      <c r="G229" t="s">
        <v>759</v>
      </c>
      <c r="H229">
        <v>1</v>
      </c>
      <c r="I229">
        <v>10.65</v>
      </c>
      <c r="J229">
        <v>10.66</v>
      </c>
      <c r="K229">
        <v>-0.09</v>
      </c>
      <c r="L229">
        <v>1.84</v>
      </c>
      <c r="M229" t="s">
        <v>1750</v>
      </c>
      <c r="N229">
        <v>47.48</v>
      </c>
      <c r="O229" t="s">
        <v>306</v>
      </c>
      <c r="P229">
        <v>10.7</v>
      </c>
      <c r="Q229">
        <v>10.56</v>
      </c>
      <c r="R229">
        <v>10.66</v>
      </c>
      <c r="S229">
        <v>10.6</v>
      </c>
      <c r="T229">
        <v>1.32</v>
      </c>
      <c r="U229">
        <v>0.76</v>
      </c>
      <c r="V229">
        <v>-49.06</v>
      </c>
      <c r="W229">
        <v>-7073</v>
      </c>
      <c r="X229">
        <v>10.64</v>
      </c>
      <c r="Y229" t="s">
        <v>1751</v>
      </c>
      <c r="Z229" t="s">
        <v>1012</v>
      </c>
      <c r="AA229">
        <v>0.85</v>
      </c>
      <c r="AB229">
        <v>1222</v>
      </c>
      <c r="AC229">
        <v>241</v>
      </c>
      <c r="AD229">
        <v>3.27</v>
      </c>
      <c r="AE229" t="s">
        <v>1752</v>
      </c>
      <c r="AF229" t="s">
        <v>1753</v>
      </c>
      <c r="AG229" t="s">
        <v>1754</v>
      </c>
      <c r="AH229" t="s">
        <v>1755</v>
      </c>
      <c r="AI229">
        <v>-0.09</v>
      </c>
      <c r="AJ229">
        <v>1.91</v>
      </c>
      <c r="AK229">
        <v>5.7</v>
      </c>
      <c r="AL229">
        <v>13.91</v>
      </c>
    </row>
    <row r="230" spans="1:38" x14ac:dyDescent="0.25">
      <c r="A230">
        <v>229</v>
      </c>
      <c r="B230" t="str">
        <f xml:space="preserve"> "600415"</f>
        <v>600415</v>
      </c>
      <c r="C230" t="s">
        <v>1756</v>
      </c>
      <c r="D230">
        <v>7.08</v>
      </c>
      <c r="E230">
        <v>0</v>
      </c>
      <c r="F230">
        <v>0</v>
      </c>
      <c r="G230" t="s">
        <v>335</v>
      </c>
      <c r="H230">
        <v>70</v>
      </c>
      <c r="I230">
        <v>7.07</v>
      </c>
      <c r="J230">
        <v>7.08</v>
      </c>
      <c r="K230">
        <v>0.28000000000000003</v>
      </c>
      <c r="L230">
        <v>0.35</v>
      </c>
      <c r="M230" t="s">
        <v>1757</v>
      </c>
      <c r="N230">
        <v>18.61</v>
      </c>
      <c r="O230" t="s">
        <v>532</v>
      </c>
      <c r="P230">
        <v>7.08</v>
      </c>
      <c r="Q230">
        <v>7.04</v>
      </c>
      <c r="R230">
        <v>7.08</v>
      </c>
      <c r="S230">
        <v>7.08</v>
      </c>
      <c r="T230">
        <v>0.56000000000000005</v>
      </c>
      <c r="U230">
        <v>0.97</v>
      </c>
      <c r="V230">
        <v>3.31</v>
      </c>
      <c r="W230">
        <v>1850</v>
      </c>
      <c r="X230">
        <v>7.06</v>
      </c>
      <c r="Y230" t="s">
        <v>1627</v>
      </c>
      <c r="Z230" t="s">
        <v>936</v>
      </c>
      <c r="AA230">
        <v>1.82</v>
      </c>
      <c r="AB230">
        <v>5901</v>
      </c>
      <c r="AC230">
        <v>3388</v>
      </c>
      <c r="AD230">
        <v>3.57</v>
      </c>
      <c r="AE230" t="s">
        <v>463</v>
      </c>
      <c r="AF230" t="s">
        <v>1758</v>
      </c>
      <c r="AG230" t="s">
        <v>463</v>
      </c>
      <c r="AH230" t="s">
        <v>1758</v>
      </c>
      <c r="AI230">
        <v>0.14000000000000001</v>
      </c>
      <c r="AJ230">
        <v>1</v>
      </c>
      <c r="AK230">
        <v>1.39</v>
      </c>
      <c r="AL230">
        <v>2.1800000000000002</v>
      </c>
    </row>
    <row r="231" spans="1:38" x14ac:dyDescent="0.25">
      <c r="A231">
        <v>230</v>
      </c>
      <c r="B231" t="str">
        <f xml:space="preserve"> "002601"</f>
        <v>002601</v>
      </c>
      <c r="C231" t="s">
        <v>1759</v>
      </c>
      <c r="D231">
        <v>18.940000000000001</v>
      </c>
      <c r="E231">
        <v>0.42</v>
      </c>
      <c r="F231">
        <v>0.08</v>
      </c>
      <c r="G231" t="s">
        <v>1237</v>
      </c>
      <c r="H231">
        <v>3000</v>
      </c>
      <c r="I231">
        <v>18.93</v>
      </c>
      <c r="J231">
        <v>18.940000000000001</v>
      </c>
      <c r="K231">
        <v>0</v>
      </c>
      <c r="L231">
        <v>2.0299999999999998</v>
      </c>
      <c r="M231" t="s">
        <v>149</v>
      </c>
      <c r="N231">
        <v>14.69</v>
      </c>
      <c r="O231" t="s">
        <v>667</v>
      </c>
      <c r="P231">
        <v>18.97</v>
      </c>
      <c r="Q231">
        <v>18.739999999999998</v>
      </c>
      <c r="R231">
        <v>18.899999999999999</v>
      </c>
      <c r="S231">
        <v>18.86</v>
      </c>
      <c r="T231">
        <v>1.22</v>
      </c>
      <c r="U231">
        <v>0.88</v>
      </c>
      <c r="V231">
        <v>-65.55</v>
      </c>
      <c r="W231">
        <v>-5932</v>
      </c>
      <c r="X231">
        <v>18.89</v>
      </c>
      <c r="Y231" t="s">
        <v>1760</v>
      </c>
      <c r="Z231" t="s">
        <v>1294</v>
      </c>
      <c r="AA231">
        <v>1.07</v>
      </c>
      <c r="AB231">
        <v>436</v>
      </c>
      <c r="AC231">
        <v>331</v>
      </c>
      <c r="AD231">
        <v>3.01</v>
      </c>
      <c r="AE231" t="s">
        <v>1761</v>
      </c>
      <c r="AF231" t="s">
        <v>1758</v>
      </c>
      <c r="AG231" t="s">
        <v>1490</v>
      </c>
      <c r="AH231" t="s">
        <v>1762</v>
      </c>
      <c r="AI231">
        <v>0.53</v>
      </c>
      <c r="AJ231">
        <v>4.3</v>
      </c>
      <c r="AK231">
        <v>6.97</v>
      </c>
      <c r="AL231">
        <v>13.6</v>
      </c>
    </row>
    <row r="232" spans="1:38" x14ac:dyDescent="0.25">
      <c r="A232">
        <v>231</v>
      </c>
      <c r="B232" t="str">
        <f xml:space="preserve"> "000826"</f>
        <v>000826</v>
      </c>
      <c r="C232" t="s">
        <v>1763</v>
      </c>
      <c r="D232">
        <v>37.630000000000003</v>
      </c>
      <c r="E232">
        <v>3.07</v>
      </c>
      <c r="F232">
        <v>1.1200000000000001</v>
      </c>
      <c r="G232" t="s">
        <v>496</v>
      </c>
      <c r="H232">
        <v>2874</v>
      </c>
      <c r="I232">
        <v>37.619999999999997</v>
      </c>
      <c r="J232">
        <v>37.630000000000003</v>
      </c>
      <c r="K232">
        <v>0.03</v>
      </c>
      <c r="L232">
        <v>2.4</v>
      </c>
      <c r="M232" t="s">
        <v>1764</v>
      </c>
      <c r="N232">
        <v>39</v>
      </c>
      <c r="O232" t="s">
        <v>1155</v>
      </c>
      <c r="P232">
        <v>38.119999999999997</v>
      </c>
      <c r="Q232">
        <v>36.19</v>
      </c>
      <c r="R232">
        <v>36.56</v>
      </c>
      <c r="S232">
        <v>36.51</v>
      </c>
      <c r="T232">
        <v>5.29</v>
      </c>
      <c r="U232">
        <v>2.4300000000000002</v>
      </c>
      <c r="V232">
        <v>-57.34</v>
      </c>
      <c r="W232">
        <v>-2967</v>
      </c>
      <c r="X232">
        <v>37.39</v>
      </c>
      <c r="Y232" t="s">
        <v>1765</v>
      </c>
      <c r="Z232" t="s">
        <v>132</v>
      </c>
      <c r="AA232">
        <v>0.72</v>
      </c>
      <c r="AB232">
        <v>227</v>
      </c>
      <c r="AC232">
        <v>3659</v>
      </c>
      <c r="AD232">
        <v>5.1100000000000003</v>
      </c>
      <c r="AE232" t="s">
        <v>1766</v>
      </c>
      <c r="AF232" t="s">
        <v>1758</v>
      </c>
      <c r="AG232" t="s">
        <v>1767</v>
      </c>
      <c r="AH232" t="s">
        <v>229</v>
      </c>
      <c r="AI232">
        <v>3.01</v>
      </c>
      <c r="AJ232">
        <v>5.26</v>
      </c>
      <c r="AK232">
        <v>4.0199999999999996</v>
      </c>
      <c r="AL232">
        <v>7.34</v>
      </c>
    </row>
    <row r="233" spans="1:38" x14ac:dyDescent="0.25">
      <c r="A233">
        <v>232</v>
      </c>
      <c r="B233" t="str">
        <f xml:space="preserve"> "600438"</f>
        <v>600438</v>
      </c>
      <c r="C233" t="s">
        <v>1768</v>
      </c>
      <c r="D233">
        <v>9.7899999999999991</v>
      </c>
      <c r="E233">
        <v>0.62</v>
      </c>
      <c r="F233">
        <v>0.06</v>
      </c>
      <c r="G233" t="s">
        <v>1769</v>
      </c>
      <c r="H233">
        <v>7</v>
      </c>
      <c r="I233">
        <v>9.7799999999999994</v>
      </c>
      <c r="J233">
        <v>9.7899999999999991</v>
      </c>
      <c r="K233">
        <v>-0.1</v>
      </c>
      <c r="L233">
        <v>1.1599999999999999</v>
      </c>
      <c r="M233" t="s">
        <v>1770</v>
      </c>
      <c r="N233">
        <v>24.01</v>
      </c>
      <c r="O233" t="s">
        <v>622</v>
      </c>
      <c r="P233">
        <v>10.130000000000001</v>
      </c>
      <c r="Q233">
        <v>9.69</v>
      </c>
      <c r="R233">
        <v>9.7899999999999991</v>
      </c>
      <c r="S233">
        <v>9.73</v>
      </c>
      <c r="T233">
        <v>4.5199999999999996</v>
      </c>
      <c r="U233">
        <v>0.68</v>
      </c>
      <c r="V233">
        <v>27.31</v>
      </c>
      <c r="W233">
        <v>1440</v>
      </c>
      <c r="X233">
        <v>9.8699999999999992</v>
      </c>
      <c r="Y233" t="s">
        <v>1771</v>
      </c>
      <c r="Z233" t="s">
        <v>1772</v>
      </c>
      <c r="AA233">
        <v>1.06</v>
      </c>
      <c r="AB233">
        <v>563</v>
      </c>
      <c r="AC233">
        <v>992</v>
      </c>
      <c r="AD233">
        <v>3.13</v>
      </c>
      <c r="AE233" t="s">
        <v>1662</v>
      </c>
      <c r="AF233" t="s">
        <v>1773</v>
      </c>
      <c r="AG233" t="s">
        <v>1681</v>
      </c>
      <c r="AH233" t="s">
        <v>1402</v>
      </c>
      <c r="AI233">
        <v>-3.74</v>
      </c>
      <c r="AJ233">
        <v>1.45</v>
      </c>
      <c r="AK233">
        <v>4.45</v>
      </c>
      <c r="AL233">
        <v>9.6999999999999993</v>
      </c>
    </row>
    <row r="234" spans="1:38" x14ac:dyDescent="0.25">
      <c r="A234">
        <v>233</v>
      </c>
      <c r="B234" t="str">
        <f xml:space="preserve"> "600867"</f>
        <v>600867</v>
      </c>
      <c r="C234" t="s">
        <v>1774</v>
      </c>
      <c r="D234">
        <v>22.18</v>
      </c>
      <c r="E234">
        <v>3.6</v>
      </c>
      <c r="F234">
        <v>0.77</v>
      </c>
      <c r="G234" t="s">
        <v>1775</v>
      </c>
      <c r="H234">
        <v>5</v>
      </c>
      <c r="I234">
        <v>22.12</v>
      </c>
      <c r="J234">
        <v>22.13</v>
      </c>
      <c r="K234">
        <v>0</v>
      </c>
      <c r="L234">
        <v>1.1599999999999999</v>
      </c>
      <c r="M234" t="s">
        <v>1470</v>
      </c>
      <c r="N234">
        <v>46.24</v>
      </c>
      <c r="O234" t="s">
        <v>392</v>
      </c>
      <c r="P234">
        <v>22.4</v>
      </c>
      <c r="Q234">
        <v>21.3</v>
      </c>
      <c r="R234">
        <v>21.4</v>
      </c>
      <c r="S234">
        <v>21.41</v>
      </c>
      <c r="T234">
        <v>5.14</v>
      </c>
      <c r="U234">
        <v>1.44</v>
      </c>
      <c r="V234">
        <v>37.619999999999997</v>
      </c>
      <c r="W234">
        <v>118</v>
      </c>
      <c r="X234">
        <v>21.98</v>
      </c>
      <c r="Y234" t="s">
        <v>1776</v>
      </c>
      <c r="Z234" t="s">
        <v>516</v>
      </c>
      <c r="AA234">
        <v>0.56000000000000005</v>
      </c>
      <c r="AB234">
        <v>38</v>
      </c>
      <c r="AC234">
        <v>16</v>
      </c>
      <c r="AD234">
        <v>9.26</v>
      </c>
      <c r="AE234" t="s">
        <v>1777</v>
      </c>
      <c r="AF234" t="s">
        <v>1773</v>
      </c>
      <c r="AG234" t="s">
        <v>1778</v>
      </c>
      <c r="AH234" t="s">
        <v>237</v>
      </c>
      <c r="AI234">
        <v>11.46</v>
      </c>
      <c r="AJ234">
        <v>16.309999999999999</v>
      </c>
      <c r="AK234">
        <v>3.54</v>
      </c>
      <c r="AL234">
        <v>5.21</v>
      </c>
    </row>
    <row r="235" spans="1:38" x14ac:dyDescent="0.25">
      <c r="A235">
        <v>234</v>
      </c>
      <c r="B235" t="str">
        <f xml:space="preserve"> "601880"</f>
        <v>601880</v>
      </c>
      <c r="C235" t="s">
        <v>1779</v>
      </c>
      <c r="D235">
        <v>2.94</v>
      </c>
      <c r="E235">
        <v>0</v>
      </c>
      <c r="F235">
        <v>0</v>
      </c>
      <c r="G235" t="s">
        <v>1780</v>
      </c>
      <c r="H235">
        <v>100</v>
      </c>
      <c r="I235">
        <v>2.93</v>
      </c>
      <c r="J235">
        <v>2.94</v>
      </c>
      <c r="K235">
        <v>0</v>
      </c>
      <c r="L235">
        <v>0.17</v>
      </c>
      <c r="M235" t="s">
        <v>1781</v>
      </c>
      <c r="N235">
        <v>79.459999999999994</v>
      </c>
      <c r="O235" t="s">
        <v>440</v>
      </c>
      <c r="P235">
        <v>2.94</v>
      </c>
      <c r="Q235">
        <v>2.92</v>
      </c>
      <c r="R235">
        <v>2.93</v>
      </c>
      <c r="S235">
        <v>2.94</v>
      </c>
      <c r="T235">
        <v>0.68</v>
      </c>
      <c r="U235">
        <v>0.65</v>
      </c>
      <c r="V235">
        <v>-26</v>
      </c>
      <c r="W235" t="s">
        <v>1782</v>
      </c>
      <c r="X235">
        <v>2.93</v>
      </c>
      <c r="Y235" t="s">
        <v>1783</v>
      </c>
      <c r="Z235" t="s">
        <v>1784</v>
      </c>
      <c r="AA235">
        <v>0.99</v>
      </c>
      <c r="AB235" t="s">
        <v>1785</v>
      </c>
      <c r="AC235" t="s">
        <v>1786</v>
      </c>
      <c r="AD235">
        <v>2.15</v>
      </c>
      <c r="AE235" t="s">
        <v>1080</v>
      </c>
      <c r="AF235" t="s">
        <v>1787</v>
      </c>
      <c r="AG235" t="s">
        <v>1788</v>
      </c>
      <c r="AH235" t="s">
        <v>1789</v>
      </c>
      <c r="AI235">
        <v>-0.34</v>
      </c>
      <c r="AJ235">
        <v>1.03</v>
      </c>
      <c r="AK235">
        <v>0.78</v>
      </c>
      <c r="AL235">
        <v>1.47</v>
      </c>
    </row>
    <row r="236" spans="1:38" x14ac:dyDescent="0.25">
      <c r="A236">
        <v>235</v>
      </c>
      <c r="B236" t="str">
        <f xml:space="preserve"> "002773"</f>
        <v>002773</v>
      </c>
      <c r="C236" t="s">
        <v>1790</v>
      </c>
      <c r="D236">
        <v>56.09</v>
      </c>
      <c r="E236">
        <v>0.16</v>
      </c>
      <c r="F236">
        <v>0.09</v>
      </c>
      <c r="G236">
        <v>9010</v>
      </c>
      <c r="H236">
        <v>25</v>
      </c>
      <c r="I236">
        <v>56.09</v>
      </c>
      <c r="J236">
        <v>56.1</v>
      </c>
      <c r="K236">
        <v>-0.04</v>
      </c>
      <c r="L236">
        <v>1.28</v>
      </c>
      <c r="M236" t="s">
        <v>1791</v>
      </c>
      <c r="N236">
        <v>81.22</v>
      </c>
      <c r="O236" t="s">
        <v>392</v>
      </c>
      <c r="P236">
        <v>56.56</v>
      </c>
      <c r="Q236">
        <v>55.35</v>
      </c>
      <c r="R236">
        <v>55.35</v>
      </c>
      <c r="S236">
        <v>56</v>
      </c>
      <c r="T236">
        <v>2.16</v>
      </c>
      <c r="U236">
        <v>0.69</v>
      </c>
      <c r="V236">
        <v>-23.71</v>
      </c>
      <c r="W236">
        <v>-46</v>
      </c>
      <c r="X236">
        <v>56.01</v>
      </c>
      <c r="Y236">
        <v>4788</v>
      </c>
      <c r="Z236">
        <v>4222</v>
      </c>
      <c r="AA236">
        <v>1.1299999999999999</v>
      </c>
      <c r="AB236">
        <v>9</v>
      </c>
      <c r="AC236">
        <v>50</v>
      </c>
      <c r="AD236">
        <v>12.33</v>
      </c>
      <c r="AE236" t="s">
        <v>1792</v>
      </c>
      <c r="AF236" t="s">
        <v>1787</v>
      </c>
      <c r="AG236" t="s">
        <v>1793</v>
      </c>
      <c r="AH236" t="s">
        <v>1794</v>
      </c>
      <c r="AI236">
        <v>4.0199999999999996</v>
      </c>
      <c r="AJ236">
        <v>7.82</v>
      </c>
      <c r="AK236">
        <v>6.16</v>
      </c>
      <c r="AL236">
        <v>10.5</v>
      </c>
    </row>
    <row r="237" spans="1:38" x14ac:dyDescent="0.25">
      <c r="A237">
        <v>236</v>
      </c>
      <c r="B237" t="str">
        <f xml:space="preserve"> "002493"</f>
        <v>002493</v>
      </c>
      <c r="C237" t="s">
        <v>1795</v>
      </c>
      <c r="D237">
        <v>9.9</v>
      </c>
      <c r="E237">
        <v>0.3</v>
      </c>
      <c r="F237">
        <v>0.03</v>
      </c>
      <c r="G237" t="s">
        <v>1796</v>
      </c>
      <c r="H237">
        <v>85</v>
      </c>
      <c r="I237">
        <v>9.9</v>
      </c>
      <c r="J237">
        <v>9.91</v>
      </c>
      <c r="K237">
        <v>0</v>
      </c>
      <c r="L237">
        <v>0.08</v>
      </c>
      <c r="M237" t="s">
        <v>1797</v>
      </c>
      <c r="N237">
        <v>17.12</v>
      </c>
      <c r="O237" t="s">
        <v>1798</v>
      </c>
      <c r="P237">
        <v>9.9499999999999993</v>
      </c>
      <c r="Q237">
        <v>9.85</v>
      </c>
      <c r="R237">
        <v>9.8699999999999992</v>
      </c>
      <c r="S237">
        <v>9.8699999999999992</v>
      </c>
      <c r="T237">
        <v>1.01</v>
      </c>
      <c r="U237">
        <v>0.66</v>
      </c>
      <c r="V237">
        <v>28.56</v>
      </c>
      <c r="W237">
        <v>1947</v>
      </c>
      <c r="X237">
        <v>9.8800000000000008</v>
      </c>
      <c r="Y237" t="s">
        <v>1732</v>
      </c>
      <c r="Z237" t="s">
        <v>1799</v>
      </c>
      <c r="AA237">
        <v>1.1499999999999999</v>
      </c>
      <c r="AB237">
        <v>634</v>
      </c>
      <c r="AC237">
        <v>515</v>
      </c>
      <c r="AD237">
        <v>2.81</v>
      </c>
      <c r="AE237" t="s">
        <v>1800</v>
      </c>
      <c r="AF237" t="s">
        <v>1801</v>
      </c>
      <c r="AG237" t="s">
        <v>1802</v>
      </c>
      <c r="AH237" t="s">
        <v>1497</v>
      </c>
      <c r="AI237">
        <v>-0.9</v>
      </c>
      <c r="AJ237">
        <v>0</v>
      </c>
      <c r="AK237">
        <v>0.33</v>
      </c>
      <c r="AL237">
        <v>0.68</v>
      </c>
    </row>
    <row r="238" spans="1:38" x14ac:dyDescent="0.25">
      <c r="A238">
        <v>237</v>
      </c>
      <c r="B238" t="str">
        <f xml:space="preserve"> "002608"</f>
        <v>002608</v>
      </c>
      <c r="C238" t="s">
        <v>1803</v>
      </c>
      <c r="D238">
        <v>11.59</v>
      </c>
      <c r="E238">
        <v>-0.69</v>
      </c>
      <c r="F238">
        <v>-0.08</v>
      </c>
      <c r="G238" t="s">
        <v>1712</v>
      </c>
      <c r="H238">
        <v>585</v>
      </c>
      <c r="I238">
        <v>11.58</v>
      </c>
      <c r="J238">
        <v>11.59</v>
      </c>
      <c r="K238">
        <v>0</v>
      </c>
      <c r="L238">
        <v>0.69</v>
      </c>
      <c r="M238" t="s">
        <v>1804</v>
      </c>
      <c r="N238">
        <v>21.95</v>
      </c>
      <c r="O238" t="s">
        <v>186</v>
      </c>
      <c r="P238">
        <v>11.7</v>
      </c>
      <c r="Q238">
        <v>11.55</v>
      </c>
      <c r="R238">
        <v>11.7</v>
      </c>
      <c r="S238">
        <v>11.67</v>
      </c>
      <c r="T238">
        <v>1.29</v>
      </c>
      <c r="U238">
        <v>0.69</v>
      </c>
      <c r="V238">
        <v>32.9</v>
      </c>
      <c r="W238">
        <v>891</v>
      </c>
      <c r="X238">
        <v>11.6</v>
      </c>
      <c r="Y238" t="s">
        <v>1805</v>
      </c>
      <c r="Z238" t="s">
        <v>1732</v>
      </c>
      <c r="AA238">
        <v>1.5</v>
      </c>
      <c r="AB238">
        <v>66</v>
      </c>
      <c r="AC238">
        <v>174</v>
      </c>
      <c r="AD238">
        <v>2.31</v>
      </c>
      <c r="AE238" t="s">
        <v>1029</v>
      </c>
      <c r="AF238" t="s">
        <v>1735</v>
      </c>
      <c r="AG238" t="s">
        <v>1806</v>
      </c>
      <c r="AH238" t="s">
        <v>1807</v>
      </c>
      <c r="AI238">
        <v>-1.19</v>
      </c>
      <c r="AJ238">
        <v>-3.17</v>
      </c>
      <c r="AK238">
        <v>1.92</v>
      </c>
      <c r="AL238">
        <v>5.68</v>
      </c>
    </row>
    <row r="239" spans="1:38" x14ac:dyDescent="0.25">
      <c r="A239">
        <v>238</v>
      </c>
      <c r="B239" t="str">
        <f xml:space="preserve"> "600685"</f>
        <v>600685</v>
      </c>
      <c r="C239" t="s">
        <v>1808</v>
      </c>
      <c r="D239" t="s">
        <v>616</v>
      </c>
      <c r="E239" t="s">
        <v>616</v>
      </c>
      <c r="F239" t="s">
        <v>616</v>
      </c>
      <c r="G239" t="s">
        <v>616</v>
      </c>
      <c r="H239" t="s">
        <v>616</v>
      </c>
      <c r="I239" t="s">
        <v>616</v>
      </c>
      <c r="J239" t="s">
        <v>616</v>
      </c>
      <c r="K239" t="s">
        <v>616</v>
      </c>
      <c r="L239" t="s">
        <v>616</v>
      </c>
      <c r="M239" t="s">
        <v>616</v>
      </c>
      <c r="N239">
        <v>428.5</v>
      </c>
      <c r="O239" t="s">
        <v>635</v>
      </c>
      <c r="P239" t="s">
        <v>616</v>
      </c>
      <c r="Q239" t="s">
        <v>616</v>
      </c>
      <c r="R239" t="s">
        <v>616</v>
      </c>
      <c r="S239">
        <v>26.66</v>
      </c>
      <c r="T239" t="s">
        <v>616</v>
      </c>
      <c r="U239" t="s">
        <v>616</v>
      </c>
      <c r="V239" t="s">
        <v>616</v>
      </c>
      <c r="W239" t="s">
        <v>616</v>
      </c>
      <c r="X239" t="s">
        <v>616</v>
      </c>
      <c r="Y239" t="s">
        <v>616</v>
      </c>
      <c r="Z239" t="s">
        <v>616</v>
      </c>
      <c r="AA239" t="s">
        <v>616</v>
      </c>
      <c r="AB239" t="s">
        <v>616</v>
      </c>
      <c r="AC239" t="s">
        <v>616</v>
      </c>
      <c r="AD239">
        <v>3.64</v>
      </c>
      <c r="AE239" t="s">
        <v>1715</v>
      </c>
      <c r="AF239" t="s">
        <v>1735</v>
      </c>
      <c r="AG239" t="s">
        <v>1809</v>
      </c>
      <c r="AH239" t="s">
        <v>1810</v>
      </c>
      <c r="AI239">
        <v>0</v>
      </c>
      <c r="AJ239">
        <v>0</v>
      </c>
      <c r="AK239">
        <v>0</v>
      </c>
      <c r="AL239">
        <v>0</v>
      </c>
    </row>
    <row r="240" spans="1:38" x14ac:dyDescent="0.25">
      <c r="A240">
        <v>239</v>
      </c>
      <c r="B240" t="str">
        <f xml:space="preserve"> "600089"</f>
        <v>600089</v>
      </c>
      <c r="C240" t="s">
        <v>1811</v>
      </c>
      <c r="D240">
        <v>10.11</v>
      </c>
      <c r="E240">
        <v>0.3</v>
      </c>
      <c r="F240">
        <v>0.03</v>
      </c>
      <c r="G240" t="s">
        <v>1389</v>
      </c>
      <c r="H240">
        <v>5362</v>
      </c>
      <c r="I240">
        <v>10.119999999999999</v>
      </c>
      <c r="J240">
        <v>10.130000000000001</v>
      </c>
      <c r="K240">
        <v>0.1</v>
      </c>
      <c r="L240">
        <v>0.61</v>
      </c>
      <c r="M240" t="s">
        <v>1812</v>
      </c>
      <c r="N240">
        <v>13.8</v>
      </c>
      <c r="O240" t="s">
        <v>680</v>
      </c>
      <c r="P240">
        <v>10.119999999999999</v>
      </c>
      <c r="Q240">
        <v>10.01</v>
      </c>
      <c r="R240">
        <v>10.08</v>
      </c>
      <c r="S240">
        <v>10.08</v>
      </c>
      <c r="T240">
        <v>1.0900000000000001</v>
      </c>
      <c r="U240">
        <v>0.73</v>
      </c>
      <c r="V240">
        <v>-63.37</v>
      </c>
      <c r="W240" t="s">
        <v>1813</v>
      </c>
      <c r="X240">
        <v>10.07</v>
      </c>
      <c r="Y240" t="s">
        <v>194</v>
      </c>
      <c r="Z240" t="s">
        <v>1814</v>
      </c>
      <c r="AA240">
        <v>1.23</v>
      </c>
      <c r="AB240">
        <v>760</v>
      </c>
      <c r="AC240">
        <v>2242</v>
      </c>
      <c r="AD240">
        <v>1.4</v>
      </c>
      <c r="AE240" t="s">
        <v>1815</v>
      </c>
      <c r="AF240" t="s">
        <v>1816</v>
      </c>
      <c r="AG240" t="s">
        <v>1817</v>
      </c>
      <c r="AH240" t="s">
        <v>1816</v>
      </c>
      <c r="AI240">
        <v>1.51</v>
      </c>
      <c r="AJ240">
        <v>3.16</v>
      </c>
      <c r="AK240">
        <v>2.71</v>
      </c>
      <c r="AL240">
        <v>4.78</v>
      </c>
    </row>
    <row r="241" spans="1:38" x14ac:dyDescent="0.25">
      <c r="A241">
        <v>240</v>
      </c>
      <c r="B241" t="str">
        <f xml:space="preserve"> "002572"</f>
        <v>002572</v>
      </c>
      <c r="C241" t="s">
        <v>1818</v>
      </c>
      <c r="D241">
        <v>40.47</v>
      </c>
      <c r="E241">
        <v>2.64</v>
      </c>
      <c r="F241">
        <v>1.04</v>
      </c>
      <c r="G241" t="s">
        <v>1819</v>
      </c>
      <c r="H241">
        <v>198</v>
      </c>
      <c r="I241">
        <v>40.450000000000003</v>
      </c>
      <c r="J241">
        <v>40.47</v>
      </c>
      <c r="K241">
        <v>0.02</v>
      </c>
      <c r="L241">
        <v>0.64</v>
      </c>
      <c r="M241" t="s">
        <v>1820</v>
      </c>
      <c r="N241">
        <v>63.5</v>
      </c>
      <c r="O241" t="s">
        <v>1469</v>
      </c>
      <c r="P241">
        <v>40.68</v>
      </c>
      <c r="Q241">
        <v>39.479999999999997</v>
      </c>
      <c r="R241">
        <v>39.479999999999997</v>
      </c>
      <c r="S241">
        <v>39.43</v>
      </c>
      <c r="T241">
        <v>3.04</v>
      </c>
      <c r="U241">
        <v>0.69</v>
      </c>
      <c r="V241">
        <v>-72.849999999999994</v>
      </c>
      <c r="W241">
        <v>-395</v>
      </c>
      <c r="X241">
        <v>40.229999999999997</v>
      </c>
      <c r="Y241" t="s">
        <v>1821</v>
      </c>
      <c r="Z241" t="s">
        <v>1374</v>
      </c>
      <c r="AA241">
        <v>0.52</v>
      </c>
      <c r="AB241">
        <v>5</v>
      </c>
      <c r="AC241">
        <v>209</v>
      </c>
      <c r="AD241">
        <v>9.68</v>
      </c>
      <c r="AE241" t="s">
        <v>1822</v>
      </c>
      <c r="AF241" t="s">
        <v>1672</v>
      </c>
      <c r="AG241" t="s">
        <v>1823</v>
      </c>
      <c r="AH241" t="s">
        <v>1505</v>
      </c>
      <c r="AI241">
        <v>4.95</v>
      </c>
      <c r="AJ241">
        <v>9.44</v>
      </c>
      <c r="AK241">
        <v>2.8</v>
      </c>
      <c r="AL241">
        <v>5.25</v>
      </c>
    </row>
    <row r="242" spans="1:38" x14ac:dyDescent="0.25">
      <c r="A242">
        <v>241</v>
      </c>
      <c r="B242" t="str">
        <f xml:space="preserve"> "601718"</f>
        <v>601718</v>
      </c>
      <c r="C242" t="s">
        <v>1824</v>
      </c>
      <c r="D242">
        <v>8.4700000000000006</v>
      </c>
      <c r="E242">
        <v>0</v>
      </c>
      <c r="F242">
        <v>0</v>
      </c>
      <c r="G242" t="s">
        <v>1825</v>
      </c>
      <c r="H242">
        <v>5</v>
      </c>
      <c r="I242">
        <v>8.4700000000000006</v>
      </c>
      <c r="J242">
        <v>8.48</v>
      </c>
      <c r="K242">
        <v>0.12</v>
      </c>
      <c r="L242">
        <v>0.2</v>
      </c>
      <c r="M242" t="s">
        <v>1826</v>
      </c>
      <c r="N242">
        <v>36.200000000000003</v>
      </c>
      <c r="O242" t="s">
        <v>1443</v>
      </c>
      <c r="P242">
        <v>8.51</v>
      </c>
      <c r="Q242">
        <v>8.4499999999999993</v>
      </c>
      <c r="R242">
        <v>8.4700000000000006</v>
      </c>
      <c r="S242">
        <v>8.4700000000000006</v>
      </c>
      <c r="T242">
        <v>0.71</v>
      </c>
      <c r="U242">
        <v>0.82</v>
      </c>
      <c r="V242">
        <v>-22.98</v>
      </c>
      <c r="W242">
        <v>-4941</v>
      </c>
      <c r="X242">
        <v>8.48</v>
      </c>
      <c r="Y242" t="s">
        <v>272</v>
      </c>
      <c r="Z242" t="s">
        <v>1827</v>
      </c>
      <c r="AA242">
        <v>1.73</v>
      </c>
      <c r="AB242">
        <v>249</v>
      </c>
      <c r="AC242">
        <v>2572</v>
      </c>
      <c r="AD242">
        <v>2.0299999999999998</v>
      </c>
      <c r="AE242" t="s">
        <v>1828</v>
      </c>
      <c r="AF242" t="s">
        <v>1124</v>
      </c>
      <c r="AG242" t="s">
        <v>1829</v>
      </c>
      <c r="AH242" t="s">
        <v>1830</v>
      </c>
      <c r="AI242">
        <v>-0.59</v>
      </c>
      <c r="AJ242">
        <v>1.32</v>
      </c>
      <c r="AK242">
        <v>0.65</v>
      </c>
      <c r="AL242">
        <v>1.43</v>
      </c>
    </row>
    <row r="243" spans="1:38" x14ac:dyDescent="0.25">
      <c r="A243">
        <v>242</v>
      </c>
      <c r="B243" t="str">
        <f xml:space="preserve"> "600208"</f>
        <v>600208</v>
      </c>
      <c r="C243" t="s">
        <v>1831</v>
      </c>
      <c r="D243">
        <v>4.32</v>
      </c>
      <c r="E243">
        <v>0</v>
      </c>
      <c r="F243">
        <v>0</v>
      </c>
      <c r="G243" t="s">
        <v>459</v>
      </c>
      <c r="H243">
        <v>51</v>
      </c>
      <c r="I243">
        <v>4.3099999999999996</v>
      </c>
      <c r="J243">
        <v>4.32</v>
      </c>
      <c r="K243">
        <v>0.23</v>
      </c>
      <c r="L243">
        <v>0.23</v>
      </c>
      <c r="M243" t="s">
        <v>1832</v>
      </c>
      <c r="N243">
        <v>39.119999999999997</v>
      </c>
      <c r="O243" t="s">
        <v>244</v>
      </c>
      <c r="P243">
        <v>4.32</v>
      </c>
      <c r="Q243">
        <v>4.3</v>
      </c>
      <c r="R243">
        <v>4.32</v>
      </c>
      <c r="S243">
        <v>4.32</v>
      </c>
      <c r="T243">
        <v>0.46</v>
      </c>
      <c r="U243">
        <v>1.03</v>
      </c>
      <c r="V243">
        <v>-14.25</v>
      </c>
      <c r="W243" t="s">
        <v>1833</v>
      </c>
      <c r="X243">
        <v>4.3099999999999996</v>
      </c>
      <c r="Y243" t="s">
        <v>1834</v>
      </c>
      <c r="Z243" t="s">
        <v>1835</v>
      </c>
      <c r="AA243">
        <v>2.0099999999999998</v>
      </c>
      <c r="AB243">
        <v>2158</v>
      </c>
      <c r="AC243" t="s">
        <v>1836</v>
      </c>
      <c r="AD243">
        <v>1.26</v>
      </c>
      <c r="AE243" t="s">
        <v>1837</v>
      </c>
      <c r="AF243" t="s">
        <v>1838</v>
      </c>
      <c r="AG243" t="s">
        <v>1837</v>
      </c>
      <c r="AH243" t="s">
        <v>1838</v>
      </c>
      <c r="AI243">
        <v>-0.92</v>
      </c>
      <c r="AJ243">
        <v>0.93</v>
      </c>
      <c r="AK243">
        <v>0.7</v>
      </c>
      <c r="AL243">
        <v>1.36</v>
      </c>
    </row>
    <row r="244" spans="1:38" x14ac:dyDescent="0.25">
      <c r="A244">
        <v>243</v>
      </c>
      <c r="B244" t="str">
        <f xml:space="preserve"> "600236"</f>
        <v>600236</v>
      </c>
      <c r="C244" t="s">
        <v>1839</v>
      </c>
      <c r="D244">
        <v>6.12</v>
      </c>
      <c r="E244">
        <v>-1.29</v>
      </c>
      <c r="F244">
        <v>-0.08</v>
      </c>
      <c r="G244" t="s">
        <v>1840</v>
      </c>
      <c r="H244">
        <v>7</v>
      </c>
      <c r="I244">
        <v>6.11</v>
      </c>
      <c r="J244">
        <v>6.12</v>
      </c>
      <c r="K244">
        <v>0.33</v>
      </c>
      <c r="L244">
        <v>0.27</v>
      </c>
      <c r="M244" t="s">
        <v>1841</v>
      </c>
      <c r="N244">
        <v>25.01</v>
      </c>
      <c r="O244" t="s">
        <v>186</v>
      </c>
      <c r="P244">
        <v>6.2</v>
      </c>
      <c r="Q244">
        <v>6.07</v>
      </c>
      <c r="R244">
        <v>6.18</v>
      </c>
      <c r="S244">
        <v>6.2</v>
      </c>
      <c r="T244">
        <v>2.1</v>
      </c>
      <c r="U244">
        <v>0.77</v>
      </c>
      <c r="V244">
        <v>-36.700000000000003</v>
      </c>
      <c r="W244">
        <v>-5911</v>
      </c>
      <c r="X244">
        <v>6.11</v>
      </c>
      <c r="Y244" t="s">
        <v>1842</v>
      </c>
      <c r="Z244" t="s">
        <v>1843</v>
      </c>
      <c r="AA244">
        <v>1.83</v>
      </c>
      <c r="AB244">
        <v>192</v>
      </c>
      <c r="AC244">
        <v>340</v>
      </c>
      <c r="AD244">
        <v>3.01</v>
      </c>
      <c r="AE244" t="s">
        <v>1844</v>
      </c>
      <c r="AF244" t="s">
        <v>1838</v>
      </c>
      <c r="AG244" t="s">
        <v>1845</v>
      </c>
      <c r="AH244" t="s">
        <v>419</v>
      </c>
      <c r="AI244">
        <v>4.79</v>
      </c>
      <c r="AJ244">
        <v>2.5099999999999998</v>
      </c>
      <c r="AK244">
        <v>1.17</v>
      </c>
      <c r="AL244">
        <v>1.99</v>
      </c>
    </row>
    <row r="245" spans="1:38" x14ac:dyDescent="0.25">
      <c r="A245">
        <v>244</v>
      </c>
      <c r="B245" t="str">
        <f xml:space="preserve"> "000959"</f>
        <v>000959</v>
      </c>
      <c r="C245" t="s">
        <v>1846</v>
      </c>
      <c r="D245">
        <v>6.98</v>
      </c>
      <c r="E245">
        <v>0.72</v>
      </c>
      <c r="F245">
        <v>0.05</v>
      </c>
      <c r="G245" t="s">
        <v>317</v>
      </c>
      <c r="H245">
        <v>2124</v>
      </c>
      <c r="I245">
        <v>6.97</v>
      </c>
      <c r="J245">
        <v>6.98</v>
      </c>
      <c r="K245">
        <v>0.14000000000000001</v>
      </c>
      <c r="L245">
        <v>0.28000000000000003</v>
      </c>
      <c r="M245" t="s">
        <v>1847</v>
      </c>
      <c r="N245">
        <v>19.45</v>
      </c>
      <c r="O245" t="s">
        <v>416</v>
      </c>
      <c r="P245">
        <v>7.01</v>
      </c>
      <c r="Q245">
        <v>6.88</v>
      </c>
      <c r="R245">
        <v>6.93</v>
      </c>
      <c r="S245">
        <v>6.93</v>
      </c>
      <c r="T245">
        <v>1.88</v>
      </c>
      <c r="U245">
        <v>1.07</v>
      </c>
      <c r="V245">
        <v>-55.06</v>
      </c>
      <c r="W245">
        <v>-8903</v>
      </c>
      <c r="X245">
        <v>6.97</v>
      </c>
      <c r="Y245" t="s">
        <v>1712</v>
      </c>
      <c r="Z245" t="s">
        <v>574</v>
      </c>
      <c r="AA245">
        <v>0.78</v>
      </c>
      <c r="AB245">
        <v>596</v>
      </c>
      <c r="AC245">
        <v>321</v>
      </c>
      <c r="AD245">
        <v>1.41</v>
      </c>
      <c r="AE245" t="s">
        <v>1848</v>
      </c>
      <c r="AF245" t="s">
        <v>1849</v>
      </c>
      <c r="AG245" t="s">
        <v>1850</v>
      </c>
      <c r="AH245" t="s">
        <v>692</v>
      </c>
      <c r="AI245">
        <v>0.28999999999999998</v>
      </c>
      <c r="AJ245">
        <v>1.75</v>
      </c>
      <c r="AK245">
        <v>0.81</v>
      </c>
      <c r="AL245">
        <v>1.58</v>
      </c>
    </row>
    <row r="246" spans="1:38" x14ac:dyDescent="0.25">
      <c r="A246">
        <v>245</v>
      </c>
      <c r="B246" t="str">
        <f xml:space="preserve"> "600489"</f>
        <v>600489</v>
      </c>
      <c r="C246" t="s">
        <v>1851</v>
      </c>
      <c r="D246">
        <v>10.68</v>
      </c>
      <c r="E246">
        <v>-0.47</v>
      </c>
      <c r="F246">
        <v>-0.05</v>
      </c>
      <c r="G246" t="s">
        <v>1852</v>
      </c>
      <c r="H246">
        <v>17</v>
      </c>
      <c r="I246">
        <v>10.67</v>
      </c>
      <c r="J246">
        <v>10.68</v>
      </c>
      <c r="K246">
        <v>0</v>
      </c>
      <c r="L246">
        <v>0.57999999999999996</v>
      </c>
      <c r="M246" t="s">
        <v>1853</v>
      </c>
      <c r="N246">
        <v>86.77</v>
      </c>
      <c r="O246" t="s">
        <v>788</v>
      </c>
      <c r="P246">
        <v>10.76</v>
      </c>
      <c r="Q246">
        <v>10.65</v>
      </c>
      <c r="R246">
        <v>10.74</v>
      </c>
      <c r="S246">
        <v>10.73</v>
      </c>
      <c r="T246">
        <v>1.03</v>
      </c>
      <c r="U246">
        <v>0.98</v>
      </c>
      <c r="V246">
        <v>36.19</v>
      </c>
      <c r="W246">
        <v>5906</v>
      </c>
      <c r="X246">
        <v>10.68</v>
      </c>
      <c r="Y246" t="s">
        <v>236</v>
      </c>
      <c r="Z246" t="s">
        <v>1854</v>
      </c>
      <c r="AA246">
        <v>2.11</v>
      </c>
      <c r="AB246">
        <v>1311</v>
      </c>
      <c r="AC246">
        <v>337</v>
      </c>
      <c r="AD246">
        <v>2.78</v>
      </c>
      <c r="AE246" t="s">
        <v>1855</v>
      </c>
      <c r="AF246" t="s">
        <v>1849</v>
      </c>
      <c r="AG246" t="s">
        <v>1855</v>
      </c>
      <c r="AH246" t="s">
        <v>1849</v>
      </c>
      <c r="AI246">
        <v>-0.56000000000000005</v>
      </c>
      <c r="AJ246">
        <v>1.04</v>
      </c>
      <c r="AK246">
        <v>1.74</v>
      </c>
      <c r="AL246">
        <v>3.52</v>
      </c>
    </row>
    <row r="247" spans="1:38" x14ac:dyDescent="0.25">
      <c r="A247">
        <v>246</v>
      </c>
      <c r="B247" t="str">
        <f xml:space="preserve"> "600100"</f>
        <v>600100</v>
      </c>
      <c r="C247" t="s">
        <v>1856</v>
      </c>
      <c r="D247">
        <v>12.41</v>
      </c>
      <c r="E247">
        <v>-0.24</v>
      </c>
      <c r="F247">
        <v>-0.03</v>
      </c>
      <c r="G247" t="s">
        <v>473</v>
      </c>
      <c r="H247">
        <v>73</v>
      </c>
      <c r="I247">
        <v>12.4</v>
      </c>
      <c r="J247">
        <v>12.41</v>
      </c>
      <c r="K247">
        <v>-0.08</v>
      </c>
      <c r="L247">
        <v>1.1100000000000001</v>
      </c>
      <c r="M247" t="s">
        <v>1857</v>
      </c>
      <c r="N247">
        <v>-152.41</v>
      </c>
      <c r="O247" t="s">
        <v>553</v>
      </c>
      <c r="P247">
        <v>12.48</v>
      </c>
      <c r="Q247">
        <v>12.32</v>
      </c>
      <c r="R247">
        <v>12.35</v>
      </c>
      <c r="S247">
        <v>12.44</v>
      </c>
      <c r="T247">
        <v>1.29</v>
      </c>
      <c r="U247">
        <v>0.62</v>
      </c>
      <c r="V247">
        <v>-3.27</v>
      </c>
      <c r="W247">
        <v>-588</v>
      </c>
      <c r="X247">
        <v>12.4</v>
      </c>
      <c r="Y247" t="s">
        <v>860</v>
      </c>
      <c r="Z247" t="s">
        <v>1814</v>
      </c>
      <c r="AA247">
        <v>1.41</v>
      </c>
      <c r="AB247">
        <v>1403</v>
      </c>
      <c r="AC247">
        <v>688</v>
      </c>
      <c r="AD247">
        <v>1.84</v>
      </c>
      <c r="AE247" t="s">
        <v>1123</v>
      </c>
      <c r="AF247" t="s">
        <v>1858</v>
      </c>
      <c r="AG247" t="s">
        <v>662</v>
      </c>
      <c r="AH247" t="s">
        <v>1859</v>
      </c>
      <c r="AI247">
        <v>0.08</v>
      </c>
      <c r="AJ247">
        <v>1.8</v>
      </c>
      <c r="AK247">
        <v>5.73</v>
      </c>
      <c r="AL247">
        <v>10.11</v>
      </c>
    </row>
    <row r="248" spans="1:38" x14ac:dyDescent="0.25">
      <c r="A248">
        <v>247</v>
      </c>
      <c r="B248" t="str">
        <f xml:space="preserve"> "601375"</f>
        <v>601375</v>
      </c>
      <c r="C248" t="s">
        <v>1860</v>
      </c>
      <c r="D248">
        <v>9.33</v>
      </c>
      <c r="E248">
        <v>0.11</v>
      </c>
      <c r="F248">
        <v>0.01</v>
      </c>
      <c r="G248" t="s">
        <v>1861</v>
      </c>
      <c r="H248">
        <v>2</v>
      </c>
      <c r="I248">
        <v>9.33</v>
      </c>
      <c r="J248">
        <v>9.34</v>
      </c>
      <c r="K248">
        <v>0.11</v>
      </c>
      <c r="L248">
        <v>2.23</v>
      </c>
      <c r="M248" t="s">
        <v>1862</v>
      </c>
      <c r="N248">
        <v>137.24</v>
      </c>
      <c r="O248" t="s">
        <v>306</v>
      </c>
      <c r="P248">
        <v>9.39</v>
      </c>
      <c r="Q248">
        <v>9.24</v>
      </c>
      <c r="R248">
        <v>9.33</v>
      </c>
      <c r="S248">
        <v>9.32</v>
      </c>
      <c r="T248">
        <v>1.61</v>
      </c>
      <c r="U248">
        <v>0.71</v>
      </c>
      <c r="V248">
        <v>-34.83</v>
      </c>
      <c r="W248">
        <v>-4426</v>
      </c>
      <c r="X248">
        <v>9.31</v>
      </c>
      <c r="Y248" t="s">
        <v>1863</v>
      </c>
      <c r="Z248" t="s">
        <v>1864</v>
      </c>
      <c r="AA248">
        <v>1.1399999999999999</v>
      </c>
      <c r="AB248">
        <v>45</v>
      </c>
      <c r="AC248">
        <v>1833</v>
      </c>
      <c r="AD248">
        <v>3.6</v>
      </c>
      <c r="AE248" t="s">
        <v>1616</v>
      </c>
      <c r="AF248" t="s">
        <v>1865</v>
      </c>
      <c r="AG248" t="s">
        <v>1866</v>
      </c>
      <c r="AH248" t="s">
        <v>1867</v>
      </c>
      <c r="AI248">
        <v>0.65</v>
      </c>
      <c r="AJ248">
        <v>3.09</v>
      </c>
      <c r="AK248">
        <v>9.5399999999999991</v>
      </c>
      <c r="AL248">
        <v>17.920000000000002</v>
      </c>
    </row>
    <row r="249" spans="1:38" x14ac:dyDescent="0.25">
      <c r="A249">
        <v>248</v>
      </c>
      <c r="B249" t="str">
        <f xml:space="preserve"> "000723"</f>
        <v>000723</v>
      </c>
      <c r="C249" t="s">
        <v>1868</v>
      </c>
      <c r="D249">
        <v>8.89</v>
      </c>
      <c r="E249">
        <v>2.2999999999999998</v>
      </c>
      <c r="F249">
        <v>0.2</v>
      </c>
      <c r="G249" t="s">
        <v>459</v>
      </c>
      <c r="H249">
        <v>2120</v>
      </c>
      <c r="I249">
        <v>8.89</v>
      </c>
      <c r="J249">
        <v>8.9</v>
      </c>
      <c r="K249">
        <v>0.23</v>
      </c>
      <c r="L249">
        <v>1.85</v>
      </c>
      <c r="M249" t="s">
        <v>1710</v>
      </c>
      <c r="N249">
        <v>36.36</v>
      </c>
      <c r="O249" t="s">
        <v>150</v>
      </c>
      <c r="P249">
        <v>9.09</v>
      </c>
      <c r="Q249">
        <v>8.7200000000000006</v>
      </c>
      <c r="R249">
        <v>8.73</v>
      </c>
      <c r="S249">
        <v>8.69</v>
      </c>
      <c r="T249">
        <v>4.26</v>
      </c>
      <c r="U249">
        <v>0.81</v>
      </c>
      <c r="V249">
        <v>82.82</v>
      </c>
      <c r="W249" t="s">
        <v>1869</v>
      </c>
      <c r="X249">
        <v>8.9</v>
      </c>
      <c r="Y249" t="s">
        <v>1222</v>
      </c>
      <c r="Z249" t="s">
        <v>1870</v>
      </c>
      <c r="AA249">
        <v>1.03</v>
      </c>
      <c r="AB249">
        <v>7130</v>
      </c>
      <c r="AC249">
        <v>29</v>
      </c>
      <c r="AD249">
        <v>5.08</v>
      </c>
      <c r="AE249" t="s">
        <v>1871</v>
      </c>
      <c r="AF249" t="s">
        <v>237</v>
      </c>
      <c r="AG249" t="s">
        <v>352</v>
      </c>
      <c r="AH249" t="s">
        <v>1872</v>
      </c>
      <c r="AI249">
        <v>0.79</v>
      </c>
      <c r="AJ249">
        <v>3.98</v>
      </c>
      <c r="AK249">
        <v>4.8899999999999997</v>
      </c>
      <c r="AL249">
        <v>13.3</v>
      </c>
    </row>
    <row r="250" spans="1:38" x14ac:dyDescent="0.25">
      <c r="A250">
        <v>249</v>
      </c>
      <c r="B250" t="str">
        <f xml:space="preserve"> "000488"</f>
        <v>000488</v>
      </c>
      <c r="C250" t="s">
        <v>1873</v>
      </c>
      <c r="D250">
        <v>18.829999999999998</v>
      </c>
      <c r="E250">
        <v>1.24</v>
      </c>
      <c r="F250">
        <v>0.23</v>
      </c>
      <c r="G250" t="s">
        <v>1419</v>
      </c>
      <c r="H250">
        <v>2830</v>
      </c>
      <c r="I250">
        <v>18.829999999999998</v>
      </c>
      <c r="J250">
        <v>18.84</v>
      </c>
      <c r="K250">
        <v>0</v>
      </c>
      <c r="L250">
        <v>1.98</v>
      </c>
      <c r="M250" t="s">
        <v>139</v>
      </c>
      <c r="N250">
        <v>10.44</v>
      </c>
      <c r="O250" t="s">
        <v>1874</v>
      </c>
      <c r="P250">
        <v>18.87</v>
      </c>
      <c r="Q250">
        <v>18.41</v>
      </c>
      <c r="R250">
        <v>18.55</v>
      </c>
      <c r="S250">
        <v>18.600000000000001</v>
      </c>
      <c r="T250">
        <v>2.4700000000000002</v>
      </c>
      <c r="U250">
        <v>0.56999999999999995</v>
      </c>
      <c r="V250">
        <v>-25.03</v>
      </c>
      <c r="W250">
        <v>-3019</v>
      </c>
      <c r="X250">
        <v>18.66</v>
      </c>
      <c r="Y250" t="s">
        <v>1270</v>
      </c>
      <c r="Z250" t="s">
        <v>102</v>
      </c>
      <c r="AA250">
        <v>0.92</v>
      </c>
      <c r="AB250">
        <v>1839</v>
      </c>
      <c r="AC250">
        <v>1928</v>
      </c>
      <c r="AD250">
        <v>2.3199999999999998</v>
      </c>
      <c r="AE250" t="s">
        <v>1501</v>
      </c>
      <c r="AF250" t="s">
        <v>237</v>
      </c>
      <c r="AG250" t="s">
        <v>204</v>
      </c>
      <c r="AH250" t="s">
        <v>108</v>
      </c>
      <c r="AI250">
        <v>-4.8499999999999996</v>
      </c>
      <c r="AJ250">
        <v>-2.69</v>
      </c>
      <c r="AK250">
        <v>9.7899999999999991</v>
      </c>
      <c r="AL250">
        <v>19.37</v>
      </c>
    </row>
    <row r="251" spans="1:38" x14ac:dyDescent="0.25">
      <c r="A251">
        <v>250</v>
      </c>
      <c r="B251" t="str">
        <f xml:space="preserve"> "601555"</f>
        <v>601555</v>
      </c>
      <c r="C251" t="s">
        <v>1875</v>
      </c>
      <c r="D251">
        <v>12.12</v>
      </c>
      <c r="E251">
        <v>0.33</v>
      </c>
      <c r="F251">
        <v>0.04</v>
      </c>
      <c r="G251" t="s">
        <v>1876</v>
      </c>
      <c r="H251">
        <v>25</v>
      </c>
      <c r="I251">
        <v>12.12</v>
      </c>
      <c r="J251">
        <v>12.13</v>
      </c>
      <c r="K251">
        <v>0.08</v>
      </c>
      <c r="L251">
        <v>0.27</v>
      </c>
      <c r="M251" t="s">
        <v>1877</v>
      </c>
      <c r="N251">
        <v>42.59</v>
      </c>
      <c r="O251" t="s">
        <v>306</v>
      </c>
      <c r="P251">
        <v>12.16</v>
      </c>
      <c r="Q251">
        <v>12.06</v>
      </c>
      <c r="R251">
        <v>12.1</v>
      </c>
      <c r="S251">
        <v>12.08</v>
      </c>
      <c r="T251">
        <v>0.83</v>
      </c>
      <c r="U251">
        <v>0.55000000000000004</v>
      </c>
      <c r="V251">
        <v>-12.96</v>
      </c>
      <c r="W251">
        <v>-1252</v>
      </c>
      <c r="X251">
        <v>12.11</v>
      </c>
      <c r="Y251" t="s">
        <v>1878</v>
      </c>
      <c r="Z251" t="s">
        <v>1879</v>
      </c>
      <c r="AA251">
        <v>0.96</v>
      </c>
      <c r="AB251">
        <v>352</v>
      </c>
      <c r="AC251">
        <v>790</v>
      </c>
      <c r="AD251">
        <v>1.79</v>
      </c>
      <c r="AE251" t="s">
        <v>1880</v>
      </c>
      <c r="AF251" t="s">
        <v>1881</v>
      </c>
      <c r="AG251" t="s">
        <v>863</v>
      </c>
      <c r="AH251" t="s">
        <v>1882</v>
      </c>
      <c r="AI251">
        <v>-0.98</v>
      </c>
      <c r="AJ251">
        <v>0</v>
      </c>
      <c r="AK251">
        <v>1.04</v>
      </c>
      <c r="AL251">
        <v>2.67</v>
      </c>
    </row>
    <row r="252" spans="1:38" x14ac:dyDescent="0.25">
      <c r="A252">
        <v>251</v>
      </c>
      <c r="B252" t="str">
        <f xml:space="preserve"> "600998"</f>
        <v>600998</v>
      </c>
      <c r="C252" t="s">
        <v>1883</v>
      </c>
      <c r="D252">
        <v>21.42</v>
      </c>
      <c r="E252">
        <v>1.23</v>
      </c>
      <c r="F252">
        <v>0.26</v>
      </c>
      <c r="G252" t="s">
        <v>1884</v>
      </c>
      <c r="H252">
        <v>10</v>
      </c>
      <c r="I252">
        <v>21.43</v>
      </c>
      <c r="J252">
        <v>21.44</v>
      </c>
      <c r="K252">
        <v>-0.05</v>
      </c>
      <c r="L252">
        <v>0.25</v>
      </c>
      <c r="M252" t="s">
        <v>1885</v>
      </c>
      <c r="N252">
        <v>22.9</v>
      </c>
      <c r="O252" t="s">
        <v>392</v>
      </c>
      <c r="P252">
        <v>21.65</v>
      </c>
      <c r="Q252">
        <v>20.97</v>
      </c>
      <c r="R252">
        <v>21.27</v>
      </c>
      <c r="S252">
        <v>21.16</v>
      </c>
      <c r="T252">
        <v>3.21</v>
      </c>
      <c r="U252">
        <v>1.1100000000000001</v>
      </c>
      <c r="V252">
        <v>-34.32</v>
      </c>
      <c r="W252">
        <v>-348</v>
      </c>
      <c r="X252">
        <v>21.49</v>
      </c>
      <c r="Y252" t="s">
        <v>1886</v>
      </c>
      <c r="Z252" t="s">
        <v>1887</v>
      </c>
      <c r="AA252">
        <v>0.78</v>
      </c>
      <c r="AB252">
        <v>13</v>
      </c>
      <c r="AC252">
        <v>28</v>
      </c>
      <c r="AD252">
        <v>3.7</v>
      </c>
      <c r="AE252" t="s">
        <v>909</v>
      </c>
      <c r="AF252" t="s">
        <v>1888</v>
      </c>
      <c r="AG252" t="s">
        <v>1889</v>
      </c>
      <c r="AH252" t="s">
        <v>1890</v>
      </c>
      <c r="AI252">
        <v>1.85</v>
      </c>
      <c r="AJ252">
        <v>4.79</v>
      </c>
      <c r="AK252">
        <v>0.89</v>
      </c>
      <c r="AL252">
        <v>1.36</v>
      </c>
    </row>
    <row r="253" spans="1:38" x14ac:dyDescent="0.25">
      <c r="A253">
        <v>252</v>
      </c>
      <c r="B253" t="str">
        <f xml:space="preserve"> "002050"</f>
        <v>002050</v>
      </c>
      <c r="C253" t="s">
        <v>1891</v>
      </c>
      <c r="D253">
        <v>17.12</v>
      </c>
      <c r="E253">
        <v>5.48</v>
      </c>
      <c r="F253">
        <v>0.89</v>
      </c>
      <c r="G253" t="s">
        <v>1892</v>
      </c>
      <c r="H253">
        <v>1992</v>
      </c>
      <c r="I253">
        <v>17.11</v>
      </c>
      <c r="J253">
        <v>17.12</v>
      </c>
      <c r="K253">
        <v>0.06</v>
      </c>
      <c r="L253">
        <v>1.59</v>
      </c>
      <c r="M253" t="s">
        <v>1893</v>
      </c>
      <c r="N253">
        <v>35.39</v>
      </c>
      <c r="O253" t="s">
        <v>215</v>
      </c>
      <c r="P253">
        <v>17.2</v>
      </c>
      <c r="Q253">
        <v>16.57</v>
      </c>
      <c r="R253">
        <v>16.59</v>
      </c>
      <c r="S253">
        <v>16.23</v>
      </c>
      <c r="T253">
        <v>3.88</v>
      </c>
      <c r="U253">
        <v>1.79</v>
      </c>
      <c r="V253">
        <v>-13.95</v>
      </c>
      <c r="W253">
        <v>-235</v>
      </c>
      <c r="X253">
        <v>16.88</v>
      </c>
      <c r="Y253" t="s">
        <v>1894</v>
      </c>
      <c r="Z253" t="s">
        <v>1895</v>
      </c>
      <c r="AA253">
        <v>0.56000000000000005</v>
      </c>
      <c r="AB253">
        <v>249</v>
      </c>
      <c r="AC253">
        <v>109</v>
      </c>
      <c r="AD253">
        <v>4.87</v>
      </c>
      <c r="AE253" t="s">
        <v>1896</v>
      </c>
      <c r="AF253" t="s">
        <v>1888</v>
      </c>
      <c r="AG253" t="s">
        <v>1897</v>
      </c>
      <c r="AH253" t="s">
        <v>1898</v>
      </c>
      <c r="AI253">
        <v>9.6</v>
      </c>
      <c r="AJ253">
        <v>6.01</v>
      </c>
      <c r="AK253">
        <v>3.64</v>
      </c>
      <c r="AL253">
        <v>6.03</v>
      </c>
    </row>
    <row r="254" spans="1:38" x14ac:dyDescent="0.25">
      <c r="A254">
        <v>253</v>
      </c>
      <c r="B254" t="str">
        <f xml:space="preserve"> "600498"</f>
        <v>600498</v>
      </c>
      <c r="C254" t="s">
        <v>1899</v>
      </c>
      <c r="D254">
        <v>32.51</v>
      </c>
      <c r="E254">
        <v>0.4</v>
      </c>
      <c r="F254">
        <v>0.13</v>
      </c>
      <c r="G254" t="s">
        <v>1105</v>
      </c>
      <c r="H254">
        <v>8</v>
      </c>
      <c r="I254">
        <v>32.51</v>
      </c>
      <c r="J254">
        <v>32.53</v>
      </c>
      <c r="K254">
        <v>0.37</v>
      </c>
      <c r="L254">
        <v>1.62</v>
      </c>
      <c r="M254" t="s">
        <v>1900</v>
      </c>
      <c r="N254">
        <v>40.28</v>
      </c>
      <c r="O254" t="s">
        <v>580</v>
      </c>
      <c r="P254">
        <v>33.1</v>
      </c>
      <c r="Q254">
        <v>31.83</v>
      </c>
      <c r="R254">
        <v>32.17</v>
      </c>
      <c r="S254">
        <v>32.380000000000003</v>
      </c>
      <c r="T254">
        <v>3.92</v>
      </c>
      <c r="U254">
        <v>0.53</v>
      </c>
      <c r="V254">
        <v>-47.24</v>
      </c>
      <c r="W254">
        <v>-317</v>
      </c>
      <c r="X254">
        <v>32.67</v>
      </c>
      <c r="Y254" t="s">
        <v>1901</v>
      </c>
      <c r="Z254" t="s">
        <v>1902</v>
      </c>
      <c r="AA254">
        <v>1.08</v>
      </c>
      <c r="AB254">
        <v>1</v>
      </c>
      <c r="AC254">
        <v>143</v>
      </c>
      <c r="AD254">
        <v>4.12</v>
      </c>
      <c r="AE254" t="s">
        <v>204</v>
      </c>
      <c r="AF254" t="s">
        <v>1903</v>
      </c>
      <c r="AG254" t="s">
        <v>262</v>
      </c>
      <c r="AH254" t="s">
        <v>1904</v>
      </c>
      <c r="AI254">
        <v>-0.73</v>
      </c>
      <c r="AJ254">
        <v>1.91</v>
      </c>
      <c r="AK254">
        <v>6.56</v>
      </c>
      <c r="AL254">
        <v>16.86</v>
      </c>
    </row>
    <row r="255" spans="1:38" x14ac:dyDescent="0.25">
      <c r="A255">
        <v>254</v>
      </c>
      <c r="B255" t="str">
        <f xml:space="preserve"> "000402"</f>
        <v>000402</v>
      </c>
      <c r="C255" t="s">
        <v>1905</v>
      </c>
      <c r="D255">
        <v>12.07</v>
      </c>
      <c r="E255">
        <v>0.84</v>
      </c>
      <c r="F255">
        <v>0.1</v>
      </c>
      <c r="G255" t="s">
        <v>1906</v>
      </c>
      <c r="H255">
        <v>909</v>
      </c>
      <c r="I255">
        <v>12.07</v>
      </c>
      <c r="J255">
        <v>12.08</v>
      </c>
      <c r="K255">
        <v>-0.08</v>
      </c>
      <c r="L255">
        <v>0.28999999999999998</v>
      </c>
      <c r="M255" t="s">
        <v>1907</v>
      </c>
      <c r="N255">
        <v>16.989999999999998</v>
      </c>
      <c r="O255" t="s">
        <v>244</v>
      </c>
      <c r="P255">
        <v>12.09</v>
      </c>
      <c r="Q255">
        <v>11.93</v>
      </c>
      <c r="R255">
        <v>11.93</v>
      </c>
      <c r="S255">
        <v>11.97</v>
      </c>
      <c r="T255">
        <v>1.34</v>
      </c>
      <c r="U255">
        <v>0.46</v>
      </c>
      <c r="V255">
        <v>-28.74</v>
      </c>
      <c r="W255">
        <v>-3273</v>
      </c>
      <c r="X255">
        <v>12.04</v>
      </c>
      <c r="Y255" t="s">
        <v>1908</v>
      </c>
      <c r="Z255" t="s">
        <v>1909</v>
      </c>
      <c r="AA255">
        <v>0.59</v>
      </c>
      <c r="AB255">
        <v>1622</v>
      </c>
      <c r="AC255">
        <v>2377</v>
      </c>
      <c r="AD255">
        <v>1.3</v>
      </c>
      <c r="AE255" t="s">
        <v>1910</v>
      </c>
      <c r="AF255" t="s">
        <v>1911</v>
      </c>
      <c r="AG255" t="s">
        <v>1910</v>
      </c>
      <c r="AH255" t="s">
        <v>1911</v>
      </c>
      <c r="AI255">
        <v>-0.17</v>
      </c>
      <c r="AJ255">
        <v>-2.11</v>
      </c>
      <c r="AK255">
        <v>1.3</v>
      </c>
      <c r="AL255">
        <v>3.46</v>
      </c>
    </row>
    <row r="256" spans="1:38" x14ac:dyDescent="0.25">
      <c r="A256">
        <v>255</v>
      </c>
      <c r="B256" t="str">
        <f xml:space="preserve"> "000157"</f>
        <v>000157</v>
      </c>
      <c r="C256" t="s">
        <v>1912</v>
      </c>
      <c r="D256">
        <v>4.72</v>
      </c>
      <c r="E256">
        <v>0.64</v>
      </c>
      <c r="F256">
        <v>0.03</v>
      </c>
      <c r="G256" t="s">
        <v>1913</v>
      </c>
      <c r="H256" t="s">
        <v>1685</v>
      </c>
      <c r="I256">
        <v>4.71</v>
      </c>
      <c r="J256">
        <v>4.72</v>
      </c>
      <c r="K256">
        <v>0.21</v>
      </c>
      <c r="L256">
        <v>0.74</v>
      </c>
      <c r="M256" t="s">
        <v>1914</v>
      </c>
      <c r="N256">
        <v>15.9</v>
      </c>
      <c r="O256" t="s">
        <v>648</v>
      </c>
      <c r="P256">
        <v>4.75</v>
      </c>
      <c r="Q256">
        <v>4.66</v>
      </c>
      <c r="R256">
        <v>4.68</v>
      </c>
      <c r="S256">
        <v>4.6900000000000004</v>
      </c>
      <c r="T256">
        <v>1.92</v>
      </c>
      <c r="U256">
        <v>0.94</v>
      </c>
      <c r="V256">
        <v>-53.29</v>
      </c>
      <c r="W256" t="s">
        <v>1915</v>
      </c>
      <c r="X256">
        <v>4.71</v>
      </c>
      <c r="Y256" t="s">
        <v>1211</v>
      </c>
      <c r="Z256" t="s">
        <v>1916</v>
      </c>
      <c r="AA256">
        <v>0.68</v>
      </c>
      <c r="AB256">
        <v>5608</v>
      </c>
      <c r="AC256">
        <v>4168</v>
      </c>
      <c r="AD256">
        <v>1</v>
      </c>
      <c r="AE256" t="s">
        <v>1917</v>
      </c>
      <c r="AF256" t="s">
        <v>1918</v>
      </c>
      <c r="AG256" t="s">
        <v>1919</v>
      </c>
      <c r="AH256" t="s">
        <v>162</v>
      </c>
      <c r="AI256">
        <v>0.85</v>
      </c>
      <c r="AJ256">
        <v>5.59</v>
      </c>
      <c r="AK256">
        <v>1.97</v>
      </c>
      <c r="AL256">
        <v>4.6399999999999997</v>
      </c>
    </row>
    <row r="257" spans="1:38" x14ac:dyDescent="0.25">
      <c r="A257">
        <v>256</v>
      </c>
      <c r="B257" t="str">
        <f xml:space="preserve"> "300296"</f>
        <v>300296</v>
      </c>
      <c r="C257" t="s">
        <v>1920</v>
      </c>
      <c r="D257">
        <v>22.08</v>
      </c>
      <c r="E257">
        <v>2.3199999999999998</v>
      </c>
      <c r="F257">
        <v>0.5</v>
      </c>
      <c r="G257" t="s">
        <v>1921</v>
      </c>
      <c r="H257">
        <v>2892</v>
      </c>
      <c r="I257">
        <v>22.08</v>
      </c>
      <c r="J257">
        <v>22.09</v>
      </c>
      <c r="K257">
        <v>-0.09</v>
      </c>
      <c r="L257">
        <v>1.87</v>
      </c>
      <c r="M257" t="s">
        <v>1922</v>
      </c>
      <c r="N257">
        <v>48.48</v>
      </c>
      <c r="O257" t="s">
        <v>380</v>
      </c>
      <c r="P257">
        <v>22.38</v>
      </c>
      <c r="Q257">
        <v>21.46</v>
      </c>
      <c r="R257">
        <v>21.5</v>
      </c>
      <c r="S257">
        <v>21.58</v>
      </c>
      <c r="T257">
        <v>4.26</v>
      </c>
      <c r="U257">
        <v>1.35</v>
      </c>
      <c r="V257">
        <v>-67.180000000000007</v>
      </c>
      <c r="W257">
        <v>-1195</v>
      </c>
      <c r="X257">
        <v>22.04</v>
      </c>
      <c r="Y257" t="s">
        <v>1923</v>
      </c>
      <c r="Z257" t="s">
        <v>1222</v>
      </c>
      <c r="AA257">
        <v>0.79</v>
      </c>
      <c r="AB257">
        <v>9</v>
      </c>
      <c r="AC257">
        <v>26</v>
      </c>
      <c r="AD257">
        <v>7.57</v>
      </c>
      <c r="AE257" t="s">
        <v>1464</v>
      </c>
      <c r="AF257" t="s">
        <v>1918</v>
      </c>
      <c r="AG257" t="s">
        <v>1924</v>
      </c>
      <c r="AH257" t="s">
        <v>1925</v>
      </c>
      <c r="AI257">
        <v>4.5</v>
      </c>
      <c r="AJ257">
        <v>13.06</v>
      </c>
      <c r="AK257">
        <v>4.3099999999999996</v>
      </c>
      <c r="AL257">
        <v>8.8000000000000007</v>
      </c>
    </row>
    <row r="258" spans="1:38" x14ac:dyDescent="0.25">
      <c r="A258">
        <v>257</v>
      </c>
      <c r="B258" t="str">
        <f xml:space="preserve"> "600219"</f>
        <v>600219</v>
      </c>
      <c r="C258" t="s">
        <v>1926</v>
      </c>
      <c r="D258">
        <v>3.88</v>
      </c>
      <c r="E258">
        <v>1.04</v>
      </c>
      <c r="F258">
        <v>0.04</v>
      </c>
      <c r="G258" t="s">
        <v>1927</v>
      </c>
      <c r="H258">
        <v>1004</v>
      </c>
      <c r="I258">
        <v>3.87</v>
      </c>
      <c r="J258">
        <v>3.88</v>
      </c>
      <c r="K258">
        <v>0</v>
      </c>
      <c r="L258">
        <v>0.89</v>
      </c>
      <c r="M258" t="s">
        <v>1928</v>
      </c>
      <c r="N258">
        <v>24.2</v>
      </c>
      <c r="O258" t="s">
        <v>449</v>
      </c>
      <c r="P258">
        <v>3.89</v>
      </c>
      <c r="Q258">
        <v>3.83</v>
      </c>
      <c r="R258">
        <v>3.85</v>
      </c>
      <c r="S258">
        <v>3.84</v>
      </c>
      <c r="T258">
        <v>1.56</v>
      </c>
      <c r="U258">
        <v>0.57999999999999996</v>
      </c>
      <c r="V258">
        <v>0.6</v>
      </c>
      <c r="W258">
        <v>1330</v>
      </c>
      <c r="X258">
        <v>3.86</v>
      </c>
      <c r="Y258" t="s">
        <v>600</v>
      </c>
      <c r="Z258" t="s">
        <v>1929</v>
      </c>
      <c r="AA258">
        <v>0.72</v>
      </c>
      <c r="AB258" t="s">
        <v>1349</v>
      </c>
      <c r="AC258" t="s">
        <v>1683</v>
      </c>
      <c r="AD258">
        <v>1.1399999999999999</v>
      </c>
      <c r="AE258" t="s">
        <v>1930</v>
      </c>
      <c r="AF258" t="s">
        <v>1931</v>
      </c>
      <c r="AG258" t="s">
        <v>1932</v>
      </c>
      <c r="AH258" t="s">
        <v>1933</v>
      </c>
      <c r="AI258">
        <v>-1.77</v>
      </c>
      <c r="AJ258">
        <v>-2.76</v>
      </c>
      <c r="AK258">
        <v>4.46</v>
      </c>
      <c r="AL258">
        <v>8.57</v>
      </c>
    </row>
    <row r="259" spans="1:38" x14ac:dyDescent="0.25">
      <c r="A259">
        <v>258</v>
      </c>
      <c r="B259" t="str">
        <f xml:space="preserve"> "000408"</f>
        <v>000408</v>
      </c>
      <c r="C259" t="s">
        <v>1934</v>
      </c>
      <c r="D259">
        <v>17.32</v>
      </c>
      <c r="E259">
        <v>0.35</v>
      </c>
      <c r="F259">
        <v>0.06</v>
      </c>
      <c r="G259" t="s">
        <v>337</v>
      </c>
      <c r="H259">
        <v>1378</v>
      </c>
      <c r="I259">
        <v>17.32</v>
      </c>
      <c r="J259">
        <v>17.329999999999998</v>
      </c>
      <c r="K259">
        <v>0</v>
      </c>
      <c r="L259">
        <v>2.5099999999999998</v>
      </c>
      <c r="M259" t="s">
        <v>1935</v>
      </c>
      <c r="N259">
        <v>57.04</v>
      </c>
      <c r="O259" t="s">
        <v>1936</v>
      </c>
      <c r="P259">
        <v>17.48</v>
      </c>
      <c r="Q259">
        <v>17.190000000000001</v>
      </c>
      <c r="R259">
        <v>17.309999999999999</v>
      </c>
      <c r="S259">
        <v>17.260000000000002</v>
      </c>
      <c r="T259">
        <v>1.68</v>
      </c>
      <c r="U259">
        <v>0.63</v>
      </c>
      <c r="V259">
        <v>-64.58</v>
      </c>
      <c r="W259">
        <v>-1313</v>
      </c>
      <c r="X259">
        <v>17.34</v>
      </c>
      <c r="Y259" t="s">
        <v>1937</v>
      </c>
      <c r="Z259" t="s">
        <v>1938</v>
      </c>
      <c r="AA259">
        <v>0.96</v>
      </c>
      <c r="AB259">
        <v>23</v>
      </c>
      <c r="AC259">
        <v>299</v>
      </c>
      <c r="AD259">
        <v>5.76</v>
      </c>
      <c r="AE259" t="s">
        <v>666</v>
      </c>
      <c r="AF259" t="s">
        <v>1931</v>
      </c>
      <c r="AG259" t="s">
        <v>252</v>
      </c>
      <c r="AH259" t="s">
        <v>1788</v>
      </c>
      <c r="AI259">
        <v>-4.78</v>
      </c>
      <c r="AJ259">
        <v>-9.51</v>
      </c>
      <c r="AK259">
        <v>10.51</v>
      </c>
      <c r="AL259">
        <v>22.63</v>
      </c>
    </row>
    <row r="260" spans="1:38" x14ac:dyDescent="0.25">
      <c r="A260">
        <v>259</v>
      </c>
      <c r="B260" t="str">
        <f xml:space="preserve"> "002065"</f>
        <v>002065</v>
      </c>
      <c r="C260" t="s">
        <v>1939</v>
      </c>
      <c r="D260">
        <v>11.41</v>
      </c>
      <c r="E260">
        <v>0.53</v>
      </c>
      <c r="F260">
        <v>0.06</v>
      </c>
      <c r="G260" t="s">
        <v>1940</v>
      </c>
      <c r="H260">
        <v>4214</v>
      </c>
      <c r="I260">
        <v>11.41</v>
      </c>
      <c r="J260">
        <v>11.42</v>
      </c>
      <c r="K260">
        <v>0</v>
      </c>
      <c r="L260">
        <v>1.76</v>
      </c>
      <c r="M260" t="s">
        <v>1941</v>
      </c>
      <c r="N260">
        <v>29.24</v>
      </c>
      <c r="O260" t="s">
        <v>893</v>
      </c>
      <c r="P260">
        <v>11.5</v>
      </c>
      <c r="Q260">
        <v>11.08</v>
      </c>
      <c r="R260">
        <v>11.34</v>
      </c>
      <c r="S260">
        <v>11.35</v>
      </c>
      <c r="T260">
        <v>3.7</v>
      </c>
      <c r="U260">
        <v>1.26</v>
      </c>
      <c r="V260">
        <v>-20.82</v>
      </c>
      <c r="W260">
        <v>-2608</v>
      </c>
      <c r="X260">
        <v>11.32</v>
      </c>
      <c r="Y260" t="s">
        <v>1942</v>
      </c>
      <c r="Z260" t="s">
        <v>1943</v>
      </c>
      <c r="AA260">
        <v>0.88</v>
      </c>
      <c r="AB260">
        <v>1793</v>
      </c>
      <c r="AC260">
        <v>2133</v>
      </c>
      <c r="AD260">
        <v>4.05</v>
      </c>
      <c r="AE260" t="s">
        <v>1944</v>
      </c>
      <c r="AF260" t="s">
        <v>1945</v>
      </c>
      <c r="AG260" t="s">
        <v>1408</v>
      </c>
      <c r="AH260" t="s">
        <v>229</v>
      </c>
      <c r="AI260">
        <v>-1.72</v>
      </c>
      <c r="AJ260">
        <v>1.1499999999999999</v>
      </c>
      <c r="AK260">
        <v>4.2300000000000004</v>
      </c>
      <c r="AL260">
        <v>8.73</v>
      </c>
    </row>
    <row r="261" spans="1:38" x14ac:dyDescent="0.25">
      <c r="A261">
        <v>260</v>
      </c>
      <c r="B261" t="str">
        <f xml:space="preserve"> "600436"</f>
        <v>600436</v>
      </c>
      <c r="C261" t="s">
        <v>1946</v>
      </c>
      <c r="D261">
        <v>59.26</v>
      </c>
      <c r="E261">
        <v>-1.46</v>
      </c>
      <c r="F261">
        <v>-0.88</v>
      </c>
      <c r="G261" t="s">
        <v>1947</v>
      </c>
      <c r="H261">
        <v>4</v>
      </c>
      <c r="I261">
        <v>59.26</v>
      </c>
      <c r="J261">
        <v>59.27</v>
      </c>
      <c r="K261">
        <v>-0.22</v>
      </c>
      <c r="L261">
        <v>0.77</v>
      </c>
      <c r="M261" t="s">
        <v>1948</v>
      </c>
      <c r="N261">
        <v>41.27</v>
      </c>
      <c r="O261" t="s">
        <v>392</v>
      </c>
      <c r="P261">
        <v>60.38</v>
      </c>
      <c r="Q261">
        <v>59.2</v>
      </c>
      <c r="R261">
        <v>60.12</v>
      </c>
      <c r="S261">
        <v>60.14</v>
      </c>
      <c r="T261">
        <v>1.96</v>
      </c>
      <c r="U261">
        <v>0.63</v>
      </c>
      <c r="V261">
        <v>-86.89</v>
      </c>
      <c r="W261">
        <v>-424</v>
      </c>
      <c r="X261">
        <v>59.68</v>
      </c>
      <c r="Y261" t="s">
        <v>1949</v>
      </c>
      <c r="Z261" t="s">
        <v>1950</v>
      </c>
      <c r="AA261">
        <v>1.71</v>
      </c>
      <c r="AB261">
        <v>8</v>
      </c>
      <c r="AC261">
        <v>2</v>
      </c>
      <c r="AD261">
        <v>9.5</v>
      </c>
      <c r="AE261" t="s">
        <v>1951</v>
      </c>
      <c r="AF261" t="s">
        <v>1945</v>
      </c>
      <c r="AG261" t="s">
        <v>1951</v>
      </c>
      <c r="AH261" t="s">
        <v>1945</v>
      </c>
      <c r="AI261">
        <v>-0.3</v>
      </c>
      <c r="AJ261">
        <v>0.42</v>
      </c>
      <c r="AK261">
        <v>3.01</v>
      </c>
      <c r="AL261">
        <v>6.92</v>
      </c>
    </row>
    <row r="262" spans="1:38" x14ac:dyDescent="0.25">
      <c r="A262">
        <v>261</v>
      </c>
      <c r="B262" t="str">
        <f xml:space="preserve"> "601333"</f>
        <v>601333</v>
      </c>
      <c r="C262" t="s">
        <v>1952</v>
      </c>
      <c r="D262">
        <v>5.03</v>
      </c>
      <c r="E262">
        <v>-0.59</v>
      </c>
      <c r="F262">
        <v>-0.03</v>
      </c>
      <c r="G262" t="s">
        <v>840</v>
      </c>
      <c r="H262">
        <v>5</v>
      </c>
      <c r="I262">
        <v>5.03</v>
      </c>
      <c r="J262">
        <v>5.04</v>
      </c>
      <c r="K262">
        <v>-0.2</v>
      </c>
      <c r="L262">
        <v>0.35</v>
      </c>
      <c r="M262" t="s">
        <v>1953</v>
      </c>
      <c r="N262">
        <v>35.020000000000003</v>
      </c>
      <c r="O262" t="s">
        <v>274</v>
      </c>
      <c r="P262">
        <v>5.07</v>
      </c>
      <c r="Q262">
        <v>4.99</v>
      </c>
      <c r="R262">
        <v>5.0599999999999996</v>
      </c>
      <c r="S262">
        <v>5.0599999999999996</v>
      </c>
      <c r="T262">
        <v>1.58</v>
      </c>
      <c r="U262">
        <v>1</v>
      </c>
      <c r="V262">
        <v>46.6</v>
      </c>
      <c r="W262" t="s">
        <v>1954</v>
      </c>
      <c r="X262">
        <v>5.03</v>
      </c>
      <c r="Y262" t="s">
        <v>132</v>
      </c>
      <c r="Z262" t="s">
        <v>1568</v>
      </c>
      <c r="AA262">
        <v>1.49</v>
      </c>
      <c r="AB262">
        <v>3332</v>
      </c>
      <c r="AC262">
        <v>6488</v>
      </c>
      <c r="AD262">
        <v>1.3</v>
      </c>
      <c r="AE262" t="s">
        <v>1955</v>
      </c>
      <c r="AF262" t="s">
        <v>1956</v>
      </c>
      <c r="AG262" t="s">
        <v>1957</v>
      </c>
      <c r="AH262" t="s">
        <v>1958</v>
      </c>
      <c r="AI262">
        <v>-2.14</v>
      </c>
      <c r="AJ262">
        <v>-0.2</v>
      </c>
      <c r="AK262">
        <v>1.06</v>
      </c>
      <c r="AL262">
        <v>2.1</v>
      </c>
    </row>
    <row r="263" spans="1:38" x14ac:dyDescent="0.25">
      <c r="A263">
        <v>262</v>
      </c>
      <c r="B263" t="str">
        <f xml:space="preserve"> "600271"</f>
        <v>600271</v>
      </c>
      <c r="C263" t="s">
        <v>1959</v>
      </c>
      <c r="D263">
        <v>19.100000000000001</v>
      </c>
      <c r="E263">
        <v>-0.52</v>
      </c>
      <c r="F263">
        <v>-0.1</v>
      </c>
      <c r="G263" t="s">
        <v>1842</v>
      </c>
      <c r="H263">
        <v>2</v>
      </c>
      <c r="I263">
        <v>19.100000000000001</v>
      </c>
      <c r="J263">
        <v>19.13</v>
      </c>
      <c r="K263">
        <v>-0.16</v>
      </c>
      <c r="L263">
        <v>0.34</v>
      </c>
      <c r="M263" t="s">
        <v>60</v>
      </c>
      <c r="N263">
        <v>30.61</v>
      </c>
      <c r="O263" t="s">
        <v>893</v>
      </c>
      <c r="P263">
        <v>19.22</v>
      </c>
      <c r="Q263">
        <v>19.05</v>
      </c>
      <c r="R263">
        <v>19.21</v>
      </c>
      <c r="S263">
        <v>19.2</v>
      </c>
      <c r="T263">
        <v>0.89</v>
      </c>
      <c r="U263">
        <v>0.82</v>
      </c>
      <c r="V263">
        <v>39.450000000000003</v>
      </c>
      <c r="W263">
        <v>1110</v>
      </c>
      <c r="X263">
        <v>19.11</v>
      </c>
      <c r="Y263" t="s">
        <v>1960</v>
      </c>
      <c r="Z263" t="s">
        <v>1961</v>
      </c>
      <c r="AA263">
        <v>1.6</v>
      </c>
      <c r="AB263">
        <v>20</v>
      </c>
      <c r="AC263">
        <v>130</v>
      </c>
      <c r="AD263">
        <v>3.91</v>
      </c>
      <c r="AE263" t="s">
        <v>1200</v>
      </c>
      <c r="AF263" t="s">
        <v>1956</v>
      </c>
      <c r="AG263" t="s">
        <v>1674</v>
      </c>
      <c r="AH263" t="s">
        <v>1890</v>
      </c>
      <c r="AI263">
        <v>-1.19</v>
      </c>
      <c r="AJ263">
        <v>0.95</v>
      </c>
      <c r="AK263">
        <v>1.03</v>
      </c>
      <c r="AL263">
        <v>2.41</v>
      </c>
    </row>
    <row r="264" spans="1:38" x14ac:dyDescent="0.25">
      <c r="A264">
        <v>263</v>
      </c>
      <c r="B264" t="str">
        <f xml:space="preserve"> "002075"</f>
        <v>002075</v>
      </c>
      <c r="C264" t="s">
        <v>1962</v>
      </c>
      <c r="D264" t="s">
        <v>616</v>
      </c>
      <c r="E264" t="s">
        <v>616</v>
      </c>
      <c r="F264" t="s">
        <v>616</v>
      </c>
      <c r="G264" t="s">
        <v>616</v>
      </c>
      <c r="H264" t="s">
        <v>616</v>
      </c>
      <c r="I264" t="s">
        <v>616</v>
      </c>
      <c r="J264" t="s">
        <v>616</v>
      </c>
      <c r="K264" t="s">
        <v>616</v>
      </c>
      <c r="L264" t="s">
        <v>616</v>
      </c>
      <c r="M264" t="s">
        <v>616</v>
      </c>
      <c r="N264">
        <v>94.1</v>
      </c>
      <c r="O264" t="s">
        <v>416</v>
      </c>
      <c r="P264" t="s">
        <v>616</v>
      </c>
      <c r="Q264" t="s">
        <v>616</v>
      </c>
      <c r="R264" t="s">
        <v>616</v>
      </c>
      <c r="S264">
        <v>16.12</v>
      </c>
      <c r="T264" t="s">
        <v>616</v>
      </c>
      <c r="U264" t="s">
        <v>616</v>
      </c>
      <c r="V264" t="s">
        <v>616</v>
      </c>
      <c r="W264" t="s">
        <v>616</v>
      </c>
      <c r="X264" t="s">
        <v>616</v>
      </c>
      <c r="Y264" t="s">
        <v>616</v>
      </c>
      <c r="Z264" t="s">
        <v>616</v>
      </c>
      <c r="AA264" t="s">
        <v>616</v>
      </c>
      <c r="AB264" t="s">
        <v>616</v>
      </c>
      <c r="AC264" t="s">
        <v>616</v>
      </c>
      <c r="AD264">
        <v>12.19</v>
      </c>
      <c r="AE264" t="s">
        <v>1254</v>
      </c>
      <c r="AF264" t="s">
        <v>1956</v>
      </c>
      <c r="AG264" t="s">
        <v>1254</v>
      </c>
      <c r="AH264" t="s">
        <v>1956</v>
      </c>
      <c r="AI264">
        <v>0</v>
      </c>
      <c r="AJ264">
        <v>0</v>
      </c>
      <c r="AK264">
        <v>0</v>
      </c>
      <c r="AL264">
        <v>0</v>
      </c>
    </row>
    <row r="265" spans="1:38" x14ac:dyDescent="0.25">
      <c r="A265">
        <v>264</v>
      </c>
      <c r="B265" t="str">
        <f xml:space="preserve"> "600109"</f>
        <v>600109</v>
      </c>
      <c r="C265" t="s">
        <v>1963</v>
      </c>
      <c r="D265">
        <v>11.75</v>
      </c>
      <c r="E265">
        <v>0.6</v>
      </c>
      <c r="F265">
        <v>7.0000000000000007E-2</v>
      </c>
      <c r="G265" t="s">
        <v>1964</v>
      </c>
      <c r="H265">
        <v>40</v>
      </c>
      <c r="I265">
        <v>11.75</v>
      </c>
      <c r="J265">
        <v>11.76</v>
      </c>
      <c r="K265">
        <v>0.09</v>
      </c>
      <c r="L265">
        <v>0.56000000000000005</v>
      </c>
      <c r="M265" t="s">
        <v>1965</v>
      </c>
      <c r="N265">
        <v>32.29</v>
      </c>
      <c r="O265" t="s">
        <v>306</v>
      </c>
      <c r="P265">
        <v>11.77</v>
      </c>
      <c r="Q265">
        <v>11.65</v>
      </c>
      <c r="R265">
        <v>11.71</v>
      </c>
      <c r="S265">
        <v>11.68</v>
      </c>
      <c r="T265">
        <v>1.03</v>
      </c>
      <c r="U265">
        <v>0.62</v>
      </c>
      <c r="V265">
        <v>-28.35</v>
      </c>
      <c r="W265">
        <v>-4860</v>
      </c>
      <c r="X265">
        <v>11.72</v>
      </c>
      <c r="Y265" t="s">
        <v>1966</v>
      </c>
      <c r="Z265" t="s">
        <v>1967</v>
      </c>
      <c r="AA265">
        <v>0.87</v>
      </c>
      <c r="AB265">
        <v>55</v>
      </c>
      <c r="AC265">
        <v>118</v>
      </c>
      <c r="AD265">
        <v>1.97</v>
      </c>
      <c r="AE265" t="s">
        <v>1968</v>
      </c>
      <c r="AF265" t="s">
        <v>1969</v>
      </c>
      <c r="AG265" t="s">
        <v>1968</v>
      </c>
      <c r="AH265" t="s">
        <v>1969</v>
      </c>
      <c r="AI265">
        <v>-0.09</v>
      </c>
      <c r="AJ265">
        <v>0.69</v>
      </c>
      <c r="AK265">
        <v>1.66</v>
      </c>
      <c r="AL265">
        <v>5.0599999999999996</v>
      </c>
    </row>
    <row r="266" spans="1:38" x14ac:dyDescent="0.25">
      <c r="A266">
        <v>265</v>
      </c>
      <c r="B266" t="str">
        <f xml:space="preserve"> "600177"</f>
        <v>600177</v>
      </c>
      <c r="C266" t="s">
        <v>1970</v>
      </c>
      <c r="D266">
        <v>9.92</v>
      </c>
      <c r="E266">
        <v>0.51</v>
      </c>
      <c r="F266">
        <v>0.05</v>
      </c>
      <c r="G266" t="s">
        <v>1971</v>
      </c>
      <c r="H266">
        <v>13</v>
      </c>
      <c r="I266">
        <v>9.91</v>
      </c>
      <c r="J266">
        <v>9.92</v>
      </c>
      <c r="K266">
        <v>0</v>
      </c>
      <c r="L266">
        <v>0.21</v>
      </c>
      <c r="M266" t="s">
        <v>1972</v>
      </c>
      <c r="N266">
        <v>8.68</v>
      </c>
      <c r="O266" t="s">
        <v>244</v>
      </c>
      <c r="P266">
        <v>9.92</v>
      </c>
      <c r="Q266">
        <v>9.85</v>
      </c>
      <c r="R266">
        <v>9.86</v>
      </c>
      <c r="S266">
        <v>9.8699999999999992</v>
      </c>
      <c r="T266">
        <v>0.71</v>
      </c>
      <c r="U266">
        <v>0.62</v>
      </c>
      <c r="V266">
        <v>-18.16</v>
      </c>
      <c r="W266">
        <v>-4100</v>
      </c>
      <c r="X266">
        <v>9.89</v>
      </c>
      <c r="Y266" t="s">
        <v>1973</v>
      </c>
      <c r="Z266" t="s">
        <v>1974</v>
      </c>
      <c r="AA266">
        <v>0.71</v>
      </c>
      <c r="AB266">
        <v>249</v>
      </c>
      <c r="AC266">
        <v>3676</v>
      </c>
      <c r="AD266">
        <v>1.52</v>
      </c>
      <c r="AE266" t="s">
        <v>1975</v>
      </c>
      <c r="AF266" t="s">
        <v>1969</v>
      </c>
      <c r="AG266" t="s">
        <v>1975</v>
      </c>
      <c r="AH266" t="s">
        <v>1969</v>
      </c>
      <c r="AI266">
        <v>0.61</v>
      </c>
      <c r="AJ266">
        <v>1.64</v>
      </c>
      <c r="AK266">
        <v>0.79</v>
      </c>
      <c r="AL266">
        <v>1.93</v>
      </c>
    </row>
    <row r="267" spans="1:38" x14ac:dyDescent="0.25">
      <c r="A267">
        <v>266</v>
      </c>
      <c r="B267" t="str">
        <f xml:space="preserve"> "000564"</f>
        <v>000564</v>
      </c>
      <c r="C267" t="s">
        <v>1976</v>
      </c>
      <c r="D267">
        <v>5.9</v>
      </c>
      <c r="E267">
        <v>1.03</v>
      </c>
      <c r="F267">
        <v>0.06</v>
      </c>
      <c r="G267" t="s">
        <v>1977</v>
      </c>
      <c r="H267">
        <v>7607</v>
      </c>
      <c r="I267">
        <v>5.9</v>
      </c>
      <c r="J267">
        <v>5.91</v>
      </c>
      <c r="K267">
        <v>-0.34</v>
      </c>
      <c r="L267">
        <v>1.62</v>
      </c>
      <c r="M267" t="s">
        <v>1978</v>
      </c>
      <c r="N267">
        <v>51.51</v>
      </c>
      <c r="O267" t="s">
        <v>532</v>
      </c>
      <c r="P267">
        <v>6.07</v>
      </c>
      <c r="Q267">
        <v>5.9</v>
      </c>
      <c r="R267">
        <v>5.91</v>
      </c>
      <c r="S267">
        <v>5.84</v>
      </c>
      <c r="T267">
        <v>2.91</v>
      </c>
      <c r="U267">
        <v>1.35</v>
      </c>
      <c r="V267">
        <v>-7.18</v>
      </c>
      <c r="W267">
        <v>-661</v>
      </c>
      <c r="X267">
        <v>5.98</v>
      </c>
      <c r="Y267" t="s">
        <v>184</v>
      </c>
      <c r="Z267" t="s">
        <v>235</v>
      </c>
      <c r="AA267">
        <v>0.85</v>
      </c>
      <c r="AB267">
        <v>2449</v>
      </c>
      <c r="AC267">
        <v>199</v>
      </c>
      <c r="AD267">
        <v>1.19</v>
      </c>
      <c r="AE267" t="s">
        <v>1979</v>
      </c>
      <c r="AF267" t="s">
        <v>1980</v>
      </c>
      <c r="AG267" t="s">
        <v>1981</v>
      </c>
      <c r="AH267" t="s">
        <v>1982</v>
      </c>
      <c r="AI267">
        <v>-1.5</v>
      </c>
      <c r="AJ267">
        <v>-8.5299999999999994</v>
      </c>
      <c r="AK267">
        <v>4.0999999999999996</v>
      </c>
      <c r="AL267">
        <v>7.62</v>
      </c>
    </row>
    <row r="268" spans="1:38" x14ac:dyDescent="0.25">
      <c r="A268">
        <v>267</v>
      </c>
      <c r="B268" t="str">
        <f xml:space="preserve"> "002271"</f>
        <v>002271</v>
      </c>
      <c r="C268" t="s">
        <v>1983</v>
      </c>
      <c r="D268">
        <v>40.15</v>
      </c>
      <c r="E268">
        <v>0.93</v>
      </c>
      <c r="F268">
        <v>0.37</v>
      </c>
      <c r="G268" t="s">
        <v>1984</v>
      </c>
      <c r="H268">
        <v>530</v>
      </c>
      <c r="I268">
        <v>40.14</v>
      </c>
      <c r="J268">
        <v>40.15</v>
      </c>
      <c r="K268">
        <v>0</v>
      </c>
      <c r="L268">
        <v>0.59</v>
      </c>
      <c r="M268" t="s">
        <v>1985</v>
      </c>
      <c r="N268">
        <v>35.86</v>
      </c>
      <c r="O268" t="s">
        <v>562</v>
      </c>
      <c r="P268">
        <v>40.18</v>
      </c>
      <c r="Q268">
        <v>39.520000000000003</v>
      </c>
      <c r="R268">
        <v>39.85</v>
      </c>
      <c r="S268">
        <v>39.78</v>
      </c>
      <c r="T268">
        <v>1.66</v>
      </c>
      <c r="U268">
        <v>0.68</v>
      </c>
      <c r="V268">
        <v>-75.58</v>
      </c>
      <c r="W268">
        <v>-1337</v>
      </c>
      <c r="X268">
        <v>40.03</v>
      </c>
      <c r="Y268" t="s">
        <v>1821</v>
      </c>
      <c r="Z268" t="s">
        <v>1986</v>
      </c>
      <c r="AA268">
        <v>0.67</v>
      </c>
      <c r="AB268">
        <v>45</v>
      </c>
      <c r="AC268">
        <v>833</v>
      </c>
      <c r="AD268">
        <v>6.5</v>
      </c>
      <c r="AE268" t="s">
        <v>1987</v>
      </c>
      <c r="AF268" t="s">
        <v>1980</v>
      </c>
      <c r="AG268" t="s">
        <v>1988</v>
      </c>
      <c r="AH268" t="s">
        <v>258</v>
      </c>
      <c r="AI268">
        <v>4.3099999999999996</v>
      </c>
      <c r="AJ268">
        <v>3.61</v>
      </c>
      <c r="AK268">
        <v>2.75</v>
      </c>
      <c r="AL268">
        <v>4.92</v>
      </c>
    </row>
    <row r="269" spans="1:38" x14ac:dyDescent="0.25">
      <c r="A269">
        <v>268</v>
      </c>
      <c r="B269" t="str">
        <f xml:space="preserve"> "600176"</f>
        <v>600176</v>
      </c>
      <c r="C269" t="s">
        <v>1989</v>
      </c>
      <c r="D269">
        <v>12.12</v>
      </c>
      <c r="E269">
        <v>-1.78</v>
      </c>
      <c r="F269">
        <v>-0.22</v>
      </c>
      <c r="G269" t="s">
        <v>1990</v>
      </c>
      <c r="H269">
        <v>252</v>
      </c>
      <c r="I269">
        <v>12.12</v>
      </c>
      <c r="J269">
        <v>12.13</v>
      </c>
      <c r="K269">
        <v>-0.25</v>
      </c>
      <c r="L269">
        <v>1.38</v>
      </c>
      <c r="M269" t="s">
        <v>1991</v>
      </c>
      <c r="N269">
        <v>17.100000000000001</v>
      </c>
      <c r="O269" t="s">
        <v>1058</v>
      </c>
      <c r="P269">
        <v>12.38</v>
      </c>
      <c r="Q269">
        <v>12.06</v>
      </c>
      <c r="R269">
        <v>12.3</v>
      </c>
      <c r="S269">
        <v>12.34</v>
      </c>
      <c r="T269">
        <v>2.59</v>
      </c>
      <c r="U269">
        <v>0.65</v>
      </c>
      <c r="V269">
        <v>74.790000000000006</v>
      </c>
      <c r="W269">
        <v>6778</v>
      </c>
      <c r="X269">
        <v>12.2</v>
      </c>
      <c r="Y269" t="s">
        <v>1992</v>
      </c>
      <c r="Z269" t="s">
        <v>1028</v>
      </c>
      <c r="AA269">
        <v>1.43</v>
      </c>
      <c r="AB269">
        <v>132</v>
      </c>
      <c r="AC269">
        <v>62</v>
      </c>
      <c r="AD269">
        <v>2.99</v>
      </c>
      <c r="AE269" t="s">
        <v>1644</v>
      </c>
      <c r="AF269" t="s">
        <v>1980</v>
      </c>
      <c r="AG269" t="s">
        <v>1644</v>
      </c>
      <c r="AH269" t="s">
        <v>1980</v>
      </c>
      <c r="AI269">
        <v>1.68</v>
      </c>
      <c r="AJ269">
        <v>12.01</v>
      </c>
      <c r="AK269">
        <v>5.08</v>
      </c>
      <c r="AL269">
        <v>11.95</v>
      </c>
    </row>
    <row r="270" spans="1:38" x14ac:dyDescent="0.25">
      <c r="A270">
        <v>269</v>
      </c>
      <c r="B270" t="str">
        <f xml:space="preserve"> "600699"</f>
        <v>600699</v>
      </c>
      <c r="C270" t="s">
        <v>1993</v>
      </c>
      <c r="D270">
        <v>36.99</v>
      </c>
      <c r="E270">
        <v>-2.0099999999999998</v>
      </c>
      <c r="F270">
        <v>-0.76</v>
      </c>
      <c r="G270" t="s">
        <v>1772</v>
      </c>
      <c r="H270">
        <v>15</v>
      </c>
      <c r="I270">
        <v>36.97</v>
      </c>
      <c r="J270">
        <v>36.99</v>
      </c>
      <c r="K270">
        <v>0.08</v>
      </c>
      <c r="L270">
        <v>1.86</v>
      </c>
      <c r="M270" t="s">
        <v>1994</v>
      </c>
      <c r="N270">
        <v>28.52</v>
      </c>
      <c r="O270" t="s">
        <v>169</v>
      </c>
      <c r="P270">
        <v>37.82</v>
      </c>
      <c r="Q270">
        <v>36.82</v>
      </c>
      <c r="R270">
        <v>37.74</v>
      </c>
      <c r="S270">
        <v>37.75</v>
      </c>
      <c r="T270">
        <v>2.65</v>
      </c>
      <c r="U270">
        <v>0.65</v>
      </c>
      <c r="V270">
        <v>-57.92</v>
      </c>
      <c r="W270">
        <v>-256</v>
      </c>
      <c r="X270">
        <v>37.15</v>
      </c>
      <c r="Y270" t="s">
        <v>1995</v>
      </c>
      <c r="Z270" t="s">
        <v>1355</v>
      </c>
      <c r="AA270">
        <v>1.7</v>
      </c>
      <c r="AB270">
        <v>3</v>
      </c>
      <c r="AC270">
        <v>11</v>
      </c>
      <c r="AD270">
        <v>2.63</v>
      </c>
      <c r="AE270" t="s">
        <v>40</v>
      </c>
      <c r="AF270" t="s">
        <v>1996</v>
      </c>
      <c r="AG270" t="s">
        <v>1997</v>
      </c>
      <c r="AH270" t="s">
        <v>1998</v>
      </c>
      <c r="AI270">
        <v>-1.39</v>
      </c>
      <c r="AJ270">
        <v>7.44</v>
      </c>
      <c r="AK270">
        <v>7</v>
      </c>
      <c r="AL270">
        <v>16.23</v>
      </c>
    </row>
    <row r="271" spans="1:38" x14ac:dyDescent="0.25">
      <c r="A271">
        <v>270</v>
      </c>
      <c r="B271" t="str">
        <f xml:space="preserve"> "600704"</f>
        <v>600704</v>
      </c>
      <c r="C271" t="s">
        <v>1999</v>
      </c>
      <c r="D271">
        <v>8.1300000000000008</v>
      </c>
      <c r="E271">
        <v>-0.97</v>
      </c>
      <c r="F271">
        <v>-0.08</v>
      </c>
      <c r="G271" t="s">
        <v>2000</v>
      </c>
      <c r="H271">
        <v>132</v>
      </c>
      <c r="I271">
        <v>8.1199999999999992</v>
      </c>
      <c r="J271">
        <v>8.1300000000000008</v>
      </c>
      <c r="K271">
        <v>-0.12</v>
      </c>
      <c r="L271">
        <v>2.31</v>
      </c>
      <c r="M271" t="s">
        <v>424</v>
      </c>
      <c r="N271">
        <v>18.63</v>
      </c>
      <c r="O271" t="s">
        <v>2001</v>
      </c>
      <c r="P271">
        <v>8.2899999999999991</v>
      </c>
      <c r="Q271">
        <v>8.1199999999999992</v>
      </c>
      <c r="R271">
        <v>8.18</v>
      </c>
      <c r="S271">
        <v>8.2100000000000009</v>
      </c>
      <c r="T271">
        <v>2.0699999999999998</v>
      </c>
      <c r="U271">
        <v>0.79</v>
      </c>
      <c r="V271">
        <v>44.49</v>
      </c>
      <c r="W271" t="s">
        <v>2002</v>
      </c>
      <c r="X271">
        <v>8.18</v>
      </c>
      <c r="Y271" t="s">
        <v>1852</v>
      </c>
      <c r="Z271" t="s">
        <v>2003</v>
      </c>
      <c r="AA271">
        <v>1.8</v>
      </c>
      <c r="AB271">
        <v>5313</v>
      </c>
      <c r="AC271">
        <v>348</v>
      </c>
      <c r="AD271">
        <v>2.2200000000000002</v>
      </c>
      <c r="AE271" t="s">
        <v>2004</v>
      </c>
      <c r="AF271" t="s">
        <v>1882</v>
      </c>
      <c r="AG271" t="s">
        <v>2005</v>
      </c>
      <c r="AH271" t="s">
        <v>2006</v>
      </c>
      <c r="AI271">
        <v>0.25</v>
      </c>
      <c r="AJ271">
        <v>3.3</v>
      </c>
      <c r="AK271">
        <v>9.0399999999999991</v>
      </c>
      <c r="AL271">
        <v>16.98</v>
      </c>
    </row>
    <row r="272" spans="1:38" x14ac:dyDescent="0.25">
      <c r="A272">
        <v>271</v>
      </c>
      <c r="B272" t="str">
        <f xml:space="preserve"> "300024"</f>
        <v>300024</v>
      </c>
      <c r="C272" t="s">
        <v>2007</v>
      </c>
      <c r="D272">
        <v>22.42</v>
      </c>
      <c r="E272">
        <v>-0.71</v>
      </c>
      <c r="F272">
        <v>-0.16</v>
      </c>
      <c r="G272" t="s">
        <v>2008</v>
      </c>
      <c r="H272">
        <v>3199</v>
      </c>
      <c r="I272">
        <v>22.42</v>
      </c>
      <c r="J272">
        <v>22.43</v>
      </c>
      <c r="K272">
        <v>0</v>
      </c>
      <c r="L272">
        <v>1.19</v>
      </c>
      <c r="M272" t="s">
        <v>2009</v>
      </c>
      <c r="N272">
        <v>98.96</v>
      </c>
      <c r="O272" t="s">
        <v>648</v>
      </c>
      <c r="P272">
        <v>22.47</v>
      </c>
      <c r="Q272">
        <v>22.04</v>
      </c>
      <c r="R272">
        <v>22.42</v>
      </c>
      <c r="S272">
        <v>22.58</v>
      </c>
      <c r="T272">
        <v>1.9</v>
      </c>
      <c r="U272">
        <v>0.81</v>
      </c>
      <c r="V272">
        <v>21.67</v>
      </c>
      <c r="W272">
        <v>1312</v>
      </c>
      <c r="X272">
        <v>22.22</v>
      </c>
      <c r="Y272" t="s">
        <v>362</v>
      </c>
      <c r="Z272" t="s">
        <v>1179</v>
      </c>
      <c r="AA272">
        <v>1.39</v>
      </c>
      <c r="AB272">
        <v>1752</v>
      </c>
      <c r="AC272">
        <v>1030</v>
      </c>
      <c r="AD272">
        <v>6.14</v>
      </c>
      <c r="AE272" t="s">
        <v>1897</v>
      </c>
      <c r="AF272" t="s">
        <v>1882</v>
      </c>
      <c r="AG272" t="s">
        <v>434</v>
      </c>
      <c r="AH272" t="s">
        <v>387</v>
      </c>
      <c r="AI272">
        <v>-0.04</v>
      </c>
      <c r="AJ272">
        <v>5.31</v>
      </c>
      <c r="AK272">
        <v>4.92</v>
      </c>
      <c r="AL272">
        <v>8.52</v>
      </c>
    </row>
    <row r="273" spans="1:38" x14ac:dyDescent="0.25">
      <c r="A273">
        <v>272</v>
      </c>
      <c r="B273" t="str">
        <f xml:space="preserve"> "600808"</f>
        <v>600808</v>
      </c>
      <c r="C273" t="s">
        <v>2010</v>
      </c>
      <c r="D273">
        <v>4.54</v>
      </c>
      <c r="E273">
        <v>0.89</v>
      </c>
      <c r="F273">
        <v>0.04</v>
      </c>
      <c r="G273" t="s">
        <v>2011</v>
      </c>
      <c r="H273">
        <v>37</v>
      </c>
      <c r="I273">
        <v>4.53</v>
      </c>
      <c r="J273">
        <v>4.54</v>
      </c>
      <c r="K273">
        <v>0.44</v>
      </c>
      <c r="L273">
        <v>1.32</v>
      </c>
      <c r="M273" t="s">
        <v>2012</v>
      </c>
      <c r="N273">
        <v>10.64</v>
      </c>
      <c r="O273" t="s">
        <v>416</v>
      </c>
      <c r="P273">
        <v>4.5599999999999996</v>
      </c>
      <c r="Q273">
        <v>4.4400000000000004</v>
      </c>
      <c r="R273">
        <v>4.4800000000000004</v>
      </c>
      <c r="S273">
        <v>4.5</v>
      </c>
      <c r="T273">
        <v>2.67</v>
      </c>
      <c r="U273">
        <v>0.94</v>
      </c>
      <c r="V273">
        <v>-47.76</v>
      </c>
      <c r="W273" t="s">
        <v>2013</v>
      </c>
      <c r="X273">
        <v>4.5</v>
      </c>
      <c r="Y273" t="s">
        <v>203</v>
      </c>
      <c r="Z273" t="s">
        <v>2014</v>
      </c>
      <c r="AA273">
        <v>0.67</v>
      </c>
      <c r="AB273">
        <v>1760</v>
      </c>
      <c r="AC273">
        <v>155</v>
      </c>
      <c r="AD273">
        <v>1.63</v>
      </c>
      <c r="AE273" t="s">
        <v>2015</v>
      </c>
      <c r="AF273" t="s">
        <v>1882</v>
      </c>
      <c r="AG273" t="s">
        <v>294</v>
      </c>
      <c r="AH273" t="s">
        <v>2016</v>
      </c>
      <c r="AI273">
        <v>2.25</v>
      </c>
      <c r="AJ273">
        <v>-0.87</v>
      </c>
      <c r="AK273">
        <v>3.78</v>
      </c>
      <c r="AL273">
        <v>8.3800000000000008</v>
      </c>
    </row>
    <row r="274" spans="1:38" x14ac:dyDescent="0.25">
      <c r="A274">
        <v>273</v>
      </c>
      <c r="B274" t="str">
        <f xml:space="preserve"> "000050"</f>
        <v>000050</v>
      </c>
      <c r="C274" t="s">
        <v>2017</v>
      </c>
      <c r="D274">
        <v>24.93</v>
      </c>
      <c r="E274">
        <v>4.22</v>
      </c>
      <c r="F274">
        <v>1.01</v>
      </c>
      <c r="G274" t="s">
        <v>2018</v>
      </c>
      <c r="H274" t="s">
        <v>1986</v>
      </c>
      <c r="I274">
        <v>24.92</v>
      </c>
      <c r="J274">
        <v>24.93</v>
      </c>
      <c r="K274">
        <v>0</v>
      </c>
      <c r="L274">
        <v>4.45</v>
      </c>
      <c r="M274" t="s">
        <v>1225</v>
      </c>
      <c r="N274">
        <v>39.01</v>
      </c>
      <c r="O274" t="s">
        <v>380</v>
      </c>
      <c r="P274">
        <v>24.94</v>
      </c>
      <c r="Q274">
        <v>23.53</v>
      </c>
      <c r="R274">
        <v>23.74</v>
      </c>
      <c r="S274">
        <v>23.92</v>
      </c>
      <c r="T274">
        <v>5.89</v>
      </c>
      <c r="U274">
        <v>1.41</v>
      </c>
      <c r="V274">
        <v>24.5</v>
      </c>
      <c r="W274">
        <v>2226</v>
      </c>
      <c r="X274">
        <v>24.32</v>
      </c>
      <c r="Y274" t="s">
        <v>1238</v>
      </c>
      <c r="Z274" t="s">
        <v>1679</v>
      </c>
      <c r="AA274">
        <v>0.66</v>
      </c>
      <c r="AB274">
        <v>2433</v>
      </c>
      <c r="AC274">
        <v>970</v>
      </c>
      <c r="AD274">
        <v>2.4700000000000002</v>
      </c>
      <c r="AE274" t="s">
        <v>803</v>
      </c>
      <c r="AF274" t="s">
        <v>2019</v>
      </c>
      <c r="AG274" t="s">
        <v>803</v>
      </c>
      <c r="AH274" t="s">
        <v>2019</v>
      </c>
      <c r="AI274">
        <v>4.4800000000000004</v>
      </c>
      <c r="AJ274">
        <v>9.68</v>
      </c>
      <c r="AK274">
        <v>11.34</v>
      </c>
      <c r="AL274">
        <v>20.28</v>
      </c>
    </row>
    <row r="275" spans="1:38" x14ac:dyDescent="0.25">
      <c r="A275">
        <v>274</v>
      </c>
      <c r="B275" t="str">
        <f xml:space="preserve"> "300033"</f>
        <v>300033</v>
      </c>
      <c r="C275" t="s">
        <v>2020</v>
      </c>
      <c r="D275">
        <v>64.91</v>
      </c>
      <c r="E275">
        <v>2.97</v>
      </c>
      <c r="F275">
        <v>1.87</v>
      </c>
      <c r="G275" t="s">
        <v>1006</v>
      </c>
      <c r="H275">
        <v>643</v>
      </c>
      <c r="I275">
        <v>64.91</v>
      </c>
      <c r="J275">
        <v>64.92</v>
      </c>
      <c r="K275">
        <v>0.02</v>
      </c>
      <c r="L275">
        <v>2.77</v>
      </c>
      <c r="M275" t="s">
        <v>2021</v>
      </c>
      <c r="N275">
        <v>60.92</v>
      </c>
      <c r="O275" t="s">
        <v>893</v>
      </c>
      <c r="P275">
        <v>65.08</v>
      </c>
      <c r="Q275">
        <v>63.04</v>
      </c>
      <c r="R275">
        <v>63.08</v>
      </c>
      <c r="S275">
        <v>63.04</v>
      </c>
      <c r="T275">
        <v>3.24</v>
      </c>
      <c r="U275">
        <v>1.82</v>
      </c>
      <c r="V275">
        <v>37.770000000000003</v>
      </c>
      <c r="W275">
        <v>188</v>
      </c>
      <c r="X275">
        <v>64.41</v>
      </c>
      <c r="Y275" t="s">
        <v>2022</v>
      </c>
      <c r="Z275" t="s">
        <v>2023</v>
      </c>
      <c r="AA275">
        <v>0.56000000000000005</v>
      </c>
      <c r="AB275">
        <v>217</v>
      </c>
      <c r="AC275">
        <v>54</v>
      </c>
      <c r="AD275">
        <v>12.7</v>
      </c>
      <c r="AE275" t="s">
        <v>2024</v>
      </c>
      <c r="AF275" t="s">
        <v>2019</v>
      </c>
      <c r="AG275" t="s">
        <v>2025</v>
      </c>
      <c r="AH275" t="s">
        <v>2026</v>
      </c>
      <c r="AI275">
        <v>2.2400000000000002</v>
      </c>
      <c r="AJ275">
        <v>4.6900000000000004</v>
      </c>
      <c r="AK275">
        <v>5.65</v>
      </c>
      <c r="AL275">
        <v>10.4</v>
      </c>
    </row>
    <row r="276" spans="1:38" x14ac:dyDescent="0.25">
      <c r="A276">
        <v>275</v>
      </c>
      <c r="B276" t="str">
        <f xml:space="preserve"> "000596"</f>
        <v>000596</v>
      </c>
      <c r="C276" t="s">
        <v>2027</v>
      </c>
      <c r="D276">
        <v>69.290000000000006</v>
      </c>
      <c r="E276">
        <v>-0.87</v>
      </c>
      <c r="F276">
        <v>-0.61</v>
      </c>
      <c r="G276" t="s">
        <v>121</v>
      </c>
      <c r="H276">
        <v>353</v>
      </c>
      <c r="I276">
        <v>69.27</v>
      </c>
      <c r="J276">
        <v>69.290000000000006</v>
      </c>
      <c r="K276">
        <v>0.04</v>
      </c>
      <c r="L276">
        <v>0.73</v>
      </c>
      <c r="M276" t="s">
        <v>629</v>
      </c>
      <c r="N276">
        <v>31.79</v>
      </c>
      <c r="O276" t="s">
        <v>123</v>
      </c>
      <c r="P276">
        <v>70.81</v>
      </c>
      <c r="Q276">
        <v>68.48</v>
      </c>
      <c r="R276">
        <v>69.67</v>
      </c>
      <c r="S276">
        <v>69.900000000000006</v>
      </c>
      <c r="T276">
        <v>3.33</v>
      </c>
      <c r="U276">
        <v>0.62</v>
      </c>
      <c r="V276">
        <v>-56.1</v>
      </c>
      <c r="W276">
        <v>-115</v>
      </c>
      <c r="X276">
        <v>69.400000000000006</v>
      </c>
      <c r="Y276" t="s">
        <v>999</v>
      </c>
      <c r="Z276" t="s">
        <v>1821</v>
      </c>
      <c r="AA276">
        <v>1.06</v>
      </c>
      <c r="AB276">
        <v>1</v>
      </c>
      <c r="AC276">
        <v>85</v>
      </c>
      <c r="AD276">
        <v>5.99</v>
      </c>
      <c r="AE276" t="s">
        <v>2028</v>
      </c>
      <c r="AF276" t="s">
        <v>2019</v>
      </c>
      <c r="AG276" t="s">
        <v>497</v>
      </c>
      <c r="AH276" t="s">
        <v>2029</v>
      </c>
      <c r="AI276">
        <v>3.28</v>
      </c>
      <c r="AJ276">
        <v>11.97</v>
      </c>
      <c r="AK276">
        <v>2.84</v>
      </c>
      <c r="AL276">
        <v>6.56</v>
      </c>
    </row>
    <row r="277" spans="1:38" x14ac:dyDescent="0.25">
      <c r="A277">
        <v>276</v>
      </c>
      <c r="B277" t="str">
        <f xml:space="preserve"> "600588"</f>
        <v>600588</v>
      </c>
      <c r="C277" t="s">
        <v>2030</v>
      </c>
      <c r="D277">
        <v>23.47</v>
      </c>
      <c r="E277">
        <v>1.25</v>
      </c>
      <c r="F277">
        <v>0.28999999999999998</v>
      </c>
      <c r="G277" t="s">
        <v>2031</v>
      </c>
      <c r="H277">
        <v>3</v>
      </c>
      <c r="I277">
        <v>23.46</v>
      </c>
      <c r="J277">
        <v>23.47</v>
      </c>
      <c r="K277">
        <v>0</v>
      </c>
      <c r="L277">
        <v>0.5</v>
      </c>
      <c r="M277" t="s">
        <v>1228</v>
      </c>
      <c r="N277">
        <v>-272.95999999999998</v>
      </c>
      <c r="O277" t="s">
        <v>893</v>
      </c>
      <c r="P277">
        <v>23.55</v>
      </c>
      <c r="Q277">
        <v>23.07</v>
      </c>
      <c r="R277">
        <v>23.4</v>
      </c>
      <c r="S277">
        <v>23.18</v>
      </c>
      <c r="T277">
        <v>2.0699999999999998</v>
      </c>
      <c r="U277">
        <v>0.51</v>
      </c>
      <c r="V277">
        <v>-46.98</v>
      </c>
      <c r="W277">
        <v>-861</v>
      </c>
      <c r="X277">
        <v>23.32</v>
      </c>
      <c r="Y277" t="s">
        <v>1960</v>
      </c>
      <c r="Z277" t="s">
        <v>2032</v>
      </c>
      <c r="AA277">
        <v>1.1000000000000001</v>
      </c>
      <c r="AB277">
        <v>10</v>
      </c>
      <c r="AC277">
        <v>20</v>
      </c>
      <c r="AD277">
        <v>6.65</v>
      </c>
      <c r="AE277" t="s">
        <v>2033</v>
      </c>
      <c r="AF277" t="s">
        <v>385</v>
      </c>
      <c r="AG277" t="s">
        <v>801</v>
      </c>
      <c r="AH277" t="s">
        <v>1101</v>
      </c>
      <c r="AI277">
        <v>-6.38</v>
      </c>
      <c r="AJ277">
        <v>-2.21</v>
      </c>
      <c r="AK277">
        <v>2.68</v>
      </c>
      <c r="AL277">
        <v>5.42</v>
      </c>
    </row>
    <row r="278" spans="1:38" x14ac:dyDescent="0.25">
      <c r="A278">
        <v>277</v>
      </c>
      <c r="B278" t="str">
        <f xml:space="preserve"> "000786"</f>
        <v>000786</v>
      </c>
      <c r="C278" t="s">
        <v>2034</v>
      </c>
      <c r="D278">
        <v>19.45</v>
      </c>
      <c r="E278">
        <v>0.78</v>
      </c>
      <c r="F278">
        <v>0.15</v>
      </c>
      <c r="G278" t="s">
        <v>2035</v>
      </c>
      <c r="H278">
        <v>5858</v>
      </c>
      <c r="I278">
        <v>19.440000000000001</v>
      </c>
      <c r="J278">
        <v>19.45</v>
      </c>
      <c r="K278">
        <v>0.05</v>
      </c>
      <c r="L278">
        <v>3.33</v>
      </c>
      <c r="M278" t="s">
        <v>2036</v>
      </c>
      <c r="N278">
        <v>16.68</v>
      </c>
      <c r="O278" t="s">
        <v>562</v>
      </c>
      <c r="P278">
        <v>19.95</v>
      </c>
      <c r="Q278">
        <v>18.88</v>
      </c>
      <c r="R278">
        <v>19.05</v>
      </c>
      <c r="S278">
        <v>19.3</v>
      </c>
      <c r="T278">
        <v>5.54</v>
      </c>
      <c r="U278">
        <v>0.82</v>
      </c>
      <c r="V278">
        <v>-54.52</v>
      </c>
      <c r="W278">
        <v>-2390</v>
      </c>
      <c r="X278">
        <v>19.34</v>
      </c>
      <c r="Y278" t="s">
        <v>2037</v>
      </c>
      <c r="Z278" t="s">
        <v>1238</v>
      </c>
      <c r="AA278">
        <v>0.89</v>
      </c>
      <c r="AB278">
        <v>253</v>
      </c>
      <c r="AC278">
        <v>2655</v>
      </c>
      <c r="AD278">
        <v>2.99</v>
      </c>
      <c r="AE278" t="s">
        <v>1365</v>
      </c>
      <c r="AF278" t="s">
        <v>385</v>
      </c>
      <c r="AG278" t="s">
        <v>1715</v>
      </c>
      <c r="AH278" t="s">
        <v>1933</v>
      </c>
      <c r="AI278">
        <v>5.08</v>
      </c>
      <c r="AJ278">
        <v>15.16</v>
      </c>
      <c r="AK278">
        <v>10.199999999999999</v>
      </c>
      <c r="AL278">
        <v>23.49</v>
      </c>
    </row>
    <row r="279" spans="1:38" x14ac:dyDescent="0.25">
      <c r="A279">
        <v>278</v>
      </c>
      <c r="B279" t="str">
        <f xml:space="preserve"> "000540"</f>
        <v>000540</v>
      </c>
      <c r="C279" t="s">
        <v>2038</v>
      </c>
      <c r="D279" t="s">
        <v>616</v>
      </c>
      <c r="E279" t="s">
        <v>616</v>
      </c>
      <c r="F279" t="s">
        <v>616</v>
      </c>
      <c r="G279" t="s">
        <v>616</v>
      </c>
      <c r="H279" t="s">
        <v>616</v>
      </c>
      <c r="I279" t="s">
        <v>616</v>
      </c>
      <c r="J279" t="s">
        <v>616</v>
      </c>
      <c r="K279" t="s">
        <v>616</v>
      </c>
      <c r="L279" t="s">
        <v>616</v>
      </c>
      <c r="M279" t="s">
        <v>616</v>
      </c>
      <c r="N279">
        <v>12.14</v>
      </c>
      <c r="O279" t="s">
        <v>244</v>
      </c>
      <c r="P279" t="s">
        <v>616</v>
      </c>
      <c r="Q279" t="s">
        <v>616</v>
      </c>
      <c r="R279" t="s">
        <v>616</v>
      </c>
      <c r="S279">
        <v>7.35</v>
      </c>
      <c r="T279" t="s">
        <v>616</v>
      </c>
      <c r="U279" t="s">
        <v>616</v>
      </c>
      <c r="V279" t="s">
        <v>616</v>
      </c>
      <c r="W279" t="s">
        <v>616</v>
      </c>
      <c r="X279" t="s">
        <v>616</v>
      </c>
      <c r="Y279" t="s">
        <v>616</v>
      </c>
      <c r="Z279" t="s">
        <v>616</v>
      </c>
      <c r="AA279" t="s">
        <v>616</v>
      </c>
      <c r="AB279" t="s">
        <v>616</v>
      </c>
      <c r="AC279" t="s">
        <v>616</v>
      </c>
      <c r="AD279">
        <v>2.37</v>
      </c>
      <c r="AE279" t="s">
        <v>2039</v>
      </c>
      <c r="AF279" t="s">
        <v>2040</v>
      </c>
      <c r="AG279" t="s">
        <v>1794</v>
      </c>
      <c r="AH279" t="s">
        <v>2041</v>
      </c>
      <c r="AI279">
        <v>0</v>
      </c>
      <c r="AJ279">
        <v>0</v>
      </c>
      <c r="AK279">
        <v>0</v>
      </c>
      <c r="AL279">
        <v>0</v>
      </c>
    </row>
    <row r="280" spans="1:38" x14ac:dyDescent="0.25">
      <c r="A280">
        <v>279</v>
      </c>
      <c r="B280" t="str">
        <f xml:space="preserve"> "601117"</f>
        <v>601117</v>
      </c>
      <c r="C280" t="s">
        <v>2042</v>
      </c>
      <c r="D280">
        <v>7</v>
      </c>
      <c r="E280">
        <v>0.14000000000000001</v>
      </c>
      <c r="F280">
        <v>0.01</v>
      </c>
      <c r="G280" t="s">
        <v>2043</v>
      </c>
      <c r="H280">
        <v>1</v>
      </c>
      <c r="I280">
        <v>6.99</v>
      </c>
      <c r="J280">
        <v>7</v>
      </c>
      <c r="K280">
        <v>0.28999999999999998</v>
      </c>
      <c r="L280">
        <v>0.41</v>
      </c>
      <c r="M280" t="s">
        <v>2044</v>
      </c>
      <c r="N280">
        <v>20.37</v>
      </c>
      <c r="O280" t="s">
        <v>263</v>
      </c>
      <c r="P280">
        <v>7.05</v>
      </c>
      <c r="Q280">
        <v>6.96</v>
      </c>
      <c r="R280">
        <v>7.02</v>
      </c>
      <c r="S280">
        <v>6.99</v>
      </c>
      <c r="T280">
        <v>1.29</v>
      </c>
      <c r="U280">
        <v>0.94</v>
      </c>
      <c r="V280">
        <v>-18.47</v>
      </c>
      <c r="W280">
        <v>-4346</v>
      </c>
      <c r="X280">
        <v>6.99</v>
      </c>
      <c r="Y280" t="s">
        <v>1583</v>
      </c>
      <c r="Z280" t="s">
        <v>2045</v>
      </c>
      <c r="AA280">
        <v>2.6</v>
      </c>
      <c r="AB280">
        <v>595</v>
      </c>
      <c r="AC280">
        <v>4482</v>
      </c>
      <c r="AD280">
        <v>1.27</v>
      </c>
      <c r="AE280" t="s">
        <v>2046</v>
      </c>
      <c r="AF280" t="s">
        <v>2047</v>
      </c>
      <c r="AG280" t="s">
        <v>2046</v>
      </c>
      <c r="AH280" t="s">
        <v>2047</v>
      </c>
      <c r="AI280">
        <v>0.14000000000000001</v>
      </c>
      <c r="AJ280">
        <v>3.24</v>
      </c>
      <c r="AK280">
        <v>1.1100000000000001</v>
      </c>
      <c r="AL280">
        <v>2.58</v>
      </c>
    </row>
    <row r="281" spans="1:38" x14ac:dyDescent="0.25">
      <c r="A281">
        <v>280</v>
      </c>
      <c r="B281" t="str">
        <f xml:space="preserve"> "002217"</f>
        <v>002217</v>
      </c>
      <c r="C281" t="s">
        <v>2048</v>
      </c>
      <c r="D281">
        <v>11.03</v>
      </c>
      <c r="E281">
        <v>0.27</v>
      </c>
      <c r="F281">
        <v>0.03</v>
      </c>
      <c r="G281" t="s">
        <v>982</v>
      </c>
      <c r="H281">
        <v>364</v>
      </c>
      <c r="I281">
        <v>11.03</v>
      </c>
      <c r="J281">
        <v>11.04</v>
      </c>
      <c r="K281">
        <v>-0.09</v>
      </c>
      <c r="L281">
        <v>0.8</v>
      </c>
      <c r="M281" t="s">
        <v>2049</v>
      </c>
      <c r="N281">
        <v>33.799999999999997</v>
      </c>
      <c r="O281" t="s">
        <v>380</v>
      </c>
      <c r="P281">
        <v>11.11</v>
      </c>
      <c r="Q281">
        <v>10.88</v>
      </c>
      <c r="R281">
        <v>11</v>
      </c>
      <c r="S281">
        <v>11</v>
      </c>
      <c r="T281">
        <v>2.09</v>
      </c>
      <c r="U281">
        <v>1.1000000000000001</v>
      </c>
      <c r="V281">
        <v>13.16</v>
      </c>
      <c r="W281">
        <v>408</v>
      </c>
      <c r="X281">
        <v>10.97</v>
      </c>
      <c r="Y281" t="s">
        <v>1545</v>
      </c>
      <c r="Z281" t="s">
        <v>197</v>
      </c>
      <c r="AA281">
        <v>1.28</v>
      </c>
      <c r="AB281">
        <v>211</v>
      </c>
      <c r="AC281">
        <v>351</v>
      </c>
      <c r="AD281">
        <v>3.68</v>
      </c>
      <c r="AE281" t="s">
        <v>731</v>
      </c>
      <c r="AF281" t="s">
        <v>2047</v>
      </c>
      <c r="AG281" t="s">
        <v>2050</v>
      </c>
      <c r="AH281" t="s">
        <v>2051</v>
      </c>
      <c r="AI281">
        <v>-2.56</v>
      </c>
      <c r="AJ281">
        <v>0.18</v>
      </c>
      <c r="AK281">
        <v>2.12</v>
      </c>
      <c r="AL281">
        <v>4.47</v>
      </c>
    </row>
    <row r="282" spans="1:38" x14ac:dyDescent="0.25">
      <c r="A282">
        <v>281</v>
      </c>
      <c r="B282" t="str">
        <f xml:space="preserve"> "002405"</f>
        <v>002405</v>
      </c>
      <c r="C282" t="s">
        <v>2052</v>
      </c>
      <c r="D282">
        <v>26.88</v>
      </c>
      <c r="E282">
        <v>-1.5</v>
      </c>
      <c r="F282">
        <v>-0.41</v>
      </c>
      <c r="G282" t="s">
        <v>2053</v>
      </c>
      <c r="H282">
        <v>8662</v>
      </c>
      <c r="I282">
        <v>26.88</v>
      </c>
      <c r="J282">
        <v>26.89</v>
      </c>
      <c r="K282">
        <v>0</v>
      </c>
      <c r="L282">
        <v>2.8</v>
      </c>
      <c r="M282" t="s">
        <v>2054</v>
      </c>
      <c r="N282">
        <v>142.07</v>
      </c>
      <c r="O282" t="s">
        <v>893</v>
      </c>
      <c r="P282">
        <v>27.39</v>
      </c>
      <c r="Q282">
        <v>26.84</v>
      </c>
      <c r="R282">
        <v>27.13</v>
      </c>
      <c r="S282">
        <v>27.29</v>
      </c>
      <c r="T282">
        <v>2.02</v>
      </c>
      <c r="U282">
        <v>0.43</v>
      </c>
      <c r="V282">
        <v>82.43</v>
      </c>
      <c r="W282">
        <v>3285</v>
      </c>
      <c r="X282">
        <v>27.07</v>
      </c>
      <c r="Y282" t="s">
        <v>2055</v>
      </c>
      <c r="Z282" t="s">
        <v>1668</v>
      </c>
      <c r="AA282">
        <v>1.47</v>
      </c>
      <c r="AB282">
        <v>1082</v>
      </c>
      <c r="AC282">
        <v>7</v>
      </c>
      <c r="AD282">
        <v>5.25</v>
      </c>
      <c r="AE282" t="s">
        <v>1376</v>
      </c>
      <c r="AF282" t="s">
        <v>2047</v>
      </c>
      <c r="AG282" t="s">
        <v>707</v>
      </c>
      <c r="AH282" t="s">
        <v>2056</v>
      </c>
      <c r="AI282">
        <v>-4.3099999999999996</v>
      </c>
      <c r="AJ282">
        <v>6.08</v>
      </c>
      <c r="AK282">
        <v>15.33</v>
      </c>
      <c r="AL282">
        <v>35.200000000000003</v>
      </c>
    </row>
    <row r="283" spans="1:38" x14ac:dyDescent="0.25">
      <c r="A283">
        <v>282</v>
      </c>
      <c r="B283" t="str">
        <f xml:space="preserve"> "000553"</f>
        <v>000553</v>
      </c>
      <c r="C283" t="s">
        <v>2057</v>
      </c>
      <c r="D283">
        <v>14.28</v>
      </c>
      <c r="E283">
        <v>0.99</v>
      </c>
      <c r="F283">
        <v>0.14000000000000001</v>
      </c>
      <c r="G283" t="s">
        <v>2058</v>
      </c>
      <c r="H283">
        <v>467</v>
      </c>
      <c r="I283">
        <v>14.27</v>
      </c>
      <c r="J283">
        <v>14.28</v>
      </c>
      <c r="K283">
        <v>0</v>
      </c>
      <c r="L283">
        <v>1.1399999999999999</v>
      </c>
      <c r="M283" t="s">
        <v>2059</v>
      </c>
      <c r="N283">
        <v>101.48</v>
      </c>
      <c r="O283" t="s">
        <v>2060</v>
      </c>
      <c r="P283">
        <v>14.33</v>
      </c>
      <c r="Q283">
        <v>14.1</v>
      </c>
      <c r="R283">
        <v>14.15</v>
      </c>
      <c r="S283">
        <v>14.14</v>
      </c>
      <c r="T283">
        <v>1.63</v>
      </c>
      <c r="U283">
        <v>1.24</v>
      </c>
      <c r="V283">
        <v>-30.09</v>
      </c>
      <c r="W283">
        <v>-1313</v>
      </c>
      <c r="X283">
        <v>14.22</v>
      </c>
      <c r="Y283" t="s">
        <v>2061</v>
      </c>
      <c r="Z283" t="s">
        <v>1565</v>
      </c>
      <c r="AA283">
        <v>0.85</v>
      </c>
      <c r="AB283">
        <v>711</v>
      </c>
      <c r="AC283">
        <v>209</v>
      </c>
      <c r="AD283">
        <v>15.79</v>
      </c>
      <c r="AE283" t="s">
        <v>2062</v>
      </c>
      <c r="AF283" t="s">
        <v>1101</v>
      </c>
      <c r="AG283" t="s">
        <v>2063</v>
      </c>
      <c r="AH283" t="s">
        <v>1655</v>
      </c>
      <c r="AI283">
        <v>1.1299999999999999</v>
      </c>
      <c r="AJ283">
        <v>3.18</v>
      </c>
      <c r="AK283">
        <v>3.19</v>
      </c>
      <c r="AL283">
        <v>5.71</v>
      </c>
    </row>
    <row r="284" spans="1:38" x14ac:dyDescent="0.25">
      <c r="A284">
        <v>283</v>
      </c>
      <c r="B284" t="str">
        <f xml:space="preserve"> "002294"</f>
        <v>002294</v>
      </c>
      <c r="C284" t="s">
        <v>2064</v>
      </c>
      <c r="D284">
        <v>32.68</v>
      </c>
      <c r="E284">
        <v>-0.27</v>
      </c>
      <c r="F284">
        <v>-0.09</v>
      </c>
      <c r="G284" t="s">
        <v>624</v>
      </c>
      <c r="H284">
        <v>291</v>
      </c>
      <c r="I284">
        <v>32.68</v>
      </c>
      <c r="J284">
        <v>32.69</v>
      </c>
      <c r="K284">
        <v>0.03</v>
      </c>
      <c r="L284">
        <v>0.38</v>
      </c>
      <c r="M284" t="s">
        <v>2065</v>
      </c>
      <c r="N284">
        <v>23.4</v>
      </c>
      <c r="O284" t="s">
        <v>392</v>
      </c>
      <c r="P284">
        <v>32.97</v>
      </c>
      <c r="Q284">
        <v>32.43</v>
      </c>
      <c r="R284">
        <v>32.71</v>
      </c>
      <c r="S284">
        <v>32.770000000000003</v>
      </c>
      <c r="T284">
        <v>1.65</v>
      </c>
      <c r="U284">
        <v>0.44</v>
      </c>
      <c r="V284">
        <v>53.71</v>
      </c>
      <c r="W284">
        <v>362</v>
      </c>
      <c r="X284">
        <v>32.630000000000003</v>
      </c>
      <c r="Y284" t="s">
        <v>1887</v>
      </c>
      <c r="Z284" t="s">
        <v>1576</v>
      </c>
      <c r="AA284">
        <v>1.32</v>
      </c>
      <c r="AB284">
        <v>243</v>
      </c>
      <c r="AC284">
        <v>58</v>
      </c>
      <c r="AD284">
        <v>6.38</v>
      </c>
      <c r="AE284" t="s">
        <v>2066</v>
      </c>
      <c r="AF284" t="s">
        <v>2067</v>
      </c>
      <c r="AG284" t="s">
        <v>2066</v>
      </c>
      <c r="AH284" t="s">
        <v>2067</v>
      </c>
      <c r="AI284">
        <v>3.16</v>
      </c>
      <c r="AJ284">
        <v>4.4400000000000004</v>
      </c>
      <c r="AK284">
        <v>2.17</v>
      </c>
      <c r="AL284">
        <v>4.78</v>
      </c>
    </row>
    <row r="285" spans="1:38" x14ac:dyDescent="0.25">
      <c r="A285">
        <v>284</v>
      </c>
      <c r="B285" t="str">
        <f xml:space="preserve"> "601997"</f>
        <v>601997</v>
      </c>
      <c r="C285" t="s">
        <v>2068</v>
      </c>
      <c r="D285">
        <v>14.86</v>
      </c>
      <c r="E285">
        <v>-0.34</v>
      </c>
      <c r="F285">
        <v>-0.05</v>
      </c>
      <c r="G285" t="s">
        <v>2069</v>
      </c>
      <c r="H285">
        <v>23</v>
      </c>
      <c r="I285">
        <v>14.87</v>
      </c>
      <c r="J285">
        <v>14.88</v>
      </c>
      <c r="K285">
        <v>-7.0000000000000007E-2</v>
      </c>
      <c r="L285">
        <v>0.57999999999999996</v>
      </c>
      <c r="M285" t="s">
        <v>1718</v>
      </c>
      <c r="N285">
        <v>8.98</v>
      </c>
      <c r="O285" t="s">
        <v>41</v>
      </c>
      <c r="P285">
        <v>14.9</v>
      </c>
      <c r="Q285">
        <v>14.81</v>
      </c>
      <c r="R285">
        <v>14.9</v>
      </c>
      <c r="S285">
        <v>14.91</v>
      </c>
      <c r="T285">
        <v>0.6</v>
      </c>
      <c r="U285">
        <v>0.68</v>
      </c>
      <c r="V285">
        <v>24.59</v>
      </c>
      <c r="W285">
        <v>1569</v>
      </c>
      <c r="X285">
        <v>14.86</v>
      </c>
      <c r="Y285" t="s">
        <v>1947</v>
      </c>
      <c r="Z285" t="s">
        <v>86</v>
      </c>
      <c r="AA285">
        <v>1.97</v>
      </c>
      <c r="AB285">
        <v>192</v>
      </c>
      <c r="AC285">
        <v>534</v>
      </c>
      <c r="AD285">
        <v>1.53</v>
      </c>
      <c r="AE285" t="s">
        <v>2070</v>
      </c>
      <c r="AF285" t="s">
        <v>2067</v>
      </c>
      <c r="AG285" t="s">
        <v>2071</v>
      </c>
      <c r="AH285" t="s">
        <v>2072</v>
      </c>
      <c r="AI285">
        <v>-0.87</v>
      </c>
      <c r="AJ285">
        <v>1.0900000000000001</v>
      </c>
      <c r="AK285">
        <v>1.71</v>
      </c>
      <c r="AL285">
        <v>4.87</v>
      </c>
    </row>
    <row r="286" spans="1:38" x14ac:dyDescent="0.25">
      <c r="A286">
        <v>285</v>
      </c>
      <c r="B286" t="str">
        <f xml:space="preserve"> "600170"</f>
        <v>600170</v>
      </c>
      <c r="C286" t="s">
        <v>2073</v>
      </c>
      <c r="D286">
        <v>3.83</v>
      </c>
      <c r="E286">
        <v>0.26</v>
      </c>
      <c r="F286">
        <v>0.01</v>
      </c>
      <c r="G286" t="s">
        <v>1895</v>
      </c>
      <c r="H286">
        <v>157</v>
      </c>
      <c r="I286">
        <v>3.82</v>
      </c>
      <c r="J286">
        <v>3.83</v>
      </c>
      <c r="K286">
        <v>0.26</v>
      </c>
      <c r="L286">
        <v>0.19</v>
      </c>
      <c r="M286" t="s">
        <v>2074</v>
      </c>
      <c r="N286">
        <v>13.49</v>
      </c>
      <c r="O286" t="s">
        <v>263</v>
      </c>
      <c r="P286">
        <v>3.83</v>
      </c>
      <c r="Q286">
        <v>3.81</v>
      </c>
      <c r="R286">
        <v>3.82</v>
      </c>
      <c r="S286">
        <v>3.82</v>
      </c>
      <c r="T286">
        <v>0.52</v>
      </c>
      <c r="U286">
        <v>0.68</v>
      </c>
      <c r="V286">
        <v>-29.02</v>
      </c>
      <c r="W286" t="s">
        <v>2075</v>
      </c>
      <c r="X286">
        <v>3.82</v>
      </c>
      <c r="Y286" t="s">
        <v>170</v>
      </c>
      <c r="Z286" t="s">
        <v>2076</v>
      </c>
      <c r="AA286">
        <v>1.33</v>
      </c>
      <c r="AB286">
        <v>3424</v>
      </c>
      <c r="AC286" t="s">
        <v>87</v>
      </c>
      <c r="AD286">
        <v>1.51</v>
      </c>
      <c r="AE286" t="s">
        <v>2077</v>
      </c>
      <c r="AF286" t="s">
        <v>2078</v>
      </c>
      <c r="AG286" t="s">
        <v>2079</v>
      </c>
      <c r="AH286" t="s">
        <v>2080</v>
      </c>
      <c r="AI286">
        <v>-0.52</v>
      </c>
      <c r="AJ286">
        <v>-0.52</v>
      </c>
      <c r="AK286">
        <v>0.79</v>
      </c>
      <c r="AL286">
        <v>1.63</v>
      </c>
    </row>
    <row r="287" spans="1:38" x14ac:dyDescent="0.25">
      <c r="A287">
        <v>286</v>
      </c>
      <c r="B287" t="str">
        <f xml:space="preserve"> "600150"</f>
        <v>600150</v>
      </c>
      <c r="C287" t="s">
        <v>2081</v>
      </c>
      <c r="D287" t="s">
        <v>616</v>
      </c>
      <c r="E287" t="s">
        <v>616</v>
      </c>
      <c r="F287" t="s">
        <v>616</v>
      </c>
      <c r="G287" t="s">
        <v>616</v>
      </c>
      <c r="H287" t="s">
        <v>616</v>
      </c>
      <c r="I287" t="s">
        <v>616</v>
      </c>
      <c r="J287" t="s">
        <v>616</v>
      </c>
      <c r="K287" t="s">
        <v>616</v>
      </c>
      <c r="L287" t="s">
        <v>616</v>
      </c>
      <c r="M287" t="s">
        <v>616</v>
      </c>
      <c r="N287">
        <v>-861.17</v>
      </c>
      <c r="O287" t="s">
        <v>635</v>
      </c>
      <c r="P287" t="s">
        <v>616</v>
      </c>
      <c r="Q287" t="s">
        <v>616</v>
      </c>
      <c r="R287" t="s">
        <v>616</v>
      </c>
      <c r="S287">
        <v>24.67</v>
      </c>
      <c r="T287" t="s">
        <v>616</v>
      </c>
      <c r="U287" t="s">
        <v>616</v>
      </c>
      <c r="V287" t="s">
        <v>616</v>
      </c>
      <c r="W287" t="s">
        <v>616</v>
      </c>
      <c r="X287" t="s">
        <v>616</v>
      </c>
      <c r="Y287" t="s">
        <v>616</v>
      </c>
      <c r="Z287" t="s">
        <v>616</v>
      </c>
      <c r="AA287" t="s">
        <v>616</v>
      </c>
      <c r="AB287" t="s">
        <v>616</v>
      </c>
      <c r="AC287" t="s">
        <v>616</v>
      </c>
      <c r="AD287">
        <v>2.2799999999999998</v>
      </c>
      <c r="AE287" t="s">
        <v>1047</v>
      </c>
      <c r="AF287" t="s">
        <v>2082</v>
      </c>
      <c r="AG287" t="s">
        <v>1047</v>
      </c>
      <c r="AH287" t="s">
        <v>2082</v>
      </c>
      <c r="AI287">
        <v>0</v>
      </c>
      <c r="AJ287">
        <v>0</v>
      </c>
      <c r="AK287">
        <v>0</v>
      </c>
      <c r="AL287">
        <v>0</v>
      </c>
    </row>
    <row r="288" spans="1:38" x14ac:dyDescent="0.25">
      <c r="A288">
        <v>287</v>
      </c>
      <c r="B288" t="str">
        <f xml:space="preserve"> "601158"</f>
        <v>601158</v>
      </c>
      <c r="C288" t="s">
        <v>2083</v>
      </c>
      <c r="D288">
        <v>7.05</v>
      </c>
      <c r="E288">
        <v>1.59</v>
      </c>
      <c r="F288">
        <v>0.11</v>
      </c>
      <c r="G288" t="s">
        <v>363</v>
      </c>
      <c r="H288">
        <v>92</v>
      </c>
      <c r="I288">
        <v>7.04</v>
      </c>
      <c r="J288">
        <v>7.05</v>
      </c>
      <c r="K288">
        <v>0.14000000000000001</v>
      </c>
      <c r="L288">
        <v>0.23</v>
      </c>
      <c r="M288" t="s">
        <v>2084</v>
      </c>
      <c r="N288">
        <v>16.52</v>
      </c>
      <c r="O288" t="s">
        <v>2085</v>
      </c>
      <c r="P288">
        <v>7.07</v>
      </c>
      <c r="Q288">
        <v>6.93</v>
      </c>
      <c r="R288">
        <v>6.94</v>
      </c>
      <c r="S288">
        <v>6.94</v>
      </c>
      <c r="T288">
        <v>2.02</v>
      </c>
      <c r="U288">
        <v>3.28</v>
      </c>
      <c r="V288">
        <v>-57.94</v>
      </c>
      <c r="W288">
        <v>-9848</v>
      </c>
      <c r="X288">
        <v>7.01</v>
      </c>
      <c r="Y288" t="s">
        <v>915</v>
      </c>
      <c r="Z288" t="s">
        <v>2086</v>
      </c>
      <c r="AA288">
        <v>0.52</v>
      </c>
      <c r="AB288">
        <v>372</v>
      </c>
      <c r="AC288">
        <v>990</v>
      </c>
      <c r="AD288">
        <v>2.57</v>
      </c>
      <c r="AE288" t="s">
        <v>984</v>
      </c>
      <c r="AF288" t="s">
        <v>1497</v>
      </c>
      <c r="AG288" t="s">
        <v>984</v>
      </c>
      <c r="AH288" t="s">
        <v>1497</v>
      </c>
      <c r="AI288">
        <v>1.44</v>
      </c>
      <c r="AJ288">
        <v>3.07</v>
      </c>
      <c r="AK288">
        <v>0.34</v>
      </c>
      <c r="AL288">
        <v>0.56999999999999995</v>
      </c>
    </row>
    <row r="289" spans="1:38" x14ac:dyDescent="0.25">
      <c r="A289">
        <v>288</v>
      </c>
      <c r="B289" t="str">
        <f xml:space="preserve"> "600338"</f>
        <v>600338</v>
      </c>
      <c r="C289" t="s">
        <v>2087</v>
      </c>
      <c r="D289">
        <v>51.68</v>
      </c>
      <c r="E289">
        <v>0.25</v>
      </c>
      <c r="F289">
        <v>0.13</v>
      </c>
      <c r="G289" t="s">
        <v>2088</v>
      </c>
      <c r="H289">
        <v>26</v>
      </c>
      <c r="I289">
        <v>51.68</v>
      </c>
      <c r="J289">
        <v>51.69</v>
      </c>
      <c r="K289">
        <v>0.84</v>
      </c>
      <c r="L289">
        <v>1.46</v>
      </c>
      <c r="M289" t="s">
        <v>918</v>
      </c>
      <c r="N289">
        <v>29.61</v>
      </c>
      <c r="O289" t="s">
        <v>449</v>
      </c>
      <c r="P289">
        <v>52.57</v>
      </c>
      <c r="Q289">
        <v>51.05</v>
      </c>
      <c r="R289">
        <v>51.8</v>
      </c>
      <c r="S289">
        <v>51.55</v>
      </c>
      <c r="T289">
        <v>2.95</v>
      </c>
      <c r="U289">
        <v>0.72</v>
      </c>
      <c r="V289">
        <v>-14.3</v>
      </c>
      <c r="W289">
        <v>-32</v>
      </c>
      <c r="X289">
        <v>51.92</v>
      </c>
      <c r="Y289" t="s">
        <v>2089</v>
      </c>
      <c r="Z289" t="s">
        <v>808</v>
      </c>
      <c r="AA289">
        <v>1.08</v>
      </c>
      <c r="AB289">
        <v>5</v>
      </c>
      <c r="AC289">
        <v>15</v>
      </c>
      <c r="AD289">
        <v>27.8</v>
      </c>
      <c r="AE289" t="s">
        <v>858</v>
      </c>
      <c r="AF289" t="s">
        <v>2090</v>
      </c>
      <c r="AG289" t="s">
        <v>2091</v>
      </c>
      <c r="AH289" t="s">
        <v>2092</v>
      </c>
      <c r="AI289">
        <v>3.38</v>
      </c>
      <c r="AJ289">
        <v>6.14</v>
      </c>
      <c r="AK289">
        <v>6.04</v>
      </c>
      <c r="AL289">
        <v>11.53</v>
      </c>
    </row>
    <row r="290" spans="1:38" x14ac:dyDescent="0.25">
      <c r="A290">
        <v>289</v>
      </c>
      <c r="B290" t="str">
        <f xml:space="preserve"> "002032"</f>
        <v>002032</v>
      </c>
      <c r="C290" t="s">
        <v>2093</v>
      </c>
      <c r="D290">
        <v>41.08</v>
      </c>
      <c r="E290">
        <v>0.74</v>
      </c>
      <c r="F290">
        <v>0.3</v>
      </c>
      <c r="G290" t="s">
        <v>713</v>
      </c>
      <c r="H290">
        <v>415</v>
      </c>
      <c r="I290">
        <v>41.08</v>
      </c>
      <c r="J290">
        <v>41.1</v>
      </c>
      <c r="K290">
        <v>0</v>
      </c>
      <c r="L290">
        <v>0.31</v>
      </c>
      <c r="M290" t="s">
        <v>2094</v>
      </c>
      <c r="N290">
        <v>28.26</v>
      </c>
      <c r="O290" t="s">
        <v>215</v>
      </c>
      <c r="P290">
        <v>41.48</v>
      </c>
      <c r="Q290">
        <v>40.51</v>
      </c>
      <c r="R290">
        <v>40.85</v>
      </c>
      <c r="S290">
        <v>40.78</v>
      </c>
      <c r="T290">
        <v>2.38</v>
      </c>
      <c r="U290">
        <v>0.49</v>
      </c>
      <c r="V290">
        <v>-57.58</v>
      </c>
      <c r="W290">
        <v>-572</v>
      </c>
      <c r="X290">
        <v>41.09</v>
      </c>
      <c r="Y290">
        <v>8752</v>
      </c>
      <c r="Z290">
        <v>8270</v>
      </c>
      <c r="AA290">
        <v>1.06</v>
      </c>
      <c r="AB290">
        <v>110</v>
      </c>
      <c r="AC290">
        <v>44</v>
      </c>
      <c r="AD290">
        <v>7.23</v>
      </c>
      <c r="AE290" t="s">
        <v>2095</v>
      </c>
      <c r="AF290" t="s">
        <v>2090</v>
      </c>
      <c r="AG290" t="s">
        <v>2096</v>
      </c>
      <c r="AH290" t="s">
        <v>1402</v>
      </c>
      <c r="AI290">
        <v>0.32</v>
      </c>
      <c r="AJ290">
        <v>8.19</v>
      </c>
      <c r="AK290">
        <v>1.35</v>
      </c>
      <c r="AL290">
        <v>3.49</v>
      </c>
    </row>
    <row r="291" spans="1:38" x14ac:dyDescent="0.25">
      <c r="A291">
        <v>290</v>
      </c>
      <c r="B291" t="str">
        <f xml:space="preserve"> "002640"</f>
        <v>002640</v>
      </c>
      <c r="C291" t="s">
        <v>2097</v>
      </c>
      <c r="D291">
        <v>23.5</v>
      </c>
      <c r="E291">
        <v>-1.8</v>
      </c>
      <c r="F291">
        <v>-0.43</v>
      </c>
      <c r="G291" t="s">
        <v>2098</v>
      </c>
      <c r="H291">
        <v>901</v>
      </c>
      <c r="I291">
        <v>23.49</v>
      </c>
      <c r="J291">
        <v>23.5</v>
      </c>
      <c r="K291">
        <v>0</v>
      </c>
      <c r="L291">
        <v>0.87</v>
      </c>
      <c r="M291" t="s">
        <v>1978</v>
      </c>
      <c r="N291">
        <v>53.55</v>
      </c>
      <c r="O291" t="s">
        <v>2001</v>
      </c>
      <c r="P291">
        <v>23.89</v>
      </c>
      <c r="Q291">
        <v>23.2</v>
      </c>
      <c r="R291">
        <v>23.73</v>
      </c>
      <c r="S291">
        <v>23.93</v>
      </c>
      <c r="T291">
        <v>2.88</v>
      </c>
      <c r="U291">
        <v>0.68</v>
      </c>
      <c r="V291">
        <v>-47.47</v>
      </c>
      <c r="W291">
        <v>-316</v>
      </c>
      <c r="X291">
        <v>23.54</v>
      </c>
      <c r="Y291" t="s">
        <v>656</v>
      </c>
      <c r="Z291" t="s">
        <v>2099</v>
      </c>
      <c r="AA291">
        <v>1.79</v>
      </c>
      <c r="AB291">
        <v>14</v>
      </c>
      <c r="AC291">
        <v>2</v>
      </c>
      <c r="AD291">
        <v>7.46</v>
      </c>
      <c r="AE291" t="s">
        <v>2100</v>
      </c>
      <c r="AF291" t="s">
        <v>2090</v>
      </c>
      <c r="AG291" t="s">
        <v>2101</v>
      </c>
      <c r="AH291" t="s">
        <v>2102</v>
      </c>
      <c r="AI291">
        <v>-0.42</v>
      </c>
      <c r="AJ291">
        <v>8.6999999999999993</v>
      </c>
      <c r="AK291">
        <v>2.78</v>
      </c>
      <c r="AL291">
        <v>7.32</v>
      </c>
    </row>
    <row r="292" spans="1:38" x14ac:dyDescent="0.25">
      <c r="A292">
        <v>291</v>
      </c>
      <c r="B292" t="str">
        <f xml:space="preserve"> "600153"</f>
        <v>600153</v>
      </c>
      <c r="C292" t="s">
        <v>2103</v>
      </c>
      <c r="D292">
        <v>11.87</v>
      </c>
      <c r="E292">
        <v>0.42</v>
      </c>
      <c r="F292">
        <v>0.05</v>
      </c>
      <c r="G292" t="s">
        <v>337</v>
      </c>
      <c r="H292">
        <v>178</v>
      </c>
      <c r="I292">
        <v>11.87</v>
      </c>
      <c r="J292">
        <v>11.88</v>
      </c>
      <c r="K292">
        <v>0</v>
      </c>
      <c r="L292">
        <v>0.4</v>
      </c>
      <c r="M292" t="s">
        <v>333</v>
      </c>
      <c r="N292">
        <v>18</v>
      </c>
      <c r="O292" t="s">
        <v>274</v>
      </c>
      <c r="P292">
        <v>11.9</v>
      </c>
      <c r="Q292">
        <v>11.74</v>
      </c>
      <c r="R292">
        <v>11.82</v>
      </c>
      <c r="S292">
        <v>11.82</v>
      </c>
      <c r="T292">
        <v>1.35</v>
      </c>
      <c r="U292">
        <v>0.6</v>
      </c>
      <c r="V292">
        <v>-30.22</v>
      </c>
      <c r="W292">
        <v>-2441</v>
      </c>
      <c r="X292">
        <v>11.82</v>
      </c>
      <c r="Y292" t="s">
        <v>1399</v>
      </c>
      <c r="Z292" t="s">
        <v>2045</v>
      </c>
      <c r="AA292">
        <v>1.01</v>
      </c>
      <c r="AB292">
        <v>22</v>
      </c>
      <c r="AC292">
        <v>1119</v>
      </c>
      <c r="AD292">
        <v>1.58</v>
      </c>
      <c r="AE292" t="s">
        <v>2104</v>
      </c>
      <c r="AF292" t="s">
        <v>2090</v>
      </c>
      <c r="AG292" t="s">
        <v>2104</v>
      </c>
      <c r="AH292" t="s">
        <v>2090</v>
      </c>
      <c r="AI292">
        <v>-1.49</v>
      </c>
      <c r="AJ292">
        <v>2.5</v>
      </c>
      <c r="AK292">
        <v>1.48</v>
      </c>
      <c r="AL292">
        <v>3.68</v>
      </c>
    </row>
    <row r="293" spans="1:38" x14ac:dyDescent="0.25">
      <c r="A293">
        <v>292</v>
      </c>
      <c r="B293" t="str">
        <f xml:space="preserve"> "600352"</f>
        <v>600352</v>
      </c>
      <c r="C293" t="s">
        <v>2105</v>
      </c>
      <c r="D293">
        <v>10.3</v>
      </c>
      <c r="E293">
        <v>0.49</v>
      </c>
      <c r="F293">
        <v>0.05</v>
      </c>
      <c r="G293" t="s">
        <v>184</v>
      </c>
      <c r="H293">
        <v>40</v>
      </c>
      <c r="I293">
        <v>10.29</v>
      </c>
      <c r="J293">
        <v>10.3</v>
      </c>
      <c r="K293">
        <v>0</v>
      </c>
      <c r="L293">
        <v>0.46</v>
      </c>
      <c r="M293" t="s">
        <v>2106</v>
      </c>
      <c r="N293">
        <v>16.54</v>
      </c>
      <c r="O293" t="s">
        <v>667</v>
      </c>
      <c r="P293">
        <v>10.31</v>
      </c>
      <c r="Q293">
        <v>10.220000000000001</v>
      </c>
      <c r="R293">
        <v>10.27</v>
      </c>
      <c r="S293">
        <v>10.25</v>
      </c>
      <c r="T293">
        <v>0.88</v>
      </c>
      <c r="U293">
        <v>0.73</v>
      </c>
      <c r="V293">
        <v>-10.46</v>
      </c>
      <c r="W293">
        <v>-1253</v>
      </c>
      <c r="X293">
        <v>10.27</v>
      </c>
      <c r="Y293" t="s">
        <v>490</v>
      </c>
      <c r="Z293" t="s">
        <v>1370</v>
      </c>
      <c r="AA293">
        <v>1.22</v>
      </c>
      <c r="AB293">
        <v>54</v>
      </c>
      <c r="AC293">
        <v>27</v>
      </c>
      <c r="AD293">
        <v>2.1</v>
      </c>
      <c r="AE293" t="s">
        <v>1029</v>
      </c>
      <c r="AF293" t="s">
        <v>2107</v>
      </c>
      <c r="AG293" t="s">
        <v>2108</v>
      </c>
      <c r="AH293" t="s">
        <v>2080</v>
      </c>
      <c r="AI293">
        <v>-1.1499999999999999</v>
      </c>
      <c r="AJ293">
        <v>1.08</v>
      </c>
      <c r="AK293">
        <v>1.67</v>
      </c>
      <c r="AL293">
        <v>3.59</v>
      </c>
    </row>
    <row r="294" spans="1:38" x14ac:dyDescent="0.25">
      <c r="A294">
        <v>293</v>
      </c>
      <c r="B294" t="str">
        <f xml:space="preserve"> "600549"</f>
        <v>600549</v>
      </c>
      <c r="C294" t="s">
        <v>2109</v>
      </c>
      <c r="D294">
        <v>30.82</v>
      </c>
      <c r="E294">
        <v>1.31</v>
      </c>
      <c r="F294">
        <v>0.4</v>
      </c>
      <c r="G294" t="s">
        <v>280</v>
      </c>
      <c r="H294">
        <v>2</v>
      </c>
      <c r="I294">
        <v>30.8</v>
      </c>
      <c r="J294">
        <v>30.81</v>
      </c>
      <c r="K294">
        <v>0</v>
      </c>
      <c r="L294">
        <v>1.72</v>
      </c>
      <c r="M294" t="s">
        <v>2021</v>
      </c>
      <c r="N294">
        <v>36.96</v>
      </c>
      <c r="O294" t="s">
        <v>449</v>
      </c>
      <c r="P294">
        <v>30.98</v>
      </c>
      <c r="Q294">
        <v>30.46</v>
      </c>
      <c r="R294">
        <v>30.58</v>
      </c>
      <c r="S294">
        <v>30.42</v>
      </c>
      <c r="T294">
        <v>1.71</v>
      </c>
      <c r="U294">
        <v>0.73</v>
      </c>
      <c r="V294">
        <v>-25.42</v>
      </c>
      <c r="W294">
        <v>-512</v>
      </c>
      <c r="X294">
        <v>30.75</v>
      </c>
      <c r="Y294" t="s">
        <v>2110</v>
      </c>
      <c r="Z294" t="s">
        <v>187</v>
      </c>
      <c r="AA294">
        <v>0.91</v>
      </c>
      <c r="AB294">
        <v>139</v>
      </c>
      <c r="AC294">
        <v>78</v>
      </c>
      <c r="AD294">
        <v>4.93</v>
      </c>
      <c r="AE294" t="s">
        <v>888</v>
      </c>
      <c r="AF294" t="s">
        <v>2107</v>
      </c>
      <c r="AG294" t="s">
        <v>2111</v>
      </c>
      <c r="AH294" t="s">
        <v>1859</v>
      </c>
      <c r="AI294">
        <v>-1.82</v>
      </c>
      <c r="AJ294">
        <v>-3.51</v>
      </c>
      <c r="AK294">
        <v>6.78</v>
      </c>
      <c r="AL294">
        <v>13.52</v>
      </c>
    </row>
    <row r="295" spans="1:38" x14ac:dyDescent="0.25">
      <c r="A295">
        <v>294</v>
      </c>
      <c r="B295" t="str">
        <f xml:space="preserve"> "600977"</f>
        <v>600977</v>
      </c>
      <c r="C295" t="s">
        <v>2112</v>
      </c>
      <c r="D295">
        <v>17.88</v>
      </c>
      <c r="E295">
        <v>1.1299999999999999</v>
      </c>
      <c r="F295">
        <v>0.2</v>
      </c>
      <c r="G295" t="s">
        <v>2113</v>
      </c>
      <c r="H295">
        <v>8</v>
      </c>
      <c r="I295">
        <v>17.88</v>
      </c>
      <c r="J295">
        <v>17.89</v>
      </c>
      <c r="K295">
        <v>-0.06</v>
      </c>
      <c r="L295">
        <v>1.1200000000000001</v>
      </c>
      <c r="M295" t="s">
        <v>2114</v>
      </c>
      <c r="N295">
        <v>27.78</v>
      </c>
      <c r="O295" t="s">
        <v>1126</v>
      </c>
      <c r="P295">
        <v>17.920000000000002</v>
      </c>
      <c r="Q295">
        <v>17.59</v>
      </c>
      <c r="R295">
        <v>17.7</v>
      </c>
      <c r="S295">
        <v>17.68</v>
      </c>
      <c r="T295">
        <v>1.87</v>
      </c>
      <c r="U295">
        <v>0.88</v>
      </c>
      <c r="V295">
        <v>-81.31</v>
      </c>
      <c r="W295">
        <v>-4376</v>
      </c>
      <c r="X295">
        <v>17.739999999999998</v>
      </c>
      <c r="Y295" t="s">
        <v>2115</v>
      </c>
      <c r="Z295" t="s">
        <v>2116</v>
      </c>
      <c r="AA295">
        <v>0.84</v>
      </c>
      <c r="AB295">
        <v>179</v>
      </c>
      <c r="AC295">
        <v>797</v>
      </c>
      <c r="AD295">
        <v>3.5</v>
      </c>
      <c r="AE295" t="s">
        <v>1362</v>
      </c>
      <c r="AF295" t="s">
        <v>1139</v>
      </c>
      <c r="AG295" t="s">
        <v>2117</v>
      </c>
      <c r="AH295" t="s">
        <v>475</v>
      </c>
      <c r="AI295">
        <v>0.96</v>
      </c>
      <c r="AJ295">
        <v>4.38</v>
      </c>
      <c r="AK295">
        <v>4.3600000000000003</v>
      </c>
      <c r="AL295">
        <v>7.46</v>
      </c>
    </row>
    <row r="296" spans="1:38" x14ac:dyDescent="0.25">
      <c r="A296">
        <v>295</v>
      </c>
      <c r="B296" t="str">
        <f xml:space="preserve"> "600570"</f>
        <v>600570</v>
      </c>
      <c r="C296" t="s">
        <v>2118</v>
      </c>
      <c r="D296">
        <v>54.03</v>
      </c>
      <c r="E296">
        <v>-0.48</v>
      </c>
      <c r="F296">
        <v>-0.26</v>
      </c>
      <c r="G296" t="s">
        <v>1967</v>
      </c>
      <c r="H296">
        <v>6</v>
      </c>
      <c r="I296">
        <v>54</v>
      </c>
      <c r="J296">
        <v>54.02</v>
      </c>
      <c r="K296">
        <v>0.09</v>
      </c>
      <c r="L296">
        <v>1.47</v>
      </c>
      <c r="M296" t="s">
        <v>2119</v>
      </c>
      <c r="N296">
        <v>73</v>
      </c>
      <c r="O296" t="s">
        <v>893</v>
      </c>
      <c r="P296">
        <v>54.48</v>
      </c>
      <c r="Q296">
        <v>53.39</v>
      </c>
      <c r="R296">
        <v>54</v>
      </c>
      <c r="S296">
        <v>54.29</v>
      </c>
      <c r="T296">
        <v>2.0099999999999998</v>
      </c>
      <c r="U296">
        <v>0.61</v>
      </c>
      <c r="V296">
        <v>-41.41</v>
      </c>
      <c r="W296">
        <v>-285</v>
      </c>
      <c r="X296">
        <v>53.82</v>
      </c>
      <c r="Y296" t="s">
        <v>2120</v>
      </c>
      <c r="Z296" t="s">
        <v>1346</v>
      </c>
      <c r="AA296">
        <v>1.1399999999999999</v>
      </c>
      <c r="AB296">
        <v>54</v>
      </c>
      <c r="AC296">
        <v>6</v>
      </c>
      <c r="AD296">
        <v>12.86</v>
      </c>
      <c r="AE296" t="s">
        <v>2121</v>
      </c>
      <c r="AF296" t="s">
        <v>1139</v>
      </c>
      <c r="AG296" t="s">
        <v>2121</v>
      </c>
      <c r="AH296" t="s">
        <v>1139</v>
      </c>
      <c r="AI296">
        <v>-1.51</v>
      </c>
      <c r="AJ296">
        <v>6.11</v>
      </c>
      <c r="AK296">
        <v>6.2</v>
      </c>
      <c r="AL296">
        <v>13.42</v>
      </c>
    </row>
    <row r="297" spans="1:38" x14ac:dyDescent="0.25">
      <c r="A297">
        <v>296</v>
      </c>
      <c r="B297" t="str">
        <f xml:space="preserve"> "600118"</f>
        <v>600118</v>
      </c>
      <c r="C297" t="s">
        <v>2122</v>
      </c>
      <c r="D297">
        <v>28.2</v>
      </c>
      <c r="E297">
        <v>-0.6</v>
      </c>
      <c r="F297">
        <v>-0.17</v>
      </c>
      <c r="G297" t="s">
        <v>2123</v>
      </c>
      <c r="H297">
        <v>76</v>
      </c>
      <c r="I297">
        <v>28.18</v>
      </c>
      <c r="J297">
        <v>28.19</v>
      </c>
      <c r="K297">
        <v>0.11</v>
      </c>
      <c r="L297">
        <v>0.51</v>
      </c>
      <c r="M297" t="s">
        <v>989</v>
      </c>
      <c r="N297">
        <v>94.54</v>
      </c>
      <c r="O297" t="s">
        <v>926</v>
      </c>
      <c r="P297">
        <v>28.34</v>
      </c>
      <c r="Q297">
        <v>28.08</v>
      </c>
      <c r="R297">
        <v>28.25</v>
      </c>
      <c r="S297">
        <v>28.37</v>
      </c>
      <c r="T297">
        <v>0.92</v>
      </c>
      <c r="U297">
        <v>0.67</v>
      </c>
      <c r="V297">
        <v>15.18</v>
      </c>
      <c r="W297">
        <v>177</v>
      </c>
      <c r="X297">
        <v>28.16</v>
      </c>
      <c r="Y297" t="s">
        <v>2124</v>
      </c>
      <c r="Z297" t="s">
        <v>1454</v>
      </c>
      <c r="AA297">
        <v>1.91</v>
      </c>
      <c r="AB297">
        <v>261</v>
      </c>
      <c r="AC297">
        <v>13</v>
      </c>
      <c r="AD297">
        <v>6.76</v>
      </c>
      <c r="AE297" t="s">
        <v>896</v>
      </c>
      <c r="AF297" t="s">
        <v>1281</v>
      </c>
      <c r="AG297" t="s">
        <v>896</v>
      </c>
      <c r="AH297" t="s">
        <v>1281</v>
      </c>
      <c r="AI297">
        <v>-0.21</v>
      </c>
      <c r="AJ297">
        <v>0.43</v>
      </c>
      <c r="AK297">
        <v>2.2999999999999998</v>
      </c>
      <c r="AL297">
        <v>4.33</v>
      </c>
    </row>
    <row r="298" spans="1:38" x14ac:dyDescent="0.25">
      <c r="A298">
        <v>297</v>
      </c>
      <c r="B298" t="str">
        <f xml:space="preserve"> "002602"</f>
        <v>002602</v>
      </c>
      <c r="C298" t="s">
        <v>2125</v>
      </c>
      <c r="D298">
        <v>32.380000000000003</v>
      </c>
      <c r="E298">
        <v>-0.06</v>
      </c>
      <c r="F298">
        <v>-0.02</v>
      </c>
      <c r="G298" t="s">
        <v>2126</v>
      </c>
      <c r="H298">
        <v>46</v>
      </c>
      <c r="I298">
        <v>32.369999999999997</v>
      </c>
      <c r="J298">
        <v>32.380000000000003</v>
      </c>
      <c r="K298">
        <v>0</v>
      </c>
      <c r="L298">
        <v>0.23</v>
      </c>
      <c r="M298" t="s">
        <v>2127</v>
      </c>
      <c r="N298">
        <v>26.9</v>
      </c>
      <c r="O298" t="s">
        <v>2128</v>
      </c>
      <c r="P298">
        <v>32.5</v>
      </c>
      <c r="Q298">
        <v>32.06</v>
      </c>
      <c r="R298">
        <v>32.36</v>
      </c>
      <c r="S298">
        <v>32.4</v>
      </c>
      <c r="T298">
        <v>1.36</v>
      </c>
      <c r="U298">
        <v>0.68</v>
      </c>
      <c r="V298">
        <v>-49.18</v>
      </c>
      <c r="W298">
        <v>-686</v>
      </c>
      <c r="X298">
        <v>32.32</v>
      </c>
      <c r="Y298" t="s">
        <v>1836</v>
      </c>
      <c r="Z298">
        <v>7288</v>
      </c>
      <c r="AA298">
        <v>1.48</v>
      </c>
      <c r="AB298">
        <v>2</v>
      </c>
      <c r="AC298">
        <v>133</v>
      </c>
      <c r="AD298">
        <v>6.65</v>
      </c>
      <c r="AE298" t="s">
        <v>707</v>
      </c>
      <c r="AF298" t="s">
        <v>1281</v>
      </c>
      <c r="AG298" t="s">
        <v>2129</v>
      </c>
      <c r="AH298" t="s">
        <v>2130</v>
      </c>
      <c r="AI298">
        <v>2.4</v>
      </c>
      <c r="AJ298">
        <v>3.92</v>
      </c>
      <c r="AK298">
        <v>1.08</v>
      </c>
      <c r="AL298">
        <v>1.9</v>
      </c>
    </row>
    <row r="299" spans="1:38" x14ac:dyDescent="0.25">
      <c r="A299">
        <v>298</v>
      </c>
      <c r="B299" t="str">
        <f xml:space="preserve"> "000807"</f>
        <v>000807</v>
      </c>
      <c r="C299" t="s">
        <v>2131</v>
      </c>
      <c r="D299">
        <v>12.73</v>
      </c>
      <c r="E299">
        <v>1.03</v>
      </c>
      <c r="F299">
        <v>0.13</v>
      </c>
      <c r="G299" t="s">
        <v>2132</v>
      </c>
      <c r="H299">
        <v>9315</v>
      </c>
      <c r="I299">
        <v>12.73</v>
      </c>
      <c r="J299">
        <v>12.74</v>
      </c>
      <c r="K299">
        <v>0</v>
      </c>
      <c r="L299">
        <v>4.13</v>
      </c>
      <c r="M299" t="s">
        <v>2133</v>
      </c>
      <c r="N299">
        <v>112.86</v>
      </c>
      <c r="O299" t="s">
        <v>449</v>
      </c>
      <c r="P299">
        <v>12.86</v>
      </c>
      <c r="Q299">
        <v>12.46</v>
      </c>
      <c r="R299">
        <v>12.65</v>
      </c>
      <c r="S299">
        <v>12.6</v>
      </c>
      <c r="T299">
        <v>3.17</v>
      </c>
      <c r="U299">
        <v>0.79</v>
      </c>
      <c r="V299">
        <v>-31.39</v>
      </c>
      <c r="W299">
        <v>-3664</v>
      </c>
      <c r="X299">
        <v>12.72</v>
      </c>
      <c r="Y299" t="s">
        <v>2134</v>
      </c>
      <c r="Z299" t="s">
        <v>2135</v>
      </c>
      <c r="AA299">
        <v>0.99</v>
      </c>
      <c r="AB299">
        <v>331</v>
      </c>
      <c r="AC299">
        <v>1429</v>
      </c>
      <c r="AD299">
        <v>3.53</v>
      </c>
      <c r="AE299" t="s">
        <v>2136</v>
      </c>
      <c r="AF299" t="s">
        <v>2137</v>
      </c>
      <c r="AG299" t="s">
        <v>1367</v>
      </c>
      <c r="AH299" t="s">
        <v>2138</v>
      </c>
      <c r="AI299">
        <v>-7.49</v>
      </c>
      <c r="AJ299">
        <v>-10.98</v>
      </c>
      <c r="AK299">
        <v>17.88</v>
      </c>
      <c r="AL299">
        <v>30.36</v>
      </c>
    </row>
    <row r="300" spans="1:38" x14ac:dyDescent="0.25">
      <c r="A300">
        <v>299</v>
      </c>
      <c r="B300" t="str">
        <f xml:space="preserve"> "600369"</f>
        <v>600369</v>
      </c>
      <c r="C300" t="s">
        <v>2139</v>
      </c>
      <c r="D300">
        <v>5.87</v>
      </c>
      <c r="E300">
        <v>0.34</v>
      </c>
      <c r="F300">
        <v>0.02</v>
      </c>
      <c r="G300" t="s">
        <v>2140</v>
      </c>
      <c r="H300">
        <v>18</v>
      </c>
      <c r="I300">
        <v>5.87</v>
      </c>
      <c r="J300">
        <v>5.88</v>
      </c>
      <c r="K300">
        <v>0.17</v>
      </c>
      <c r="L300">
        <v>0.15</v>
      </c>
      <c r="M300" t="s">
        <v>2141</v>
      </c>
      <c r="N300">
        <v>45.18</v>
      </c>
      <c r="O300" t="s">
        <v>306</v>
      </c>
      <c r="P300">
        <v>5.88</v>
      </c>
      <c r="Q300">
        <v>5.84</v>
      </c>
      <c r="R300">
        <v>5.85</v>
      </c>
      <c r="S300">
        <v>5.85</v>
      </c>
      <c r="T300">
        <v>0.68</v>
      </c>
      <c r="U300">
        <v>0.59</v>
      </c>
      <c r="V300">
        <v>-52.41</v>
      </c>
      <c r="W300" t="s">
        <v>2142</v>
      </c>
      <c r="X300">
        <v>5.86</v>
      </c>
      <c r="Y300" t="s">
        <v>1819</v>
      </c>
      <c r="Z300" t="s">
        <v>2143</v>
      </c>
      <c r="AA300">
        <v>0.85</v>
      </c>
      <c r="AB300">
        <v>180</v>
      </c>
      <c r="AC300">
        <v>4041</v>
      </c>
      <c r="AD300">
        <v>1.8</v>
      </c>
      <c r="AE300" t="s">
        <v>1957</v>
      </c>
      <c r="AF300" t="s">
        <v>2144</v>
      </c>
      <c r="AG300" t="s">
        <v>1957</v>
      </c>
      <c r="AH300" t="s">
        <v>2144</v>
      </c>
      <c r="AI300">
        <v>-0.51</v>
      </c>
      <c r="AJ300">
        <v>1.56</v>
      </c>
      <c r="AK300">
        <v>0.59</v>
      </c>
      <c r="AL300">
        <v>1.44</v>
      </c>
    </row>
    <row r="301" spans="1:38" x14ac:dyDescent="0.25">
      <c r="A301">
        <v>300</v>
      </c>
      <c r="B301" t="str">
        <f xml:space="preserve"> "000998"</f>
        <v>000998</v>
      </c>
      <c r="C301" t="s">
        <v>2145</v>
      </c>
      <c r="D301">
        <v>26.36</v>
      </c>
      <c r="E301">
        <v>1.23</v>
      </c>
      <c r="F301">
        <v>0.32</v>
      </c>
      <c r="G301" t="s">
        <v>1577</v>
      </c>
      <c r="H301">
        <v>559</v>
      </c>
      <c r="I301">
        <v>26.35</v>
      </c>
      <c r="J301">
        <v>26.36</v>
      </c>
      <c r="K301">
        <v>0</v>
      </c>
      <c r="L301">
        <v>0.76</v>
      </c>
      <c r="M301" t="s">
        <v>2146</v>
      </c>
      <c r="N301">
        <v>70.75</v>
      </c>
      <c r="O301" t="s">
        <v>622</v>
      </c>
      <c r="P301">
        <v>26.75</v>
      </c>
      <c r="Q301">
        <v>25.9</v>
      </c>
      <c r="R301">
        <v>25.9</v>
      </c>
      <c r="S301">
        <v>26.04</v>
      </c>
      <c r="T301">
        <v>3.26</v>
      </c>
      <c r="U301">
        <v>0.48</v>
      </c>
      <c r="V301">
        <v>-60.08</v>
      </c>
      <c r="W301">
        <v>-900</v>
      </c>
      <c r="X301">
        <v>26.38</v>
      </c>
      <c r="Y301" t="s">
        <v>885</v>
      </c>
      <c r="Z301" t="s">
        <v>2147</v>
      </c>
      <c r="AA301">
        <v>0.81</v>
      </c>
      <c r="AB301">
        <v>251</v>
      </c>
      <c r="AC301">
        <v>238</v>
      </c>
      <c r="AD301">
        <v>5.82</v>
      </c>
      <c r="AE301" t="s">
        <v>126</v>
      </c>
      <c r="AF301" t="s">
        <v>2144</v>
      </c>
      <c r="AG301" t="s">
        <v>2148</v>
      </c>
      <c r="AH301" t="s">
        <v>133</v>
      </c>
      <c r="AI301">
        <v>1.31</v>
      </c>
      <c r="AJ301">
        <v>3.58</v>
      </c>
      <c r="AK301">
        <v>2.81</v>
      </c>
      <c r="AL301">
        <v>8.68</v>
      </c>
    </row>
    <row r="302" spans="1:38" x14ac:dyDescent="0.25">
      <c r="A302">
        <v>301</v>
      </c>
      <c r="B302" t="str">
        <f xml:space="preserve"> "000559"</f>
        <v>000559</v>
      </c>
      <c r="C302" t="s">
        <v>2149</v>
      </c>
      <c r="D302">
        <v>11.96</v>
      </c>
      <c r="E302">
        <v>0.34</v>
      </c>
      <c r="F302">
        <v>0.04</v>
      </c>
      <c r="G302" t="s">
        <v>2150</v>
      </c>
      <c r="H302">
        <v>2775</v>
      </c>
      <c r="I302">
        <v>11.95</v>
      </c>
      <c r="J302">
        <v>11.96</v>
      </c>
      <c r="K302">
        <v>0.08</v>
      </c>
      <c r="L302">
        <v>0.67</v>
      </c>
      <c r="M302" t="s">
        <v>2151</v>
      </c>
      <c r="N302">
        <v>37.090000000000003</v>
      </c>
      <c r="O302" t="s">
        <v>169</v>
      </c>
      <c r="P302">
        <v>12.04</v>
      </c>
      <c r="Q302">
        <v>11.71</v>
      </c>
      <c r="R302">
        <v>11.86</v>
      </c>
      <c r="S302">
        <v>11.92</v>
      </c>
      <c r="T302">
        <v>2.77</v>
      </c>
      <c r="U302">
        <v>0.39</v>
      </c>
      <c r="V302">
        <v>-28.78</v>
      </c>
      <c r="W302">
        <v>-2636</v>
      </c>
      <c r="X302">
        <v>11.89</v>
      </c>
      <c r="Y302" t="s">
        <v>2152</v>
      </c>
      <c r="Z302" t="s">
        <v>2153</v>
      </c>
      <c r="AA302">
        <v>1.08</v>
      </c>
      <c r="AB302">
        <v>1062</v>
      </c>
      <c r="AC302">
        <v>883</v>
      </c>
      <c r="AD302">
        <v>7.17</v>
      </c>
      <c r="AE302" t="s">
        <v>1480</v>
      </c>
      <c r="AF302" t="s">
        <v>2154</v>
      </c>
      <c r="AG302" t="s">
        <v>1480</v>
      </c>
      <c r="AH302" t="s">
        <v>2154</v>
      </c>
      <c r="AI302">
        <v>-3.16</v>
      </c>
      <c r="AJ302">
        <v>-1.48</v>
      </c>
      <c r="AK302">
        <v>3.06</v>
      </c>
      <c r="AL302">
        <v>9.25</v>
      </c>
    </row>
    <row r="303" spans="1:38" x14ac:dyDescent="0.25">
      <c r="A303">
        <v>302</v>
      </c>
      <c r="B303" t="str">
        <f xml:space="preserve"> "000883"</f>
        <v>000883</v>
      </c>
      <c r="C303" t="s">
        <v>2155</v>
      </c>
      <c r="D303">
        <v>5.0599999999999996</v>
      </c>
      <c r="E303">
        <v>0</v>
      </c>
      <c r="F303">
        <v>0</v>
      </c>
      <c r="G303" t="s">
        <v>2156</v>
      </c>
      <c r="H303">
        <v>692</v>
      </c>
      <c r="I303">
        <v>5.0599999999999996</v>
      </c>
      <c r="J303">
        <v>5.07</v>
      </c>
      <c r="K303">
        <v>0</v>
      </c>
      <c r="L303">
        <v>0.14000000000000001</v>
      </c>
      <c r="M303" t="s">
        <v>2157</v>
      </c>
      <c r="N303">
        <v>12.25</v>
      </c>
      <c r="O303" t="s">
        <v>186</v>
      </c>
      <c r="P303">
        <v>5.09</v>
      </c>
      <c r="Q303">
        <v>5.04</v>
      </c>
      <c r="R303">
        <v>5.05</v>
      </c>
      <c r="S303">
        <v>5.0599999999999996</v>
      </c>
      <c r="T303">
        <v>0.99</v>
      </c>
      <c r="U303">
        <v>1.07</v>
      </c>
      <c r="V303">
        <v>-41.32</v>
      </c>
      <c r="W303" t="s">
        <v>2158</v>
      </c>
      <c r="X303">
        <v>5.0599999999999996</v>
      </c>
      <c r="Y303" t="s">
        <v>2124</v>
      </c>
      <c r="Z303" t="s">
        <v>2159</v>
      </c>
      <c r="AA303">
        <v>1.08</v>
      </c>
      <c r="AB303">
        <v>586</v>
      </c>
      <c r="AC303">
        <v>2469</v>
      </c>
      <c r="AD303">
        <v>1.37</v>
      </c>
      <c r="AE303" t="s">
        <v>372</v>
      </c>
      <c r="AF303" t="s">
        <v>2154</v>
      </c>
      <c r="AG303" t="s">
        <v>2160</v>
      </c>
      <c r="AH303" t="s">
        <v>2161</v>
      </c>
      <c r="AI303">
        <v>0.4</v>
      </c>
      <c r="AJ303">
        <v>2.02</v>
      </c>
      <c r="AK303">
        <v>0.42</v>
      </c>
      <c r="AL303">
        <v>0.81</v>
      </c>
    </row>
    <row r="304" spans="1:38" x14ac:dyDescent="0.25">
      <c r="A304">
        <v>303</v>
      </c>
      <c r="B304" t="str">
        <f xml:space="preserve"> "000983"</f>
        <v>000983</v>
      </c>
      <c r="C304" t="s">
        <v>2162</v>
      </c>
      <c r="D304">
        <v>10.32</v>
      </c>
      <c r="E304">
        <v>1.28</v>
      </c>
      <c r="F304">
        <v>0.13</v>
      </c>
      <c r="G304" t="s">
        <v>2163</v>
      </c>
      <c r="H304">
        <v>8782</v>
      </c>
      <c r="I304">
        <v>10.32</v>
      </c>
      <c r="J304">
        <v>10.33</v>
      </c>
      <c r="K304">
        <v>0.19</v>
      </c>
      <c r="L304">
        <v>1.26</v>
      </c>
      <c r="M304" t="s">
        <v>2164</v>
      </c>
      <c r="N304">
        <v>17.72</v>
      </c>
      <c r="O304" t="s">
        <v>150</v>
      </c>
      <c r="P304">
        <v>10.37</v>
      </c>
      <c r="Q304">
        <v>10.130000000000001</v>
      </c>
      <c r="R304">
        <v>10.19</v>
      </c>
      <c r="S304">
        <v>10.19</v>
      </c>
      <c r="T304">
        <v>2.36</v>
      </c>
      <c r="U304">
        <v>0.92</v>
      </c>
      <c r="V304">
        <v>-39.64</v>
      </c>
      <c r="W304" t="s">
        <v>2158</v>
      </c>
      <c r="X304">
        <v>10.27</v>
      </c>
      <c r="Y304" t="s">
        <v>2008</v>
      </c>
      <c r="Z304" t="s">
        <v>2165</v>
      </c>
      <c r="AA304">
        <v>0.82</v>
      </c>
      <c r="AB304">
        <v>3827</v>
      </c>
      <c r="AC304">
        <v>4034</v>
      </c>
      <c r="AD304">
        <v>1.85</v>
      </c>
      <c r="AE304" t="s">
        <v>937</v>
      </c>
      <c r="AF304" t="s">
        <v>2166</v>
      </c>
      <c r="AG304" t="s">
        <v>937</v>
      </c>
      <c r="AH304" t="s">
        <v>2166</v>
      </c>
      <c r="AI304">
        <v>2.58</v>
      </c>
      <c r="AJ304">
        <v>0.1</v>
      </c>
      <c r="AK304">
        <v>4.37</v>
      </c>
      <c r="AL304">
        <v>8.09</v>
      </c>
    </row>
    <row r="305" spans="1:38" x14ac:dyDescent="0.25">
      <c r="A305">
        <v>304</v>
      </c>
      <c r="B305" t="str">
        <f xml:space="preserve"> "600373"</f>
        <v>600373</v>
      </c>
      <c r="C305" t="s">
        <v>2167</v>
      </c>
      <c r="D305">
        <v>23.47</v>
      </c>
      <c r="E305">
        <v>2.1800000000000002</v>
      </c>
      <c r="F305">
        <v>0.5</v>
      </c>
      <c r="G305" t="s">
        <v>1214</v>
      </c>
      <c r="H305">
        <v>49</v>
      </c>
      <c r="I305">
        <v>23.48</v>
      </c>
      <c r="J305">
        <v>23.49</v>
      </c>
      <c r="K305">
        <v>-0.04</v>
      </c>
      <c r="L305">
        <v>0.71</v>
      </c>
      <c r="M305" t="s">
        <v>1853</v>
      </c>
      <c r="N305">
        <v>20.350000000000001</v>
      </c>
      <c r="O305" t="s">
        <v>1126</v>
      </c>
      <c r="P305">
        <v>23.52</v>
      </c>
      <c r="Q305">
        <v>22.84</v>
      </c>
      <c r="R305">
        <v>22.91</v>
      </c>
      <c r="S305">
        <v>22.97</v>
      </c>
      <c r="T305">
        <v>2.96</v>
      </c>
      <c r="U305">
        <v>1.1000000000000001</v>
      </c>
      <c r="V305">
        <v>-47.8</v>
      </c>
      <c r="W305">
        <v>-834</v>
      </c>
      <c r="X305">
        <v>23.23</v>
      </c>
      <c r="Y305" t="s">
        <v>1743</v>
      </c>
      <c r="Z305" t="s">
        <v>1319</v>
      </c>
      <c r="AA305">
        <v>0.7</v>
      </c>
      <c r="AB305">
        <v>3</v>
      </c>
      <c r="AC305">
        <v>214</v>
      </c>
      <c r="AD305">
        <v>2.81</v>
      </c>
      <c r="AE305" t="s">
        <v>1047</v>
      </c>
      <c r="AF305" t="s">
        <v>2168</v>
      </c>
      <c r="AG305" t="s">
        <v>1376</v>
      </c>
      <c r="AH305" t="s">
        <v>2169</v>
      </c>
      <c r="AI305">
        <v>1.43</v>
      </c>
      <c r="AJ305">
        <v>4.59</v>
      </c>
      <c r="AK305">
        <v>1.96</v>
      </c>
      <c r="AL305">
        <v>3.94</v>
      </c>
    </row>
    <row r="306" spans="1:38" x14ac:dyDescent="0.25">
      <c r="A306">
        <v>305</v>
      </c>
      <c r="B306" t="str">
        <f xml:space="preserve"> "600497"</f>
        <v>600497</v>
      </c>
      <c r="C306" t="s">
        <v>2170</v>
      </c>
      <c r="D306">
        <v>7.47</v>
      </c>
      <c r="E306">
        <v>0.95</v>
      </c>
      <c r="F306">
        <v>7.0000000000000007E-2</v>
      </c>
      <c r="G306" t="s">
        <v>1163</v>
      </c>
      <c r="H306">
        <v>88</v>
      </c>
      <c r="I306">
        <v>7.46</v>
      </c>
      <c r="J306">
        <v>7.47</v>
      </c>
      <c r="K306">
        <v>0</v>
      </c>
      <c r="L306">
        <v>0.79</v>
      </c>
      <c r="M306" t="s">
        <v>424</v>
      </c>
      <c r="N306">
        <v>29.56</v>
      </c>
      <c r="O306" t="s">
        <v>449</v>
      </c>
      <c r="P306">
        <v>7.54</v>
      </c>
      <c r="Q306">
        <v>7.38</v>
      </c>
      <c r="R306">
        <v>7.38</v>
      </c>
      <c r="S306">
        <v>7.4</v>
      </c>
      <c r="T306">
        <v>2.16</v>
      </c>
      <c r="U306">
        <v>0.7</v>
      </c>
      <c r="V306">
        <v>-16.739999999999998</v>
      </c>
      <c r="W306">
        <v>-4832</v>
      </c>
      <c r="X306">
        <v>7.47</v>
      </c>
      <c r="Y306" t="s">
        <v>246</v>
      </c>
      <c r="Z306" t="s">
        <v>2150</v>
      </c>
      <c r="AA306">
        <v>0.83</v>
      </c>
      <c r="AB306">
        <v>625</v>
      </c>
      <c r="AC306">
        <v>869</v>
      </c>
      <c r="AD306">
        <v>3.44</v>
      </c>
      <c r="AE306" t="s">
        <v>2004</v>
      </c>
      <c r="AF306" t="s">
        <v>1226</v>
      </c>
      <c r="AG306" t="s">
        <v>2004</v>
      </c>
      <c r="AH306" t="s">
        <v>1226</v>
      </c>
      <c r="AI306">
        <v>-1.06</v>
      </c>
      <c r="AJ306">
        <v>1.91</v>
      </c>
      <c r="AK306">
        <v>2.66</v>
      </c>
      <c r="AL306">
        <v>6.41</v>
      </c>
    </row>
    <row r="307" spans="1:38" x14ac:dyDescent="0.25">
      <c r="A307">
        <v>306</v>
      </c>
      <c r="B307" t="str">
        <f xml:space="preserve"> "000513"</f>
        <v>000513</v>
      </c>
      <c r="C307" t="s">
        <v>2171</v>
      </c>
      <c r="D307">
        <v>57.99</v>
      </c>
      <c r="E307">
        <v>3.55</v>
      </c>
      <c r="F307">
        <v>1.99</v>
      </c>
      <c r="G307" t="s">
        <v>2172</v>
      </c>
      <c r="H307">
        <v>495</v>
      </c>
      <c r="I307">
        <v>57.98</v>
      </c>
      <c r="J307">
        <v>57.99</v>
      </c>
      <c r="K307">
        <v>0</v>
      </c>
      <c r="L307">
        <v>1.49</v>
      </c>
      <c r="M307" t="s">
        <v>2173</v>
      </c>
      <c r="N307">
        <v>31.83</v>
      </c>
      <c r="O307" t="s">
        <v>392</v>
      </c>
      <c r="P307">
        <v>58.25</v>
      </c>
      <c r="Q307">
        <v>56.17</v>
      </c>
      <c r="R307">
        <v>56.17</v>
      </c>
      <c r="S307">
        <v>56</v>
      </c>
      <c r="T307">
        <v>3.71</v>
      </c>
      <c r="U307">
        <v>0.85</v>
      </c>
      <c r="V307">
        <v>-68.36</v>
      </c>
      <c r="W307">
        <v>-689</v>
      </c>
      <c r="X307">
        <v>57.61</v>
      </c>
      <c r="Y307" t="s">
        <v>1986</v>
      </c>
      <c r="Z307" t="s">
        <v>1525</v>
      </c>
      <c r="AA307">
        <v>0.64</v>
      </c>
      <c r="AB307">
        <v>59</v>
      </c>
      <c r="AC307">
        <v>159</v>
      </c>
      <c r="AD307">
        <v>4.83</v>
      </c>
      <c r="AE307" t="s">
        <v>2174</v>
      </c>
      <c r="AF307" t="s">
        <v>2175</v>
      </c>
      <c r="AG307" t="s">
        <v>811</v>
      </c>
      <c r="AH307" t="s">
        <v>2176</v>
      </c>
      <c r="AI307">
        <v>3.79</v>
      </c>
      <c r="AJ307">
        <v>14.65</v>
      </c>
      <c r="AK307">
        <v>4.68</v>
      </c>
      <c r="AL307">
        <v>10.23</v>
      </c>
    </row>
    <row r="308" spans="1:38" x14ac:dyDescent="0.25">
      <c r="A308">
        <v>307</v>
      </c>
      <c r="B308" t="str">
        <f xml:space="preserve"> "601611"</f>
        <v>601611</v>
      </c>
      <c r="C308" t="s">
        <v>2177</v>
      </c>
      <c r="D308">
        <v>12.2</v>
      </c>
      <c r="E308">
        <v>0.33</v>
      </c>
      <c r="F308">
        <v>0.04</v>
      </c>
      <c r="G308" t="s">
        <v>2178</v>
      </c>
      <c r="H308">
        <v>72</v>
      </c>
      <c r="I308">
        <v>12.2</v>
      </c>
      <c r="J308">
        <v>12.21</v>
      </c>
      <c r="K308">
        <v>0.16</v>
      </c>
      <c r="L308">
        <v>0.87</v>
      </c>
      <c r="M308" t="s">
        <v>2179</v>
      </c>
      <c r="N308">
        <v>54.42</v>
      </c>
      <c r="O308" t="s">
        <v>263</v>
      </c>
      <c r="P308">
        <v>12.21</v>
      </c>
      <c r="Q308">
        <v>12.1</v>
      </c>
      <c r="R308">
        <v>12.16</v>
      </c>
      <c r="S308">
        <v>12.16</v>
      </c>
      <c r="T308">
        <v>0.9</v>
      </c>
      <c r="U308">
        <v>0.96</v>
      </c>
      <c r="V308">
        <v>5.96</v>
      </c>
      <c r="W308">
        <v>357</v>
      </c>
      <c r="X308">
        <v>12.14</v>
      </c>
      <c r="Y308" t="s">
        <v>2180</v>
      </c>
      <c r="Z308" t="s">
        <v>2181</v>
      </c>
      <c r="AA308">
        <v>0.89</v>
      </c>
      <c r="AB308">
        <v>572</v>
      </c>
      <c r="AC308">
        <v>602</v>
      </c>
      <c r="AD308">
        <v>4.45</v>
      </c>
      <c r="AE308" t="s">
        <v>2182</v>
      </c>
      <c r="AF308" t="s">
        <v>2183</v>
      </c>
      <c r="AG308" t="s">
        <v>2184</v>
      </c>
      <c r="AH308" t="s">
        <v>171</v>
      </c>
      <c r="AI308">
        <v>0.57999999999999996</v>
      </c>
      <c r="AJ308">
        <v>2.87</v>
      </c>
      <c r="AK308">
        <v>2.4700000000000002</v>
      </c>
      <c r="AL308">
        <v>5.38</v>
      </c>
    </row>
    <row r="309" spans="1:38" x14ac:dyDescent="0.25">
      <c r="A309">
        <v>308</v>
      </c>
      <c r="B309" t="str">
        <f xml:space="preserve"> "000630"</f>
        <v>000630</v>
      </c>
      <c r="C309" t="s">
        <v>2185</v>
      </c>
      <c r="D309">
        <v>3.04</v>
      </c>
      <c r="E309">
        <v>-0.33</v>
      </c>
      <c r="F309">
        <v>-0.01</v>
      </c>
      <c r="G309" t="s">
        <v>2186</v>
      </c>
      <c r="H309">
        <v>9557</v>
      </c>
      <c r="I309">
        <v>3.03</v>
      </c>
      <c r="J309">
        <v>3.04</v>
      </c>
      <c r="K309">
        <v>0</v>
      </c>
      <c r="L309">
        <v>0.54</v>
      </c>
      <c r="M309" t="s">
        <v>2091</v>
      </c>
      <c r="N309">
        <v>67.709999999999994</v>
      </c>
      <c r="O309" t="s">
        <v>449</v>
      </c>
      <c r="P309">
        <v>3.05</v>
      </c>
      <c r="Q309">
        <v>3.02</v>
      </c>
      <c r="R309">
        <v>3.05</v>
      </c>
      <c r="S309">
        <v>3.05</v>
      </c>
      <c r="T309">
        <v>0.98</v>
      </c>
      <c r="U309">
        <v>0.83</v>
      </c>
      <c r="V309">
        <v>-20.53</v>
      </c>
      <c r="W309" t="s">
        <v>2187</v>
      </c>
      <c r="X309">
        <v>3.04</v>
      </c>
      <c r="Y309" t="s">
        <v>2188</v>
      </c>
      <c r="Z309" t="s">
        <v>131</v>
      </c>
      <c r="AA309">
        <v>1.48</v>
      </c>
      <c r="AB309" t="s">
        <v>2189</v>
      </c>
      <c r="AC309">
        <v>1347</v>
      </c>
      <c r="AD309">
        <v>1.89</v>
      </c>
      <c r="AE309" t="s">
        <v>702</v>
      </c>
      <c r="AF309" t="s">
        <v>2183</v>
      </c>
      <c r="AG309" t="s">
        <v>2190</v>
      </c>
      <c r="AH309" t="s">
        <v>2191</v>
      </c>
      <c r="AI309">
        <v>0</v>
      </c>
      <c r="AJ309">
        <v>1</v>
      </c>
      <c r="AK309">
        <v>2.02</v>
      </c>
      <c r="AL309">
        <v>3.82</v>
      </c>
    </row>
    <row r="310" spans="1:38" x14ac:dyDescent="0.25">
      <c r="A310">
        <v>309</v>
      </c>
      <c r="B310" t="str">
        <f xml:space="preserve"> "002180"</f>
        <v>002180</v>
      </c>
      <c r="C310" t="s">
        <v>2192</v>
      </c>
      <c r="D310">
        <v>31.52</v>
      </c>
      <c r="E310">
        <v>3.75</v>
      </c>
      <c r="F310">
        <v>1.1399999999999999</v>
      </c>
      <c r="G310" t="s">
        <v>2193</v>
      </c>
      <c r="H310">
        <v>164</v>
      </c>
      <c r="I310">
        <v>31.52</v>
      </c>
      <c r="J310">
        <v>31.55</v>
      </c>
      <c r="K310">
        <v>0</v>
      </c>
      <c r="L310">
        <v>0.43</v>
      </c>
      <c r="M310" t="s">
        <v>2194</v>
      </c>
      <c r="N310">
        <v>-15.71</v>
      </c>
      <c r="O310" t="s">
        <v>380</v>
      </c>
      <c r="P310">
        <v>31.9</v>
      </c>
      <c r="Q310">
        <v>30.11</v>
      </c>
      <c r="R310">
        <v>30.11</v>
      </c>
      <c r="S310">
        <v>30.38</v>
      </c>
      <c r="T310">
        <v>5.89</v>
      </c>
      <c r="U310">
        <v>1.21</v>
      </c>
      <c r="V310">
        <v>44.11</v>
      </c>
      <c r="W310">
        <v>334</v>
      </c>
      <c r="X310">
        <v>31.52</v>
      </c>
      <c r="Y310">
        <v>8901</v>
      </c>
      <c r="Z310" t="s">
        <v>1986</v>
      </c>
      <c r="AA310">
        <v>0.44</v>
      </c>
      <c r="AB310">
        <v>72</v>
      </c>
      <c r="AC310">
        <v>103</v>
      </c>
      <c r="AD310">
        <v>44.25</v>
      </c>
      <c r="AE310" t="s">
        <v>262</v>
      </c>
      <c r="AF310" t="s">
        <v>229</v>
      </c>
      <c r="AG310" t="s">
        <v>2195</v>
      </c>
      <c r="AH310" t="s">
        <v>1925</v>
      </c>
      <c r="AI310">
        <v>5.24</v>
      </c>
      <c r="AJ310">
        <v>12.17</v>
      </c>
      <c r="AK310">
        <v>1.19</v>
      </c>
      <c r="AL310">
        <v>2.2000000000000002</v>
      </c>
    </row>
    <row r="311" spans="1:38" x14ac:dyDescent="0.25">
      <c r="A311">
        <v>310</v>
      </c>
      <c r="B311" t="str">
        <f xml:space="preserve"> "002092"</f>
        <v>002092</v>
      </c>
      <c r="C311" t="s">
        <v>2196</v>
      </c>
      <c r="D311">
        <v>14.81</v>
      </c>
      <c r="E311">
        <v>2.0699999999999998</v>
      </c>
      <c r="F311">
        <v>0.3</v>
      </c>
      <c r="G311" t="s">
        <v>2197</v>
      </c>
      <c r="H311">
        <v>1932</v>
      </c>
      <c r="I311">
        <v>14.8</v>
      </c>
      <c r="J311">
        <v>14.81</v>
      </c>
      <c r="K311">
        <v>0</v>
      </c>
      <c r="L311">
        <v>1.1499999999999999</v>
      </c>
      <c r="M311" t="s">
        <v>2198</v>
      </c>
      <c r="N311">
        <v>12.77</v>
      </c>
      <c r="O311" t="s">
        <v>667</v>
      </c>
      <c r="P311">
        <v>14.83</v>
      </c>
      <c r="Q311">
        <v>14.51</v>
      </c>
      <c r="R311">
        <v>14.51</v>
      </c>
      <c r="S311">
        <v>14.51</v>
      </c>
      <c r="T311">
        <v>2.21</v>
      </c>
      <c r="U311">
        <v>0.8</v>
      </c>
      <c r="V311">
        <v>-38.090000000000003</v>
      </c>
      <c r="W311">
        <v>-5442</v>
      </c>
      <c r="X311">
        <v>14.74</v>
      </c>
      <c r="Y311" t="s">
        <v>983</v>
      </c>
      <c r="Z311" t="s">
        <v>934</v>
      </c>
      <c r="AA311">
        <v>0.59</v>
      </c>
      <c r="AB311">
        <v>1737</v>
      </c>
      <c r="AC311">
        <v>1349</v>
      </c>
      <c r="AD311">
        <v>2.0099999999999998</v>
      </c>
      <c r="AE311" t="s">
        <v>1335</v>
      </c>
      <c r="AF311" t="s">
        <v>2199</v>
      </c>
      <c r="AG311" t="s">
        <v>1761</v>
      </c>
      <c r="AH311" t="s">
        <v>2169</v>
      </c>
      <c r="AI311">
        <v>-4.0199999999999996</v>
      </c>
      <c r="AJ311">
        <v>-4.2699999999999996</v>
      </c>
      <c r="AK311">
        <v>4.67</v>
      </c>
      <c r="AL311">
        <v>8.34</v>
      </c>
    </row>
    <row r="312" spans="1:38" x14ac:dyDescent="0.25">
      <c r="A312">
        <v>311</v>
      </c>
      <c r="B312" t="str">
        <f xml:space="preserve"> "002340"</f>
        <v>002340</v>
      </c>
      <c r="C312" t="s">
        <v>2200</v>
      </c>
      <c r="D312">
        <v>8.33</v>
      </c>
      <c r="E312">
        <v>1.59</v>
      </c>
      <c r="F312">
        <v>0.13</v>
      </c>
      <c r="G312" t="s">
        <v>2201</v>
      </c>
      <c r="H312" t="s">
        <v>2202</v>
      </c>
      <c r="I312">
        <v>8.33</v>
      </c>
      <c r="J312">
        <v>8.34</v>
      </c>
      <c r="K312">
        <v>0</v>
      </c>
      <c r="L312">
        <v>4.03</v>
      </c>
      <c r="M312" t="s">
        <v>755</v>
      </c>
      <c r="N312">
        <v>58.3</v>
      </c>
      <c r="O312" t="s">
        <v>859</v>
      </c>
      <c r="P312">
        <v>8.35</v>
      </c>
      <c r="Q312">
        <v>8.2100000000000009</v>
      </c>
      <c r="R312">
        <v>8.26</v>
      </c>
      <c r="S312">
        <v>8.1999999999999993</v>
      </c>
      <c r="T312">
        <v>1.71</v>
      </c>
      <c r="U312">
        <v>0.57999999999999996</v>
      </c>
      <c r="V312">
        <v>-57.38</v>
      </c>
      <c r="W312" t="s">
        <v>2203</v>
      </c>
      <c r="X312">
        <v>8.2899999999999991</v>
      </c>
      <c r="Y312" t="s">
        <v>597</v>
      </c>
      <c r="Z312" t="s">
        <v>2204</v>
      </c>
      <c r="AA312">
        <v>0.82</v>
      </c>
      <c r="AB312">
        <v>3016</v>
      </c>
      <c r="AC312" t="s">
        <v>1650</v>
      </c>
      <c r="AD312">
        <v>4.4000000000000004</v>
      </c>
      <c r="AE312" t="s">
        <v>1800</v>
      </c>
      <c r="AF312" t="s">
        <v>2199</v>
      </c>
      <c r="AG312" t="s">
        <v>2205</v>
      </c>
      <c r="AH312" t="s">
        <v>2206</v>
      </c>
      <c r="AI312">
        <v>-2.69</v>
      </c>
      <c r="AJ312">
        <v>-0.48</v>
      </c>
      <c r="AK312">
        <v>14.48</v>
      </c>
      <c r="AL312">
        <v>38.42</v>
      </c>
    </row>
    <row r="313" spans="1:38" x14ac:dyDescent="0.25">
      <c r="A313">
        <v>312</v>
      </c>
      <c r="B313" t="str">
        <f xml:space="preserve"> "002500"</f>
        <v>002500</v>
      </c>
      <c r="C313" t="s">
        <v>2207</v>
      </c>
      <c r="D313">
        <v>11.23</v>
      </c>
      <c r="E313">
        <v>0.45</v>
      </c>
      <c r="F313">
        <v>0.05</v>
      </c>
      <c r="G313" t="s">
        <v>1615</v>
      </c>
      <c r="H313">
        <v>2704</v>
      </c>
      <c r="I313">
        <v>11.23</v>
      </c>
      <c r="J313">
        <v>11.24</v>
      </c>
      <c r="K313">
        <v>0</v>
      </c>
      <c r="L313">
        <v>0.82</v>
      </c>
      <c r="M313" t="s">
        <v>2208</v>
      </c>
      <c r="N313">
        <v>66.91</v>
      </c>
      <c r="O313" t="s">
        <v>306</v>
      </c>
      <c r="P313">
        <v>11.26</v>
      </c>
      <c r="Q313">
        <v>11.05</v>
      </c>
      <c r="R313">
        <v>11.21</v>
      </c>
      <c r="S313">
        <v>11.18</v>
      </c>
      <c r="T313">
        <v>1.88</v>
      </c>
      <c r="U313">
        <v>1.1299999999999999</v>
      </c>
      <c r="V313">
        <v>-40.590000000000003</v>
      </c>
      <c r="W313">
        <v>-5348</v>
      </c>
      <c r="X313">
        <v>11.17</v>
      </c>
      <c r="Y313" t="s">
        <v>516</v>
      </c>
      <c r="Z313" t="s">
        <v>363</v>
      </c>
      <c r="AA313">
        <v>1.1299999999999999</v>
      </c>
      <c r="AB313">
        <v>1311</v>
      </c>
      <c r="AC313">
        <v>2515</v>
      </c>
      <c r="AD313">
        <v>2.59</v>
      </c>
      <c r="AE313" t="s">
        <v>2209</v>
      </c>
      <c r="AF313" t="s">
        <v>2199</v>
      </c>
      <c r="AG313" t="s">
        <v>2209</v>
      </c>
      <c r="AH313" t="s">
        <v>2199</v>
      </c>
      <c r="AI313">
        <v>-2.35</v>
      </c>
      <c r="AJ313">
        <v>-0.35</v>
      </c>
      <c r="AK313">
        <v>2.3199999999999998</v>
      </c>
      <c r="AL313">
        <v>4.46</v>
      </c>
    </row>
    <row r="314" spans="1:38" x14ac:dyDescent="0.25">
      <c r="A314">
        <v>313</v>
      </c>
      <c r="B314" t="str">
        <f xml:space="preserve"> "002384"</f>
        <v>002384</v>
      </c>
      <c r="C314" t="s">
        <v>2210</v>
      </c>
      <c r="D314">
        <v>29.56</v>
      </c>
      <c r="E314">
        <v>8.1199999999999992</v>
      </c>
      <c r="F314">
        <v>2.2200000000000002</v>
      </c>
      <c r="G314" t="s">
        <v>563</v>
      </c>
      <c r="H314">
        <v>1925</v>
      </c>
      <c r="I314">
        <v>29.56</v>
      </c>
      <c r="J314">
        <v>29.57</v>
      </c>
      <c r="K314">
        <v>0.14000000000000001</v>
      </c>
      <c r="L314">
        <v>3.38</v>
      </c>
      <c r="M314" t="s">
        <v>1220</v>
      </c>
      <c r="N314">
        <v>132.66</v>
      </c>
      <c r="O314" t="s">
        <v>1229</v>
      </c>
      <c r="P314">
        <v>29.81</v>
      </c>
      <c r="Q314">
        <v>27.13</v>
      </c>
      <c r="R314">
        <v>27.13</v>
      </c>
      <c r="S314">
        <v>27.34</v>
      </c>
      <c r="T314">
        <v>9.8000000000000007</v>
      </c>
      <c r="U314">
        <v>2.95</v>
      </c>
      <c r="V314">
        <v>53.36</v>
      </c>
      <c r="W314">
        <v>1055</v>
      </c>
      <c r="X314">
        <v>28.83</v>
      </c>
      <c r="Y314" t="s">
        <v>1052</v>
      </c>
      <c r="Z314" t="s">
        <v>194</v>
      </c>
      <c r="AA314">
        <v>0.48</v>
      </c>
      <c r="AB314">
        <v>663</v>
      </c>
      <c r="AC314">
        <v>30</v>
      </c>
      <c r="AD314">
        <v>4.29</v>
      </c>
      <c r="AE314" t="s">
        <v>1429</v>
      </c>
      <c r="AF314" t="s">
        <v>1707</v>
      </c>
      <c r="AG314" t="s">
        <v>2211</v>
      </c>
      <c r="AH314" t="s">
        <v>2212</v>
      </c>
      <c r="AI314">
        <v>2.3199999999999998</v>
      </c>
      <c r="AJ314">
        <v>3.03</v>
      </c>
      <c r="AK314">
        <v>6.93</v>
      </c>
      <c r="AL314">
        <v>9.11</v>
      </c>
    </row>
    <row r="315" spans="1:38" x14ac:dyDescent="0.25">
      <c r="A315">
        <v>314</v>
      </c>
      <c r="B315" t="str">
        <f xml:space="preserve"> "002841"</f>
        <v>002841</v>
      </c>
      <c r="C315" t="s">
        <v>2213</v>
      </c>
      <c r="D315">
        <v>77.87</v>
      </c>
      <c r="E315">
        <v>-0.32</v>
      </c>
      <c r="F315">
        <v>-0.25</v>
      </c>
      <c r="G315">
        <v>7586</v>
      </c>
      <c r="H315">
        <v>55</v>
      </c>
      <c r="I315">
        <v>77.849999999999994</v>
      </c>
      <c r="J315">
        <v>77.87</v>
      </c>
      <c r="K315">
        <v>0</v>
      </c>
      <c r="L315">
        <v>1.87</v>
      </c>
      <c r="M315" t="s">
        <v>2214</v>
      </c>
      <c r="N315">
        <v>51.06</v>
      </c>
      <c r="O315" t="s">
        <v>380</v>
      </c>
      <c r="P315">
        <v>79.48</v>
      </c>
      <c r="Q315">
        <v>77.430000000000007</v>
      </c>
      <c r="R315">
        <v>77.61</v>
      </c>
      <c r="S315">
        <v>78.12</v>
      </c>
      <c r="T315">
        <v>2.62</v>
      </c>
      <c r="U315">
        <v>0.88</v>
      </c>
      <c r="V315">
        <v>-7.35</v>
      </c>
      <c r="W315">
        <v>-10</v>
      </c>
      <c r="X315">
        <v>78.64</v>
      </c>
      <c r="Y315">
        <v>3803</v>
      </c>
      <c r="Z315">
        <v>3783</v>
      </c>
      <c r="AA315">
        <v>1.01</v>
      </c>
      <c r="AB315">
        <v>3</v>
      </c>
      <c r="AC315">
        <v>28</v>
      </c>
      <c r="AD315">
        <v>14.15</v>
      </c>
      <c r="AE315" t="s">
        <v>2215</v>
      </c>
      <c r="AF315" t="s">
        <v>654</v>
      </c>
      <c r="AG315" t="s">
        <v>2216</v>
      </c>
      <c r="AH315" t="s">
        <v>937</v>
      </c>
      <c r="AI315">
        <v>0.48</v>
      </c>
      <c r="AJ315">
        <v>8.51</v>
      </c>
      <c r="AK315">
        <v>5.57</v>
      </c>
      <c r="AL315">
        <v>12.51</v>
      </c>
    </row>
    <row r="316" spans="1:38" x14ac:dyDescent="0.25">
      <c r="A316">
        <v>315</v>
      </c>
      <c r="B316" t="str">
        <f xml:space="preserve"> "300418"</f>
        <v>300418</v>
      </c>
      <c r="C316" t="s">
        <v>2217</v>
      </c>
      <c r="D316">
        <v>27.25</v>
      </c>
      <c r="E316">
        <v>0.89</v>
      </c>
      <c r="F316">
        <v>0.24</v>
      </c>
      <c r="G316" t="s">
        <v>541</v>
      </c>
      <c r="H316">
        <v>2135</v>
      </c>
      <c r="I316">
        <v>27.25</v>
      </c>
      <c r="J316">
        <v>27.26</v>
      </c>
      <c r="K316">
        <v>0</v>
      </c>
      <c r="L316">
        <v>2.42</v>
      </c>
      <c r="M316" t="s">
        <v>2218</v>
      </c>
      <c r="N316">
        <v>41.09</v>
      </c>
      <c r="O316" t="s">
        <v>807</v>
      </c>
      <c r="P316">
        <v>27.29</v>
      </c>
      <c r="Q316">
        <v>26.88</v>
      </c>
      <c r="R316">
        <v>26.94</v>
      </c>
      <c r="S316">
        <v>27.01</v>
      </c>
      <c r="T316">
        <v>1.52</v>
      </c>
      <c r="U316">
        <v>0.49</v>
      </c>
      <c r="V316">
        <v>13.33</v>
      </c>
      <c r="W316">
        <v>577</v>
      </c>
      <c r="X316">
        <v>27.11</v>
      </c>
      <c r="Y316" t="s">
        <v>2219</v>
      </c>
      <c r="Z316" t="s">
        <v>2220</v>
      </c>
      <c r="AA316">
        <v>1.1200000000000001</v>
      </c>
      <c r="AB316">
        <v>1673</v>
      </c>
      <c r="AC316">
        <v>77</v>
      </c>
      <c r="AD316">
        <v>7.99</v>
      </c>
      <c r="AE316" t="s">
        <v>1572</v>
      </c>
      <c r="AF316" t="s">
        <v>654</v>
      </c>
      <c r="AG316" t="s">
        <v>2221</v>
      </c>
      <c r="AH316" t="s">
        <v>309</v>
      </c>
      <c r="AI316">
        <v>-1.41</v>
      </c>
      <c r="AJ316">
        <v>3.81</v>
      </c>
      <c r="AK316">
        <v>11.68</v>
      </c>
      <c r="AL316">
        <v>26.99</v>
      </c>
    </row>
    <row r="317" spans="1:38" x14ac:dyDescent="0.25">
      <c r="A317">
        <v>316</v>
      </c>
      <c r="B317" t="str">
        <f xml:space="preserve"> "000876"</f>
        <v>000876</v>
      </c>
      <c r="C317" t="s">
        <v>2222</v>
      </c>
      <c r="D317">
        <v>7.48</v>
      </c>
      <c r="E317">
        <v>0</v>
      </c>
      <c r="F317">
        <v>0</v>
      </c>
      <c r="G317" t="s">
        <v>991</v>
      </c>
      <c r="H317">
        <v>563</v>
      </c>
      <c r="I317">
        <v>7.48</v>
      </c>
      <c r="J317">
        <v>7.49</v>
      </c>
      <c r="K317">
        <v>0</v>
      </c>
      <c r="L317">
        <v>0.25</v>
      </c>
      <c r="M317" t="s">
        <v>2223</v>
      </c>
      <c r="N317">
        <v>13.94</v>
      </c>
      <c r="O317" t="s">
        <v>622</v>
      </c>
      <c r="P317">
        <v>7.51</v>
      </c>
      <c r="Q317">
        <v>7.46</v>
      </c>
      <c r="R317">
        <v>7.49</v>
      </c>
      <c r="S317">
        <v>7.48</v>
      </c>
      <c r="T317">
        <v>0.67</v>
      </c>
      <c r="U317">
        <v>0.84</v>
      </c>
      <c r="V317">
        <v>-43.44</v>
      </c>
      <c r="W317" t="s">
        <v>2224</v>
      </c>
      <c r="X317">
        <v>7.48</v>
      </c>
      <c r="Y317" t="s">
        <v>2225</v>
      </c>
      <c r="Z317" t="s">
        <v>2226</v>
      </c>
      <c r="AA317">
        <v>1.61</v>
      </c>
      <c r="AB317">
        <v>835</v>
      </c>
      <c r="AC317">
        <v>3747</v>
      </c>
      <c r="AD317">
        <v>1.59</v>
      </c>
      <c r="AE317" t="s">
        <v>2227</v>
      </c>
      <c r="AF317" t="s">
        <v>2080</v>
      </c>
      <c r="AG317" t="s">
        <v>2228</v>
      </c>
      <c r="AH317" t="s">
        <v>2229</v>
      </c>
      <c r="AI317">
        <v>0</v>
      </c>
      <c r="AJ317">
        <v>1.91</v>
      </c>
      <c r="AK317">
        <v>0.84</v>
      </c>
      <c r="AL317">
        <v>1.76</v>
      </c>
    </row>
    <row r="318" spans="1:38" x14ac:dyDescent="0.25">
      <c r="A318">
        <v>317</v>
      </c>
      <c r="B318" t="str">
        <f xml:space="preserve"> "300450"</f>
        <v>300450</v>
      </c>
      <c r="C318" t="s">
        <v>2230</v>
      </c>
      <c r="D318">
        <v>73.33</v>
      </c>
      <c r="E318">
        <v>2.89</v>
      </c>
      <c r="F318">
        <v>2.06</v>
      </c>
      <c r="G318" t="s">
        <v>1724</v>
      </c>
      <c r="H318">
        <v>292</v>
      </c>
      <c r="I318">
        <v>73.33</v>
      </c>
      <c r="J318">
        <v>73.349999999999994</v>
      </c>
      <c r="K318">
        <v>0.11</v>
      </c>
      <c r="L318">
        <v>1.24</v>
      </c>
      <c r="M318" t="s">
        <v>2231</v>
      </c>
      <c r="N318">
        <v>88.07</v>
      </c>
      <c r="O318" t="s">
        <v>648</v>
      </c>
      <c r="P318">
        <v>73.64</v>
      </c>
      <c r="Q318">
        <v>71.42</v>
      </c>
      <c r="R318">
        <v>71.42</v>
      </c>
      <c r="S318">
        <v>71.27</v>
      </c>
      <c r="T318">
        <v>3.11</v>
      </c>
      <c r="U318">
        <v>0.73</v>
      </c>
      <c r="V318">
        <v>-28.18</v>
      </c>
      <c r="W318">
        <v>-112</v>
      </c>
      <c r="X318">
        <v>72.78</v>
      </c>
      <c r="Y318">
        <v>8823</v>
      </c>
      <c r="Z318" t="s">
        <v>2232</v>
      </c>
      <c r="AA318">
        <v>0.73</v>
      </c>
      <c r="AB318">
        <v>50</v>
      </c>
      <c r="AC318">
        <v>20</v>
      </c>
      <c r="AD318">
        <v>17.39</v>
      </c>
      <c r="AE318" t="s">
        <v>2233</v>
      </c>
      <c r="AF318" t="s">
        <v>2080</v>
      </c>
      <c r="AG318" t="s">
        <v>989</v>
      </c>
      <c r="AH318" t="s">
        <v>1561</v>
      </c>
      <c r="AI318">
        <v>-2.81</v>
      </c>
      <c r="AJ318">
        <v>-4.3600000000000003</v>
      </c>
      <c r="AK318">
        <v>4.67</v>
      </c>
      <c r="AL318">
        <v>9.66</v>
      </c>
    </row>
    <row r="319" spans="1:38" x14ac:dyDescent="0.25">
      <c r="A319">
        <v>318</v>
      </c>
      <c r="B319" t="str">
        <f xml:space="preserve"> "600299"</f>
        <v>600299</v>
      </c>
      <c r="C319" t="s">
        <v>2234</v>
      </c>
      <c r="D319">
        <v>11.71</v>
      </c>
      <c r="E319">
        <v>-0.09</v>
      </c>
      <c r="F319">
        <v>-0.01</v>
      </c>
      <c r="G319">
        <v>7674</v>
      </c>
      <c r="H319">
        <v>3</v>
      </c>
      <c r="I319">
        <v>11.7</v>
      </c>
      <c r="J319">
        <v>11.71</v>
      </c>
      <c r="K319">
        <v>0.17</v>
      </c>
      <c r="L319">
        <v>0.13</v>
      </c>
      <c r="M319" t="s">
        <v>2235</v>
      </c>
      <c r="N319">
        <v>27.2</v>
      </c>
      <c r="O319" t="s">
        <v>622</v>
      </c>
      <c r="P319">
        <v>11.76</v>
      </c>
      <c r="Q319">
        <v>11.6</v>
      </c>
      <c r="R319">
        <v>11.68</v>
      </c>
      <c r="S319">
        <v>11.72</v>
      </c>
      <c r="T319">
        <v>1.37</v>
      </c>
      <c r="U319">
        <v>0.74</v>
      </c>
      <c r="V319">
        <v>-12.65</v>
      </c>
      <c r="W319">
        <v>-168</v>
      </c>
      <c r="X319">
        <v>11.68</v>
      </c>
      <c r="Y319">
        <v>4140</v>
      </c>
      <c r="Z319">
        <v>3535</v>
      </c>
      <c r="AA319">
        <v>1.17</v>
      </c>
      <c r="AB319">
        <v>46</v>
      </c>
      <c r="AC319">
        <v>43</v>
      </c>
      <c r="AD319">
        <v>2.5299999999999998</v>
      </c>
      <c r="AE319" t="s">
        <v>1223</v>
      </c>
      <c r="AF319" t="s">
        <v>1194</v>
      </c>
      <c r="AG319" t="s">
        <v>2236</v>
      </c>
      <c r="AH319" t="s">
        <v>2237</v>
      </c>
      <c r="AI319">
        <v>-1.76</v>
      </c>
      <c r="AJ319">
        <v>1.83</v>
      </c>
      <c r="AK319">
        <v>0.49</v>
      </c>
      <c r="AL319">
        <v>1.03</v>
      </c>
    </row>
    <row r="320" spans="1:38" x14ac:dyDescent="0.25">
      <c r="A320">
        <v>319</v>
      </c>
      <c r="B320" t="str">
        <f xml:space="preserve"> "600566"</f>
        <v>600566</v>
      </c>
      <c r="C320" t="s">
        <v>2238</v>
      </c>
      <c r="D320">
        <v>38.770000000000003</v>
      </c>
      <c r="E320">
        <v>-2.3199999999999998</v>
      </c>
      <c r="F320">
        <v>-0.92</v>
      </c>
      <c r="G320" t="s">
        <v>928</v>
      </c>
      <c r="H320">
        <v>1</v>
      </c>
      <c r="I320">
        <v>38.72</v>
      </c>
      <c r="J320">
        <v>38.79</v>
      </c>
      <c r="K320">
        <v>0</v>
      </c>
      <c r="L320">
        <v>0.4</v>
      </c>
      <c r="M320" t="s">
        <v>2239</v>
      </c>
      <c r="N320">
        <v>26.98</v>
      </c>
      <c r="O320" t="s">
        <v>392</v>
      </c>
      <c r="P320">
        <v>39.869999999999997</v>
      </c>
      <c r="Q320">
        <v>38.6</v>
      </c>
      <c r="R320">
        <v>39.700000000000003</v>
      </c>
      <c r="S320">
        <v>39.69</v>
      </c>
      <c r="T320">
        <v>3.2</v>
      </c>
      <c r="U320">
        <v>0.9</v>
      </c>
      <c r="V320">
        <v>50.63</v>
      </c>
      <c r="W320">
        <v>432</v>
      </c>
      <c r="X320">
        <v>39.14</v>
      </c>
      <c r="Y320" t="s">
        <v>2240</v>
      </c>
      <c r="Z320" t="s">
        <v>2241</v>
      </c>
      <c r="AA320">
        <v>1.88</v>
      </c>
      <c r="AB320">
        <v>4</v>
      </c>
      <c r="AC320">
        <v>11</v>
      </c>
      <c r="AD320">
        <v>8.7200000000000006</v>
      </c>
      <c r="AE320" t="s">
        <v>2242</v>
      </c>
      <c r="AF320" t="s">
        <v>1194</v>
      </c>
      <c r="AG320" t="s">
        <v>2242</v>
      </c>
      <c r="AH320" t="s">
        <v>1194</v>
      </c>
      <c r="AI320">
        <v>-1.1000000000000001</v>
      </c>
      <c r="AJ320">
        <v>4.6399999999999997</v>
      </c>
      <c r="AK320">
        <v>1.27</v>
      </c>
      <c r="AL320">
        <v>2.63</v>
      </c>
    </row>
    <row r="321" spans="1:38" x14ac:dyDescent="0.25">
      <c r="A321">
        <v>320</v>
      </c>
      <c r="B321" t="str">
        <f xml:space="preserve"> "600804"</f>
        <v>600804</v>
      </c>
      <c r="C321" t="s">
        <v>2243</v>
      </c>
      <c r="D321">
        <v>21.91</v>
      </c>
      <c r="E321">
        <v>3.94</v>
      </c>
      <c r="F321">
        <v>0.83</v>
      </c>
      <c r="G321" t="s">
        <v>2244</v>
      </c>
      <c r="H321">
        <v>68</v>
      </c>
      <c r="I321">
        <v>21.9</v>
      </c>
      <c r="J321">
        <v>21.91</v>
      </c>
      <c r="K321">
        <v>-0.18</v>
      </c>
      <c r="L321">
        <v>2.62</v>
      </c>
      <c r="M321" t="s">
        <v>2245</v>
      </c>
      <c r="N321">
        <v>40.159999999999997</v>
      </c>
      <c r="O321" t="s">
        <v>467</v>
      </c>
      <c r="P321">
        <v>22.18</v>
      </c>
      <c r="Q321">
        <v>21.13</v>
      </c>
      <c r="R321">
        <v>21.2</v>
      </c>
      <c r="S321">
        <v>21.08</v>
      </c>
      <c r="T321">
        <v>4.9800000000000004</v>
      </c>
      <c r="U321">
        <v>2.36</v>
      </c>
      <c r="V321">
        <v>73.03</v>
      </c>
      <c r="W321">
        <v>3179</v>
      </c>
      <c r="X321">
        <v>21.77</v>
      </c>
      <c r="Y321" t="s">
        <v>314</v>
      </c>
      <c r="Z321" t="s">
        <v>980</v>
      </c>
      <c r="AA321">
        <v>0.64</v>
      </c>
      <c r="AB321">
        <v>159</v>
      </c>
      <c r="AC321">
        <v>14</v>
      </c>
      <c r="AD321">
        <v>4.67</v>
      </c>
      <c r="AE321" t="s">
        <v>2246</v>
      </c>
      <c r="AF321" t="s">
        <v>1194</v>
      </c>
      <c r="AG321" t="s">
        <v>2246</v>
      </c>
      <c r="AH321" t="s">
        <v>1194</v>
      </c>
      <c r="AI321">
        <v>5.34</v>
      </c>
      <c r="AJ321">
        <v>10.99</v>
      </c>
      <c r="AK321">
        <v>4.82</v>
      </c>
      <c r="AL321">
        <v>8.19</v>
      </c>
    </row>
    <row r="322" spans="1:38" x14ac:dyDescent="0.25">
      <c r="A322">
        <v>321</v>
      </c>
      <c r="B322" t="str">
        <f xml:space="preserve"> "600008"</f>
        <v>600008</v>
      </c>
      <c r="C322" t="s">
        <v>2247</v>
      </c>
      <c r="D322">
        <v>6.47</v>
      </c>
      <c r="E322">
        <v>4.3499999999999996</v>
      </c>
      <c r="F322">
        <v>0.27</v>
      </c>
      <c r="G322" t="s">
        <v>2248</v>
      </c>
      <c r="H322">
        <v>362</v>
      </c>
      <c r="I322">
        <v>6.47</v>
      </c>
      <c r="J322">
        <v>6.48</v>
      </c>
      <c r="K322">
        <v>0.15</v>
      </c>
      <c r="L322">
        <v>2.8</v>
      </c>
      <c r="M322" t="s">
        <v>2249</v>
      </c>
      <c r="N322">
        <v>60.09</v>
      </c>
      <c r="O322" t="s">
        <v>2085</v>
      </c>
      <c r="P322">
        <v>6.49</v>
      </c>
      <c r="Q322">
        <v>6.13</v>
      </c>
      <c r="R322">
        <v>6.2</v>
      </c>
      <c r="S322">
        <v>6.2</v>
      </c>
      <c r="T322">
        <v>5.81</v>
      </c>
      <c r="U322">
        <v>2.5499999999999998</v>
      </c>
      <c r="V322">
        <v>16.38</v>
      </c>
      <c r="W322" t="s">
        <v>2250</v>
      </c>
      <c r="X322">
        <v>6.37</v>
      </c>
      <c r="Y322" t="s">
        <v>1157</v>
      </c>
      <c r="Z322" t="s">
        <v>2251</v>
      </c>
      <c r="AA322">
        <v>0.59</v>
      </c>
      <c r="AB322">
        <v>585</v>
      </c>
      <c r="AC322" t="s">
        <v>2252</v>
      </c>
      <c r="AD322">
        <v>4.04</v>
      </c>
      <c r="AE322" t="s">
        <v>2253</v>
      </c>
      <c r="AF322" t="s">
        <v>2229</v>
      </c>
      <c r="AG322" t="s">
        <v>2253</v>
      </c>
      <c r="AH322" t="s">
        <v>2229</v>
      </c>
      <c r="AI322">
        <v>1.0900000000000001</v>
      </c>
      <c r="AJ322">
        <v>2.86</v>
      </c>
      <c r="AK322">
        <v>5.22</v>
      </c>
      <c r="AL322">
        <v>8.3000000000000007</v>
      </c>
    </row>
    <row r="323" spans="1:38" x14ac:dyDescent="0.25">
      <c r="A323">
        <v>322</v>
      </c>
      <c r="B323" t="str">
        <f xml:space="preserve"> "000418"</f>
        <v>000418</v>
      </c>
      <c r="C323" t="s">
        <v>2254</v>
      </c>
      <c r="D323">
        <v>49.24</v>
      </c>
      <c r="E323">
        <v>2.1800000000000002</v>
      </c>
      <c r="F323">
        <v>1.05</v>
      </c>
      <c r="G323" t="s">
        <v>2255</v>
      </c>
      <c r="H323">
        <v>121</v>
      </c>
      <c r="I323">
        <v>49.2</v>
      </c>
      <c r="J323">
        <v>49.24</v>
      </c>
      <c r="K323">
        <v>0.12</v>
      </c>
      <c r="L323">
        <v>0.36</v>
      </c>
      <c r="M323" t="s">
        <v>2256</v>
      </c>
      <c r="N323">
        <v>21.29</v>
      </c>
      <c r="O323" t="s">
        <v>215</v>
      </c>
      <c r="P323">
        <v>49.32</v>
      </c>
      <c r="Q323">
        <v>47.88</v>
      </c>
      <c r="R323">
        <v>48.24</v>
      </c>
      <c r="S323">
        <v>48.19</v>
      </c>
      <c r="T323">
        <v>2.99</v>
      </c>
      <c r="U323">
        <v>0.67</v>
      </c>
      <c r="V323">
        <v>29</v>
      </c>
      <c r="W323">
        <v>113</v>
      </c>
      <c r="X323">
        <v>48.76</v>
      </c>
      <c r="Y323">
        <v>4548</v>
      </c>
      <c r="Z323" t="s">
        <v>2241</v>
      </c>
      <c r="AA323">
        <v>0.4</v>
      </c>
      <c r="AB323">
        <v>5</v>
      </c>
      <c r="AC323">
        <v>36</v>
      </c>
      <c r="AD323">
        <v>4.99</v>
      </c>
      <c r="AE323" t="s">
        <v>2257</v>
      </c>
      <c r="AF323" t="s">
        <v>2258</v>
      </c>
      <c r="AG323" t="s">
        <v>2259</v>
      </c>
      <c r="AH323" t="s">
        <v>452</v>
      </c>
      <c r="AI323">
        <v>3.75</v>
      </c>
      <c r="AJ323">
        <v>11.38</v>
      </c>
      <c r="AK323">
        <v>1.37</v>
      </c>
      <c r="AL323">
        <v>3.06</v>
      </c>
    </row>
    <row r="324" spans="1:38" x14ac:dyDescent="0.25">
      <c r="A324">
        <v>323</v>
      </c>
      <c r="B324" t="str">
        <f xml:space="preserve"> "002635"</f>
        <v>002635</v>
      </c>
      <c r="C324" t="s">
        <v>2260</v>
      </c>
      <c r="D324">
        <v>41.25</v>
      </c>
      <c r="E324">
        <v>7.98</v>
      </c>
      <c r="F324">
        <v>3.05</v>
      </c>
      <c r="G324" t="s">
        <v>2261</v>
      </c>
      <c r="H324">
        <v>969</v>
      </c>
      <c r="I324">
        <v>41.24</v>
      </c>
      <c r="J324">
        <v>41.25</v>
      </c>
      <c r="K324">
        <v>7.0000000000000007E-2</v>
      </c>
      <c r="L324">
        <v>2.69</v>
      </c>
      <c r="M324" t="s">
        <v>2198</v>
      </c>
      <c r="N324">
        <v>92.9</v>
      </c>
      <c r="O324" t="s">
        <v>380</v>
      </c>
      <c r="P324">
        <v>41.8</v>
      </c>
      <c r="Q324">
        <v>38.19</v>
      </c>
      <c r="R324">
        <v>38.39</v>
      </c>
      <c r="S324">
        <v>38.200000000000003</v>
      </c>
      <c r="T324">
        <v>9.4499999999999993</v>
      </c>
      <c r="U324">
        <v>1.75</v>
      </c>
      <c r="V324">
        <v>-61</v>
      </c>
      <c r="W324">
        <v>-601</v>
      </c>
      <c r="X324">
        <v>40.25</v>
      </c>
      <c r="Y324" t="s">
        <v>1705</v>
      </c>
      <c r="Z324" t="s">
        <v>1328</v>
      </c>
      <c r="AA324">
        <v>0.46</v>
      </c>
      <c r="AB324">
        <v>83</v>
      </c>
      <c r="AC324">
        <v>354</v>
      </c>
      <c r="AD324">
        <v>7.48</v>
      </c>
      <c r="AE324" t="s">
        <v>2262</v>
      </c>
      <c r="AF324" t="s">
        <v>2263</v>
      </c>
      <c r="AG324" t="s">
        <v>2264</v>
      </c>
      <c r="AH324" t="s">
        <v>880</v>
      </c>
      <c r="AI324">
        <v>4.01</v>
      </c>
      <c r="AJ324">
        <v>1.2</v>
      </c>
      <c r="AK324">
        <v>6.29</v>
      </c>
      <c r="AL324">
        <v>10.36</v>
      </c>
    </row>
    <row r="325" spans="1:38" x14ac:dyDescent="0.25">
      <c r="A325">
        <v>324</v>
      </c>
      <c r="B325" t="str">
        <f xml:space="preserve"> "603589"</f>
        <v>603589</v>
      </c>
      <c r="C325" t="s">
        <v>2265</v>
      </c>
      <c r="D325">
        <v>51.61</v>
      </c>
      <c r="E325">
        <v>0.76</v>
      </c>
      <c r="F325">
        <v>0.39</v>
      </c>
      <c r="G325" t="s">
        <v>2266</v>
      </c>
      <c r="H325">
        <v>4</v>
      </c>
      <c r="I325">
        <v>51.64</v>
      </c>
      <c r="J325">
        <v>51.65</v>
      </c>
      <c r="K325">
        <v>-0.04</v>
      </c>
      <c r="L325">
        <v>1.2</v>
      </c>
      <c r="M325" t="s">
        <v>2267</v>
      </c>
      <c r="N325">
        <v>29.44</v>
      </c>
      <c r="O325" t="s">
        <v>123</v>
      </c>
      <c r="P325">
        <v>52.58</v>
      </c>
      <c r="Q325">
        <v>51</v>
      </c>
      <c r="R325">
        <v>51.33</v>
      </c>
      <c r="S325">
        <v>51.22</v>
      </c>
      <c r="T325">
        <v>3.08</v>
      </c>
      <c r="U325">
        <v>0.75</v>
      </c>
      <c r="V325">
        <v>52.14</v>
      </c>
      <c r="W325">
        <v>78</v>
      </c>
      <c r="X325">
        <v>52.12</v>
      </c>
      <c r="Y325" t="s">
        <v>1683</v>
      </c>
      <c r="Z325" t="s">
        <v>1076</v>
      </c>
      <c r="AA325">
        <v>0.83</v>
      </c>
      <c r="AB325">
        <v>3</v>
      </c>
      <c r="AC325">
        <v>8</v>
      </c>
      <c r="AD325">
        <v>7.33</v>
      </c>
      <c r="AE325" t="s">
        <v>477</v>
      </c>
      <c r="AF325" t="s">
        <v>2263</v>
      </c>
      <c r="AG325" t="s">
        <v>2268</v>
      </c>
      <c r="AH325" t="s">
        <v>1664</v>
      </c>
      <c r="AI325">
        <v>3.49</v>
      </c>
      <c r="AJ325">
        <v>6.5</v>
      </c>
      <c r="AK325">
        <v>4.4800000000000004</v>
      </c>
      <c r="AL325">
        <v>9.17</v>
      </c>
    </row>
    <row r="326" spans="1:38" x14ac:dyDescent="0.25">
      <c r="A326">
        <v>325</v>
      </c>
      <c r="B326" t="str">
        <f xml:space="preserve"> "600820"</f>
        <v>600820</v>
      </c>
      <c r="C326" t="s">
        <v>2269</v>
      </c>
      <c r="D326">
        <v>9.7799999999999994</v>
      </c>
      <c r="E326">
        <v>0</v>
      </c>
      <c r="F326">
        <v>0</v>
      </c>
      <c r="G326" t="s">
        <v>2270</v>
      </c>
      <c r="H326">
        <v>92</v>
      </c>
      <c r="I326">
        <v>9.77</v>
      </c>
      <c r="J326">
        <v>9.7799999999999994</v>
      </c>
      <c r="K326">
        <v>0.1</v>
      </c>
      <c r="L326">
        <v>0.27</v>
      </c>
      <c r="M326" t="s">
        <v>2271</v>
      </c>
      <c r="N326">
        <v>20.13</v>
      </c>
      <c r="O326" t="s">
        <v>263</v>
      </c>
      <c r="P326">
        <v>9.7899999999999991</v>
      </c>
      <c r="Q326">
        <v>9.73</v>
      </c>
      <c r="R326">
        <v>9.7799999999999994</v>
      </c>
      <c r="S326">
        <v>9.7799999999999994</v>
      </c>
      <c r="T326">
        <v>0.61</v>
      </c>
      <c r="U326">
        <v>0.72</v>
      </c>
      <c r="V326">
        <v>30.87</v>
      </c>
      <c r="W326">
        <v>4109</v>
      </c>
      <c r="X326">
        <v>9.75</v>
      </c>
      <c r="Y326" t="s">
        <v>2272</v>
      </c>
      <c r="Z326" t="s">
        <v>2273</v>
      </c>
      <c r="AA326">
        <v>1.68</v>
      </c>
      <c r="AB326">
        <v>230</v>
      </c>
      <c r="AC326">
        <v>950</v>
      </c>
      <c r="AD326">
        <v>1.75</v>
      </c>
      <c r="AE326" t="s">
        <v>1944</v>
      </c>
      <c r="AF326" t="s">
        <v>2274</v>
      </c>
      <c r="AG326" t="s">
        <v>1944</v>
      </c>
      <c r="AH326" t="s">
        <v>2274</v>
      </c>
      <c r="AI326">
        <v>-0.1</v>
      </c>
      <c r="AJ326">
        <v>1.24</v>
      </c>
      <c r="AK326">
        <v>1.0900000000000001</v>
      </c>
      <c r="AL326">
        <v>2.16</v>
      </c>
    </row>
    <row r="327" spans="1:38" x14ac:dyDescent="0.25">
      <c r="A327">
        <v>326</v>
      </c>
      <c r="B327" t="str">
        <f xml:space="preserve"> "601231"</f>
        <v>601231</v>
      </c>
      <c r="C327" t="s">
        <v>2275</v>
      </c>
      <c r="D327">
        <v>14.13</v>
      </c>
      <c r="E327">
        <v>3.97</v>
      </c>
      <c r="F327">
        <v>0.54</v>
      </c>
      <c r="G327" t="s">
        <v>1211</v>
      </c>
      <c r="H327">
        <v>286</v>
      </c>
      <c r="I327">
        <v>14.12</v>
      </c>
      <c r="J327">
        <v>14.13</v>
      </c>
      <c r="K327">
        <v>7.0000000000000007E-2</v>
      </c>
      <c r="L327">
        <v>0.85</v>
      </c>
      <c r="M327" t="s">
        <v>2208</v>
      </c>
      <c r="N327">
        <v>27.65</v>
      </c>
      <c r="O327" t="s">
        <v>380</v>
      </c>
      <c r="P327">
        <v>14.15</v>
      </c>
      <c r="Q327">
        <v>13.52</v>
      </c>
      <c r="R327">
        <v>13.62</v>
      </c>
      <c r="S327">
        <v>13.59</v>
      </c>
      <c r="T327">
        <v>4.6399999999999997</v>
      </c>
      <c r="U327">
        <v>1.72</v>
      </c>
      <c r="V327">
        <v>-41.18</v>
      </c>
      <c r="W327">
        <v>-1872</v>
      </c>
      <c r="X327">
        <v>13.95</v>
      </c>
      <c r="Y327" t="s">
        <v>2276</v>
      </c>
      <c r="Z327" t="s">
        <v>873</v>
      </c>
      <c r="AA327">
        <v>0.54</v>
      </c>
      <c r="AB327">
        <v>63</v>
      </c>
      <c r="AC327">
        <v>439</v>
      </c>
      <c r="AD327">
        <v>3.9</v>
      </c>
      <c r="AE327" t="s">
        <v>2277</v>
      </c>
      <c r="AF327" t="s">
        <v>2274</v>
      </c>
      <c r="AG327" t="s">
        <v>2277</v>
      </c>
      <c r="AH327" t="s">
        <v>2274</v>
      </c>
      <c r="AI327">
        <v>0.36</v>
      </c>
      <c r="AJ327">
        <v>-0.91</v>
      </c>
      <c r="AK327">
        <v>1.96</v>
      </c>
      <c r="AL327">
        <v>3.34</v>
      </c>
    </row>
    <row r="328" spans="1:38" x14ac:dyDescent="0.25">
      <c r="A328">
        <v>327</v>
      </c>
      <c r="B328" t="str">
        <f xml:space="preserve"> "002179"</f>
        <v>002179</v>
      </c>
      <c r="C328" t="s">
        <v>2278</v>
      </c>
      <c r="D328">
        <v>38.85</v>
      </c>
      <c r="E328">
        <v>-0.26</v>
      </c>
      <c r="F328">
        <v>-0.1</v>
      </c>
      <c r="G328" t="s">
        <v>2279</v>
      </c>
      <c r="H328">
        <v>464</v>
      </c>
      <c r="I328">
        <v>38.85</v>
      </c>
      <c r="J328">
        <v>38.86</v>
      </c>
      <c r="K328">
        <v>-0.05</v>
      </c>
      <c r="L328">
        <v>0.42</v>
      </c>
      <c r="M328" t="s">
        <v>2239</v>
      </c>
      <c r="N328">
        <v>34.79</v>
      </c>
      <c r="O328" t="s">
        <v>380</v>
      </c>
      <c r="P328">
        <v>38.93</v>
      </c>
      <c r="Q328">
        <v>38.299999999999997</v>
      </c>
      <c r="R328">
        <v>38.9</v>
      </c>
      <c r="S328">
        <v>38.950000000000003</v>
      </c>
      <c r="T328">
        <v>1.62</v>
      </c>
      <c r="U328">
        <v>0.48</v>
      </c>
      <c r="V328">
        <v>78.94</v>
      </c>
      <c r="W328">
        <v>1379</v>
      </c>
      <c r="X328">
        <v>38.64</v>
      </c>
      <c r="Y328" t="s">
        <v>1454</v>
      </c>
      <c r="Z328" t="s">
        <v>2280</v>
      </c>
      <c r="AA328">
        <v>1.67</v>
      </c>
      <c r="AB328">
        <v>83</v>
      </c>
      <c r="AC328">
        <v>17</v>
      </c>
      <c r="AD328">
        <v>6.83</v>
      </c>
      <c r="AE328" t="s">
        <v>2281</v>
      </c>
      <c r="AF328" t="s">
        <v>2274</v>
      </c>
      <c r="AG328" t="s">
        <v>2282</v>
      </c>
      <c r="AH328" t="s">
        <v>663</v>
      </c>
      <c r="AI328">
        <v>4.3</v>
      </c>
      <c r="AJ328">
        <v>3.63</v>
      </c>
      <c r="AK328">
        <v>2.4300000000000002</v>
      </c>
      <c r="AL328">
        <v>4.87</v>
      </c>
    </row>
    <row r="329" spans="1:38" x14ac:dyDescent="0.25">
      <c r="A329">
        <v>328</v>
      </c>
      <c r="B329" t="str">
        <f xml:space="preserve"> "603868"</f>
        <v>603868</v>
      </c>
      <c r="C329" t="s">
        <v>2283</v>
      </c>
      <c r="D329">
        <v>70.48</v>
      </c>
      <c r="E329">
        <v>0.77</v>
      </c>
      <c r="F329">
        <v>0.54</v>
      </c>
      <c r="G329" t="s">
        <v>2284</v>
      </c>
      <c r="H329">
        <v>1</v>
      </c>
      <c r="I329">
        <v>70.41</v>
      </c>
      <c r="J329">
        <v>70.44</v>
      </c>
      <c r="K329">
        <v>0.06</v>
      </c>
      <c r="L329">
        <v>2.38</v>
      </c>
      <c r="M329" t="s">
        <v>2285</v>
      </c>
      <c r="N329">
        <v>40.5</v>
      </c>
      <c r="O329" t="s">
        <v>215</v>
      </c>
      <c r="P329">
        <v>71.349999999999994</v>
      </c>
      <c r="Q329">
        <v>69.05</v>
      </c>
      <c r="R329">
        <v>69.69</v>
      </c>
      <c r="S329">
        <v>69.94</v>
      </c>
      <c r="T329">
        <v>3.29</v>
      </c>
      <c r="U329">
        <v>1.01</v>
      </c>
      <c r="V329">
        <v>-57.14</v>
      </c>
      <c r="W329">
        <v>-16</v>
      </c>
      <c r="X329">
        <v>70.239999999999995</v>
      </c>
      <c r="Y329">
        <v>5364</v>
      </c>
      <c r="Z329">
        <v>5032</v>
      </c>
      <c r="AA329">
        <v>1.07</v>
      </c>
      <c r="AB329">
        <v>1</v>
      </c>
      <c r="AC329">
        <v>3</v>
      </c>
      <c r="AD329">
        <v>15.71</v>
      </c>
      <c r="AE329" t="s">
        <v>1136</v>
      </c>
      <c r="AF329" t="s">
        <v>2274</v>
      </c>
      <c r="AG329" t="s">
        <v>2286</v>
      </c>
      <c r="AH329" t="s">
        <v>1680</v>
      </c>
      <c r="AI329">
        <v>3.8</v>
      </c>
      <c r="AJ329">
        <v>8.9499999999999993</v>
      </c>
      <c r="AK329">
        <v>7.47</v>
      </c>
      <c r="AL329">
        <v>14.17</v>
      </c>
    </row>
    <row r="330" spans="1:38" x14ac:dyDescent="0.25">
      <c r="A330">
        <v>329</v>
      </c>
      <c r="B330" t="str">
        <f xml:space="preserve"> "600528"</f>
        <v>600528</v>
      </c>
      <c r="C330" t="s">
        <v>2287</v>
      </c>
      <c r="D330">
        <v>13.79</v>
      </c>
      <c r="E330">
        <v>0</v>
      </c>
      <c r="F330">
        <v>0</v>
      </c>
      <c r="G330" t="s">
        <v>2261</v>
      </c>
      <c r="H330">
        <v>1</v>
      </c>
      <c r="I330">
        <v>13.79</v>
      </c>
      <c r="J330">
        <v>13.8</v>
      </c>
      <c r="K330">
        <v>0</v>
      </c>
      <c r="L330">
        <v>0.59</v>
      </c>
      <c r="M330" t="s">
        <v>1606</v>
      </c>
      <c r="N330">
        <v>23.68</v>
      </c>
      <c r="O330" t="s">
        <v>263</v>
      </c>
      <c r="P330">
        <v>13.83</v>
      </c>
      <c r="Q330">
        <v>13.7</v>
      </c>
      <c r="R330">
        <v>13.78</v>
      </c>
      <c r="S330">
        <v>13.79</v>
      </c>
      <c r="T330">
        <v>0.94</v>
      </c>
      <c r="U330">
        <v>1.1000000000000001</v>
      </c>
      <c r="V330">
        <v>-12.73</v>
      </c>
      <c r="W330">
        <v>-468</v>
      </c>
      <c r="X330">
        <v>13.76</v>
      </c>
      <c r="Y330" t="s">
        <v>2288</v>
      </c>
      <c r="Z330" t="s">
        <v>624</v>
      </c>
      <c r="AA330">
        <v>1.1399999999999999</v>
      </c>
      <c r="AB330">
        <v>239</v>
      </c>
      <c r="AC330">
        <v>409</v>
      </c>
      <c r="AD330">
        <v>2.19</v>
      </c>
      <c r="AE330" t="s">
        <v>2289</v>
      </c>
      <c r="AF330" t="s">
        <v>2290</v>
      </c>
      <c r="AG330" t="s">
        <v>801</v>
      </c>
      <c r="AH330" t="s">
        <v>642</v>
      </c>
      <c r="AI330">
        <v>-0.93</v>
      </c>
      <c r="AJ330">
        <v>0.28999999999999998</v>
      </c>
      <c r="AK330">
        <v>1.72</v>
      </c>
      <c r="AL330">
        <v>3.27</v>
      </c>
    </row>
    <row r="331" spans="1:38" x14ac:dyDescent="0.25">
      <c r="A331">
        <v>330</v>
      </c>
      <c r="B331" t="str">
        <f xml:space="preserve"> "300115"</f>
        <v>300115</v>
      </c>
      <c r="C331" t="s">
        <v>2291</v>
      </c>
      <c r="D331">
        <v>33.68</v>
      </c>
      <c r="E331">
        <v>4.66</v>
      </c>
      <c r="F331">
        <v>1.5</v>
      </c>
      <c r="G331" t="s">
        <v>2292</v>
      </c>
      <c r="H331">
        <v>1472</v>
      </c>
      <c r="I331">
        <v>33.67</v>
      </c>
      <c r="J331">
        <v>33.68</v>
      </c>
      <c r="K331">
        <v>0</v>
      </c>
      <c r="L331">
        <v>1.82</v>
      </c>
      <c r="M331" t="s">
        <v>2293</v>
      </c>
      <c r="N331">
        <v>43.36</v>
      </c>
      <c r="O331" t="s">
        <v>380</v>
      </c>
      <c r="P331">
        <v>33.79</v>
      </c>
      <c r="Q331">
        <v>31.88</v>
      </c>
      <c r="R331">
        <v>32.15</v>
      </c>
      <c r="S331">
        <v>32.18</v>
      </c>
      <c r="T331">
        <v>5.94</v>
      </c>
      <c r="U331">
        <v>0.99</v>
      </c>
      <c r="V331">
        <v>-67.34</v>
      </c>
      <c r="W331">
        <v>-1060</v>
      </c>
      <c r="X331">
        <v>33.03</v>
      </c>
      <c r="Y331" t="s">
        <v>2294</v>
      </c>
      <c r="Z331" t="s">
        <v>1814</v>
      </c>
      <c r="AA331">
        <v>0.63</v>
      </c>
      <c r="AB331">
        <v>37</v>
      </c>
      <c r="AC331">
        <v>651</v>
      </c>
      <c r="AD331">
        <v>7.36</v>
      </c>
      <c r="AE331" t="s">
        <v>1542</v>
      </c>
      <c r="AF331" t="s">
        <v>2290</v>
      </c>
      <c r="AG331" t="s">
        <v>2295</v>
      </c>
      <c r="AH331" t="s">
        <v>663</v>
      </c>
      <c r="AI331">
        <v>4.6900000000000004</v>
      </c>
      <c r="AJ331">
        <v>-3.25</v>
      </c>
      <c r="AK331">
        <v>3.93</v>
      </c>
      <c r="AL331">
        <v>11</v>
      </c>
    </row>
    <row r="332" spans="1:38" x14ac:dyDescent="0.25">
      <c r="A332">
        <v>331</v>
      </c>
      <c r="B332" t="str">
        <f xml:space="preserve"> "002311"</f>
        <v>002311</v>
      </c>
      <c r="C332" t="s">
        <v>2296</v>
      </c>
      <c r="D332">
        <v>19.260000000000002</v>
      </c>
      <c r="E332">
        <v>1.58</v>
      </c>
      <c r="F332">
        <v>0.3</v>
      </c>
      <c r="G332" t="s">
        <v>1623</v>
      </c>
      <c r="H332">
        <v>104</v>
      </c>
      <c r="I332">
        <v>19.260000000000002</v>
      </c>
      <c r="J332">
        <v>19.27</v>
      </c>
      <c r="K332">
        <v>0</v>
      </c>
      <c r="L332">
        <v>0.31</v>
      </c>
      <c r="M332" t="s">
        <v>2297</v>
      </c>
      <c r="N332">
        <v>29.26</v>
      </c>
      <c r="O332" t="s">
        <v>622</v>
      </c>
      <c r="P332">
        <v>19.45</v>
      </c>
      <c r="Q332">
        <v>18.920000000000002</v>
      </c>
      <c r="R332">
        <v>19.07</v>
      </c>
      <c r="S332">
        <v>18.96</v>
      </c>
      <c r="T332">
        <v>2.8</v>
      </c>
      <c r="U332">
        <v>1.4</v>
      </c>
      <c r="V332">
        <v>30.03</v>
      </c>
      <c r="W332">
        <v>324</v>
      </c>
      <c r="X332">
        <v>19.239999999999998</v>
      </c>
      <c r="Y332" t="s">
        <v>1578</v>
      </c>
      <c r="Z332" t="s">
        <v>2298</v>
      </c>
      <c r="AA332">
        <v>0.54</v>
      </c>
      <c r="AB332">
        <v>33</v>
      </c>
      <c r="AC332">
        <v>4</v>
      </c>
      <c r="AD332">
        <v>5.29</v>
      </c>
      <c r="AE332" t="s">
        <v>2299</v>
      </c>
      <c r="AF332" t="s">
        <v>663</v>
      </c>
      <c r="AG332" t="s">
        <v>122</v>
      </c>
      <c r="AH332" t="s">
        <v>162</v>
      </c>
      <c r="AI332">
        <v>2.94</v>
      </c>
      <c r="AJ332">
        <v>4.3899999999999997</v>
      </c>
      <c r="AK332">
        <v>0.84</v>
      </c>
      <c r="AL332">
        <v>1.41</v>
      </c>
    </row>
    <row r="333" spans="1:38" x14ac:dyDescent="0.25">
      <c r="A333">
        <v>332</v>
      </c>
      <c r="B333" t="str">
        <f xml:space="preserve"> "600291"</f>
        <v>600291</v>
      </c>
      <c r="C333" t="s">
        <v>2300</v>
      </c>
      <c r="D333">
        <v>27.58</v>
      </c>
      <c r="E333">
        <v>-0.76</v>
      </c>
      <c r="F333">
        <v>-0.21</v>
      </c>
      <c r="G333" t="s">
        <v>2301</v>
      </c>
      <c r="H333">
        <v>78</v>
      </c>
      <c r="I333">
        <v>27.58</v>
      </c>
      <c r="J333">
        <v>27.6</v>
      </c>
      <c r="K333">
        <v>-0.04</v>
      </c>
      <c r="L333">
        <v>1.59</v>
      </c>
      <c r="M333" t="s">
        <v>2302</v>
      </c>
      <c r="N333">
        <v>6.4</v>
      </c>
      <c r="O333" t="s">
        <v>94</v>
      </c>
      <c r="P333">
        <v>28.14</v>
      </c>
      <c r="Q333">
        <v>27.51</v>
      </c>
      <c r="R333">
        <v>27.85</v>
      </c>
      <c r="S333">
        <v>27.79</v>
      </c>
      <c r="T333">
        <v>2.27</v>
      </c>
      <c r="U333">
        <v>0.75</v>
      </c>
      <c r="V333">
        <v>44.48</v>
      </c>
      <c r="W333">
        <v>1154</v>
      </c>
      <c r="X333">
        <v>27.75</v>
      </c>
      <c r="Y333" t="s">
        <v>2303</v>
      </c>
      <c r="Z333" t="s">
        <v>2304</v>
      </c>
      <c r="AA333">
        <v>1.35</v>
      </c>
      <c r="AB333">
        <v>15</v>
      </c>
      <c r="AC333">
        <v>351</v>
      </c>
      <c r="AD333">
        <v>2.44</v>
      </c>
      <c r="AE333" t="s">
        <v>888</v>
      </c>
      <c r="AF333" t="s">
        <v>2169</v>
      </c>
      <c r="AG333" t="s">
        <v>2305</v>
      </c>
      <c r="AH333" t="s">
        <v>2161</v>
      </c>
      <c r="AI333">
        <v>0.88</v>
      </c>
      <c r="AJ333">
        <v>1.77</v>
      </c>
      <c r="AK333">
        <v>6.32</v>
      </c>
      <c r="AL333">
        <v>12.17</v>
      </c>
    </row>
    <row r="334" spans="1:38" x14ac:dyDescent="0.25">
      <c r="A334">
        <v>333</v>
      </c>
      <c r="B334" t="str">
        <f xml:space="preserve"> "002081"</f>
        <v>002081</v>
      </c>
      <c r="C334" t="s">
        <v>2306</v>
      </c>
      <c r="D334">
        <v>11.35</v>
      </c>
      <c r="E334">
        <v>0.62</v>
      </c>
      <c r="F334">
        <v>7.0000000000000007E-2</v>
      </c>
      <c r="G334" t="s">
        <v>2307</v>
      </c>
      <c r="H334">
        <v>453</v>
      </c>
      <c r="I334">
        <v>11.35</v>
      </c>
      <c r="J334">
        <v>11.36</v>
      </c>
      <c r="K334">
        <v>-0.09</v>
      </c>
      <c r="L334">
        <v>0.31</v>
      </c>
      <c r="M334" t="s">
        <v>2308</v>
      </c>
      <c r="N334">
        <v>16.73</v>
      </c>
      <c r="O334" t="s">
        <v>2309</v>
      </c>
      <c r="P334">
        <v>11.43</v>
      </c>
      <c r="Q334">
        <v>11.23</v>
      </c>
      <c r="R334">
        <v>11.29</v>
      </c>
      <c r="S334">
        <v>11.28</v>
      </c>
      <c r="T334">
        <v>1.77</v>
      </c>
      <c r="U334">
        <v>0.64</v>
      </c>
      <c r="V334">
        <v>-41.37</v>
      </c>
      <c r="W334">
        <v>-3222</v>
      </c>
      <c r="X334">
        <v>11.35</v>
      </c>
      <c r="Y334" t="s">
        <v>928</v>
      </c>
      <c r="Z334" t="s">
        <v>1947</v>
      </c>
      <c r="AA334">
        <v>0.7</v>
      </c>
      <c r="AB334">
        <v>348</v>
      </c>
      <c r="AC334">
        <v>658</v>
      </c>
      <c r="AD334">
        <v>2.87</v>
      </c>
      <c r="AE334" t="s">
        <v>1279</v>
      </c>
      <c r="AF334" t="s">
        <v>267</v>
      </c>
      <c r="AG334" t="s">
        <v>1129</v>
      </c>
      <c r="AH334" t="s">
        <v>2310</v>
      </c>
      <c r="AI334">
        <v>1.1599999999999999</v>
      </c>
      <c r="AJ334">
        <v>4.51</v>
      </c>
      <c r="AK334">
        <v>1.42</v>
      </c>
      <c r="AL334">
        <v>2.74</v>
      </c>
    </row>
    <row r="335" spans="1:38" x14ac:dyDescent="0.25">
      <c r="A335">
        <v>334</v>
      </c>
      <c r="B335" t="str">
        <f xml:space="preserve"> "002583"</f>
        <v>002583</v>
      </c>
      <c r="C335" t="s">
        <v>2311</v>
      </c>
      <c r="D335">
        <v>17.149999999999999</v>
      </c>
      <c r="E335">
        <v>-0.17</v>
      </c>
      <c r="F335">
        <v>-0.03</v>
      </c>
      <c r="G335" t="s">
        <v>2032</v>
      </c>
      <c r="H335">
        <v>135</v>
      </c>
      <c r="I335">
        <v>17.149999999999999</v>
      </c>
      <c r="J335">
        <v>17.16</v>
      </c>
      <c r="K335">
        <v>0.41</v>
      </c>
      <c r="L335">
        <v>0.33</v>
      </c>
      <c r="M335" t="s">
        <v>2312</v>
      </c>
      <c r="N335">
        <v>815.08</v>
      </c>
      <c r="O335" t="s">
        <v>205</v>
      </c>
      <c r="P335">
        <v>17.36</v>
      </c>
      <c r="Q335">
        <v>16.989999999999998</v>
      </c>
      <c r="R335">
        <v>17.190000000000001</v>
      </c>
      <c r="S335">
        <v>17.18</v>
      </c>
      <c r="T335">
        <v>2.15</v>
      </c>
      <c r="U335">
        <v>0.41</v>
      </c>
      <c r="V335">
        <v>19.63</v>
      </c>
      <c r="W335">
        <v>439</v>
      </c>
      <c r="X335">
        <v>17.13</v>
      </c>
      <c r="Y335" t="s">
        <v>1076</v>
      </c>
      <c r="Z335" t="s">
        <v>2313</v>
      </c>
      <c r="AA335">
        <v>1.23</v>
      </c>
      <c r="AB335">
        <v>213</v>
      </c>
      <c r="AC335">
        <v>57</v>
      </c>
      <c r="AD335">
        <v>6.35</v>
      </c>
      <c r="AE335" t="s">
        <v>2314</v>
      </c>
      <c r="AF335" t="s">
        <v>267</v>
      </c>
      <c r="AG335" t="s">
        <v>2066</v>
      </c>
      <c r="AH335" t="s">
        <v>1385</v>
      </c>
      <c r="AI335">
        <v>-1.32</v>
      </c>
      <c r="AJ335">
        <v>6.13</v>
      </c>
      <c r="AK335">
        <v>1.48</v>
      </c>
      <c r="AL335">
        <v>4.3499999999999996</v>
      </c>
    </row>
    <row r="336" spans="1:38" x14ac:dyDescent="0.25">
      <c r="A336">
        <v>335</v>
      </c>
      <c r="B336" t="str">
        <f xml:space="preserve"> "300017"</f>
        <v>300017</v>
      </c>
      <c r="C336" t="s">
        <v>2315</v>
      </c>
      <c r="D336">
        <v>12.38</v>
      </c>
      <c r="E336">
        <v>0</v>
      </c>
      <c r="F336">
        <v>0</v>
      </c>
      <c r="G336" t="s">
        <v>1977</v>
      </c>
      <c r="H336">
        <v>3417</v>
      </c>
      <c r="I336">
        <v>12.37</v>
      </c>
      <c r="J336">
        <v>12.38</v>
      </c>
      <c r="K336">
        <v>0</v>
      </c>
      <c r="L336">
        <v>1.92</v>
      </c>
      <c r="M336" t="s">
        <v>2316</v>
      </c>
      <c r="N336">
        <v>35.880000000000003</v>
      </c>
      <c r="O336" t="s">
        <v>893</v>
      </c>
      <c r="P336">
        <v>12.46</v>
      </c>
      <c r="Q336">
        <v>12.26</v>
      </c>
      <c r="R336">
        <v>12.35</v>
      </c>
      <c r="S336">
        <v>12.38</v>
      </c>
      <c r="T336">
        <v>1.62</v>
      </c>
      <c r="U336">
        <v>0.47</v>
      </c>
      <c r="V336">
        <v>-16.899999999999999</v>
      </c>
      <c r="W336">
        <v>-2035</v>
      </c>
      <c r="X336">
        <v>12.36</v>
      </c>
      <c r="Y336" t="s">
        <v>235</v>
      </c>
      <c r="Z336" t="s">
        <v>184</v>
      </c>
      <c r="AA336">
        <v>1.17</v>
      </c>
      <c r="AB336">
        <v>1145</v>
      </c>
      <c r="AC336">
        <v>140</v>
      </c>
      <c r="AD336">
        <v>3.94</v>
      </c>
      <c r="AE336" t="s">
        <v>2317</v>
      </c>
      <c r="AF336" t="s">
        <v>1597</v>
      </c>
      <c r="AG336" t="s">
        <v>1477</v>
      </c>
      <c r="AH336" t="s">
        <v>1071</v>
      </c>
      <c r="AI336">
        <v>-3.28</v>
      </c>
      <c r="AJ336">
        <v>2.4</v>
      </c>
      <c r="AK336">
        <v>8.74</v>
      </c>
      <c r="AL336">
        <v>22.22</v>
      </c>
    </row>
    <row r="337" spans="1:38" x14ac:dyDescent="0.25">
      <c r="A337">
        <v>336</v>
      </c>
      <c r="B337" t="str">
        <f xml:space="preserve"> "601699"</f>
        <v>601699</v>
      </c>
      <c r="C337" t="s">
        <v>2318</v>
      </c>
      <c r="D337">
        <v>9.9</v>
      </c>
      <c r="E337">
        <v>3.02</v>
      </c>
      <c r="F337">
        <v>0.28999999999999998</v>
      </c>
      <c r="G337" t="s">
        <v>2319</v>
      </c>
      <c r="H337">
        <v>475</v>
      </c>
      <c r="I337">
        <v>9.89</v>
      </c>
      <c r="J337">
        <v>9.9</v>
      </c>
      <c r="K337">
        <v>-0.1</v>
      </c>
      <c r="L337">
        <v>1.72</v>
      </c>
      <c r="M337" t="s">
        <v>2320</v>
      </c>
      <c r="N337">
        <v>12.96</v>
      </c>
      <c r="O337" t="s">
        <v>150</v>
      </c>
      <c r="P337">
        <v>9.9499999999999993</v>
      </c>
      <c r="Q337">
        <v>9.65</v>
      </c>
      <c r="R337">
        <v>9.68</v>
      </c>
      <c r="S337">
        <v>9.61</v>
      </c>
      <c r="T337">
        <v>3.12</v>
      </c>
      <c r="U337">
        <v>1.06</v>
      </c>
      <c r="V337">
        <v>-69.41</v>
      </c>
      <c r="W337">
        <v>-6854</v>
      </c>
      <c r="X337">
        <v>9.8000000000000007</v>
      </c>
      <c r="Y337" t="s">
        <v>335</v>
      </c>
      <c r="Z337" t="s">
        <v>2321</v>
      </c>
      <c r="AA337">
        <v>0.6</v>
      </c>
      <c r="AB337">
        <v>471</v>
      </c>
      <c r="AC337">
        <v>2</v>
      </c>
      <c r="AD337">
        <v>1.5</v>
      </c>
      <c r="AE337" t="s">
        <v>1910</v>
      </c>
      <c r="AF337" t="s">
        <v>239</v>
      </c>
      <c r="AG337" t="s">
        <v>1910</v>
      </c>
      <c r="AH337" t="s">
        <v>239</v>
      </c>
      <c r="AI337">
        <v>1.64</v>
      </c>
      <c r="AJ337">
        <v>-4.3499999999999996</v>
      </c>
      <c r="AK337">
        <v>5.09</v>
      </c>
      <c r="AL337">
        <v>9.82</v>
      </c>
    </row>
    <row r="338" spans="1:38" x14ac:dyDescent="0.25">
      <c r="A338">
        <v>337</v>
      </c>
      <c r="B338" t="str">
        <f xml:space="preserve"> "000028"</f>
        <v>000028</v>
      </c>
      <c r="C338" t="s">
        <v>2322</v>
      </c>
      <c r="D338">
        <v>69.08</v>
      </c>
      <c r="E338">
        <v>-0.7</v>
      </c>
      <c r="F338">
        <v>-0.49</v>
      </c>
      <c r="G338" t="s">
        <v>1785</v>
      </c>
      <c r="H338">
        <v>36</v>
      </c>
      <c r="I338">
        <v>69.08</v>
      </c>
      <c r="J338">
        <v>69.099999999999994</v>
      </c>
      <c r="K338">
        <v>0.03</v>
      </c>
      <c r="L338">
        <v>0.35</v>
      </c>
      <c r="M338" t="s">
        <v>2323</v>
      </c>
      <c r="N338">
        <v>26.59</v>
      </c>
      <c r="O338" t="s">
        <v>392</v>
      </c>
      <c r="P338">
        <v>69.59</v>
      </c>
      <c r="Q338">
        <v>68.8</v>
      </c>
      <c r="R338">
        <v>69.58</v>
      </c>
      <c r="S338">
        <v>69.569999999999993</v>
      </c>
      <c r="T338">
        <v>1.1399999999999999</v>
      </c>
      <c r="U338">
        <v>0.73</v>
      </c>
      <c r="V338">
        <v>75.290000000000006</v>
      </c>
      <c r="W338">
        <v>378</v>
      </c>
      <c r="X338">
        <v>69.099999999999994</v>
      </c>
      <c r="Y338">
        <v>4550</v>
      </c>
      <c r="Z338">
        <v>6177</v>
      </c>
      <c r="AA338">
        <v>0.74</v>
      </c>
      <c r="AB338">
        <v>59</v>
      </c>
      <c r="AC338">
        <v>13</v>
      </c>
      <c r="AD338">
        <v>3.34</v>
      </c>
      <c r="AE338" t="s">
        <v>2324</v>
      </c>
      <c r="AF338" t="s">
        <v>239</v>
      </c>
      <c r="AG338" t="s">
        <v>1569</v>
      </c>
      <c r="AH338" t="s">
        <v>2325</v>
      </c>
      <c r="AI338">
        <v>0</v>
      </c>
      <c r="AJ338">
        <v>3.8</v>
      </c>
      <c r="AK338">
        <v>1.69</v>
      </c>
      <c r="AL338">
        <v>2.73</v>
      </c>
    </row>
    <row r="339" spans="1:38" x14ac:dyDescent="0.25">
      <c r="A339">
        <v>338</v>
      </c>
      <c r="B339" t="str">
        <f xml:space="preserve"> "600848"</f>
        <v>600848</v>
      </c>
      <c r="C339" t="s">
        <v>2326</v>
      </c>
      <c r="D339">
        <v>26.35</v>
      </c>
      <c r="E339">
        <v>0.34</v>
      </c>
      <c r="F339">
        <v>0.09</v>
      </c>
      <c r="G339" t="s">
        <v>1593</v>
      </c>
      <c r="H339">
        <v>31</v>
      </c>
      <c r="I339">
        <v>26.36</v>
      </c>
      <c r="J339">
        <v>26.37</v>
      </c>
      <c r="K339">
        <v>0.3</v>
      </c>
      <c r="L339">
        <v>1.36</v>
      </c>
      <c r="M339" t="s">
        <v>2327</v>
      </c>
      <c r="N339">
        <v>77.42</v>
      </c>
      <c r="O339" t="s">
        <v>244</v>
      </c>
      <c r="P339">
        <v>26.54</v>
      </c>
      <c r="Q339">
        <v>26.14</v>
      </c>
      <c r="R339">
        <v>26.26</v>
      </c>
      <c r="S339">
        <v>26.26</v>
      </c>
      <c r="T339">
        <v>1.52</v>
      </c>
      <c r="U339">
        <v>0.43</v>
      </c>
      <c r="V339">
        <v>6.21</v>
      </c>
      <c r="W339">
        <v>40</v>
      </c>
      <c r="X339">
        <v>26.3</v>
      </c>
      <c r="Y339" t="s">
        <v>1074</v>
      </c>
      <c r="Z339" t="s">
        <v>1805</v>
      </c>
      <c r="AA339">
        <v>1.5</v>
      </c>
      <c r="AB339">
        <v>12</v>
      </c>
      <c r="AC339">
        <v>16</v>
      </c>
      <c r="AD339">
        <v>4.6900000000000004</v>
      </c>
      <c r="AE339" t="s">
        <v>2328</v>
      </c>
      <c r="AF339" t="s">
        <v>2329</v>
      </c>
      <c r="AG339" t="s">
        <v>1000</v>
      </c>
      <c r="AH339" t="s">
        <v>702</v>
      </c>
      <c r="AI339">
        <v>-2.84</v>
      </c>
      <c r="AJ339">
        <v>-3.41</v>
      </c>
      <c r="AK339">
        <v>6.73</v>
      </c>
      <c r="AL339">
        <v>17.18</v>
      </c>
    </row>
    <row r="340" spans="1:38" x14ac:dyDescent="0.25">
      <c r="A340">
        <v>339</v>
      </c>
      <c r="B340" t="str">
        <f xml:space="preserve"> "600372"</f>
        <v>600372</v>
      </c>
      <c r="C340" t="s">
        <v>2330</v>
      </c>
      <c r="D340">
        <v>16.760000000000002</v>
      </c>
      <c r="E340">
        <v>-1.18</v>
      </c>
      <c r="F340">
        <v>-0.2</v>
      </c>
      <c r="G340" t="s">
        <v>1630</v>
      </c>
      <c r="H340">
        <v>34</v>
      </c>
      <c r="I340">
        <v>16.690000000000001</v>
      </c>
      <c r="J340">
        <v>16.7</v>
      </c>
      <c r="K340">
        <v>-0.42</v>
      </c>
      <c r="L340">
        <v>0.36</v>
      </c>
      <c r="M340" t="s">
        <v>1635</v>
      </c>
      <c r="N340">
        <v>101.13</v>
      </c>
      <c r="O340" t="s">
        <v>926</v>
      </c>
      <c r="P340">
        <v>16.940000000000001</v>
      </c>
      <c r="Q340">
        <v>16.68</v>
      </c>
      <c r="R340">
        <v>16.82</v>
      </c>
      <c r="S340">
        <v>16.96</v>
      </c>
      <c r="T340">
        <v>1.53</v>
      </c>
      <c r="U340">
        <v>0.94</v>
      </c>
      <c r="V340">
        <v>-10.61</v>
      </c>
      <c r="W340">
        <v>-188</v>
      </c>
      <c r="X340">
        <v>16.78</v>
      </c>
      <c r="Y340" t="s">
        <v>650</v>
      </c>
      <c r="Z340" t="s">
        <v>884</v>
      </c>
      <c r="AA340">
        <v>2.27</v>
      </c>
      <c r="AB340">
        <v>140</v>
      </c>
      <c r="AC340">
        <v>61</v>
      </c>
      <c r="AD340">
        <v>4.91</v>
      </c>
      <c r="AE340" t="s">
        <v>2050</v>
      </c>
      <c r="AF340" t="s">
        <v>2329</v>
      </c>
      <c r="AG340" t="s">
        <v>2050</v>
      </c>
      <c r="AH340" t="s">
        <v>2329</v>
      </c>
      <c r="AI340">
        <v>1.7</v>
      </c>
      <c r="AJ340">
        <v>3.27</v>
      </c>
      <c r="AK340">
        <v>1.47</v>
      </c>
      <c r="AL340">
        <v>2.27</v>
      </c>
    </row>
    <row r="341" spans="1:38" x14ac:dyDescent="0.25">
      <c r="A341">
        <v>340</v>
      </c>
      <c r="B341" t="str">
        <f xml:space="preserve"> "300266"</f>
        <v>300266</v>
      </c>
      <c r="C341" t="s">
        <v>2331</v>
      </c>
      <c r="D341">
        <v>28.91</v>
      </c>
      <c r="E341">
        <v>-0.48</v>
      </c>
      <c r="F341">
        <v>-0.14000000000000001</v>
      </c>
      <c r="G341" t="s">
        <v>2332</v>
      </c>
      <c r="H341">
        <v>703</v>
      </c>
      <c r="I341">
        <v>28.91</v>
      </c>
      <c r="J341">
        <v>28.95</v>
      </c>
      <c r="K341">
        <v>0</v>
      </c>
      <c r="L341">
        <v>1.05</v>
      </c>
      <c r="M341" t="s">
        <v>2333</v>
      </c>
      <c r="N341">
        <v>56.6</v>
      </c>
      <c r="O341" t="s">
        <v>1155</v>
      </c>
      <c r="P341">
        <v>29.52</v>
      </c>
      <c r="Q341">
        <v>28.18</v>
      </c>
      <c r="R341">
        <v>28.85</v>
      </c>
      <c r="S341">
        <v>29.05</v>
      </c>
      <c r="T341">
        <v>4.6100000000000003</v>
      </c>
      <c r="U341">
        <v>1.72</v>
      </c>
      <c r="V341">
        <v>-59.86</v>
      </c>
      <c r="W341">
        <v>-1232</v>
      </c>
      <c r="X341">
        <v>28.82</v>
      </c>
      <c r="Y341" t="s">
        <v>2334</v>
      </c>
      <c r="Z341" t="s">
        <v>2335</v>
      </c>
      <c r="AA341">
        <v>1.29</v>
      </c>
      <c r="AB341">
        <v>211</v>
      </c>
      <c r="AC341">
        <v>33</v>
      </c>
      <c r="AD341">
        <v>9.42</v>
      </c>
      <c r="AE341" t="s">
        <v>1766</v>
      </c>
      <c r="AF341" t="s">
        <v>162</v>
      </c>
      <c r="AG341" t="s">
        <v>2336</v>
      </c>
      <c r="AH341" t="s">
        <v>2337</v>
      </c>
      <c r="AI341">
        <v>-7.0000000000000007E-2</v>
      </c>
      <c r="AJ341">
        <v>-6.86</v>
      </c>
      <c r="AK341">
        <v>1.8</v>
      </c>
      <c r="AL341">
        <v>4.09</v>
      </c>
    </row>
    <row r="342" spans="1:38" x14ac:dyDescent="0.25">
      <c r="A342">
        <v>341</v>
      </c>
      <c r="B342" t="str">
        <f xml:space="preserve"> "300251"</f>
        <v>300251</v>
      </c>
      <c r="C342" t="s">
        <v>2338</v>
      </c>
      <c r="D342">
        <v>9.99</v>
      </c>
      <c r="E342">
        <v>0.4</v>
      </c>
      <c r="F342">
        <v>0.04</v>
      </c>
      <c r="G342" t="s">
        <v>2292</v>
      </c>
      <c r="H342">
        <v>1714</v>
      </c>
      <c r="I342">
        <v>9.98</v>
      </c>
      <c r="J342">
        <v>9.99</v>
      </c>
      <c r="K342">
        <v>0.2</v>
      </c>
      <c r="L342">
        <v>0.6</v>
      </c>
      <c r="M342" t="s">
        <v>2339</v>
      </c>
      <c r="N342">
        <v>36.58</v>
      </c>
      <c r="O342" t="s">
        <v>1126</v>
      </c>
      <c r="P342">
        <v>10.039999999999999</v>
      </c>
      <c r="Q342">
        <v>9.8000000000000007</v>
      </c>
      <c r="R342">
        <v>9.99</v>
      </c>
      <c r="S342">
        <v>9.9499999999999993</v>
      </c>
      <c r="T342">
        <v>2.41</v>
      </c>
      <c r="U342">
        <v>0.54</v>
      </c>
      <c r="V342">
        <v>-14.39</v>
      </c>
      <c r="W342">
        <v>-939</v>
      </c>
      <c r="X342">
        <v>9.9</v>
      </c>
      <c r="Y342" t="s">
        <v>2340</v>
      </c>
      <c r="Z342" t="s">
        <v>1329</v>
      </c>
      <c r="AA342">
        <v>0.98</v>
      </c>
      <c r="AB342">
        <v>699</v>
      </c>
      <c r="AC342">
        <v>922</v>
      </c>
      <c r="AD342">
        <v>4.1100000000000003</v>
      </c>
      <c r="AE342" t="s">
        <v>2341</v>
      </c>
      <c r="AF342" t="s">
        <v>2342</v>
      </c>
      <c r="AG342" t="s">
        <v>1480</v>
      </c>
      <c r="AH342" t="s">
        <v>1933</v>
      </c>
      <c r="AI342">
        <v>-3.85</v>
      </c>
      <c r="AJ342">
        <v>-6.98</v>
      </c>
      <c r="AK342">
        <v>2.4</v>
      </c>
      <c r="AL342">
        <v>6.13</v>
      </c>
    </row>
    <row r="343" spans="1:38" x14ac:dyDescent="0.25">
      <c r="A343">
        <v>342</v>
      </c>
      <c r="B343" t="str">
        <f xml:space="preserve"> "002670"</f>
        <v>002670</v>
      </c>
      <c r="C343" t="s">
        <v>2343</v>
      </c>
      <c r="D343">
        <v>19.47</v>
      </c>
      <c r="E343">
        <v>0.56999999999999995</v>
      </c>
      <c r="F343">
        <v>0.11</v>
      </c>
      <c r="G343" t="s">
        <v>2344</v>
      </c>
      <c r="H343">
        <v>2094</v>
      </c>
      <c r="I343">
        <v>19.47</v>
      </c>
      <c r="J343">
        <v>19.48</v>
      </c>
      <c r="K343">
        <v>0</v>
      </c>
      <c r="L343">
        <v>1.79</v>
      </c>
      <c r="M343" t="s">
        <v>2345</v>
      </c>
      <c r="N343">
        <v>96.77</v>
      </c>
      <c r="O343" t="s">
        <v>306</v>
      </c>
      <c r="P343">
        <v>19.53</v>
      </c>
      <c r="Q343">
        <v>19.010000000000002</v>
      </c>
      <c r="R343">
        <v>19.239999999999998</v>
      </c>
      <c r="S343">
        <v>19.36</v>
      </c>
      <c r="T343">
        <v>2.69</v>
      </c>
      <c r="U343">
        <v>0.69</v>
      </c>
      <c r="V343">
        <v>-34.03</v>
      </c>
      <c r="W343">
        <v>-877</v>
      </c>
      <c r="X343">
        <v>19.28</v>
      </c>
      <c r="Y343" t="s">
        <v>2346</v>
      </c>
      <c r="Z343" t="s">
        <v>2226</v>
      </c>
      <c r="AA343">
        <v>1.17</v>
      </c>
      <c r="AB343">
        <v>116</v>
      </c>
      <c r="AC343">
        <v>460</v>
      </c>
      <c r="AD343">
        <v>2.5</v>
      </c>
      <c r="AE343" t="s">
        <v>2347</v>
      </c>
      <c r="AF343" t="s">
        <v>2348</v>
      </c>
      <c r="AG343" t="s">
        <v>2349</v>
      </c>
      <c r="AH343" t="s">
        <v>56</v>
      </c>
      <c r="AI343">
        <v>1.35</v>
      </c>
      <c r="AJ343">
        <v>2.96</v>
      </c>
      <c r="AK343">
        <v>5.84</v>
      </c>
      <c r="AL343">
        <v>14.66</v>
      </c>
    </row>
    <row r="344" spans="1:38" x14ac:dyDescent="0.25">
      <c r="A344">
        <v>343</v>
      </c>
      <c r="B344" t="str">
        <f xml:space="preserve"> "600350"</f>
        <v>600350</v>
      </c>
      <c r="C344" t="s">
        <v>2350</v>
      </c>
      <c r="D344">
        <v>6.04</v>
      </c>
      <c r="E344">
        <v>-0.17</v>
      </c>
      <c r="F344">
        <v>-0.01</v>
      </c>
      <c r="G344" t="s">
        <v>650</v>
      </c>
      <c r="H344">
        <v>6</v>
      </c>
      <c r="I344">
        <v>6.04</v>
      </c>
      <c r="J344">
        <v>6.05</v>
      </c>
      <c r="K344">
        <v>0</v>
      </c>
      <c r="L344">
        <v>0.09</v>
      </c>
      <c r="M344" t="s">
        <v>2351</v>
      </c>
      <c r="N344">
        <v>11.42</v>
      </c>
      <c r="O344" t="s">
        <v>1348</v>
      </c>
      <c r="P344">
        <v>6.06</v>
      </c>
      <c r="Q344">
        <v>6.02</v>
      </c>
      <c r="R344">
        <v>6.05</v>
      </c>
      <c r="S344">
        <v>6.05</v>
      </c>
      <c r="T344">
        <v>0.66</v>
      </c>
      <c r="U344">
        <v>0.56000000000000005</v>
      </c>
      <c r="V344">
        <v>-27.77</v>
      </c>
      <c r="W344">
        <v>-6266</v>
      </c>
      <c r="X344">
        <v>6.04</v>
      </c>
      <c r="Y344" t="s">
        <v>1207</v>
      </c>
      <c r="Z344" t="s">
        <v>1349</v>
      </c>
      <c r="AA344">
        <v>1.54</v>
      </c>
      <c r="AB344">
        <v>761</v>
      </c>
      <c r="AC344">
        <v>1944</v>
      </c>
      <c r="AD344">
        <v>1.2</v>
      </c>
      <c r="AE344" t="s">
        <v>2352</v>
      </c>
      <c r="AF344" t="s">
        <v>2191</v>
      </c>
      <c r="AG344" t="s">
        <v>2352</v>
      </c>
      <c r="AH344" t="s">
        <v>2191</v>
      </c>
      <c r="AI344">
        <v>-0.49</v>
      </c>
      <c r="AJ344">
        <v>1.51</v>
      </c>
      <c r="AK344">
        <v>0.27</v>
      </c>
      <c r="AL344">
        <v>0.9</v>
      </c>
    </row>
    <row r="345" spans="1:38" x14ac:dyDescent="0.25">
      <c r="A345">
        <v>344</v>
      </c>
      <c r="B345" t="str">
        <f xml:space="preserve"> "600754"</f>
        <v>600754</v>
      </c>
      <c r="C345" t="s">
        <v>2353</v>
      </c>
      <c r="D345">
        <v>30.05</v>
      </c>
      <c r="E345">
        <v>-0.13</v>
      </c>
      <c r="F345">
        <v>-0.04</v>
      </c>
      <c r="G345" t="s">
        <v>1278</v>
      </c>
      <c r="H345">
        <v>13</v>
      </c>
      <c r="I345">
        <v>30.06</v>
      </c>
      <c r="J345">
        <v>30.08</v>
      </c>
      <c r="K345">
        <v>0.2</v>
      </c>
      <c r="L345">
        <v>0.36</v>
      </c>
      <c r="M345" t="s">
        <v>2354</v>
      </c>
      <c r="N345">
        <v>34.9</v>
      </c>
      <c r="O345" t="s">
        <v>951</v>
      </c>
      <c r="P345">
        <v>30.4</v>
      </c>
      <c r="Q345">
        <v>29.89</v>
      </c>
      <c r="R345">
        <v>30.1</v>
      </c>
      <c r="S345">
        <v>30.09</v>
      </c>
      <c r="T345">
        <v>1.69</v>
      </c>
      <c r="U345">
        <v>0.5</v>
      </c>
      <c r="V345">
        <v>62.16</v>
      </c>
      <c r="W345">
        <v>567</v>
      </c>
      <c r="X345">
        <v>30.1</v>
      </c>
      <c r="Y345" t="s">
        <v>1685</v>
      </c>
      <c r="Z345">
        <v>6069</v>
      </c>
      <c r="AA345">
        <v>1.67</v>
      </c>
      <c r="AB345">
        <v>3</v>
      </c>
      <c r="AC345">
        <v>6</v>
      </c>
      <c r="AD345">
        <v>2.27</v>
      </c>
      <c r="AE345" t="s">
        <v>2355</v>
      </c>
      <c r="AF345" t="s">
        <v>2356</v>
      </c>
      <c r="AG345" t="s">
        <v>252</v>
      </c>
      <c r="AH345" t="s">
        <v>683</v>
      </c>
      <c r="AI345">
        <v>-1.28</v>
      </c>
      <c r="AJ345">
        <v>-5.62</v>
      </c>
      <c r="AK345">
        <v>1.61</v>
      </c>
      <c r="AL345">
        <v>4.0199999999999996</v>
      </c>
    </row>
    <row r="346" spans="1:38" x14ac:dyDescent="0.25">
      <c r="A346">
        <v>345</v>
      </c>
      <c r="B346" t="str">
        <f xml:space="preserve"> "601099"</f>
        <v>601099</v>
      </c>
      <c r="C346" t="s">
        <v>2357</v>
      </c>
      <c r="D346">
        <v>4.21</v>
      </c>
      <c r="E346">
        <v>0.48</v>
      </c>
      <c r="F346">
        <v>0.02</v>
      </c>
      <c r="G346" t="s">
        <v>2358</v>
      </c>
      <c r="H346">
        <v>28</v>
      </c>
      <c r="I346">
        <v>4.2</v>
      </c>
      <c r="J346">
        <v>4.21</v>
      </c>
      <c r="K346">
        <v>0</v>
      </c>
      <c r="L346">
        <v>0.63</v>
      </c>
      <c r="M346" t="s">
        <v>2345</v>
      </c>
      <c r="N346">
        <v>-116.46</v>
      </c>
      <c r="O346" t="s">
        <v>306</v>
      </c>
      <c r="P346">
        <v>4.22</v>
      </c>
      <c r="Q346">
        <v>4.18</v>
      </c>
      <c r="R346">
        <v>4.2</v>
      </c>
      <c r="S346">
        <v>4.1900000000000004</v>
      </c>
      <c r="T346">
        <v>0.95</v>
      </c>
      <c r="U346">
        <v>0.92</v>
      </c>
      <c r="V346">
        <v>-29.56</v>
      </c>
      <c r="W346" t="s">
        <v>2359</v>
      </c>
      <c r="X346">
        <v>4.2</v>
      </c>
      <c r="Y346" t="s">
        <v>1419</v>
      </c>
      <c r="Z346" t="s">
        <v>1211</v>
      </c>
      <c r="AA346">
        <v>1.18</v>
      </c>
      <c r="AB346" t="s">
        <v>2360</v>
      </c>
      <c r="AC346" t="s">
        <v>545</v>
      </c>
      <c r="AD346">
        <v>2.5</v>
      </c>
      <c r="AE346" t="s">
        <v>2361</v>
      </c>
      <c r="AF346" t="s">
        <v>256</v>
      </c>
      <c r="AG346" t="s">
        <v>2362</v>
      </c>
      <c r="AH346" t="s">
        <v>1859</v>
      </c>
      <c r="AI346">
        <v>-0.47</v>
      </c>
      <c r="AJ346">
        <v>1.94</v>
      </c>
      <c r="AK346">
        <v>1.74</v>
      </c>
      <c r="AL346">
        <v>4.03</v>
      </c>
    </row>
    <row r="347" spans="1:38" x14ac:dyDescent="0.25">
      <c r="A347">
        <v>346</v>
      </c>
      <c r="B347" t="str">
        <f xml:space="preserve"> "000981"</f>
        <v>000981</v>
      </c>
      <c r="C347" t="s">
        <v>2363</v>
      </c>
      <c r="D347">
        <v>9.3800000000000008</v>
      </c>
      <c r="E347">
        <v>-0.74</v>
      </c>
      <c r="F347">
        <v>-7.0000000000000007E-2</v>
      </c>
      <c r="G347" t="s">
        <v>2240</v>
      </c>
      <c r="H347">
        <v>1439</v>
      </c>
      <c r="I347">
        <v>9.3800000000000008</v>
      </c>
      <c r="J347">
        <v>9.39</v>
      </c>
      <c r="K347">
        <v>-0.21</v>
      </c>
      <c r="L347">
        <v>0.08</v>
      </c>
      <c r="M347" t="s">
        <v>2364</v>
      </c>
      <c r="N347">
        <v>43.04</v>
      </c>
      <c r="O347" t="s">
        <v>244</v>
      </c>
      <c r="P347">
        <v>9.48</v>
      </c>
      <c r="Q347">
        <v>9.3800000000000008</v>
      </c>
      <c r="R347">
        <v>9.48</v>
      </c>
      <c r="S347">
        <v>9.4499999999999993</v>
      </c>
      <c r="T347">
        <v>1.06</v>
      </c>
      <c r="U347">
        <v>0.98</v>
      </c>
      <c r="V347">
        <v>23.49</v>
      </c>
      <c r="W347">
        <v>629</v>
      </c>
      <c r="X347">
        <v>9.41</v>
      </c>
      <c r="Y347" t="s">
        <v>2365</v>
      </c>
      <c r="Z347">
        <v>6334</v>
      </c>
      <c r="AA347">
        <v>2.37</v>
      </c>
      <c r="AB347">
        <v>961</v>
      </c>
      <c r="AC347">
        <v>300</v>
      </c>
      <c r="AD347">
        <v>3.28</v>
      </c>
      <c r="AE347" t="s">
        <v>2108</v>
      </c>
      <c r="AF347" t="s">
        <v>256</v>
      </c>
      <c r="AG347" t="s">
        <v>1150</v>
      </c>
      <c r="AH347" t="s">
        <v>2366</v>
      </c>
      <c r="AI347">
        <v>-1.47</v>
      </c>
      <c r="AJ347">
        <v>-0.64</v>
      </c>
      <c r="AK347">
        <v>0.25</v>
      </c>
      <c r="AL347">
        <v>0.5</v>
      </c>
    </row>
    <row r="348" spans="1:38" x14ac:dyDescent="0.25">
      <c r="A348">
        <v>347</v>
      </c>
      <c r="B348" t="str">
        <f xml:space="preserve"> "000825"</f>
        <v>000825</v>
      </c>
      <c r="C348" t="s">
        <v>2367</v>
      </c>
      <c r="D348">
        <v>5.03</v>
      </c>
      <c r="E348">
        <v>0.2</v>
      </c>
      <c r="F348">
        <v>0.01</v>
      </c>
      <c r="G348" t="s">
        <v>178</v>
      </c>
      <c r="H348">
        <v>3590</v>
      </c>
      <c r="I348">
        <v>5.0199999999999996</v>
      </c>
      <c r="J348">
        <v>5.03</v>
      </c>
      <c r="K348">
        <v>0.2</v>
      </c>
      <c r="L348">
        <v>0.59</v>
      </c>
      <c r="M348" t="s">
        <v>2368</v>
      </c>
      <c r="N348">
        <v>19.36</v>
      </c>
      <c r="O348" t="s">
        <v>416</v>
      </c>
      <c r="P348">
        <v>5.04</v>
      </c>
      <c r="Q348">
        <v>4.97</v>
      </c>
      <c r="R348">
        <v>5.0199999999999996</v>
      </c>
      <c r="S348">
        <v>5.0199999999999996</v>
      </c>
      <c r="T348">
        <v>1.39</v>
      </c>
      <c r="U348">
        <v>0.74</v>
      </c>
      <c r="V348">
        <v>-39.409999999999997</v>
      </c>
      <c r="W348" t="s">
        <v>2369</v>
      </c>
      <c r="X348">
        <v>5</v>
      </c>
      <c r="Y348" t="s">
        <v>894</v>
      </c>
      <c r="Z348" t="s">
        <v>2301</v>
      </c>
      <c r="AA348">
        <v>1.1599999999999999</v>
      </c>
      <c r="AB348">
        <v>5536</v>
      </c>
      <c r="AC348" t="s">
        <v>2370</v>
      </c>
      <c r="AD348">
        <v>1.24</v>
      </c>
      <c r="AE348" t="s">
        <v>2371</v>
      </c>
      <c r="AF348" t="s">
        <v>256</v>
      </c>
      <c r="AG348" t="s">
        <v>2371</v>
      </c>
      <c r="AH348" t="s">
        <v>256</v>
      </c>
      <c r="AI348">
        <v>0.6</v>
      </c>
      <c r="AJ348">
        <v>0</v>
      </c>
      <c r="AK348">
        <v>2.08</v>
      </c>
      <c r="AL348">
        <v>4.59</v>
      </c>
    </row>
    <row r="349" spans="1:38" x14ac:dyDescent="0.25">
      <c r="A349">
        <v>348</v>
      </c>
      <c r="B349" t="str">
        <f xml:space="preserve"> "600376"</f>
        <v>600376</v>
      </c>
      <c r="C349" t="s">
        <v>2372</v>
      </c>
      <c r="D349">
        <v>11.06</v>
      </c>
      <c r="E349">
        <v>0.18</v>
      </c>
      <c r="F349">
        <v>0.02</v>
      </c>
      <c r="G349" t="s">
        <v>2373</v>
      </c>
      <c r="H349">
        <v>65</v>
      </c>
      <c r="I349">
        <v>11.05</v>
      </c>
      <c r="J349">
        <v>11.06</v>
      </c>
      <c r="K349">
        <v>0</v>
      </c>
      <c r="L349">
        <v>0.1</v>
      </c>
      <c r="M349" t="s">
        <v>2374</v>
      </c>
      <c r="N349">
        <v>45.21</v>
      </c>
      <c r="O349" t="s">
        <v>244</v>
      </c>
      <c r="P349">
        <v>11.08</v>
      </c>
      <c r="Q349">
        <v>11.02</v>
      </c>
      <c r="R349">
        <v>11.03</v>
      </c>
      <c r="S349">
        <v>11.04</v>
      </c>
      <c r="T349">
        <v>0.54</v>
      </c>
      <c r="U349">
        <v>0.53</v>
      </c>
      <c r="V349">
        <v>34.33</v>
      </c>
      <c r="W349">
        <v>2002</v>
      </c>
      <c r="X349">
        <v>11.05</v>
      </c>
      <c r="Y349" t="s">
        <v>1493</v>
      </c>
      <c r="Z349">
        <v>8587</v>
      </c>
      <c r="AA349">
        <v>2.0699999999999998</v>
      </c>
      <c r="AB349">
        <v>337</v>
      </c>
      <c r="AC349">
        <v>480</v>
      </c>
      <c r="AD349">
        <v>1.42</v>
      </c>
      <c r="AE349" t="s">
        <v>705</v>
      </c>
      <c r="AF349" t="s">
        <v>2375</v>
      </c>
      <c r="AG349" t="s">
        <v>2376</v>
      </c>
      <c r="AH349" t="s">
        <v>2377</v>
      </c>
      <c r="AI349">
        <v>-0.72</v>
      </c>
      <c r="AJ349">
        <v>-0.45</v>
      </c>
      <c r="AK349">
        <v>0.5</v>
      </c>
      <c r="AL349">
        <v>1.08</v>
      </c>
    </row>
    <row r="350" spans="1:38" x14ac:dyDescent="0.25">
      <c r="A350">
        <v>349</v>
      </c>
      <c r="B350" t="str">
        <f xml:space="preserve"> "002013"</f>
        <v>002013</v>
      </c>
      <c r="C350" t="s">
        <v>2378</v>
      </c>
      <c r="D350">
        <v>11.83</v>
      </c>
      <c r="E350">
        <v>-1</v>
      </c>
      <c r="F350">
        <v>-0.12</v>
      </c>
      <c r="G350" t="s">
        <v>1211</v>
      </c>
      <c r="H350">
        <v>2518</v>
      </c>
      <c r="I350">
        <v>11.83</v>
      </c>
      <c r="J350">
        <v>11.84</v>
      </c>
      <c r="K350">
        <v>0.17</v>
      </c>
      <c r="L350">
        <v>0.89</v>
      </c>
      <c r="M350" t="s">
        <v>1666</v>
      </c>
      <c r="N350">
        <v>78.95</v>
      </c>
      <c r="O350" t="s">
        <v>926</v>
      </c>
      <c r="P350">
        <v>11.98</v>
      </c>
      <c r="Q350">
        <v>11.71</v>
      </c>
      <c r="R350">
        <v>11.97</v>
      </c>
      <c r="S350">
        <v>11.95</v>
      </c>
      <c r="T350">
        <v>2.2599999999999998</v>
      </c>
      <c r="U350">
        <v>0.64</v>
      </c>
      <c r="V350">
        <v>-13.62</v>
      </c>
      <c r="W350">
        <v>-858</v>
      </c>
      <c r="X350">
        <v>11.79</v>
      </c>
      <c r="Y350" t="s">
        <v>541</v>
      </c>
      <c r="Z350" t="s">
        <v>2379</v>
      </c>
      <c r="AA350">
        <v>1.39</v>
      </c>
      <c r="AB350">
        <v>154</v>
      </c>
      <c r="AC350">
        <v>466</v>
      </c>
      <c r="AD350">
        <v>3.74</v>
      </c>
      <c r="AE350" t="s">
        <v>2317</v>
      </c>
      <c r="AF350" t="s">
        <v>2375</v>
      </c>
      <c r="AG350" t="s">
        <v>2380</v>
      </c>
      <c r="AH350" t="s">
        <v>2381</v>
      </c>
      <c r="AI350">
        <v>2.87</v>
      </c>
      <c r="AJ350">
        <v>3.05</v>
      </c>
      <c r="AK350">
        <v>3.83</v>
      </c>
      <c r="AL350">
        <v>7.8</v>
      </c>
    </row>
    <row r="351" spans="1:38" x14ac:dyDescent="0.25">
      <c r="A351">
        <v>350</v>
      </c>
      <c r="B351" t="str">
        <f xml:space="preserve"> "601021"</f>
        <v>601021</v>
      </c>
      <c r="C351" t="s">
        <v>2382</v>
      </c>
      <c r="D351">
        <v>35.380000000000003</v>
      </c>
      <c r="E351">
        <v>1.46</v>
      </c>
      <c r="F351">
        <v>0.51</v>
      </c>
      <c r="G351" t="s">
        <v>2383</v>
      </c>
      <c r="H351">
        <v>5</v>
      </c>
      <c r="I351">
        <v>35.39</v>
      </c>
      <c r="J351">
        <v>35.4</v>
      </c>
      <c r="K351">
        <v>0</v>
      </c>
      <c r="L351">
        <v>0.92</v>
      </c>
      <c r="M351" t="s">
        <v>2384</v>
      </c>
      <c r="N351">
        <v>25.56</v>
      </c>
      <c r="O351" t="s">
        <v>572</v>
      </c>
      <c r="P351">
        <v>35.44</v>
      </c>
      <c r="Q351">
        <v>34.799999999999997</v>
      </c>
      <c r="R351">
        <v>35</v>
      </c>
      <c r="S351">
        <v>34.869999999999997</v>
      </c>
      <c r="T351">
        <v>1.84</v>
      </c>
      <c r="U351">
        <v>1.17</v>
      </c>
      <c r="V351">
        <v>-27.45</v>
      </c>
      <c r="W351">
        <v>-179</v>
      </c>
      <c r="X351">
        <v>35.22</v>
      </c>
      <c r="Y351">
        <v>7308</v>
      </c>
      <c r="Z351" t="s">
        <v>2002</v>
      </c>
      <c r="AA351">
        <v>0.65</v>
      </c>
      <c r="AB351">
        <v>2</v>
      </c>
      <c r="AC351">
        <v>68</v>
      </c>
      <c r="AD351">
        <v>3.66</v>
      </c>
      <c r="AE351" t="s">
        <v>2385</v>
      </c>
      <c r="AF351" t="s">
        <v>106</v>
      </c>
      <c r="AG351" t="s">
        <v>1485</v>
      </c>
      <c r="AH351" t="s">
        <v>1955</v>
      </c>
      <c r="AI351">
        <v>1.67</v>
      </c>
      <c r="AJ351">
        <v>5.77</v>
      </c>
      <c r="AK351">
        <v>2.66</v>
      </c>
      <c r="AL351">
        <v>4.8600000000000003</v>
      </c>
    </row>
    <row r="352" spans="1:38" x14ac:dyDescent="0.25">
      <c r="A352">
        <v>351</v>
      </c>
      <c r="B352" t="str">
        <f xml:space="preserve"> "300144"</f>
        <v>300144</v>
      </c>
      <c r="C352" t="s">
        <v>2386</v>
      </c>
      <c r="D352">
        <v>19.48</v>
      </c>
      <c r="E352">
        <v>1.46</v>
      </c>
      <c r="F352">
        <v>0.28000000000000003</v>
      </c>
      <c r="G352" t="s">
        <v>1270</v>
      </c>
      <c r="H352">
        <v>751</v>
      </c>
      <c r="I352">
        <v>19.47</v>
      </c>
      <c r="J352">
        <v>19.48</v>
      </c>
      <c r="K352">
        <v>0</v>
      </c>
      <c r="L352">
        <v>0.91</v>
      </c>
      <c r="M352" t="s">
        <v>1075</v>
      </c>
      <c r="N352">
        <v>27.02</v>
      </c>
      <c r="O352" t="s">
        <v>951</v>
      </c>
      <c r="P352">
        <v>19.5</v>
      </c>
      <c r="Q352">
        <v>19.2</v>
      </c>
      <c r="R352">
        <v>19.329999999999998</v>
      </c>
      <c r="S352">
        <v>19.2</v>
      </c>
      <c r="T352">
        <v>1.56</v>
      </c>
      <c r="U352">
        <v>1.17</v>
      </c>
      <c r="V352">
        <v>-14.03</v>
      </c>
      <c r="W352">
        <v>-731</v>
      </c>
      <c r="X352">
        <v>19.39</v>
      </c>
      <c r="Y352" t="s">
        <v>2124</v>
      </c>
      <c r="Z352" t="s">
        <v>2225</v>
      </c>
      <c r="AA352">
        <v>0.61</v>
      </c>
      <c r="AB352">
        <v>31</v>
      </c>
      <c r="AC352">
        <v>209</v>
      </c>
      <c r="AD352">
        <v>4.16</v>
      </c>
      <c r="AE352" t="s">
        <v>2387</v>
      </c>
      <c r="AF352" t="s">
        <v>106</v>
      </c>
      <c r="AG352" t="s">
        <v>2388</v>
      </c>
      <c r="AH352" t="s">
        <v>1402</v>
      </c>
      <c r="AI352">
        <v>1.46</v>
      </c>
      <c r="AJ352">
        <v>4.67</v>
      </c>
      <c r="AK352">
        <v>2.5499999999999998</v>
      </c>
      <c r="AL352">
        <v>4.8</v>
      </c>
    </row>
    <row r="353" spans="1:38" x14ac:dyDescent="0.25">
      <c r="A353">
        <v>352</v>
      </c>
      <c r="B353" t="str">
        <f xml:space="preserve"> "601179"</f>
        <v>601179</v>
      </c>
      <c r="C353" t="s">
        <v>2389</v>
      </c>
      <c r="D353">
        <v>5.52</v>
      </c>
      <c r="E353">
        <v>0.55000000000000004</v>
      </c>
      <c r="F353">
        <v>0.03</v>
      </c>
      <c r="G353" t="s">
        <v>1187</v>
      </c>
      <c r="H353">
        <v>30</v>
      </c>
      <c r="I353">
        <v>5.51</v>
      </c>
      <c r="J353">
        <v>5.52</v>
      </c>
      <c r="K353">
        <v>0.18</v>
      </c>
      <c r="L353">
        <v>0.11</v>
      </c>
      <c r="M353" t="s">
        <v>2390</v>
      </c>
      <c r="N353">
        <v>23.81</v>
      </c>
      <c r="O353" t="s">
        <v>680</v>
      </c>
      <c r="P353">
        <v>5.53</v>
      </c>
      <c r="Q353">
        <v>5.48</v>
      </c>
      <c r="R353">
        <v>5.49</v>
      </c>
      <c r="S353">
        <v>5.49</v>
      </c>
      <c r="T353">
        <v>0.91</v>
      </c>
      <c r="U353">
        <v>0.85</v>
      </c>
      <c r="V353">
        <v>-18.079999999999998</v>
      </c>
      <c r="W353">
        <v>-5806</v>
      </c>
      <c r="X353">
        <v>5.51</v>
      </c>
      <c r="Y353" t="s">
        <v>2391</v>
      </c>
      <c r="Z353" t="s">
        <v>1285</v>
      </c>
      <c r="AA353">
        <v>1.33</v>
      </c>
      <c r="AB353">
        <v>626</v>
      </c>
      <c r="AC353">
        <v>4896</v>
      </c>
      <c r="AD353">
        <v>1.48</v>
      </c>
      <c r="AE353" t="s">
        <v>2392</v>
      </c>
      <c r="AF353" t="s">
        <v>106</v>
      </c>
      <c r="AG353" t="s">
        <v>2392</v>
      </c>
      <c r="AH353" t="s">
        <v>106</v>
      </c>
      <c r="AI353">
        <v>0</v>
      </c>
      <c r="AJ353">
        <v>1.47</v>
      </c>
      <c r="AK353">
        <v>0.38</v>
      </c>
      <c r="AL353">
        <v>0.78</v>
      </c>
    </row>
    <row r="354" spans="1:38" x14ac:dyDescent="0.25">
      <c r="A354">
        <v>353</v>
      </c>
      <c r="B354" t="str">
        <f xml:space="preserve"> "000060"</f>
        <v>000060</v>
      </c>
      <c r="C354" t="s">
        <v>2393</v>
      </c>
      <c r="D354">
        <v>11.88</v>
      </c>
      <c r="E354">
        <v>0.17</v>
      </c>
      <c r="F354">
        <v>0.02</v>
      </c>
      <c r="G354" t="s">
        <v>167</v>
      </c>
      <c r="H354">
        <v>2171</v>
      </c>
      <c r="I354">
        <v>11.88</v>
      </c>
      <c r="J354">
        <v>11.89</v>
      </c>
      <c r="K354">
        <v>0</v>
      </c>
      <c r="L354">
        <v>0.93</v>
      </c>
      <c r="M354" t="s">
        <v>1928</v>
      </c>
      <c r="N354">
        <v>25.6</v>
      </c>
      <c r="O354" t="s">
        <v>449</v>
      </c>
      <c r="P354">
        <v>11.92</v>
      </c>
      <c r="Q354">
        <v>11.78</v>
      </c>
      <c r="R354">
        <v>11.88</v>
      </c>
      <c r="S354">
        <v>11.86</v>
      </c>
      <c r="T354">
        <v>1.18</v>
      </c>
      <c r="U354">
        <v>0.64</v>
      </c>
      <c r="V354">
        <v>-6.72</v>
      </c>
      <c r="W354">
        <v>-1125</v>
      </c>
      <c r="X354">
        <v>11.87</v>
      </c>
      <c r="Y354" t="s">
        <v>991</v>
      </c>
      <c r="Z354" t="s">
        <v>2394</v>
      </c>
      <c r="AA354">
        <v>1.07</v>
      </c>
      <c r="AB354">
        <v>2541</v>
      </c>
      <c r="AC354">
        <v>1848</v>
      </c>
      <c r="AD354">
        <v>2.93</v>
      </c>
      <c r="AE354" t="s">
        <v>2395</v>
      </c>
      <c r="AF354" t="s">
        <v>106</v>
      </c>
      <c r="AG354" t="s">
        <v>1254</v>
      </c>
      <c r="AH354" t="s">
        <v>2396</v>
      </c>
      <c r="AI354">
        <v>-2.46</v>
      </c>
      <c r="AJ354">
        <v>-1.41</v>
      </c>
      <c r="AK354">
        <v>3.86</v>
      </c>
      <c r="AL354">
        <v>8.2100000000000009</v>
      </c>
    </row>
    <row r="355" spans="1:38" x14ac:dyDescent="0.25">
      <c r="A355">
        <v>354</v>
      </c>
      <c r="B355" t="str">
        <f xml:space="preserve"> "002074"</f>
        <v>002074</v>
      </c>
      <c r="C355" t="s">
        <v>2397</v>
      </c>
      <c r="D355">
        <v>32.130000000000003</v>
      </c>
      <c r="E355">
        <v>1.65</v>
      </c>
      <c r="F355">
        <v>0.52</v>
      </c>
      <c r="G355" t="s">
        <v>696</v>
      </c>
      <c r="H355">
        <v>2132</v>
      </c>
      <c r="I355">
        <v>32.130000000000003</v>
      </c>
      <c r="J355">
        <v>32.14</v>
      </c>
      <c r="K355">
        <v>-0.19</v>
      </c>
      <c r="L355">
        <v>1.89</v>
      </c>
      <c r="M355" t="s">
        <v>2268</v>
      </c>
      <c r="N355">
        <v>31.67</v>
      </c>
      <c r="O355" t="s">
        <v>859</v>
      </c>
      <c r="P355">
        <v>32.24</v>
      </c>
      <c r="Q355">
        <v>31.62</v>
      </c>
      <c r="R355">
        <v>31.66</v>
      </c>
      <c r="S355">
        <v>31.61</v>
      </c>
      <c r="T355">
        <v>1.96</v>
      </c>
      <c r="U355">
        <v>0.87</v>
      </c>
      <c r="V355">
        <v>-55.94</v>
      </c>
      <c r="W355">
        <v>-1000</v>
      </c>
      <c r="X355">
        <v>31.94</v>
      </c>
      <c r="Y355" t="s">
        <v>2398</v>
      </c>
      <c r="Z355" t="s">
        <v>1308</v>
      </c>
      <c r="AA355">
        <v>0.66</v>
      </c>
      <c r="AB355">
        <v>40</v>
      </c>
      <c r="AC355">
        <v>87</v>
      </c>
      <c r="AD355">
        <v>6.56</v>
      </c>
      <c r="AE355" t="s">
        <v>2399</v>
      </c>
      <c r="AF355" t="s">
        <v>2377</v>
      </c>
      <c r="AG355" t="s">
        <v>2119</v>
      </c>
      <c r="AH355" t="s">
        <v>651</v>
      </c>
      <c r="AI355">
        <v>1.36</v>
      </c>
      <c r="AJ355">
        <v>2.23</v>
      </c>
      <c r="AK355">
        <v>5.3</v>
      </c>
      <c r="AL355">
        <v>12.78</v>
      </c>
    </row>
    <row r="356" spans="1:38" x14ac:dyDescent="0.25">
      <c r="A356">
        <v>355</v>
      </c>
      <c r="B356" t="str">
        <f xml:space="preserve"> "000999"</f>
        <v>000999</v>
      </c>
      <c r="C356" t="s">
        <v>2400</v>
      </c>
      <c r="D356">
        <v>28.73</v>
      </c>
      <c r="E356">
        <v>-0.35</v>
      </c>
      <c r="F356">
        <v>-0.1</v>
      </c>
      <c r="G356" t="s">
        <v>2401</v>
      </c>
      <c r="H356">
        <v>558</v>
      </c>
      <c r="I356">
        <v>28.73</v>
      </c>
      <c r="J356">
        <v>28.74</v>
      </c>
      <c r="K356">
        <v>0</v>
      </c>
      <c r="L356">
        <v>0.65</v>
      </c>
      <c r="M356" t="s">
        <v>1978</v>
      </c>
      <c r="N356">
        <v>18.97</v>
      </c>
      <c r="O356" t="s">
        <v>392</v>
      </c>
      <c r="P356">
        <v>29</v>
      </c>
      <c r="Q356">
        <v>28.65</v>
      </c>
      <c r="R356">
        <v>28.85</v>
      </c>
      <c r="S356">
        <v>28.83</v>
      </c>
      <c r="T356">
        <v>1.21</v>
      </c>
      <c r="U356">
        <v>0.88</v>
      </c>
      <c r="V356">
        <v>0.88</v>
      </c>
      <c r="W356">
        <v>13</v>
      </c>
      <c r="X356">
        <v>28.79</v>
      </c>
      <c r="Y356" t="s">
        <v>2402</v>
      </c>
      <c r="Z356" t="s">
        <v>1565</v>
      </c>
      <c r="AA356">
        <v>1.83</v>
      </c>
      <c r="AB356">
        <v>94</v>
      </c>
      <c r="AC356">
        <v>421</v>
      </c>
      <c r="AD356">
        <v>3.08</v>
      </c>
      <c r="AE356" t="s">
        <v>2305</v>
      </c>
      <c r="AF356" t="s">
        <v>164</v>
      </c>
      <c r="AG356" t="s">
        <v>2403</v>
      </c>
      <c r="AH356" t="s">
        <v>164</v>
      </c>
      <c r="AI356">
        <v>7.0000000000000007E-2</v>
      </c>
      <c r="AJ356">
        <v>3.46</v>
      </c>
      <c r="AK356">
        <v>2.19</v>
      </c>
      <c r="AL356">
        <v>4.32</v>
      </c>
    </row>
    <row r="357" spans="1:38" x14ac:dyDescent="0.25">
      <c r="A357">
        <v>356</v>
      </c>
      <c r="B357" t="str">
        <f xml:space="preserve"> "002422"</f>
        <v>002422</v>
      </c>
      <c r="C357" t="s">
        <v>2404</v>
      </c>
      <c r="D357">
        <v>19.5</v>
      </c>
      <c r="E357">
        <v>1.04</v>
      </c>
      <c r="F357">
        <v>0.2</v>
      </c>
      <c r="G357" t="s">
        <v>2405</v>
      </c>
      <c r="H357">
        <v>2218</v>
      </c>
      <c r="I357">
        <v>19.489999999999998</v>
      </c>
      <c r="J357">
        <v>19.5</v>
      </c>
      <c r="K357">
        <v>-0.26</v>
      </c>
      <c r="L357">
        <v>0.96</v>
      </c>
      <c r="M357" t="s">
        <v>1088</v>
      </c>
      <c r="N357">
        <v>54.81</v>
      </c>
      <c r="O357" t="s">
        <v>392</v>
      </c>
      <c r="P357">
        <v>19.63</v>
      </c>
      <c r="Q357">
        <v>19.22</v>
      </c>
      <c r="R357">
        <v>19.399999999999999</v>
      </c>
      <c r="S357">
        <v>19.3</v>
      </c>
      <c r="T357">
        <v>2.12</v>
      </c>
      <c r="U357">
        <v>0.52</v>
      </c>
      <c r="V357">
        <v>-73.56</v>
      </c>
      <c r="W357">
        <v>-2320</v>
      </c>
      <c r="X357">
        <v>19.48</v>
      </c>
      <c r="Y357" t="s">
        <v>2406</v>
      </c>
      <c r="Z357" t="s">
        <v>2407</v>
      </c>
      <c r="AA357">
        <v>1.03</v>
      </c>
      <c r="AB357">
        <v>214</v>
      </c>
      <c r="AC357">
        <v>1072</v>
      </c>
      <c r="AD357">
        <v>2.41</v>
      </c>
      <c r="AE357" t="s">
        <v>2100</v>
      </c>
      <c r="AF357" t="s">
        <v>164</v>
      </c>
      <c r="AG357" t="s">
        <v>707</v>
      </c>
      <c r="AH357" t="s">
        <v>642</v>
      </c>
      <c r="AI357">
        <v>8.82</v>
      </c>
      <c r="AJ357">
        <v>5.63</v>
      </c>
      <c r="AK357">
        <v>4.34</v>
      </c>
      <c r="AL357">
        <v>10.31</v>
      </c>
    </row>
    <row r="358" spans="1:38" x14ac:dyDescent="0.25">
      <c r="A358">
        <v>357</v>
      </c>
      <c r="B358" t="str">
        <f xml:space="preserve"> "600578"</f>
        <v>600578</v>
      </c>
      <c r="C358" t="s">
        <v>2408</v>
      </c>
      <c r="D358">
        <v>4.16</v>
      </c>
      <c r="E358">
        <v>0</v>
      </c>
      <c r="F358">
        <v>0</v>
      </c>
      <c r="G358" t="s">
        <v>2409</v>
      </c>
      <c r="H358">
        <v>1</v>
      </c>
      <c r="I358">
        <v>4.1500000000000004</v>
      </c>
      <c r="J358">
        <v>4.16</v>
      </c>
      <c r="K358">
        <v>0.24</v>
      </c>
      <c r="L358">
        <v>0.08</v>
      </c>
      <c r="M358" t="s">
        <v>2410</v>
      </c>
      <c r="N358">
        <v>221.63</v>
      </c>
      <c r="O358" t="s">
        <v>186</v>
      </c>
      <c r="P358">
        <v>4.18</v>
      </c>
      <c r="Q358">
        <v>4.1399999999999997</v>
      </c>
      <c r="R358">
        <v>4.16</v>
      </c>
      <c r="S358">
        <v>4.16</v>
      </c>
      <c r="T358">
        <v>0.96</v>
      </c>
      <c r="U358">
        <v>0.59</v>
      </c>
      <c r="V358">
        <v>-25.92</v>
      </c>
      <c r="W358">
        <v>-7018</v>
      </c>
      <c r="X358">
        <v>4.16</v>
      </c>
      <c r="Y358" t="s">
        <v>1579</v>
      </c>
      <c r="Z358" t="s">
        <v>1887</v>
      </c>
      <c r="AA358">
        <v>0.6</v>
      </c>
      <c r="AB358">
        <v>4225</v>
      </c>
      <c r="AC358">
        <v>197</v>
      </c>
      <c r="AD358">
        <v>1.28</v>
      </c>
      <c r="AE358" t="s">
        <v>2411</v>
      </c>
      <c r="AF358" t="s">
        <v>164</v>
      </c>
      <c r="AG358" t="s">
        <v>2412</v>
      </c>
      <c r="AH358" t="s">
        <v>2413</v>
      </c>
      <c r="AI358">
        <v>0.73</v>
      </c>
      <c r="AJ358">
        <v>0.97</v>
      </c>
      <c r="AK358">
        <v>0.42</v>
      </c>
      <c r="AL358">
        <v>0.75</v>
      </c>
    </row>
    <row r="359" spans="1:38" x14ac:dyDescent="0.25">
      <c r="A359">
        <v>358</v>
      </c>
      <c r="B359" t="str">
        <f xml:space="preserve"> "600777"</f>
        <v>600777</v>
      </c>
      <c r="C359" t="s">
        <v>2414</v>
      </c>
      <c r="D359">
        <v>4.12</v>
      </c>
      <c r="E359">
        <v>0.98</v>
      </c>
      <c r="F359">
        <v>0.04</v>
      </c>
      <c r="G359" t="s">
        <v>371</v>
      </c>
      <c r="H359">
        <v>5</v>
      </c>
      <c r="I359">
        <v>4.1100000000000003</v>
      </c>
      <c r="J359">
        <v>4.12</v>
      </c>
      <c r="K359">
        <v>0</v>
      </c>
      <c r="L359">
        <v>0.47</v>
      </c>
      <c r="M359" t="s">
        <v>2415</v>
      </c>
      <c r="N359">
        <v>343.89</v>
      </c>
      <c r="O359" t="s">
        <v>61</v>
      </c>
      <c r="P359">
        <v>4.1399999999999997</v>
      </c>
      <c r="Q359">
        <v>4.05</v>
      </c>
      <c r="R359">
        <v>4.07</v>
      </c>
      <c r="S359">
        <v>4.08</v>
      </c>
      <c r="T359">
        <v>2.21</v>
      </c>
      <c r="U359">
        <v>0.49</v>
      </c>
      <c r="V359">
        <v>1.86</v>
      </c>
      <c r="W359">
        <v>565</v>
      </c>
      <c r="X359">
        <v>4.08</v>
      </c>
      <c r="Y359" t="s">
        <v>2416</v>
      </c>
      <c r="Z359" t="s">
        <v>2417</v>
      </c>
      <c r="AA359">
        <v>1.22</v>
      </c>
      <c r="AB359">
        <v>49</v>
      </c>
      <c r="AC359">
        <v>1973</v>
      </c>
      <c r="AD359">
        <v>2.06</v>
      </c>
      <c r="AE359" t="s">
        <v>2418</v>
      </c>
      <c r="AF359" t="s">
        <v>1620</v>
      </c>
      <c r="AG359" t="s">
        <v>2395</v>
      </c>
      <c r="AH359" t="s">
        <v>2419</v>
      </c>
      <c r="AI359">
        <v>-0.72</v>
      </c>
      <c r="AJ359">
        <v>-1.2</v>
      </c>
      <c r="AK359">
        <v>1.97</v>
      </c>
      <c r="AL359">
        <v>5.28</v>
      </c>
    </row>
    <row r="360" spans="1:38" x14ac:dyDescent="0.25">
      <c r="A360">
        <v>359</v>
      </c>
      <c r="B360" t="str">
        <f xml:space="preserve"> "600827"</f>
        <v>600827</v>
      </c>
      <c r="C360" t="s">
        <v>2420</v>
      </c>
      <c r="D360">
        <v>15.69</v>
      </c>
      <c r="E360">
        <v>-1.01</v>
      </c>
      <c r="F360">
        <v>-0.16</v>
      </c>
      <c r="G360" t="s">
        <v>490</v>
      </c>
      <c r="H360">
        <v>1</v>
      </c>
      <c r="I360">
        <v>15.69</v>
      </c>
      <c r="J360">
        <v>15.7</v>
      </c>
      <c r="K360">
        <v>-0.13</v>
      </c>
      <c r="L360">
        <v>0.5</v>
      </c>
      <c r="M360" t="s">
        <v>943</v>
      </c>
      <c r="N360">
        <v>22.12</v>
      </c>
      <c r="O360" t="s">
        <v>532</v>
      </c>
      <c r="P360">
        <v>15.9</v>
      </c>
      <c r="Q360">
        <v>15.68</v>
      </c>
      <c r="R360">
        <v>15.84</v>
      </c>
      <c r="S360">
        <v>15.85</v>
      </c>
      <c r="T360">
        <v>1.39</v>
      </c>
      <c r="U360">
        <v>0.71</v>
      </c>
      <c r="V360">
        <v>33.5</v>
      </c>
      <c r="W360">
        <v>931</v>
      </c>
      <c r="X360">
        <v>15.77</v>
      </c>
      <c r="Y360" t="s">
        <v>2421</v>
      </c>
      <c r="Z360" t="s">
        <v>1532</v>
      </c>
      <c r="AA360">
        <v>1.31</v>
      </c>
      <c r="AB360">
        <v>9</v>
      </c>
      <c r="AC360">
        <v>75</v>
      </c>
      <c r="AD360">
        <v>1.71</v>
      </c>
      <c r="AE360" t="s">
        <v>1713</v>
      </c>
      <c r="AF360" t="s">
        <v>1620</v>
      </c>
      <c r="AG360" t="s">
        <v>2422</v>
      </c>
      <c r="AH360" t="s">
        <v>2423</v>
      </c>
      <c r="AI360">
        <v>0.51</v>
      </c>
      <c r="AJ360">
        <v>3.63</v>
      </c>
      <c r="AK360">
        <v>2.5099999999999998</v>
      </c>
      <c r="AL360">
        <v>4.04</v>
      </c>
    </row>
    <row r="361" spans="1:38" x14ac:dyDescent="0.25">
      <c r="A361">
        <v>360</v>
      </c>
      <c r="B361" t="str">
        <f xml:space="preserve"> "600038"</f>
        <v>600038</v>
      </c>
      <c r="C361" t="s">
        <v>2424</v>
      </c>
      <c r="D361">
        <v>47.35</v>
      </c>
      <c r="E361">
        <v>-0.11</v>
      </c>
      <c r="F361">
        <v>-0.05</v>
      </c>
      <c r="G361" t="s">
        <v>1971</v>
      </c>
      <c r="H361">
        <v>2</v>
      </c>
      <c r="I361">
        <v>47.35</v>
      </c>
      <c r="J361">
        <v>47.36</v>
      </c>
      <c r="K361">
        <v>0</v>
      </c>
      <c r="L361">
        <v>1.29</v>
      </c>
      <c r="M361" t="s">
        <v>2425</v>
      </c>
      <c r="N361">
        <v>90.93</v>
      </c>
      <c r="O361" t="s">
        <v>926</v>
      </c>
      <c r="P361">
        <v>47.38</v>
      </c>
      <c r="Q361">
        <v>46.51</v>
      </c>
      <c r="R361">
        <v>46.9</v>
      </c>
      <c r="S361">
        <v>47.4</v>
      </c>
      <c r="T361">
        <v>1.84</v>
      </c>
      <c r="U361">
        <v>0.9</v>
      </c>
      <c r="V361">
        <v>-42.81</v>
      </c>
      <c r="W361">
        <v>-237</v>
      </c>
      <c r="X361">
        <v>46.92</v>
      </c>
      <c r="Y361" t="s">
        <v>2426</v>
      </c>
      <c r="Z361" t="s">
        <v>2427</v>
      </c>
      <c r="AA361">
        <v>1.38</v>
      </c>
      <c r="AB361">
        <v>31</v>
      </c>
      <c r="AC361">
        <v>11</v>
      </c>
      <c r="AD361">
        <v>4.05</v>
      </c>
      <c r="AE361" t="s">
        <v>2428</v>
      </c>
      <c r="AF361" t="s">
        <v>2429</v>
      </c>
      <c r="AG361" t="s">
        <v>2428</v>
      </c>
      <c r="AH361" t="s">
        <v>2429</v>
      </c>
      <c r="AI361">
        <v>5.81</v>
      </c>
      <c r="AJ361">
        <v>8.5500000000000007</v>
      </c>
      <c r="AK361">
        <v>5.43</v>
      </c>
      <c r="AL361">
        <v>8.42</v>
      </c>
    </row>
    <row r="362" spans="1:38" x14ac:dyDescent="0.25">
      <c r="A362">
        <v>361</v>
      </c>
      <c r="B362" t="str">
        <f xml:space="preserve"> "601098"</f>
        <v>601098</v>
      </c>
      <c r="C362" t="s">
        <v>2430</v>
      </c>
      <c r="D362">
        <v>15.54</v>
      </c>
      <c r="E362">
        <v>-0.19</v>
      </c>
      <c r="F362">
        <v>-0.03</v>
      </c>
      <c r="G362" t="s">
        <v>2431</v>
      </c>
      <c r="H362">
        <v>5</v>
      </c>
      <c r="I362">
        <v>15.54</v>
      </c>
      <c r="J362">
        <v>15.55</v>
      </c>
      <c r="K362">
        <v>-0.06</v>
      </c>
      <c r="L362">
        <v>0.41</v>
      </c>
      <c r="M362" t="s">
        <v>485</v>
      </c>
      <c r="N362">
        <v>15.8</v>
      </c>
      <c r="O362" t="s">
        <v>1126</v>
      </c>
      <c r="P362">
        <v>15.6</v>
      </c>
      <c r="Q362">
        <v>15.49</v>
      </c>
      <c r="R362">
        <v>15.6</v>
      </c>
      <c r="S362">
        <v>15.57</v>
      </c>
      <c r="T362">
        <v>0.71</v>
      </c>
      <c r="U362">
        <v>0.73</v>
      </c>
      <c r="V362">
        <v>6.5</v>
      </c>
      <c r="W362">
        <v>423</v>
      </c>
      <c r="X362">
        <v>15.54</v>
      </c>
      <c r="Y362" t="s">
        <v>2432</v>
      </c>
      <c r="Z362" t="s">
        <v>2433</v>
      </c>
      <c r="AA362">
        <v>1.36</v>
      </c>
      <c r="AB362">
        <v>61</v>
      </c>
      <c r="AC362">
        <v>757</v>
      </c>
      <c r="AD362">
        <v>2.2000000000000002</v>
      </c>
      <c r="AE362" t="s">
        <v>2434</v>
      </c>
      <c r="AF362" t="s">
        <v>2429</v>
      </c>
      <c r="AG362" t="s">
        <v>2434</v>
      </c>
      <c r="AH362" t="s">
        <v>2429</v>
      </c>
      <c r="AI362">
        <v>0.84</v>
      </c>
      <c r="AJ362">
        <v>1.97</v>
      </c>
      <c r="AK362">
        <v>1.71</v>
      </c>
      <c r="AL362">
        <v>3.23</v>
      </c>
    </row>
    <row r="363" spans="1:38" x14ac:dyDescent="0.25">
      <c r="A363">
        <v>362</v>
      </c>
      <c r="B363" t="str">
        <f xml:space="preserve"> "000980"</f>
        <v>000980</v>
      </c>
      <c r="C363" t="s">
        <v>2435</v>
      </c>
      <c r="D363">
        <v>13.61</v>
      </c>
      <c r="E363">
        <v>-1.02</v>
      </c>
      <c r="F363">
        <v>-0.14000000000000001</v>
      </c>
      <c r="G363" t="s">
        <v>59</v>
      </c>
      <c r="H363">
        <v>2161</v>
      </c>
      <c r="I363">
        <v>13.6</v>
      </c>
      <c r="J363">
        <v>13.61</v>
      </c>
      <c r="K363">
        <v>7.0000000000000007E-2</v>
      </c>
      <c r="L363">
        <v>2.81</v>
      </c>
      <c r="M363" t="s">
        <v>1404</v>
      </c>
      <c r="N363">
        <v>62.39</v>
      </c>
      <c r="O363" t="s">
        <v>169</v>
      </c>
      <c r="P363">
        <v>13.74</v>
      </c>
      <c r="Q363">
        <v>13.42</v>
      </c>
      <c r="R363">
        <v>13.74</v>
      </c>
      <c r="S363">
        <v>13.75</v>
      </c>
      <c r="T363">
        <v>2.33</v>
      </c>
      <c r="U363">
        <v>0.38</v>
      </c>
      <c r="V363">
        <v>-36.380000000000003</v>
      </c>
      <c r="W363">
        <v>-1542</v>
      </c>
      <c r="X363">
        <v>13.57</v>
      </c>
      <c r="Y363" t="s">
        <v>2436</v>
      </c>
      <c r="Z363" t="s">
        <v>64</v>
      </c>
      <c r="AA363">
        <v>1.43</v>
      </c>
      <c r="AB363">
        <v>443</v>
      </c>
      <c r="AC363">
        <v>805</v>
      </c>
      <c r="AD363">
        <v>1.75</v>
      </c>
      <c r="AE363" t="s">
        <v>740</v>
      </c>
      <c r="AF363" t="s">
        <v>2437</v>
      </c>
      <c r="AG363" t="s">
        <v>2438</v>
      </c>
      <c r="AH363" t="s">
        <v>2439</v>
      </c>
      <c r="AI363">
        <v>-3.82</v>
      </c>
      <c r="AJ363">
        <v>-0.8</v>
      </c>
      <c r="AK363">
        <v>13.53</v>
      </c>
      <c r="AL363">
        <v>39.97</v>
      </c>
    </row>
    <row r="364" spans="1:38" x14ac:dyDescent="0.25">
      <c r="A364">
        <v>363</v>
      </c>
      <c r="B364" t="str">
        <f xml:space="preserve"> "600739"</f>
        <v>600739</v>
      </c>
      <c r="C364" t="s">
        <v>2440</v>
      </c>
      <c r="D364">
        <v>18.12</v>
      </c>
      <c r="E364">
        <v>0.06</v>
      </c>
      <c r="F364">
        <v>0.01</v>
      </c>
      <c r="G364" t="s">
        <v>2441</v>
      </c>
      <c r="H364">
        <v>1</v>
      </c>
      <c r="I364">
        <v>18.12</v>
      </c>
      <c r="J364">
        <v>18.149999999999999</v>
      </c>
      <c r="K364">
        <v>-0.22</v>
      </c>
      <c r="L364">
        <v>0.5</v>
      </c>
      <c r="M364" t="s">
        <v>2442</v>
      </c>
      <c r="N364">
        <v>15.97</v>
      </c>
      <c r="O364" t="s">
        <v>532</v>
      </c>
      <c r="P364">
        <v>18.2</v>
      </c>
      <c r="Q364">
        <v>18.04</v>
      </c>
      <c r="R364">
        <v>18.07</v>
      </c>
      <c r="S364">
        <v>18.11</v>
      </c>
      <c r="T364">
        <v>0.88</v>
      </c>
      <c r="U364">
        <v>1.06</v>
      </c>
      <c r="V364">
        <v>42.98</v>
      </c>
      <c r="W364">
        <v>2207</v>
      </c>
      <c r="X364">
        <v>18.12</v>
      </c>
      <c r="Y364" t="s">
        <v>2443</v>
      </c>
      <c r="Z364" t="s">
        <v>2444</v>
      </c>
      <c r="AA364">
        <v>1.89</v>
      </c>
      <c r="AB364">
        <v>669</v>
      </c>
      <c r="AC364">
        <v>120</v>
      </c>
      <c r="AD364">
        <v>1.42</v>
      </c>
      <c r="AE364" t="s">
        <v>122</v>
      </c>
      <c r="AF364" t="s">
        <v>2437</v>
      </c>
      <c r="AG364" t="s">
        <v>1434</v>
      </c>
      <c r="AH364" t="s">
        <v>2445</v>
      </c>
      <c r="AI364">
        <v>-1.0900000000000001</v>
      </c>
      <c r="AJ364">
        <v>0.78</v>
      </c>
      <c r="AK364">
        <v>1.63</v>
      </c>
      <c r="AL364">
        <v>2.82</v>
      </c>
    </row>
    <row r="365" spans="1:38" x14ac:dyDescent="0.25">
      <c r="A365">
        <v>364</v>
      </c>
      <c r="B365" t="str">
        <f xml:space="preserve"> "600583"</f>
        <v>600583</v>
      </c>
      <c r="C365" t="s">
        <v>2446</v>
      </c>
      <c r="D365">
        <v>6.26</v>
      </c>
      <c r="E365">
        <v>-0.16</v>
      </c>
      <c r="F365">
        <v>-0.01</v>
      </c>
      <c r="G365" t="s">
        <v>2447</v>
      </c>
      <c r="H365">
        <v>14</v>
      </c>
      <c r="I365">
        <v>6.25</v>
      </c>
      <c r="J365">
        <v>6.26</v>
      </c>
      <c r="K365">
        <v>0</v>
      </c>
      <c r="L365">
        <v>0.14000000000000001</v>
      </c>
      <c r="M365" t="s">
        <v>2448</v>
      </c>
      <c r="N365">
        <v>69.25</v>
      </c>
      <c r="O365" t="s">
        <v>61</v>
      </c>
      <c r="P365">
        <v>6.28</v>
      </c>
      <c r="Q365">
        <v>6.23</v>
      </c>
      <c r="R365">
        <v>6.26</v>
      </c>
      <c r="S365">
        <v>6.27</v>
      </c>
      <c r="T365">
        <v>0.8</v>
      </c>
      <c r="U365">
        <v>0.73</v>
      </c>
      <c r="V365">
        <v>-6.72</v>
      </c>
      <c r="W365">
        <v>-1378</v>
      </c>
      <c r="X365">
        <v>6.25</v>
      </c>
      <c r="Y365" t="s">
        <v>1960</v>
      </c>
      <c r="Z365" t="s">
        <v>432</v>
      </c>
      <c r="AA365">
        <v>1.77</v>
      </c>
      <c r="AB365">
        <v>2302</v>
      </c>
      <c r="AC365">
        <v>1441</v>
      </c>
      <c r="AD365">
        <v>1.21</v>
      </c>
      <c r="AE365" t="s">
        <v>2449</v>
      </c>
      <c r="AF365" t="s">
        <v>2437</v>
      </c>
      <c r="AG365" t="s">
        <v>2449</v>
      </c>
      <c r="AH365" t="s">
        <v>2437</v>
      </c>
      <c r="AI365">
        <v>0</v>
      </c>
      <c r="AJ365">
        <v>1.46</v>
      </c>
      <c r="AK365">
        <v>0.55000000000000004</v>
      </c>
      <c r="AL365">
        <v>1.06</v>
      </c>
    </row>
    <row r="366" spans="1:38" x14ac:dyDescent="0.25">
      <c r="A366">
        <v>365</v>
      </c>
      <c r="B366" t="str">
        <f xml:space="preserve"> "000539"</f>
        <v>000539</v>
      </c>
      <c r="C366" t="s">
        <v>2450</v>
      </c>
      <c r="D366">
        <v>5.26</v>
      </c>
      <c r="E366">
        <v>0.19</v>
      </c>
      <c r="F366">
        <v>0.01</v>
      </c>
      <c r="G366" t="s">
        <v>2451</v>
      </c>
      <c r="H366">
        <v>183</v>
      </c>
      <c r="I366">
        <v>5.25</v>
      </c>
      <c r="J366">
        <v>5.26</v>
      </c>
      <c r="K366">
        <v>0.19</v>
      </c>
      <c r="L366">
        <v>0.12</v>
      </c>
      <c r="M366" t="s">
        <v>2452</v>
      </c>
      <c r="N366">
        <v>107.26</v>
      </c>
      <c r="O366" t="s">
        <v>186</v>
      </c>
      <c r="P366">
        <v>5.27</v>
      </c>
      <c r="Q366">
        <v>5.23</v>
      </c>
      <c r="R366">
        <v>5.23</v>
      </c>
      <c r="S366">
        <v>5.25</v>
      </c>
      <c r="T366">
        <v>0.76</v>
      </c>
      <c r="U366">
        <v>1.31</v>
      </c>
      <c r="V366">
        <v>20.41</v>
      </c>
      <c r="W366">
        <v>3020</v>
      </c>
      <c r="X366">
        <v>5.25</v>
      </c>
      <c r="Y366" t="s">
        <v>530</v>
      </c>
      <c r="Z366" t="s">
        <v>2453</v>
      </c>
      <c r="AA366">
        <v>1.01</v>
      </c>
      <c r="AB366">
        <v>2935</v>
      </c>
      <c r="AC366">
        <v>376</v>
      </c>
      <c r="AD366">
        <v>1.2</v>
      </c>
      <c r="AE366" t="s">
        <v>2454</v>
      </c>
      <c r="AF366" t="s">
        <v>2056</v>
      </c>
      <c r="AG366" t="s">
        <v>2376</v>
      </c>
      <c r="AH366" t="s">
        <v>683</v>
      </c>
      <c r="AI366">
        <v>0.19</v>
      </c>
      <c r="AJ366">
        <v>1.35</v>
      </c>
      <c r="AK366">
        <v>0.3</v>
      </c>
      <c r="AL366">
        <v>0.56000000000000005</v>
      </c>
    </row>
    <row r="367" spans="1:38" x14ac:dyDescent="0.25">
      <c r="A367">
        <v>366</v>
      </c>
      <c r="B367" t="str">
        <f xml:space="preserve"> "600642"</f>
        <v>600642</v>
      </c>
      <c r="C367" t="s">
        <v>2455</v>
      </c>
      <c r="D367">
        <v>6.04</v>
      </c>
      <c r="E367">
        <v>0.5</v>
      </c>
      <c r="F367">
        <v>0.03</v>
      </c>
      <c r="G367" t="s">
        <v>2076</v>
      </c>
      <c r="H367">
        <v>5</v>
      </c>
      <c r="I367">
        <v>6.03</v>
      </c>
      <c r="J367">
        <v>6.04</v>
      </c>
      <c r="K367">
        <v>0.17</v>
      </c>
      <c r="L367">
        <v>0.15</v>
      </c>
      <c r="M367" t="s">
        <v>2456</v>
      </c>
      <c r="N367">
        <v>14.2</v>
      </c>
      <c r="O367" t="s">
        <v>186</v>
      </c>
      <c r="P367">
        <v>6.04</v>
      </c>
      <c r="Q367">
        <v>6</v>
      </c>
      <c r="R367">
        <v>6.02</v>
      </c>
      <c r="S367">
        <v>6.01</v>
      </c>
      <c r="T367">
        <v>0.67</v>
      </c>
      <c r="U367">
        <v>1.1200000000000001</v>
      </c>
      <c r="V367">
        <v>-43.23</v>
      </c>
      <c r="W367" t="s">
        <v>2457</v>
      </c>
      <c r="X367">
        <v>6.02</v>
      </c>
      <c r="Y367" t="s">
        <v>2458</v>
      </c>
      <c r="Z367" t="s">
        <v>2459</v>
      </c>
      <c r="AA367">
        <v>1.21</v>
      </c>
      <c r="AB367">
        <v>729</v>
      </c>
      <c r="AC367">
        <v>4705</v>
      </c>
      <c r="AD367">
        <v>1.1399999999999999</v>
      </c>
      <c r="AE367" t="s">
        <v>2460</v>
      </c>
      <c r="AF367" t="s">
        <v>1933</v>
      </c>
      <c r="AG367" t="s">
        <v>2460</v>
      </c>
      <c r="AH367" t="s">
        <v>1933</v>
      </c>
      <c r="AI367">
        <v>0.17</v>
      </c>
      <c r="AJ367">
        <v>1.51</v>
      </c>
      <c r="AK367">
        <v>0.4</v>
      </c>
      <c r="AL367">
        <v>0.82</v>
      </c>
    </row>
    <row r="368" spans="1:38" x14ac:dyDescent="0.25">
      <c r="A368">
        <v>367</v>
      </c>
      <c r="B368" t="str">
        <f xml:space="preserve"> "002143"</f>
        <v>002143</v>
      </c>
      <c r="C368" t="s">
        <v>2461</v>
      </c>
      <c r="D368" t="s">
        <v>616</v>
      </c>
      <c r="E368" t="s">
        <v>616</v>
      </c>
      <c r="F368" t="s">
        <v>616</v>
      </c>
      <c r="G368" t="s">
        <v>616</v>
      </c>
      <c r="H368" t="s">
        <v>616</v>
      </c>
      <c r="I368" t="s">
        <v>616</v>
      </c>
      <c r="J368" t="s">
        <v>616</v>
      </c>
      <c r="K368" t="s">
        <v>616</v>
      </c>
      <c r="L368" t="s">
        <v>616</v>
      </c>
      <c r="M368" t="s">
        <v>616</v>
      </c>
      <c r="N368">
        <v>51.32</v>
      </c>
      <c r="O368" t="s">
        <v>1126</v>
      </c>
      <c r="P368" t="s">
        <v>616</v>
      </c>
      <c r="Q368" t="s">
        <v>616</v>
      </c>
      <c r="R368" t="s">
        <v>616</v>
      </c>
      <c r="S368">
        <v>15.53</v>
      </c>
      <c r="T368" t="s">
        <v>616</v>
      </c>
      <c r="U368" t="s">
        <v>616</v>
      </c>
      <c r="V368" t="s">
        <v>616</v>
      </c>
      <c r="W368" t="s">
        <v>616</v>
      </c>
      <c r="X368" t="s">
        <v>616</v>
      </c>
      <c r="Y368" t="s">
        <v>616</v>
      </c>
      <c r="Z368" t="s">
        <v>616</v>
      </c>
      <c r="AA368" t="s">
        <v>616</v>
      </c>
      <c r="AB368" t="s">
        <v>616</v>
      </c>
      <c r="AC368" t="s">
        <v>616</v>
      </c>
      <c r="AD368">
        <v>11.78</v>
      </c>
      <c r="AE368" t="s">
        <v>892</v>
      </c>
      <c r="AF368" t="s">
        <v>1933</v>
      </c>
      <c r="AG368" t="s">
        <v>1546</v>
      </c>
      <c r="AH368" t="s">
        <v>2462</v>
      </c>
      <c r="AI368">
        <v>0</v>
      </c>
      <c r="AJ368">
        <v>0</v>
      </c>
      <c r="AK368">
        <v>0</v>
      </c>
      <c r="AL368">
        <v>0</v>
      </c>
    </row>
    <row r="369" spans="1:38" x14ac:dyDescent="0.25">
      <c r="A369">
        <v>368</v>
      </c>
      <c r="B369" t="str">
        <f xml:space="preserve"> "000671"</f>
        <v>000671</v>
      </c>
      <c r="C369" t="s">
        <v>2463</v>
      </c>
      <c r="D369">
        <v>6.74</v>
      </c>
      <c r="E369">
        <v>-2.1800000000000002</v>
      </c>
      <c r="F369">
        <v>-0.15</v>
      </c>
      <c r="G369" t="s">
        <v>2464</v>
      </c>
      <c r="H369">
        <v>5464</v>
      </c>
      <c r="I369">
        <v>6.74</v>
      </c>
      <c r="J369">
        <v>6.75</v>
      </c>
      <c r="K369">
        <v>0</v>
      </c>
      <c r="L369">
        <v>1.67</v>
      </c>
      <c r="M369" t="s">
        <v>2465</v>
      </c>
      <c r="N369">
        <v>41.59</v>
      </c>
      <c r="O369" t="s">
        <v>244</v>
      </c>
      <c r="P369">
        <v>6.93</v>
      </c>
      <c r="Q369">
        <v>6.65</v>
      </c>
      <c r="R369">
        <v>6.92</v>
      </c>
      <c r="S369">
        <v>6.89</v>
      </c>
      <c r="T369">
        <v>4.0599999999999996</v>
      </c>
      <c r="U369">
        <v>1.02</v>
      </c>
      <c r="V369">
        <v>-66.790000000000006</v>
      </c>
      <c r="W369" t="s">
        <v>2466</v>
      </c>
      <c r="X369">
        <v>6.74</v>
      </c>
      <c r="Y369" t="s">
        <v>2467</v>
      </c>
      <c r="Z369" t="s">
        <v>473</v>
      </c>
      <c r="AA369">
        <v>1.22</v>
      </c>
      <c r="AB369">
        <v>494</v>
      </c>
      <c r="AC369">
        <v>1705</v>
      </c>
      <c r="AD369">
        <v>2.06</v>
      </c>
      <c r="AE369" t="s">
        <v>2468</v>
      </c>
      <c r="AF369" t="s">
        <v>1859</v>
      </c>
      <c r="AG369" t="s">
        <v>1029</v>
      </c>
      <c r="AH369" t="s">
        <v>2138</v>
      </c>
      <c r="AI369">
        <v>-6.78</v>
      </c>
      <c r="AJ369">
        <v>-6.91</v>
      </c>
      <c r="AK369">
        <v>4.76</v>
      </c>
      <c r="AL369">
        <v>9.8699999999999992</v>
      </c>
    </row>
    <row r="370" spans="1:38" x14ac:dyDescent="0.25">
      <c r="A370">
        <v>369</v>
      </c>
      <c r="B370" t="str">
        <f xml:space="preserve"> "002517"</f>
        <v>002517</v>
      </c>
      <c r="C370" t="s">
        <v>2469</v>
      </c>
      <c r="D370">
        <v>19.010000000000002</v>
      </c>
      <c r="E370">
        <v>1.28</v>
      </c>
      <c r="F370">
        <v>0.24</v>
      </c>
      <c r="G370" t="s">
        <v>2470</v>
      </c>
      <c r="H370">
        <v>1157</v>
      </c>
      <c r="I370">
        <v>19.010000000000002</v>
      </c>
      <c r="J370">
        <v>19.02</v>
      </c>
      <c r="K370">
        <v>-0.05</v>
      </c>
      <c r="L370">
        <v>3.33</v>
      </c>
      <c r="M370" t="s">
        <v>2471</v>
      </c>
      <c r="N370">
        <v>32.96</v>
      </c>
      <c r="O370" t="s">
        <v>553</v>
      </c>
      <c r="P370">
        <v>19.100000000000001</v>
      </c>
      <c r="Q370">
        <v>18.579999999999998</v>
      </c>
      <c r="R370">
        <v>18.79</v>
      </c>
      <c r="S370">
        <v>18.77</v>
      </c>
      <c r="T370">
        <v>2.77</v>
      </c>
      <c r="U370">
        <v>1.21</v>
      </c>
      <c r="V370">
        <v>9.34</v>
      </c>
      <c r="W370">
        <v>170</v>
      </c>
      <c r="X370">
        <v>18.920000000000002</v>
      </c>
      <c r="Y370" t="s">
        <v>1370</v>
      </c>
      <c r="Z370" t="s">
        <v>362</v>
      </c>
      <c r="AA370">
        <v>0.61</v>
      </c>
      <c r="AB370">
        <v>571</v>
      </c>
      <c r="AC370">
        <v>403</v>
      </c>
      <c r="AD370">
        <v>7.49</v>
      </c>
      <c r="AE370" t="s">
        <v>2100</v>
      </c>
      <c r="AF370" t="s">
        <v>1859</v>
      </c>
      <c r="AG370" t="s">
        <v>2472</v>
      </c>
      <c r="AH370" t="s">
        <v>2473</v>
      </c>
      <c r="AI370">
        <v>4.62</v>
      </c>
      <c r="AJ370">
        <v>7.1</v>
      </c>
      <c r="AK370">
        <v>12.41</v>
      </c>
      <c r="AL370">
        <v>17.11</v>
      </c>
    </row>
    <row r="371" spans="1:38" x14ac:dyDescent="0.25">
      <c r="A371">
        <v>370</v>
      </c>
      <c r="B371" t="str">
        <f xml:space="preserve"> "002001"</f>
        <v>002001</v>
      </c>
      <c r="C371" t="s">
        <v>2474</v>
      </c>
      <c r="D371">
        <v>25</v>
      </c>
      <c r="E371">
        <v>1.17</v>
      </c>
      <c r="F371">
        <v>0.28999999999999998</v>
      </c>
      <c r="G371" t="s">
        <v>2475</v>
      </c>
      <c r="H371">
        <v>402</v>
      </c>
      <c r="I371">
        <v>24.98</v>
      </c>
      <c r="J371">
        <v>25</v>
      </c>
      <c r="K371">
        <v>-0.04</v>
      </c>
      <c r="L371">
        <v>0.78</v>
      </c>
      <c r="M371" t="s">
        <v>1538</v>
      </c>
      <c r="N371">
        <v>23.23</v>
      </c>
      <c r="O371" t="s">
        <v>392</v>
      </c>
      <c r="P371">
        <v>25.07</v>
      </c>
      <c r="Q371">
        <v>24.68</v>
      </c>
      <c r="R371">
        <v>24.9</v>
      </c>
      <c r="S371">
        <v>24.71</v>
      </c>
      <c r="T371">
        <v>1.58</v>
      </c>
      <c r="U371">
        <v>0.74</v>
      </c>
      <c r="V371">
        <v>-46.63</v>
      </c>
      <c r="W371">
        <v>-1144</v>
      </c>
      <c r="X371">
        <v>24.89</v>
      </c>
      <c r="Y371" t="s">
        <v>2476</v>
      </c>
      <c r="Z371" t="s">
        <v>1198</v>
      </c>
      <c r="AA371">
        <v>0.8</v>
      </c>
      <c r="AB371">
        <v>10</v>
      </c>
      <c r="AC371">
        <v>941</v>
      </c>
      <c r="AD371">
        <v>3.41</v>
      </c>
      <c r="AE371" t="s">
        <v>888</v>
      </c>
      <c r="AF371" t="s">
        <v>2477</v>
      </c>
      <c r="AG371" t="s">
        <v>1429</v>
      </c>
      <c r="AH371" t="s">
        <v>1898</v>
      </c>
      <c r="AI371">
        <v>-2.87</v>
      </c>
      <c r="AJ371">
        <v>-0.28000000000000003</v>
      </c>
      <c r="AK371">
        <v>2.99</v>
      </c>
      <c r="AL371">
        <v>6.08</v>
      </c>
    </row>
    <row r="372" spans="1:38" x14ac:dyDescent="0.25">
      <c r="A372">
        <v>371</v>
      </c>
      <c r="B372" t="str">
        <f xml:space="preserve"> "601106"</f>
        <v>601106</v>
      </c>
      <c r="C372" t="s">
        <v>2478</v>
      </c>
      <c r="D372">
        <v>4.13</v>
      </c>
      <c r="E372">
        <v>-0.72</v>
      </c>
      <c r="F372">
        <v>-0.03</v>
      </c>
      <c r="G372" t="s">
        <v>678</v>
      </c>
      <c r="H372">
        <v>11</v>
      </c>
      <c r="I372">
        <v>4.13</v>
      </c>
      <c r="J372">
        <v>4.1399999999999997</v>
      </c>
      <c r="K372">
        <v>0</v>
      </c>
      <c r="L372">
        <v>0.21</v>
      </c>
      <c r="M372" t="s">
        <v>2479</v>
      </c>
      <c r="N372">
        <v>688.7</v>
      </c>
      <c r="O372" t="s">
        <v>648</v>
      </c>
      <c r="P372">
        <v>4.16</v>
      </c>
      <c r="Q372">
        <v>4.08</v>
      </c>
      <c r="R372">
        <v>4.1399999999999997</v>
      </c>
      <c r="S372">
        <v>4.16</v>
      </c>
      <c r="T372">
        <v>1.92</v>
      </c>
      <c r="U372">
        <v>0.89</v>
      </c>
      <c r="V372">
        <v>-8.06</v>
      </c>
      <c r="W372">
        <v>-2838</v>
      </c>
      <c r="X372">
        <v>4.12</v>
      </c>
      <c r="Y372" t="s">
        <v>2480</v>
      </c>
      <c r="Z372" t="s">
        <v>2481</v>
      </c>
      <c r="AA372">
        <v>2.31</v>
      </c>
      <c r="AB372">
        <v>509</v>
      </c>
      <c r="AC372">
        <v>2950</v>
      </c>
      <c r="AD372">
        <v>2.93</v>
      </c>
      <c r="AE372" t="s">
        <v>2482</v>
      </c>
      <c r="AF372" t="s">
        <v>2161</v>
      </c>
      <c r="AG372" t="s">
        <v>2482</v>
      </c>
      <c r="AH372" t="s">
        <v>2161</v>
      </c>
      <c r="AI372">
        <v>-1.2</v>
      </c>
      <c r="AJ372">
        <v>1.98</v>
      </c>
      <c r="AK372">
        <v>0.68</v>
      </c>
      <c r="AL372">
        <v>1.41</v>
      </c>
    </row>
    <row r="373" spans="1:38" x14ac:dyDescent="0.25">
      <c r="A373">
        <v>372</v>
      </c>
      <c r="B373" t="str">
        <f xml:space="preserve"> "600056"</f>
        <v>600056</v>
      </c>
      <c r="C373" t="s">
        <v>2483</v>
      </c>
      <c r="D373">
        <v>25.26</v>
      </c>
      <c r="E373">
        <v>-0.71</v>
      </c>
      <c r="F373">
        <v>-0.18</v>
      </c>
      <c r="G373" t="s">
        <v>2484</v>
      </c>
      <c r="H373">
        <v>12</v>
      </c>
      <c r="I373">
        <v>25.27</v>
      </c>
      <c r="J373">
        <v>25.28</v>
      </c>
      <c r="K373">
        <v>0.12</v>
      </c>
      <c r="L373">
        <v>0.53</v>
      </c>
      <c r="M373" t="s">
        <v>1985</v>
      </c>
      <c r="N373">
        <v>20.68</v>
      </c>
      <c r="O373" t="s">
        <v>392</v>
      </c>
      <c r="P373">
        <v>25.48</v>
      </c>
      <c r="Q373">
        <v>24.74</v>
      </c>
      <c r="R373">
        <v>25.41</v>
      </c>
      <c r="S373">
        <v>25.44</v>
      </c>
      <c r="T373">
        <v>2.91</v>
      </c>
      <c r="U373">
        <v>0.93</v>
      </c>
      <c r="V373">
        <v>-74.040000000000006</v>
      </c>
      <c r="W373">
        <v>-559</v>
      </c>
      <c r="X373">
        <v>25.07</v>
      </c>
      <c r="Y373" t="s">
        <v>1705</v>
      </c>
      <c r="Z373" t="s">
        <v>2485</v>
      </c>
      <c r="AA373">
        <v>1.02</v>
      </c>
      <c r="AB373">
        <v>1</v>
      </c>
      <c r="AC373">
        <v>242</v>
      </c>
      <c r="AD373">
        <v>3.68</v>
      </c>
      <c r="AE373" t="s">
        <v>1429</v>
      </c>
      <c r="AF373" t="s">
        <v>2161</v>
      </c>
      <c r="AG373" t="s">
        <v>262</v>
      </c>
      <c r="AH373" t="s">
        <v>2486</v>
      </c>
      <c r="AI373">
        <v>0.96</v>
      </c>
      <c r="AJ373">
        <v>5.29</v>
      </c>
      <c r="AK373">
        <v>1.68</v>
      </c>
      <c r="AL373">
        <v>3.39</v>
      </c>
    </row>
    <row r="374" spans="1:38" x14ac:dyDescent="0.25">
      <c r="A374">
        <v>373</v>
      </c>
      <c r="B374" t="str">
        <f xml:space="preserve"> "601958"</f>
        <v>601958</v>
      </c>
      <c r="C374" t="s">
        <v>2487</v>
      </c>
      <c r="D374">
        <v>8.35</v>
      </c>
      <c r="E374">
        <v>0.97</v>
      </c>
      <c r="F374">
        <v>0.08</v>
      </c>
      <c r="G374" t="s">
        <v>1213</v>
      </c>
      <c r="H374">
        <v>19</v>
      </c>
      <c r="I374">
        <v>8.33</v>
      </c>
      <c r="J374">
        <v>8.35</v>
      </c>
      <c r="K374">
        <v>-0.12</v>
      </c>
      <c r="L374">
        <v>0.3</v>
      </c>
      <c r="M374" t="s">
        <v>2488</v>
      </c>
      <c r="N374">
        <v>879.01</v>
      </c>
      <c r="O374" t="s">
        <v>449</v>
      </c>
      <c r="P374">
        <v>8.3699999999999992</v>
      </c>
      <c r="Q374">
        <v>8.2799999999999994</v>
      </c>
      <c r="R374">
        <v>8.31</v>
      </c>
      <c r="S374">
        <v>8.27</v>
      </c>
      <c r="T374">
        <v>1.0900000000000001</v>
      </c>
      <c r="U374">
        <v>0.62</v>
      </c>
      <c r="V374">
        <v>-35.479999999999997</v>
      </c>
      <c r="W374">
        <v>-2819</v>
      </c>
      <c r="X374">
        <v>8.33</v>
      </c>
      <c r="Y374" t="s">
        <v>2489</v>
      </c>
      <c r="Z374" t="s">
        <v>1089</v>
      </c>
      <c r="AA374">
        <v>0.94</v>
      </c>
      <c r="AB374">
        <v>948</v>
      </c>
      <c r="AC374">
        <v>627</v>
      </c>
      <c r="AD374">
        <v>2.13</v>
      </c>
      <c r="AE374" t="s">
        <v>2490</v>
      </c>
      <c r="AF374" t="s">
        <v>2491</v>
      </c>
      <c r="AG374" t="s">
        <v>2490</v>
      </c>
      <c r="AH374" t="s">
        <v>2491</v>
      </c>
      <c r="AI374">
        <v>-2.34</v>
      </c>
      <c r="AJ374">
        <v>-2.57</v>
      </c>
      <c r="AK374">
        <v>1.38</v>
      </c>
      <c r="AL374">
        <v>2.69</v>
      </c>
    </row>
    <row r="375" spans="1:38" x14ac:dyDescent="0.25">
      <c r="A375">
        <v>374</v>
      </c>
      <c r="B375" t="str">
        <f xml:space="preserve"> "600004"</f>
        <v>600004</v>
      </c>
      <c r="C375" t="s">
        <v>2492</v>
      </c>
      <c r="D375">
        <v>12.97</v>
      </c>
      <c r="E375">
        <v>0.15</v>
      </c>
      <c r="F375">
        <v>0.02</v>
      </c>
      <c r="G375" t="s">
        <v>314</v>
      </c>
      <c r="H375">
        <v>8</v>
      </c>
      <c r="I375">
        <v>12.96</v>
      </c>
      <c r="J375">
        <v>12.97</v>
      </c>
      <c r="K375">
        <v>0</v>
      </c>
      <c r="L375">
        <v>0.7</v>
      </c>
      <c r="M375" t="s">
        <v>957</v>
      </c>
      <c r="N375">
        <v>17.18</v>
      </c>
      <c r="O375" t="s">
        <v>572</v>
      </c>
      <c r="P375">
        <v>13.07</v>
      </c>
      <c r="Q375">
        <v>12.9</v>
      </c>
      <c r="R375">
        <v>12.97</v>
      </c>
      <c r="S375">
        <v>12.95</v>
      </c>
      <c r="T375">
        <v>1.31</v>
      </c>
      <c r="U375">
        <v>0.56999999999999995</v>
      </c>
      <c r="V375">
        <v>-13.63</v>
      </c>
      <c r="W375">
        <v>-1237</v>
      </c>
      <c r="X375">
        <v>12.98</v>
      </c>
      <c r="Y375" t="s">
        <v>2261</v>
      </c>
      <c r="Z375" t="s">
        <v>1283</v>
      </c>
      <c r="AA375">
        <v>1.43</v>
      </c>
      <c r="AB375">
        <v>307</v>
      </c>
      <c r="AC375">
        <v>86</v>
      </c>
      <c r="AD375">
        <v>2.02</v>
      </c>
      <c r="AE375" t="s">
        <v>666</v>
      </c>
      <c r="AF375" t="s">
        <v>1898</v>
      </c>
      <c r="AG375" t="s">
        <v>666</v>
      </c>
      <c r="AH375" t="s">
        <v>1898</v>
      </c>
      <c r="AI375">
        <v>2.29</v>
      </c>
      <c r="AJ375">
        <v>0.08</v>
      </c>
      <c r="AK375">
        <v>3.01</v>
      </c>
      <c r="AL375">
        <v>6.84</v>
      </c>
    </row>
    <row r="376" spans="1:38" x14ac:dyDescent="0.25">
      <c r="A376">
        <v>375</v>
      </c>
      <c r="B376" t="str">
        <f xml:space="preserve"> "600022"</f>
        <v>600022</v>
      </c>
      <c r="C376" t="s">
        <v>2493</v>
      </c>
      <c r="D376">
        <v>2.4500000000000002</v>
      </c>
      <c r="E376">
        <v>-0.41</v>
      </c>
      <c r="F376">
        <v>-0.01</v>
      </c>
      <c r="G376" t="s">
        <v>2494</v>
      </c>
      <c r="H376">
        <v>2350</v>
      </c>
      <c r="I376">
        <v>2.4500000000000002</v>
      </c>
      <c r="J376">
        <v>2.46</v>
      </c>
      <c r="K376">
        <v>0</v>
      </c>
      <c r="L376">
        <v>1.3</v>
      </c>
      <c r="M376" t="s">
        <v>935</v>
      </c>
      <c r="N376">
        <v>22.51</v>
      </c>
      <c r="O376" t="s">
        <v>416</v>
      </c>
      <c r="P376">
        <v>2.4700000000000002</v>
      </c>
      <c r="Q376">
        <v>2.42</v>
      </c>
      <c r="R376">
        <v>2.44</v>
      </c>
      <c r="S376">
        <v>2.46</v>
      </c>
      <c r="T376">
        <v>2.0299999999999998</v>
      </c>
      <c r="U376">
        <v>0.84</v>
      </c>
      <c r="V376">
        <v>-41.31</v>
      </c>
      <c r="W376" t="s">
        <v>2495</v>
      </c>
      <c r="X376">
        <v>2.44</v>
      </c>
      <c r="Y376" t="s">
        <v>1167</v>
      </c>
      <c r="Z376" t="s">
        <v>1258</v>
      </c>
      <c r="AA376">
        <v>0.8</v>
      </c>
      <c r="AB376">
        <v>8915</v>
      </c>
      <c r="AC376" t="s">
        <v>2496</v>
      </c>
      <c r="AD376">
        <v>1.61</v>
      </c>
      <c r="AE376" t="s">
        <v>2006</v>
      </c>
      <c r="AF376" t="s">
        <v>1898</v>
      </c>
      <c r="AG376" t="s">
        <v>1037</v>
      </c>
      <c r="AH376" t="s">
        <v>2497</v>
      </c>
      <c r="AI376">
        <v>-0.41</v>
      </c>
      <c r="AJ376">
        <v>-1.21</v>
      </c>
      <c r="AK376">
        <v>5.05</v>
      </c>
      <c r="AL376">
        <v>9.02</v>
      </c>
    </row>
    <row r="377" spans="1:38" x14ac:dyDescent="0.25">
      <c r="A377">
        <v>376</v>
      </c>
      <c r="B377" t="str">
        <f xml:space="preserve"> "000623"</f>
        <v>000623</v>
      </c>
      <c r="C377" t="s">
        <v>2498</v>
      </c>
      <c r="D377">
        <v>23.02</v>
      </c>
      <c r="E377">
        <v>0.74</v>
      </c>
      <c r="F377">
        <v>0.17</v>
      </c>
      <c r="G377" t="s">
        <v>844</v>
      </c>
      <c r="H377">
        <v>2113</v>
      </c>
      <c r="I377">
        <v>23.01</v>
      </c>
      <c r="J377">
        <v>23.02</v>
      </c>
      <c r="K377">
        <v>0.04</v>
      </c>
      <c r="L377">
        <v>1.26</v>
      </c>
      <c r="M377" t="s">
        <v>972</v>
      </c>
      <c r="N377">
        <v>14.69</v>
      </c>
      <c r="O377" t="s">
        <v>392</v>
      </c>
      <c r="P377">
        <v>23.15</v>
      </c>
      <c r="Q377">
        <v>22.75</v>
      </c>
      <c r="R377">
        <v>22.75</v>
      </c>
      <c r="S377">
        <v>22.85</v>
      </c>
      <c r="T377">
        <v>1.75</v>
      </c>
      <c r="U377">
        <v>1.36</v>
      </c>
      <c r="V377">
        <v>-34.590000000000003</v>
      </c>
      <c r="W377">
        <v>-1185</v>
      </c>
      <c r="X377">
        <v>23.02</v>
      </c>
      <c r="Y377" t="s">
        <v>2499</v>
      </c>
      <c r="Z377" t="s">
        <v>2500</v>
      </c>
      <c r="AA377">
        <v>0.98</v>
      </c>
      <c r="AB377">
        <v>29</v>
      </c>
      <c r="AC377">
        <v>311</v>
      </c>
      <c r="AD377">
        <v>1.38</v>
      </c>
      <c r="AE377" t="s">
        <v>1572</v>
      </c>
      <c r="AF377" t="s">
        <v>1898</v>
      </c>
      <c r="AG377" t="s">
        <v>2501</v>
      </c>
      <c r="AH377" t="s">
        <v>133</v>
      </c>
      <c r="AI377">
        <v>0.48</v>
      </c>
      <c r="AJ377">
        <v>3.09</v>
      </c>
      <c r="AK377">
        <v>3.19</v>
      </c>
      <c r="AL377">
        <v>5.89</v>
      </c>
    </row>
    <row r="378" spans="1:38" x14ac:dyDescent="0.25">
      <c r="A378">
        <v>377</v>
      </c>
      <c r="B378" t="str">
        <f xml:space="preserve"> "300116"</f>
        <v>300116</v>
      </c>
      <c r="C378" t="s">
        <v>2502</v>
      </c>
      <c r="D378">
        <v>10.99</v>
      </c>
      <c r="E378">
        <v>-0.09</v>
      </c>
      <c r="F378">
        <v>-0.01</v>
      </c>
      <c r="G378" t="s">
        <v>2503</v>
      </c>
      <c r="H378">
        <v>3120</v>
      </c>
      <c r="I378">
        <v>10.98</v>
      </c>
      <c r="J378">
        <v>10.99</v>
      </c>
      <c r="K378">
        <v>0</v>
      </c>
      <c r="L378">
        <v>1.97</v>
      </c>
      <c r="M378" t="s">
        <v>2504</v>
      </c>
      <c r="N378">
        <v>23.94</v>
      </c>
      <c r="O378" t="s">
        <v>648</v>
      </c>
      <c r="P378">
        <v>11.04</v>
      </c>
      <c r="Q378">
        <v>10.7</v>
      </c>
      <c r="R378">
        <v>10.98</v>
      </c>
      <c r="S378">
        <v>11</v>
      </c>
      <c r="T378">
        <v>3.09</v>
      </c>
      <c r="U378">
        <v>1.23</v>
      </c>
      <c r="V378">
        <v>-15.73</v>
      </c>
      <c r="W378">
        <v>-1211</v>
      </c>
      <c r="X378">
        <v>10.88</v>
      </c>
      <c r="Y378" t="s">
        <v>194</v>
      </c>
      <c r="Z378" t="s">
        <v>2505</v>
      </c>
      <c r="AA378">
        <v>1.04</v>
      </c>
      <c r="AB378">
        <v>2037</v>
      </c>
      <c r="AC378">
        <v>1050</v>
      </c>
      <c r="AD378">
        <v>3.19</v>
      </c>
      <c r="AE378" t="s">
        <v>1700</v>
      </c>
      <c r="AF378" t="s">
        <v>2506</v>
      </c>
      <c r="AG378" t="s">
        <v>361</v>
      </c>
      <c r="AH378" t="s">
        <v>426</v>
      </c>
      <c r="AI378">
        <v>-1.43</v>
      </c>
      <c r="AJ378">
        <v>-0.99</v>
      </c>
      <c r="AK378">
        <v>5.17</v>
      </c>
      <c r="AL378">
        <v>10.039999999999999</v>
      </c>
    </row>
    <row r="379" spans="1:38" x14ac:dyDescent="0.25">
      <c r="A379">
        <v>378</v>
      </c>
      <c r="B379" t="str">
        <f xml:space="preserve"> "000656"</f>
        <v>000656</v>
      </c>
      <c r="C379" t="s">
        <v>2507</v>
      </c>
      <c r="D379">
        <v>5</v>
      </c>
      <c r="E379">
        <v>0.6</v>
      </c>
      <c r="F379">
        <v>0.03</v>
      </c>
      <c r="G379" t="s">
        <v>2505</v>
      </c>
      <c r="H379">
        <v>5293</v>
      </c>
      <c r="I379">
        <v>4.99</v>
      </c>
      <c r="J379">
        <v>5</v>
      </c>
      <c r="K379">
        <v>0</v>
      </c>
      <c r="L379">
        <v>0.28999999999999998</v>
      </c>
      <c r="M379" t="s">
        <v>2508</v>
      </c>
      <c r="N379">
        <v>29.32</v>
      </c>
      <c r="O379" t="s">
        <v>244</v>
      </c>
      <c r="P379">
        <v>5</v>
      </c>
      <c r="Q379">
        <v>4.95</v>
      </c>
      <c r="R379">
        <v>4.97</v>
      </c>
      <c r="S379">
        <v>4.97</v>
      </c>
      <c r="T379">
        <v>1.01</v>
      </c>
      <c r="U379">
        <v>0.65</v>
      </c>
      <c r="V379">
        <v>40.340000000000003</v>
      </c>
      <c r="W379" t="s">
        <v>2509</v>
      </c>
      <c r="X379">
        <v>4.97</v>
      </c>
      <c r="Y379" t="s">
        <v>2510</v>
      </c>
      <c r="Z379" t="s">
        <v>2511</v>
      </c>
      <c r="AA379">
        <v>0.89</v>
      </c>
      <c r="AB379">
        <v>2545</v>
      </c>
      <c r="AC379">
        <v>3711</v>
      </c>
      <c r="AD379">
        <v>1.64</v>
      </c>
      <c r="AE379" t="s">
        <v>2512</v>
      </c>
      <c r="AF379" t="s">
        <v>2506</v>
      </c>
      <c r="AG379" t="s">
        <v>2228</v>
      </c>
      <c r="AH379" t="s">
        <v>2102</v>
      </c>
      <c r="AI379">
        <v>-0.2</v>
      </c>
      <c r="AJ379">
        <v>1.21</v>
      </c>
      <c r="AK379">
        <v>1.1399999999999999</v>
      </c>
      <c r="AL379">
        <v>2.4900000000000002</v>
      </c>
    </row>
    <row r="380" spans="1:38" x14ac:dyDescent="0.25">
      <c r="A380">
        <v>379</v>
      </c>
      <c r="B380" t="str">
        <f xml:space="preserve"> "002470"</f>
        <v>002470</v>
      </c>
      <c r="C380" t="s">
        <v>2513</v>
      </c>
      <c r="D380">
        <v>8.4499999999999993</v>
      </c>
      <c r="E380">
        <v>-0.47</v>
      </c>
      <c r="F380">
        <v>-0.04</v>
      </c>
      <c r="G380" t="s">
        <v>1751</v>
      </c>
      <c r="H380">
        <v>278</v>
      </c>
      <c r="I380">
        <v>8.44</v>
      </c>
      <c r="J380">
        <v>8.4499999999999993</v>
      </c>
      <c r="K380">
        <v>0</v>
      </c>
      <c r="L380">
        <v>0.26</v>
      </c>
      <c r="M380" t="s">
        <v>2514</v>
      </c>
      <c r="N380">
        <v>16.79</v>
      </c>
      <c r="O380" t="s">
        <v>1936</v>
      </c>
      <c r="P380">
        <v>8.5500000000000007</v>
      </c>
      <c r="Q380">
        <v>8.43</v>
      </c>
      <c r="R380">
        <v>8.49</v>
      </c>
      <c r="S380">
        <v>8.49</v>
      </c>
      <c r="T380">
        <v>1.41</v>
      </c>
      <c r="U380">
        <v>0.72</v>
      </c>
      <c r="V380">
        <v>36</v>
      </c>
      <c r="W380">
        <v>3224</v>
      </c>
      <c r="X380">
        <v>8.48</v>
      </c>
      <c r="Y380" t="s">
        <v>2515</v>
      </c>
      <c r="Z380" t="s">
        <v>2398</v>
      </c>
      <c r="AA380">
        <v>0.85</v>
      </c>
      <c r="AB380">
        <v>764</v>
      </c>
      <c r="AC380">
        <v>918</v>
      </c>
      <c r="AD380">
        <v>2.91</v>
      </c>
      <c r="AE380" t="s">
        <v>2516</v>
      </c>
      <c r="AF380" t="s">
        <v>2506</v>
      </c>
      <c r="AG380" t="s">
        <v>671</v>
      </c>
      <c r="AH380" t="s">
        <v>2138</v>
      </c>
      <c r="AI380">
        <v>2.42</v>
      </c>
      <c r="AJ380">
        <v>5.23</v>
      </c>
      <c r="AK380">
        <v>1.31</v>
      </c>
      <c r="AL380">
        <v>2.08</v>
      </c>
    </row>
    <row r="381" spans="1:38" x14ac:dyDescent="0.25">
      <c r="A381">
        <v>380</v>
      </c>
      <c r="B381" t="str">
        <f xml:space="preserve"> "000661"</f>
        <v>000661</v>
      </c>
      <c r="C381" t="s">
        <v>2517</v>
      </c>
      <c r="D381">
        <v>156.69</v>
      </c>
      <c r="E381">
        <v>1.71</v>
      </c>
      <c r="F381">
        <v>2.63</v>
      </c>
      <c r="G381" t="s">
        <v>2518</v>
      </c>
      <c r="H381">
        <v>79</v>
      </c>
      <c r="I381">
        <v>156.68</v>
      </c>
      <c r="J381">
        <v>156.69</v>
      </c>
      <c r="K381">
        <v>0.02</v>
      </c>
      <c r="L381">
        <v>0.79</v>
      </c>
      <c r="M381" t="s">
        <v>2519</v>
      </c>
      <c r="N381">
        <v>46.92</v>
      </c>
      <c r="O381" t="s">
        <v>392</v>
      </c>
      <c r="P381">
        <v>157.18</v>
      </c>
      <c r="Q381">
        <v>153.19999999999999</v>
      </c>
      <c r="R381">
        <v>154.19999999999999</v>
      </c>
      <c r="S381">
        <v>154.06</v>
      </c>
      <c r="T381">
        <v>2.58</v>
      </c>
      <c r="U381">
        <v>0.76</v>
      </c>
      <c r="V381">
        <v>-78.760000000000005</v>
      </c>
      <c r="W381">
        <v>-89</v>
      </c>
      <c r="X381">
        <v>155.99</v>
      </c>
      <c r="Y381">
        <v>5196</v>
      </c>
      <c r="Z381">
        <v>8213</v>
      </c>
      <c r="AA381">
        <v>0.63</v>
      </c>
      <c r="AB381">
        <v>2</v>
      </c>
      <c r="AC381">
        <v>4</v>
      </c>
      <c r="AD381">
        <v>6.59</v>
      </c>
      <c r="AE381" t="s">
        <v>2345</v>
      </c>
      <c r="AF381" t="s">
        <v>2506</v>
      </c>
      <c r="AG381" t="s">
        <v>2345</v>
      </c>
      <c r="AH381" t="s">
        <v>2029</v>
      </c>
      <c r="AI381">
        <v>3.14</v>
      </c>
      <c r="AJ381">
        <v>5.34</v>
      </c>
      <c r="AK381">
        <v>2.75</v>
      </c>
      <c r="AL381">
        <v>5.96</v>
      </c>
    </row>
    <row r="382" spans="1:38" x14ac:dyDescent="0.25">
      <c r="A382">
        <v>381</v>
      </c>
      <c r="B382" t="str">
        <f xml:space="preserve"> "603986"</f>
        <v>603986</v>
      </c>
      <c r="C382" t="s">
        <v>2520</v>
      </c>
      <c r="D382">
        <v>131.18</v>
      </c>
      <c r="E382">
        <v>1.61</v>
      </c>
      <c r="F382">
        <v>2.08</v>
      </c>
      <c r="G382" t="s">
        <v>2383</v>
      </c>
      <c r="H382">
        <v>45</v>
      </c>
      <c r="I382">
        <v>130.99</v>
      </c>
      <c r="J382">
        <v>131</v>
      </c>
      <c r="K382">
        <v>-0.15</v>
      </c>
      <c r="L382">
        <v>1.26</v>
      </c>
      <c r="M382" t="s">
        <v>2521</v>
      </c>
      <c r="N382">
        <v>74.09</v>
      </c>
      <c r="O382" t="s">
        <v>893</v>
      </c>
      <c r="P382">
        <v>132.4</v>
      </c>
      <c r="Q382">
        <v>126.62</v>
      </c>
      <c r="R382">
        <v>129.5</v>
      </c>
      <c r="S382">
        <v>129.1</v>
      </c>
      <c r="T382">
        <v>4.4800000000000004</v>
      </c>
      <c r="U382">
        <v>0.66</v>
      </c>
      <c r="V382">
        <v>-2.63</v>
      </c>
      <c r="W382">
        <v>-2</v>
      </c>
      <c r="X382">
        <v>129.85</v>
      </c>
      <c r="Y382">
        <v>8223</v>
      </c>
      <c r="Z382" t="s">
        <v>2522</v>
      </c>
      <c r="AA382">
        <v>0.8</v>
      </c>
      <c r="AB382">
        <v>3</v>
      </c>
      <c r="AC382">
        <v>5</v>
      </c>
      <c r="AD382">
        <v>18.41</v>
      </c>
      <c r="AE382" t="s">
        <v>1075</v>
      </c>
      <c r="AF382" t="s">
        <v>2029</v>
      </c>
      <c r="AG382" t="s">
        <v>2523</v>
      </c>
      <c r="AH382" t="s">
        <v>2524</v>
      </c>
      <c r="AI382">
        <v>-3.48</v>
      </c>
      <c r="AJ382">
        <v>3.15</v>
      </c>
      <c r="AK382">
        <v>4.6399999999999997</v>
      </c>
      <c r="AL382">
        <v>10.73</v>
      </c>
    </row>
    <row r="383" spans="1:38" x14ac:dyDescent="0.25">
      <c r="A383">
        <v>382</v>
      </c>
      <c r="B383" t="str">
        <f xml:space="preserve"> "002465"</f>
        <v>002465</v>
      </c>
      <c r="C383" t="s">
        <v>2525</v>
      </c>
      <c r="D383">
        <v>11.52</v>
      </c>
      <c r="E383">
        <v>-1.03</v>
      </c>
      <c r="F383">
        <v>-0.12</v>
      </c>
      <c r="G383" t="s">
        <v>554</v>
      </c>
      <c r="H383">
        <v>1415</v>
      </c>
      <c r="I383">
        <v>11.51</v>
      </c>
      <c r="J383">
        <v>11.52</v>
      </c>
      <c r="K383">
        <v>0</v>
      </c>
      <c r="L383">
        <v>0.96</v>
      </c>
      <c r="M383" t="s">
        <v>2526</v>
      </c>
      <c r="N383">
        <v>96.09</v>
      </c>
      <c r="O383" t="s">
        <v>580</v>
      </c>
      <c r="P383">
        <v>11.66</v>
      </c>
      <c r="Q383">
        <v>11.47</v>
      </c>
      <c r="R383">
        <v>11.61</v>
      </c>
      <c r="S383">
        <v>11.64</v>
      </c>
      <c r="T383">
        <v>1.63</v>
      </c>
      <c r="U383">
        <v>0.56000000000000005</v>
      </c>
      <c r="V383">
        <v>32.81</v>
      </c>
      <c r="W383">
        <v>4346</v>
      </c>
      <c r="X383">
        <v>11.53</v>
      </c>
      <c r="Y383" t="s">
        <v>102</v>
      </c>
      <c r="Z383" t="s">
        <v>2527</v>
      </c>
      <c r="AA383">
        <v>1.77</v>
      </c>
      <c r="AB383">
        <v>1193</v>
      </c>
      <c r="AC383">
        <v>719</v>
      </c>
      <c r="AD383">
        <v>3.33</v>
      </c>
      <c r="AE383" t="s">
        <v>2528</v>
      </c>
      <c r="AF383" t="s">
        <v>2029</v>
      </c>
      <c r="AG383" t="s">
        <v>1674</v>
      </c>
      <c r="AH383" t="s">
        <v>2529</v>
      </c>
      <c r="AI383">
        <v>-2.46</v>
      </c>
      <c r="AJ383">
        <v>-0.86</v>
      </c>
      <c r="AK383">
        <v>3.23</v>
      </c>
      <c r="AL383">
        <v>9.4700000000000006</v>
      </c>
    </row>
    <row r="384" spans="1:38" x14ac:dyDescent="0.25">
      <c r="A384">
        <v>383</v>
      </c>
      <c r="B384" t="str">
        <f xml:space="preserve"> "600584"</f>
        <v>600584</v>
      </c>
      <c r="C384" t="s">
        <v>2530</v>
      </c>
      <c r="D384">
        <v>19.5</v>
      </c>
      <c r="E384">
        <v>1.62</v>
      </c>
      <c r="F384">
        <v>0.31</v>
      </c>
      <c r="G384" t="s">
        <v>451</v>
      </c>
      <c r="H384">
        <v>29</v>
      </c>
      <c r="I384">
        <v>19.47</v>
      </c>
      <c r="J384">
        <v>19.48</v>
      </c>
      <c r="K384">
        <v>0.1</v>
      </c>
      <c r="L384">
        <v>4.7</v>
      </c>
      <c r="M384" t="s">
        <v>2531</v>
      </c>
      <c r="N384">
        <v>148.97999999999999</v>
      </c>
      <c r="O384" t="s">
        <v>380</v>
      </c>
      <c r="P384">
        <v>19.7</v>
      </c>
      <c r="Q384">
        <v>18.75</v>
      </c>
      <c r="R384">
        <v>19.05</v>
      </c>
      <c r="S384">
        <v>19.190000000000001</v>
      </c>
      <c r="T384">
        <v>4.95</v>
      </c>
      <c r="U384">
        <v>0.85</v>
      </c>
      <c r="V384">
        <v>-54.54</v>
      </c>
      <c r="W384">
        <v>-1192</v>
      </c>
      <c r="X384">
        <v>19.32</v>
      </c>
      <c r="Y384" t="s">
        <v>1614</v>
      </c>
      <c r="Z384" t="s">
        <v>2197</v>
      </c>
      <c r="AA384">
        <v>0.98</v>
      </c>
      <c r="AB384">
        <v>184</v>
      </c>
      <c r="AC384">
        <v>4</v>
      </c>
      <c r="AD384">
        <v>3.01</v>
      </c>
      <c r="AE384" t="s">
        <v>1434</v>
      </c>
      <c r="AF384" t="s">
        <v>2532</v>
      </c>
      <c r="AG384" t="s">
        <v>2533</v>
      </c>
      <c r="AH384" t="s">
        <v>2413</v>
      </c>
      <c r="AI384">
        <v>-3.37</v>
      </c>
      <c r="AJ384">
        <v>12.72</v>
      </c>
      <c r="AK384">
        <v>17.97</v>
      </c>
      <c r="AL384">
        <v>30.48</v>
      </c>
    </row>
    <row r="385" spans="1:38" x14ac:dyDescent="0.25">
      <c r="A385">
        <v>384</v>
      </c>
      <c r="B385" t="str">
        <f xml:space="preserve"> "601872"</f>
        <v>601872</v>
      </c>
      <c r="C385" t="s">
        <v>2534</v>
      </c>
      <c r="D385">
        <v>5</v>
      </c>
      <c r="E385">
        <v>-0.2</v>
      </c>
      <c r="F385">
        <v>-0.01</v>
      </c>
      <c r="G385" t="s">
        <v>2535</v>
      </c>
      <c r="H385">
        <v>20</v>
      </c>
      <c r="I385">
        <v>5</v>
      </c>
      <c r="J385">
        <v>5.01</v>
      </c>
      <c r="K385">
        <v>0</v>
      </c>
      <c r="L385">
        <v>0.18</v>
      </c>
      <c r="M385" t="s">
        <v>2536</v>
      </c>
      <c r="N385">
        <v>25.62</v>
      </c>
      <c r="O385" t="s">
        <v>440</v>
      </c>
      <c r="P385">
        <v>5.01</v>
      </c>
      <c r="Q385">
        <v>4.9800000000000004</v>
      </c>
      <c r="R385">
        <v>5</v>
      </c>
      <c r="S385">
        <v>5.01</v>
      </c>
      <c r="T385">
        <v>0.6</v>
      </c>
      <c r="U385">
        <v>0.65</v>
      </c>
      <c r="V385">
        <v>13.62</v>
      </c>
      <c r="W385">
        <v>5064</v>
      </c>
      <c r="X385">
        <v>4.99</v>
      </c>
      <c r="Y385" t="s">
        <v>2537</v>
      </c>
      <c r="Z385" t="s">
        <v>1476</v>
      </c>
      <c r="AA385">
        <v>2.25</v>
      </c>
      <c r="AB385">
        <v>1517</v>
      </c>
      <c r="AC385">
        <v>1957</v>
      </c>
      <c r="AD385">
        <v>1.7</v>
      </c>
      <c r="AE385" t="s">
        <v>565</v>
      </c>
      <c r="AF385" t="s">
        <v>2532</v>
      </c>
      <c r="AG385" t="s">
        <v>2538</v>
      </c>
      <c r="AH385" t="s">
        <v>2539</v>
      </c>
      <c r="AI385">
        <v>-0.6</v>
      </c>
      <c r="AJ385">
        <v>0.81</v>
      </c>
      <c r="AK385">
        <v>0.63</v>
      </c>
      <c r="AL385">
        <v>1.54</v>
      </c>
    </row>
    <row r="386" spans="1:38" x14ac:dyDescent="0.25">
      <c r="A386">
        <v>385</v>
      </c>
      <c r="B386" t="str">
        <f xml:space="preserve"> "002007"</f>
        <v>002007</v>
      </c>
      <c r="C386" t="s">
        <v>2540</v>
      </c>
      <c r="D386">
        <v>28.46</v>
      </c>
      <c r="E386">
        <v>-0.14000000000000001</v>
      </c>
      <c r="F386">
        <v>-0.04</v>
      </c>
      <c r="G386" t="s">
        <v>2541</v>
      </c>
      <c r="H386">
        <v>1212</v>
      </c>
      <c r="I386">
        <v>28.45</v>
      </c>
      <c r="J386">
        <v>28.46</v>
      </c>
      <c r="K386">
        <v>0</v>
      </c>
      <c r="L386">
        <v>0.88</v>
      </c>
      <c r="M386" t="s">
        <v>1485</v>
      </c>
      <c r="N386">
        <v>30.7</v>
      </c>
      <c r="O386" t="s">
        <v>392</v>
      </c>
      <c r="P386">
        <v>28.63</v>
      </c>
      <c r="Q386">
        <v>28.25</v>
      </c>
      <c r="R386">
        <v>28.5</v>
      </c>
      <c r="S386">
        <v>28.5</v>
      </c>
      <c r="T386">
        <v>1.33</v>
      </c>
      <c r="U386">
        <v>0.52</v>
      </c>
      <c r="V386">
        <v>-60.25</v>
      </c>
      <c r="W386">
        <v>-1422</v>
      </c>
      <c r="X386">
        <v>28.42</v>
      </c>
      <c r="Y386" t="s">
        <v>2542</v>
      </c>
      <c r="Z386" t="s">
        <v>2543</v>
      </c>
      <c r="AA386">
        <v>0.96</v>
      </c>
      <c r="AB386">
        <v>199</v>
      </c>
      <c r="AC386">
        <v>145</v>
      </c>
      <c r="AD386">
        <v>6.19</v>
      </c>
      <c r="AE386" t="s">
        <v>1548</v>
      </c>
      <c r="AF386" t="s">
        <v>2532</v>
      </c>
      <c r="AG386" t="s">
        <v>2544</v>
      </c>
      <c r="AH386" t="s">
        <v>258</v>
      </c>
      <c r="AI386">
        <v>-0.49</v>
      </c>
      <c r="AJ386">
        <v>4.25</v>
      </c>
      <c r="AK386">
        <v>4.28</v>
      </c>
      <c r="AL386">
        <v>9.3800000000000008</v>
      </c>
    </row>
    <row r="387" spans="1:38" x14ac:dyDescent="0.25">
      <c r="A387">
        <v>386</v>
      </c>
      <c r="B387" t="str">
        <f xml:space="preserve"> "600895"</f>
        <v>600895</v>
      </c>
      <c r="C387" t="s">
        <v>2545</v>
      </c>
      <c r="D387">
        <v>17.079999999999998</v>
      </c>
      <c r="E387">
        <v>-0.06</v>
      </c>
      <c r="F387">
        <v>-0.01</v>
      </c>
      <c r="G387" t="s">
        <v>2546</v>
      </c>
      <c r="H387">
        <v>2</v>
      </c>
      <c r="I387">
        <v>17.079999999999998</v>
      </c>
      <c r="J387">
        <v>17.09</v>
      </c>
      <c r="K387">
        <v>-0.06</v>
      </c>
      <c r="L387">
        <v>0.36</v>
      </c>
      <c r="M387" t="s">
        <v>2547</v>
      </c>
      <c r="N387">
        <v>42.6</v>
      </c>
      <c r="O387" t="s">
        <v>244</v>
      </c>
      <c r="P387">
        <v>17.100000000000001</v>
      </c>
      <c r="Q387">
        <v>16.98</v>
      </c>
      <c r="R387">
        <v>17.079999999999998</v>
      </c>
      <c r="S387">
        <v>17.09</v>
      </c>
      <c r="T387">
        <v>0.7</v>
      </c>
      <c r="U387">
        <v>0.89</v>
      </c>
      <c r="V387">
        <v>-66.44</v>
      </c>
      <c r="W387">
        <v>-1069</v>
      </c>
      <c r="X387">
        <v>17.04</v>
      </c>
      <c r="Y387" t="s">
        <v>1705</v>
      </c>
      <c r="Z387" t="s">
        <v>2548</v>
      </c>
      <c r="AA387">
        <v>0.97</v>
      </c>
      <c r="AB387">
        <v>8</v>
      </c>
      <c r="AC387">
        <v>52</v>
      </c>
      <c r="AD387">
        <v>3.19</v>
      </c>
      <c r="AE387" t="s">
        <v>1154</v>
      </c>
      <c r="AF387" t="s">
        <v>2532</v>
      </c>
      <c r="AG387" t="s">
        <v>1154</v>
      </c>
      <c r="AH387" t="s">
        <v>2532</v>
      </c>
      <c r="AI387">
        <v>1.36</v>
      </c>
      <c r="AJ387">
        <v>1.91</v>
      </c>
      <c r="AK387">
        <v>1.58</v>
      </c>
      <c r="AL387">
        <v>2.36</v>
      </c>
    </row>
    <row r="388" spans="1:38" x14ac:dyDescent="0.25">
      <c r="A388">
        <v>387</v>
      </c>
      <c r="B388" t="str">
        <f xml:space="preserve"> "000987"</f>
        <v>000987</v>
      </c>
      <c r="C388" t="s">
        <v>2549</v>
      </c>
      <c r="D388">
        <v>11.89</v>
      </c>
      <c r="E388">
        <v>1.1100000000000001</v>
      </c>
      <c r="F388">
        <v>0.13</v>
      </c>
      <c r="G388" t="s">
        <v>2360</v>
      </c>
      <c r="H388">
        <v>422</v>
      </c>
      <c r="I388">
        <v>11.88</v>
      </c>
      <c r="J388">
        <v>11.89</v>
      </c>
      <c r="K388">
        <v>0</v>
      </c>
      <c r="L388">
        <v>0.41</v>
      </c>
      <c r="M388" t="s">
        <v>2550</v>
      </c>
      <c r="N388">
        <v>51.31</v>
      </c>
      <c r="O388" t="s">
        <v>482</v>
      </c>
      <c r="P388">
        <v>11.92</v>
      </c>
      <c r="Q388">
        <v>11.71</v>
      </c>
      <c r="R388">
        <v>11.76</v>
      </c>
      <c r="S388">
        <v>11.76</v>
      </c>
      <c r="T388">
        <v>1.79</v>
      </c>
      <c r="U388">
        <v>0.98</v>
      </c>
      <c r="V388">
        <v>-33.729999999999997</v>
      </c>
      <c r="W388">
        <v>-657</v>
      </c>
      <c r="X388">
        <v>11.82</v>
      </c>
      <c r="Y388">
        <v>8292</v>
      </c>
      <c r="Z388" t="s">
        <v>2551</v>
      </c>
      <c r="AA388">
        <v>0.6</v>
      </c>
      <c r="AB388">
        <v>142</v>
      </c>
      <c r="AC388">
        <v>196</v>
      </c>
      <c r="AD388">
        <v>2.1</v>
      </c>
      <c r="AE388" t="s">
        <v>2289</v>
      </c>
      <c r="AF388" t="s">
        <v>2552</v>
      </c>
      <c r="AG388" t="s">
        <v>2024</v>
      </c>
      <c r="AH388" t="s">
        <v>2553</v>
      </c>
      <c r="AI388">
        <v>1.54</v>
      </c>
      <c r="AJ388">
        <v>4.3899999999999997</v>
      </c>
      <c r="AK388">
        <v>1.4</v>
      </c>
      <c r="AL388">
        <v>2.5099999999999998</v>
      </c>
    </row>
    <row r="389" spans="1:38" x14ac:dyDescent="0.25">
      <c r="A389">
        <v>388</v>
      </c>
      <c r="B389" t="str">
        <f xml:space="preserve"> "000629"</f>
        <v>000629</v>
      </c>
      <c r="C389" t="s">
        <v>2554</v>
      </c>
      <c r="D389" t="s">
        <v>616</v>
      </c>
      <c r="E389" t="s">
        <v>616</v>
      </c>
      <c r="F389" t="s">
        <v>616</v>
      </c>
      <c r="G389" t="s">
        <v>616</v>
      </c>
      <c r="H389" t="s">
        <v>616</v>
      </c>
      <c r="I389" t="s">
        <v>616</v>
      </c>
      <c r="J389" t="s">
        <v>616</v>
      </c>
      <c r="K389" t="s">
        <v>616</v>
      </c>
      <c r="L389" t="s">
        <v>616</v>
      </c>
      <c r="M389" t="s">
        <v>616</v>
      </c>
      <c r="N389">
        <v>31.71</v>
      </c>
      <c r="O389" t="s">
        <v>416</v>
      </c>
      <c r="P389" t="s">
        <v>616</v>
      </c>
      <c r="Q389" t="s">
        <v>616</v>
      </c>
      <c r="R389" t="s">
        <v>616</v>
      </c>
      <c r="S389">
        <v>3.07</v>
      </c>
      <c r="T389" t="s">
        <v>616</v>
      </c>
      <c r="U389" t="s">
        <v>616</v>
      </c>
      <c r="V389" t="s">
        <v>616</v>
      </c>
      <c r="W389" t="s">
        <v>616</v>
      </c>
      <c r="X389" t="s">
        <v>616</v>
      </c>
      <c r="Y389" t="s">
        <v>616</v>
      </c>
      <c r="Z389" t="s">
        <v>616</v>
      </c>
      <c r="AA389" t="s">
        <v>616</v>
      </c>
      <c r="AB389" t="s">
        <v>616</v>
      </c>
      <c r="AC389" t="s">
        <v>616</v>
      </c>
      <c r="AD389">
        <v>6.85</v>
      </c>
      <c r="AE389" t="s">
        <v>2555</v>
      </c>
      <c r="AF389" t="s">
        <v>2552</v>
      </c>
      <c r="AG389" t="s">
        <v>1287</v>
      </c>
      <c r="AH389" t="s">
        <v>1810</v>
      </c>
      <c r="AI389">
        <v>0</v>
      </c>
      <c r="AJ389">
        <v>0</v>
      </c>
      <c r="AK389">
        <v>0</v>
      </c>
      <c r="AL389">
        <v>0</v>
      </c>
    </row>
    <row r="390" spans="1:38" x14ac:dyDescent="0.25">
      <c r="A390">
        <v>389</v>
      </c>
      <c r="B390" t="str">
        <f xml:space="preserve"> "600346"</f>
        <v>600346</v>
      </c>
      <c r="C390" t="s">
        <v>2556</v>
      </c>
      <c r="D390">
        <v>9.32</v>
      </c>
      <c r="E390">
        <v>1.86</v>
      </c>
      <c r="F390">
        <v>0.17</v>
      </c>
      <c r="G390" t="s">
        <v>656</v>
      </c>
      <c r="H390">
        <v>31</v>
      </c>
      <c r="I390">
        <v>9.31</v>
      </c>
      <c r="J390">
        <v>9.32</v>
      </c>
      <c r="K390">
        <v>0.22</v>
      </c>
      <c r="L390">
        <v>0.54</v>
      </c>
      <c r="M390" t="s">
        <v>2557</v>
      </c>
      <c r="N390">
        <v>23.42</v>
      </c>
      <c r="O390" t="s">
        <v>1798</v>
      </c>
      <c r="P390">
        <v>9.3699999999999992</v>
      </c>
      <c r="Q390">
        <v>9.08</v>
      </c>
      <c r="R390">
        <v>9.16</v>
      </c>
      <c r="S390">
        <v>9.15</v>
      </c>
      <c r="T390">
        <v>3.17</v>
      </c>
      <c r="U390">
        <v>0.86</v>
      </c>
      <c r="V390">
        <v>-55.41</v>
      </c>
      <c r="W390">
        <v>-2874</v>
      </c>
      <c r="X390">
        <v>9.2799999999999994</v>
      </c>
      <c r="Y390" t="s">
        <v>2558</v>
      </c>
      <c r="Z390" t="s">
        <v>2559</v>
      </c>
      <c r="AA390">
        <v>0.47</v>
      </c>
      <c r="AB390">
        <v>106</v>
      </c>
      <c r="AC390">
        <v>368</v>
      </c>
      <c r="AD390">
        <v>4.3899999999999997</v>
      </c>
      <c r="AE390" t="s">
        <v>2209</v>
      </c>
      <c r="AF390" t="s">
        <v>2396</v>
      </c>
      <c r="AG390" t="s">
        <v>2560</v>
      </c>
      <c r="AH390" t="s">
        <v>2561</v>
      </c>
      <c r="AI390">
        <v>0.87</v>
      </c>
      <c r="AJ390">
        <v>0.54</v>
      </c>
      <c r="AK390">
        <v>1.47</v>
      </c>
      <c r="AL390">
        <v>3.69</v>
      </c>
    </row>
    <row r="391" spans="1:38" x14ac:dyDescent="0.25">
      <c r="A391">
        <v>390</v>
      </c>
      <c r="B391" t="str">
        <f xml:space="preserve"> "600392"</f>
        <v>600392</v>
      </c>
      <c r="C391" t="s">
        <v>2562</v>
      </c>
      <c r="D391">
        <v>19.46</v>
      </c>
      <c r="E391">
        <v>0.26</v>
      </c>
      <c r="F391">
        <v>0.05</v>
      </c>
      <c r="G391" t="s">
        <v>2563</v>
      </c>
      <c r="H391">
        <v>175</v>
      </c>
      <c r="I391">
        <v>19.45</v>
      </c>
      <c r="J391">
        <v>19.46</v>
      </c>
      <c r="K391">
        <v>0.41</v>
      </c>
      <c r="L391">
        <v>3.41</v>
      </c>
      <c r="M391" t="s">
        <v>1823</v>
      </c>
      <c r="N391">
        <v>97.61</v>
      </c>
      <c r="O391" t="s">
        <v>449</v>
      </c>
      <c r="P391">
        <v>19.52</v>
      </c>
      <c r="Q391">
        <v>19.12</v>
      </c>
      <c r="R391">
        <v>19.32</v>
      </c>
      <c r="S391">
        <v>19.41</v>
      </c>
      <c r="T391">
        <v>2.06</v>
      </c>
      <c r="U391">
        <v>0.7</v>
      </c>
      <c r="V391">
        <v>-11.21</v>
      </c>
      <c r="W391">
        <v>-843</v>
      </c>
      <c r="X391">
        <v>19.34</v>
      </c>
      <c r="Y391" t="s">
        <v>351</v>
      </c>
      <c r="Z391" t="s">
        <v>2564</v>
      </c>
      <c r="AA391">
        <v>1</v>
      </c>
      <c r="AB391">
        <v>1885</v>
      </c>
      <c r="AC391">
        <v>33</v>
      </c>
      <c r="AD391">
        <v>5.45</v>
      </c>
      <c r="AE391" t="s">
        <v>1587</v>
      </c>
      <c r="AF391" t="s">
        <v>2396</v>
      </c>
      <c r="AG391" t="s">
        <v>2565</v>
      </c>
      <c r="AH391" t="s">
        <v>97</v>
      </c>
      <c r="AI391">
        <v>-2.7</v>
      </c>
      <c r="AJ391">
        <v>-4.2300000000000004</v>
      </c>
      <c r="AK391">
        <v>16.11</v>
      </c>
      <c r="AL391">
        <v>27.79</v>
      </c>
    </row>
    <row r="392" spans="1:38" x14ac:dyDescent="0.25">
      <c r="A392">
        <v>391</v>
      </c>
      <c r="B392" t="str">
        <f xml:space="preserve"> "601118"</f>
        <v>601118</v>
      </c>
      <c r="C392" t="s">
        <v>2566</v>
      </c>
      <c r="D392">
        <v>6.68</v>
      </c>
      <c r="E392">
        <v>1.98</v>
      </c>
      <c r="F392">
        <v>0.13</v>
      </c>
      <c r="G392" t="s">
        <v>2037</v>
      </c>
      <c r="H392">
        <v>44</v>
      </c>
      <c r="I392">
        <v>6.67</v>
      </c>
      <c r="J392">
        <v>6.68</v>
      </c>
      <c r="K392">
        <v>0.15</v>
      </c>
      <c r="L392">
        <v>0.56000000000000005</v>
      </c>
      <c r="M392" t="s">
        <v>2523</v>
      </c>
      <c r="N392">
        <v>-106.02</v>
      </c>
      <c r="O392" t="s">
        <v>2128</v>
      </c>
      <c r="P392">
        <v>6.69</v>
      </c>
      <c r="Q392">
        <v>6.52</v>
      </c>
      <c r="R392">
        <v>6.54</v>
      </c>
      <c r="S392">
        <v>6.55</v>
      </c>
      <c r="T392">
        <v>2.6</v>
      </c>
      <c r="U392">
        <v>1.01</v>
      </c>
      <c r="V392">
        <v>-49.27</v>
      </c>
      <c r="W392" t="s">
        <v>2567</v>
      </c>
      <c r="X392">
        <v>6.63</v>
      </c>
      <c r="Y392" t="s">
        <v>2568</v>
      </c>
      <c r="Z392" t="s">
        <v>778</v>
      </c>
      <c r="AA392">
        <v>0.67</v>
      </c>
      <c r="AB392">
        <v>1250</v>
      </c>
      <c r="AC392">
        <v>4808</v>
      </c>
      <c r="AD392">
        <v>3.32</v>
      </c>
      <c r="AE392" t="s">
        <v>2569</v>
      </c>
      <c r="AF392" t="s">
        <v>2396</v>
      </c>
      <c r="AG392" t="s">
        <v>2569</v>
      </c>
      <c r="AH392" t="s">
        <v>2396</v>
      </c>
      <c r="AI392">
        <v>1.83</v>
      </c>
      <c r="AJ392">
        <v>3.41</v>
      </c>
      <c r="AK392">
        <v>2.12</v>
      </c>
      <c r="AL392">
        <v>3.35</v>
      </c>
    </row>
    <row r="393" spans="1:38" x14ac:dyDescent="0.25">
      <c r="A393">
        <v>392</v>
      </c>
      <c r="B393" t="str">
        <f xml:space="preserve"> "600160"</f>
        <v>600160</v>
      </c>
      <c r="C393" t="s">
        <v>2570</v>
      </c>
      <c r="D393">
        <v>12.42</v>
      </c>
      <c r="E393">
        <v>0.89</v>
      </c>
      <c r="F393">
        <v>0.11</v>
      </c>
      <c r="G393" t="s">
        <v>2571</v>
      </c>
      <c r="H393">
        <v>50</v>
      </c>
      <c r="I393">
        <v>12.41</v>
      </c>
      <c r="J393">
        <v>12.42</v>
      </c>
      <c r="K393">
        <v>0.32</v>
      </c>
      <c r="L393">
        <v>1.75</v>
      </c>
      <c r="M393" t="s">
        <v>879</v>
      </c>
      <c r="N393">
        <v>24.93</v>
      </c>
      <c r="O393" t="s">
        <v>667</v>
      </c>
      <c r="P393">
        <v>12.57</v>
      </c>
      <c r="Q393">
        <v>12.23</v>
      </c>
      <c r="R393">
        <v>12.31</v>
      </c>
      <c r="S393">
        <v>12.31</v>
      </c>
      <c r="T393">
        <v>2.76</v>
      </c>
      <c r="U393">
        <v>0.61</v>
      </c>
      <c r="V393">
        <v>-35.159999999999997</v>
      </c>
      <c r="W393">
        <v>-2983</v>
      </c>
      <c r="X393">
        <v>12.41</v>
      </c>
      <c r="Y393" t="s">
        <v>254</v>
      </c>
      <c r="Z393" t="s">
        <v>297</v>
      </c>
      <c r="AA393">
        <v>1.2</v>
      </c>
      <c r="AB393">
        <v>304</v>
      </c>
      <c r="AC393">
        <v>88</v>
      </c>
      <c r="AD393">
        <v>2.52</v>
      </c>
      <c r="AE393" t="s">
        <v>1734</v>
      </c>
      <c r="AF393" t="s">
        <v>2497</v>
      </c>
      <c r="AG393" t="s">
        <v>740</v>
      </c>
      <c r="AH393" t="s">
        <v>2572</v>
      </c>
      <c r="AI393">
        <v>0.16</v>
      </c>
      <c r="AJ393">
        <v>3.93</v>
      </c>
      <c r="AK393">
        <v>8.57</v>
      </c>
      <c r="AL393">
        <v>16.18</v>
      </c>
    </row>
    <row r="394" spans="1:38" x14ac:dyDescent="0.25">
      <c r="A394">
        <v>393</v>
      </c>
      <c r="B394" t="str">
        <f xml:space="preserve"> "000425"</f>
        <v>000425</v>
      </c>
      <c r="C394" t="s">
        <v>2573</v>
      </c>
      <c r="D394">
        <v>3.74</v>
      </c>
      <c r="E394">
        <v>0.54</v>
      </c>
      <c r="F394">
        <v>0.02</v>
      </c>
      <c r="G394" t="s">
        <v>115</v>
      </c>
      <c r="H394">
        <v>2162</v>
      </c>
      <c r="I394">
        <v>3.73</v>
      </c>
      <c r="J394">
        <v>3.74</v>
      </c>
      <c r="K394">
        <v>0</v>
      </c>
      <c r="L394">
        <v>0.31</v>
      </c>
      <c r="M394" t="s">
        <v>2574</v>
      </c>
      <c r="N394">
        <v>23.81</v>
      </c>
      <c r="O394" t="s">
        <v>648</v>
      </c>
      <c r="P394">
        <v>3.74</v>
      </c>
      <c r="Q394">
        <v>3.71</v>
      </c>
      <c r="R394">
        <v>3.71</v>
      </c>
      <c r="S394">
        <v>3.72</v>
      </c>
      <c r="T394">
        <v>0.81</v>
      </c>
      <c r="U394">
        <v>0.77</v>
      </c>
      <c r="V394">
        <v>-33.520000000000003</v>
      </c>
      <c r="W394" t="s">
        <v>2575</v>
      </c>
      <c r="X394">
        <v>3.73</v>
      </c>
      <c r="Y394" t="s">
        <v>1270</v>
      </c>
      <c r="Z394" t="s">
        <v>2003</v>
      </c>
      <c r="AA394">
        <v>0.94</v>
      </c>
      <c r="AB394" t="s">
        <v>808</v>
      </c>
      <c r="AC394" t="s">
        <v>1259</v>
      </c>
      <c r="AD394">
        <v>1.25</v>
      </c>
      <c r="AE394" t="s">
        <v>2576</v>
      </c>
      <c r="AF394" t="s">
        <v>2497</v>
      </c>
      <c r="AG394" t="s">
        <v>2577</v>
      </c>
      <c r="AH394" t="s">
        <v>2497</v>
      </c>
      <c r="AI394">
        <v>-0.53</v>
      </c>
      <c r="AJ394">
        <v>1.63</v>
      </c>
      <c r="AK394">
        <v>1.03</v>
      </c>
      <c r="AL394">
        <v>2.2999999999999998</v>
      </c>
    </row>
    <row r="395" spans="1:38" x14ac:dyDescent="0.25">
      <c r="A395">
        <v>394</v>
      </c>
      <c r="B395" t="str">
        <f xml:space="preserve"> "002426"</f>
        <v>002426</v>
      </c>
      <c r="C395" t="s">
        <v>2578</v>
      </c>
      <c r="D395" t="s">
        <v>616</v>
      </c>
      <c r="E395" t="s">
        <v>616</v>
      </c>
      <c r="F395" t="s">
        <v>616</v>
      </c>
      <c r="G395" t="s">
        <v>616</v>
      </c>
      <c r="H395" t="s">
        <v>616</v>
      </c>
      <c r="I395" t="s">
        <v>616</v>
      </c>
      <c r="J395" t="s">
        <v>616</v>
      </c>
      <c r="K395" t="s">
        <v>616</v>
      </c>
      <c r="L395" t="s">
        <v>616</v>
      </c>
      <c r="M395" t="s">
        <v>616</v>
      </c>
      <c r="N395">
        <v>40.69</v>
      </c>
      <c r="O395" t="s">
        <v>1229</v>
      </c>
      <c r="P395" t="s">
        <v>616</v>
      </c>
      <c r="Q395" t="s">
        <v>616</v>
      </c>
      <c r="R395" t="s">
        <v>616</v>
      </c>
      <c r="S395">
        <v>7.65</v>
      </c>
      <c r="T395" t="s">
        <v>616</v>
      </c>
      <c r="U395" t="s">
        <v>616</v>
      </c>
      <c r="V395" t="s">
        <v>616</v>
      </c>
      <c r="W395" t="s">
        <v>616</v>
      </c>
      <c r="X395" t="s">
        <v>616</v>
      </c>
      <c r="Y395" t="s">
        <v>616</v>
      </c>
      <c r="Z395" t="s">
        <v>616</v>
      </c>
      <c r="AA395" t="s">
        <v>616</v>
      </c>
      <c r="AB395" t="s">
        <v>616</v>
      </c>
      <c r="AC395" t="s">
        <v>616</v>
      </c>
      <c r="AD395">
        <v>3.07</v>
      </c>
      <c r="AE395" t="s">
        <v>1802</v>
      </c>
      <c r="AF395" t="s">
        <v>2497</v>
      </c>
      <c r="AG395" t="s">
        <v>666</v>
      </c>
      <c r="AH395" t="s">
        <v>795</v>
      </c>
      <c r="AI395">
        <v>0</v>
      </c>
      <c r="AJ395">
        <v>0</v>
      </c>
      <c r="AK395">
        <v>0</v>
      </c>
      <c r="AL395">
        <v>0</v>
      </c>
    </row>
    <row r="396" spans="1:38" x14ac:dyDescent="0.25">
      <c r="A396">
        <v>395</v>
      </c>
      <c r="B396" t="str">
        <f xml:space="preserve"> "000703"</f>
        <v>000703</v>
      </c>
      <c r="C396" t="s">
        <v>2579</v>
      </c>
      <c r="D396">
        <v>15.87</v>
      </c>
      <c r="E396">
        <v>0.13</v>
      </c>
      <c r="F396">
        <v>0.02</v>
      </c>
      <c r="G396" t="s">
        <v>2580</v>
      </c>
      <c r="H396">
        <v>204</v>
      </c>
      <c r="I396">
        <v>15.86</v>
      </c>
      <c r="J396">
        <v>15.87</v>
      </c>
      <c r="K396">
        <v>0.06</v>
      </c>
      <c r="L396">
        <v>0.15</v>
      </c>
      <c r="M396" t="s">
        <v>2581</v>
      </c>
      <c r="N396">
        <v>15.35</v>
      </c>
      <c r="O396" t="s">
        <v>667</v>
      </c>
      <c r="P396">
        <v>15.96</v>
      </c>
      <c r="Q396">
        <v>15.76</v>
      </c>
      <c r="R396">
        <v>15.83</v>
      </c>
      <c r="S396">
        <v>15.85</v>
      </c>
      <c r="T396">
        <v>1.26</v>
      </c>
      <c r="U396">
        <v>0.46</v>
      </c>
      <c r="V396">
        <v>-20.79</v>
      </c>
      <c r="W396">
        <v>-278</v>
      </c>
      <c r="X396">
        <v>15.87</v>
      </c>
      <c r="Y396">
        <v>7828</v>
      </c>
      <c r="Z396">
        <v>9587</v>
      </c>
      <c r="AA396">
        <v>0.82</v>
      </c>
      <c r="AB396">
        <v>333</v>
      </c>
      <c r="AC396">
        <v>156</v>
      </c>
      <c r="AD396">
        <v>2.17</v>
      </c>
      <c r="AE396" t="s">
        <v>1889</v>
      </c>
      <c r="AF396" t="s">
        <v>2497</v>
      </c>
      <c r="AG396" t="s">
        <v>1572</v>
      </c>
      <c r="AH396" t="s">
        <v>637</v>
      </c>
      <c r="AI396">
        <v>-2.76</v>
      </c>
      <c r="AJ396">
        <v>-3.58</v>
      </c>
      <c r="AK396">
        <v>0.83</v>
      </c>
      <c r="AL396">
        <v>1.78</v>
      </c>
    </row>
    <row r="397" spans="1:38" x14ac:dyDescent="0.25">
      <c r="A397">
        <v>396</v>
      </c>
      <c r="B397" t="str">
        <f xml:space="preserve"> "000027"</f>
        <v>000027</v>
      </c>
      <c r="C397" t="s">
        <v>2582</v>
      </c>
      <c r="D397">
        <v>6.59</v>
      </c>
      <c r="E397">
        <v>1.54</v>
      </c>
      <c r="F397">
        <v>0.1</v>
      </c>
      <c r="G397" t="s">
        <v>2301</v>
      </c>
      <c r="H397">
        <v>954</v>
      </c>
      <c r="I397">
        <v>6.58</v>
      </c>
      <c r="J397">
        <v>6.59</v>
      </c>
      <c r="K397">
        <v>0</v>
      </c>
      <c r="L397">
        <v>0.39</v>
      </c>
      <c r="M397" t="s">
        <v>2179</v>
      </c>
      <c r="N397">
        <v>32.39</v>
      </c>
      <c r="O397" t="s">
        <v>2085</v>
      </c>
      <c r="P397">
        <v>6.66</v>
      </c>
      <c r="Q397">
        <v>6.51</v>
      </c>
      <c r="R397">
        <v>6.52</v>
      </c>
      <c r="S397">
        <v>6.49</v>
      </c>
      <c r="T397">
        <v>2.31</v>
      </c>
      <c r="U397">
        <v>3.42</v>
      </c>
      <c r="V397">
        <v>-38.799999999999997</v>
      </c>
      <c r="W397">
        <v>-7800</v>
      </c>
      <c r="X397">
        <v>6.6</v>
      </c>
      <c r="Y397" t="s">
        <v>2583</v>
      </c>
      <c r="Z397" t="s">
        <v>2584</v>
      </c>
      <c r="AA397">
        <v>0.79</v>
      </c>
      <c r="AB397">
        <v>1537</v>
      </c>
      <c r="AC397">
        <v>583</v>
      </c>
      <c r="AD397">
        <v>1.21</v>
      </c>
      <c r="AE397" t="s">
        <v>2585</v>
      </c>
      <c r="AF397" t="s">
        <v>2586</v>
      </c>
      <c r="AG397" t="s">
        <v>2585</v>
      </c>
      <c r="AH397" t="s">
        <v>2586</v>
      </c>
      <c r="AI397">
        <v>0.92</v>
      </c>
      <c r="AJ397">
        <v>1.85</v>
      </c>
      <c r="AK397">
        <v>0.62</v>
      </c>
      <c r="AL397">
        <v>0.96</v>
      </c>
    </row>
    <row r="398" spans="1:38" x14ac:dyDescent="0.25">
      <c r="A398">
        <v>397</v>
      </c>
      <c r="B398" t="str">
        <f xml:space="preserve"> "000066"</f>
        <v>000066</v>
      </c>
      <c r="C398" t="s">
        <v>2587</v>
      </c>
      <c r="D398">
        <v>8.86</v>
      </c>
      <c r="E398">
        <v>-0.56000000000000005</v>
      </c>
      <c r="F398">
        <v>-0.05</v>
      </c>
      <c r="G398" t="s">
        <v>1069</v>
      </c>
      <c r="H398">
        <v>2157</v>
      </c>
      <c r="I398">
        <v>8.85</v>
      </c>
      <c r="J398">
        <v>8.86</v>
      </c>
      <c r="K398">
        <v>0</v>
      </c>
      <c r="L398">
        <v>1.17</v>
      </c>
      <c r="M398" t="s">
        <v>2208</v>
      </c>
      <c r="N398">
        <v>45.7</v>
      </c>
      <c r="O398" t="s">
        <v>553</v>
      </c>
      <c r="P398">
        <v>8.9600000000000009</v>
      </c>
      <c r="Q398">
        <v>8.82</v>
      </c>
      <c r="R398">
        <v>8.94</v>
      </c>
      <c r="S398">
        <v>8.91</v>
      </c>
      <c r="T398">
        <v>1.57</v>
      </c>
      <c r="U398">
        <v>0.9</v>
      </c>
      <c r="V398">
        <v>5.8</v>
      </c>
      <c r="W398">
        <v>1617</v>
      </c>
      <c r="X398">
        <v>8.8699999999999992</v>
      </c>
      <c r="Y398" t="s">
        <v>965</v>
      </c>
      <c r="Z398" t="s">
        <v>442</v>
      </c>
      <c r="AA398">
        <v>1.54</v>
      </c>
      <c r="AB398">
        <v>1718</v>
      </c>
      <c r="AC398">
        <v>7385</v>
      </c>
      <c r="AD398">
        <v>3.96</v>
      </c>
      <c r="AE398" t="s">
        <v>2588</v>
      </c>
      <c r="AF398" t="s">
        <v>2586</v>
      </c>
      <c r="AG398" t="s">
        <v>2589</v>
      </c>
      <c r="AH398" t="s">
        <v>419</v>
      </c>
      <c r="AI398">
        <v>0.11</v>
      </c>
      <c r="AJ398">
        <v>2.4300000000000002</v>
      </c>
      <c r="AK398">
        <v>3.87</v>
      </c>
      <c r="AL398">
        <v>7.71</v>
      </c>
    </row>
    <row r="399" spans="1:38" x14ac:dyDescent="0.25">
      <c r="A399">
        <v>398</v>
      </c>
      <c r="B399" t="str">
        <f xml:space="preserve"> "600884"</f>
        <v>600884</v>
      </c>
      <c r="C399" t="s">
        <v>2590</v>
      </c>
      <c r="D399">
        <v>23.16</v>
      </c>
      <c r="E399">
        <v>1.67</v>
      </c>
      <c r="F399">
        <v>0.38</v>
      </c>
      <c r="G399" t="s">
        <v>1895</v>
      </c>
      <c r="H399">
        <v>13</v>
      </c>
      <c r="I399">
        <v>23.15</v>
      </c>
      <c r="J399">
        <v>23.16</v>
      </c>
      <c r="K399">
        <v>0.04</v>
      </c>
      <c r="L399">
        <v>1.94</v>
      </c>
      <c r="M399" t="s">
        <v>2591</v>
      </c>
      <c r="N399">
        <v>38.35</v>
      </c>
      <c r="O399" t="s">
        <v>1443</v>
      </c>
      <c r="P399">
        <v>23.36</v>
      </c>
      <c r="Q399">
        <v>22.82</v>
      </c>
      <c r="R399">
        <v>22.88</v>
      </c>
      <c r="S399">
        <v>22.78</v>
      </c>
      <c r="T399">
        <v>2.37</v>
      </c>
      <c r="U399">
        <v>0.65</v>
      </c>
      <c r="V399">
        <v>-7.93</v>
      </c>
      <c r="W399">
        <v>-186</v>
      </c>
      <c r="X399">
        <v>23.12</v>
      </c>
      <c r="Y399" t="s">
        <v>104</v>
      </c>
      <c r="Z399" t="s">
        <v>2475</v>
      </c>
      <c r="AA399">
        <v>0.89</v>
      </c>
      <c r="AB399">
        <v>167</v>
      </c>
      <c r="AC399">
        <v>17</v>
      </c>
      <c r="AD399">
        <v>3.02</v>
      </c>
      <c r="AE399" t="s">
        <v>2328</v>
      </c>
      <c r="AF399" t="s">
        <v>2337</v>
      </c>
      <c r="AG399" t="s">
        <v>2592</v>
      </c>
      <c r="AH399" t="s">
        <v>2593</v>
      </c>
      <c r="AI399">
        <v>-1.24</v>
      </c>
      <c r="AJ399">
        <v>-4.57</v>
      </c>
      <c r="AK399">
        <v>7.26</v>
      </c>
      <c r="AL399">
        <v>16.88</v>
      </c>
    </row>
    <row r="400" spans="1:38" x14ac:dyDescent="0.25">
      <c r="A400">
        <v>399</v>
      </c>
      <c r="B400" t="str">
        <f xml:space="preserve"> "002831"</f>
        <v>002831</v>
      </c>
      <c r="C400" t="s">
        <v>2594</v>
      </c>
      <c r="D400">
        <v>64.989999999999995</v>
      </c>
      <c r="E400">
        <v>0.28999999999999998</v>
      </c>
      <c r="F400">
        <v>0.19</v>
      </c>
      <c r="G400">
        <v>4490</v>
      </c>
      <c r="H400">
        <v>41</v>
      </c>
      <c r="I400">
        <v>64.989999999999995</v>
      </c>
      <c r="J400">
        <v>65</v>
      </c>
      <c r="K400">
        <v>-0.02</v>
      </c>
      <c r="L400">
        <v>1.1200000000000001</v>
      </c>
      <c r="M400" t="s">
        <v>2595</v>
      </c>
      <c r="N400">
        <v>41.75</v>
      </c>
      <c r="O400" t="s">
        <v>1874</v>
      </c>
      <c r="P400">
        <v>65.150000000000006</v>
      </c>
      <c r="Q400">
        <v>64.48</v>
      </c>
      <c r="R400">
        <v>64.819999999999993</v>
      </c>
      <c r="S400">
        <v>64.8</v>
      </c>
      <c r="T400">
        <v>1.03</v>
      </c>
      <c r="U400">
        <v>0.64</v>
      </c>
      <c r="V400">
        <v>2.39</v>
      </c>
      <c r="W400">
        <v>2</v>
      </c>
      <c r="X400">
        <v>64.81</v>
      </c>
      <c r="Y400">
        <v>2496</v>
      </c>
      <c r="Z400">
        <v>1994</v>
      </c>
      <c r="AA400">
        <v>1.25</v>
      </c>
      <c r="AB400">
        <v>7</v>
      </c>
      <c r="AC400">
        <v>28</v>
      </c>
      <c r="AD400">
        <v>6.19</v>
      </c>
      <c r="AE400" t="s">
        <v>1000</v>
      </c>
      <c r="AF400" t="s">
        <v>2337</v>
      </c>
      <c r="AG400" t="s">
        <v>2596</v>
      </c>
      <c r="AH400" t="s">
        <v>2597</v>
      </c>
      <c r="AI400">
        <v>-1.02</v>
      </c>
      <c r="AJ400">
        <v>2.35</v>
      </c>
      <c r="AK400">
        <v>4.13</v>
      </c>
      <c r="AL400">
        <v>9.9</v>
      </c>
    </row>
    <row r="401" spans="1:38" x14ac:dyDescent="0.25">
      <c r="A401">
        <v>400</v>
      </c>
      <c r="B401" t="str">
        <f xml:space="preserve"> "002019"</f>
        <v>002019</v>
      </c>
      <c r="C401" t="s">
        <v>2598</v>
      </c>
      <c r="D401">
        <v>21.53</v>
      </c>
      <c r="E401">
        <v>-1.19</v>
      </c>
      <c r="F401">
        <v>-0.26</v>
      </c>
      <c r="G401" t="s">
        <v>759</v>
      </c>
      <c r="H401">
        <v>1672</v>
      </c>
      <c r="I401">
        <v>21.53</v>
      </c>
      <c r="J401">
        <v>21.54</v>
      </c>
      <c r="K401">
        <v>0.05</v>
      </c>
      <c r="L401">
        <v>2.0699999999999998</v>
      </c>
      <c r="M401" t="s">
        <v>972</v>
      </c>
      <c r="N401">
        <v>27.01</v>
      </c>
      <c r="O401" t="s">
        <v>392</v>
      </c>
      <c r="P401">
        <v>21.95</v>
      </c>
      <c r="Q401">
        <v>21.46</v>
      </c>
      <c r="R401">
        <v>21.81</v>
      </c>
      <c r="S401">
        <v>21.79</v>
      </c>
      <c r="T401">
        <v>2.25</v>
      </c>
      <c r="U401">
        <v>0.51</v>
      </c>
      <c r="V401">
        <v>53.06</v>
      </c>
      <c r="W401">
        <v>1515</v>
      </c>
      <c r="X401">
        <v>21.6</v>
      </c>
      <c r="Y401" t="s">
        <v>2475</v>
      </c>
      <c r="Z401" t="s">
        <v>2599</v>
      </c>
      <c r="AA401">
        <v>1.35</v>
      </c>
      <c r="AB401">
        <v>200</v>
      </c>
      <c r="AC401">
        <v>340</v>
      </c>
      <c r="AD401">
        <v>4.6100000000000003</v>
      </c>
      <c r="AE401" t="s">
        <v>2071</v>
      </c>
      <c r="AF401" t="s">
        <v>2337</v>
      </c>
      <c r="AG401" t="s">
        <v>2600</v>
      </c>
      <c r="AH401" t="s">
        <v>700</v>
      </c>
      <c r="AI401">
        <v>-0.78</v>
      </c>
      <c r="AJ401">
        <v>3.06</v>
      </c>
      <c r="AK401">
        <v>9.1300000000000008</v>
      </c>
      <c r="AL401">
        <v>22.24</v>
      </c>
    </row>
    <row r="402" spans="1:38" x14ac:dyDescent="0.25">
      <c r="A402">
        <v>401</v>
      </c>
      <c r="B402" t="str">
        <f xml:space="preserve"> "000932"</f>
        <v>000932</v>
      </c>
      <c r="C402" t="s">
        <v>2601</v>
      </c>
      <c r="D402">
        <v>8.6</v>
      </c>
      <c r="E402">
        <v>-0.92</v>
      </c>
      <c r="F402">
        <v>-0.08</v>
      </c>
      <c r="G402" t="s">
        <v>2602</v>
      </c>
      <c r="H402">
        <v>5038</v>
      </c>
      <c r="I402">
        <v>8.59</v>
      </c>
      <c r="J402">
        <v>8.6</v>
      </c>
      <c r="K402">
        <v>-0.12</v>
      </c>
      <c r="L402">
        <v>1.31</v>
      </c>
      <c r="M402" t="s">
        <v>2603</v>
      </c>
      <c r="N402">
        <v>13.56</v>
      </c>
      <c r="O402" t="s">
        <v>416</v>
      </c>
      <c r="P402">
        <v>8.77</v>
      </c>
      <c r="Q402">
        <v>8.4600000000000009</v>
      </c>
      <c r="R402">
        <v>8.67</v>
      </c>
      <c r="S402">
        <v>8.68</v>
      </c>
      <c r="T402">
        <v>3.57</v>
      </c>
      <c r="U402">
        <v>0.91</v>
      </c>
      <c r="V402">
        <v>-20.78</v>
      </c>
      <c r="W402">
        <v>-1551</v>
      </c>
      <c r="X402">
        <v>8.6199999999999992</v>
      </c>
      <c r="Y402" t="s">
        <v>513</v>
      </c>
      <c r="Z402" t="s">
        <v>554</v>
      </c>
      <c r="AA402">
        <v>1.22</v>
      </c>
      <c r="AB402">
        <v>992</v>
      </c>
      <c r="AC402">
        <v>2238</v>
      </c>
      <c r="AD402">
        <v>3.61</v>
      </c>
      <c r="AE402" t="s">
        <v>1968</v>
      </c>
      <c r="AF402" t="s">
        <v>2206</v>
      </c>
      <c r="AG402" t="s">
        <v>1968</v>
      </c>
      <c r="AH402" t="s">
        <v>2206</v>
      </c>
      <c r="AI402">
        <v>-1.04</v>
      </c>
      <c r="AJ402">
        <v>0.94</v>
      </c>
      <c r="AK402">
        <v>4.91</v>
      </c>
      <c r="AL402">
        <v>8.4700000000000006</v>
      </c>
    </row>
    <row r="403" spans="1:38" x14ac:dyDescent="0.25">
      <c r="A403">
        <v>402</v>
      </c>
      <c r="B403" t="str">
        <f xml:space="preserve"> "600026"</f>
        <v>600026</v>
      </c>
      <c r="C403" t="s">
        <v>2604</v>
      </c>
      <c r="D403">
        <v>6.43</v>
      </c>
      <c r="E403">
        <v>0.31</v>
      </c>
      <c r="F403">
        <v>0.02</v>
      </c>
      <c r="G403" t="s">
        <v>2605</v>
      </c>
      <c r="H403">
        <v>93</v>
      </c>
      <c r="I403">
        <v>6.42</v>
      </c>
      <c r="J403">
        <v>6.43</v>
      </c>
      <c r="K403">
        <v>0</v>
      </c>
      <c r="L403">
        <v>0.22</v>
      </c>
      <c r="M403" t="s">
        <v>2606</v>
      </c>
      <c r="N403">
        <v>15.22</v>
      </c>
      <c r="O403" t="s">
        <v>440</v>
      </c>
      <c r="P403">
        <v>6.44</v>
      </c>
      <c r="Q403">
        <v>6.39</v>
      </c>
      <c r="R403">
        <v>6.41</v>
      </c>
      <c r="S403">
        <v>6.41</v>
      </c>
      <c r="T403">
        <v>0.78</v>
      </c>
      <c r="U403">
        <v>0.67</v>
      </c>
      <c r="V403">
        <v>-7.37</v>
      </c>
      <c r="W403">
        <v>-1342</v>
      </c>
      <c r="X403">
        <v>6.41</v>
      </c>
      <c r="Y403" t="s">
        <v>2548</v>
      </c>
      <c r="Z403" t="s">
        <v>1111</v>
      </c>
      <c r="AA403">
        <v>0.87</v>
      </c>
      <c r="AB403">
        <v>865</v>
      </c>
      <c r="AC403">
        <v>107</v>
      </c>
      <c r="AD403">
        <v>0.98</v>
      </c>
      <c r="AE403" t="s">
        <v>2607</v>
      </c>
      <c r="AF403" t="s">
        <v>2206</v>
      </c>
      <c r="AG403" t="s">
        <v>2608</v>
      </c>
      <c r="AH403" t="s">
        <v>2609</v>
      </c>
      <c r="AI403">
        <v>-0.62</v>
      </c>
      <c r="AJ403">
        <v>1.58</v>
      </c>
      <c r="AK403">
        <v>0.86</v>
      </c>
      <c r="AL403">
        <v>1.88</v>
      </c>
    </row>
    <row r="404" spans="1:38" x14ac:dyDescent="0.25">
      <c r="A404">
        <v>403</v>
      </c>
      <c r="B404" t="str">
        <f xml:space="preserve"> "000869"</f>
        <v>000869</v>
      </c>
      <c r="C404" t="s">
        <v>2610</v>
      </c>
      <c r="D404">
        <v>37.81</v>
      </c>
      <c r="E404">
        <v>0.59</v>
      </c>
      <c r="F404">
        <v>0.22</v>
      </c>
      <c r="G404" t="s">
        <v>1796</v>
      </c>
      <c r="H404">
        <v>246</v>
      </c>
      <c r="I404">
        <v>37.81</v>
      </c>
      <c r="J404">
        <v>37.83</v>
      </c>
      <c r="K404">
        <v>-0.05</v>
      </c>
      <c r="L404">
        <v>0.6</v>
      </c>
      <c r="M404" t="s">
        <v>2611</v>
      </c>
      <c r="N404">
        <v>19.34</v>
      </c>
      <c r="O404" t="s">
        <v>123</v>
      </c>
      <c r="P404">
        <v>38.200000000000003</v>
      </c>
      <c r="Q404">
        <v>37.380000000000003</v>
      </c>
      <c r="R404">
        <v>37.549999999999997</v>
      </c>
      <c r="S404">
        <v>37.590000000000003</v>
      </c>
      <c r="T404">
        <v>2.1800000000000002</v>
      </c>
      <c r="U404">
        <v>0.59</v>
      </c>
      <c r="V404">
        <v>54.85</v>
      </c>
      <c r="W404">
        <v>211</v>
      </c>
      <c r="X404">
        <v>37.92</v>
      </c>
      <c r="Y404" t="s">
        <v>1732</v>
      </c>
      <c r="Z404" t="s">
        <v>1799</v>
      </c>
      <c r="AA404">
        <v>1.1399999999999999</v>
      </c>
      <c r="AB404">
        <v>66</v>
      </c>
      <c r="AC404">
        <v>32</v>
      </c>
      <c r="AD404">
        <v>3.04</v>
      </c>
      <c r="AE404" t="s">
        <v>2612</v>
      </c>
      <c r="AF404" t="s">
        <v>2206</v>
      </c>
      <c r="AG404" t="s">
        <v>112</v>
      </c>
      <c r="AH404" t="s">
        <v>2026</v>
      </c>
      <c r="AI404">
        <v>-1.36</v>
      </c>
      <c r="AJ404">
        <v>0.08</v>
      </c>
      <c r="AK404">
        <v>3.04</v>
      </c>
      <c r="AL404">
        <v>5.71</v>
      </c>
    </row>
    <row r="405" spans="1:38" x14ac:dyDescent="0.25">
      <c r="A405">
        <v>404</v>
      </c>
      <c r="B405" t="str">
        <f xml:space="preserve"> "002153"</f>
        <v>002153</v>
      </c>
      <c r="C405" t="s">
        <v>2613</v>
      </c>
      <c r="D405">
        <v>24.11</v>
      </c>
      <c r="E405">
        <v>0.28999999999999998</v>
      </c>
      <c r="F405">
        <v>7.0000000000000007E-2</v>
      </c>
      <c r="G405" t="s">
        <v>2614</v>
      </c>
      <c r="H405">
        <v>512</v>
      </c>
      <c r="I405">
        <v>24.11</v>
      </c>
      <c r="J405">
        <v>24.12</v>
      </c>
      <c r="K405">
        <v>0.04</v>
      </c>
      <c r="L405">
        <v>0.53</v>
      </c>
      <c r="M405" t="s">
        <v>2615</v>
      </c>
      <c r="N405">
        <v>70.47</v>
      </c>
      <c r="O405" t="s">
        <v>893</v>
      </c>
      <c r="P405">
        <v>24.23</v>
      </c>
      <c r="Q405">
        <v>23.8</v>
      </c>
      <c r="R405">
        <v>24</v>
      </c>
      <c r="S405">
        <v>24.04</v>
      </c>
      <c r="T405">
        <v>1.79</v>
      </c>
      <c r="U405">
        <v>0.62</v>
      </c>
      <c r="V405">
        <v>39.39</v>
      </c>
      <c r="W405">
        <v>507</v>
      </c>
      <c r="X405">
        <v>24.08</v>
      </c>
      <c r="Y405" t="s">
        <v>2616</v>
      </c>
      <c r="Z405" t="s">
        <v>2370</v>
      </c>
      <c r="AA405">
        <v>1.03</v>
      </c>
      <c r="AB405">
        <v>200</v>
      </c>
      <c r="AC405">
        <v>29</v>
      </c>
      <c r="AD405">
        <v>5.07</v>
      </c>
      <c r="AE405" t="s">
        <v>1429</v>
      </c>
      <c r="AF405" t="s">
        <v>2617</v>
      </c>
      <c r="AG405" t="s">
        <v>2618</v>
      </c>
      <c r="AH405" t="s">
        <v>171</v>
      </c>
      <c r="AI405">
        <v>-1.1499999999999999</v>
      </c>
      <c r="AJ405">
        <v>3.17</v>
      </c>
      <c r="AK405">
        <v>2.4900000000000002</v>
      </c>
      <c r="AL405">
        <v>4.88</v>
      </c>
    </row>
    <row r="406" spans="1:38" x14ac:dyDescent="0.25">
      <c r="A406">
        <v>405</v>
      </c>
      <c r="B406" t="str">
        <f xml:space="preserve"> "603885"</f>
        <v>603885</v>
      </c>
      <c r="C406" t="s">
        <v>2619</v>
      </c>
      <c r="D406">
        <v>14.31</v>
      </c>
      <c r="E406">
        <v>-0.83</v>
      </c>
      <c r="F406">
        <v>-0.12</v>
      </c>
      <c r="G406" t="s">
        <v>2484</v>
      </c>
      <c r="H406">
        <v>40</v>
      </c>
      <c r="I406">
        <v>14.31</v>
      </c>
      <c r="J406">
        <v>14.32</v>
      </c>
      <c r="K406">
        <v>0.21</v>
      </c>
      <c r="L406">
        <v>1</v>
      </c>
      <c r="M406" t="s">
        <v>2620</v>
      </c>
      <c r="N406">
        <v>20.57</v>
      </c>
      <c r="O406" t="s">
        <v>572</v>
      </c>
      <c r="P406">
        <v>14.44</v>
      </c>
      <c r="Q406">
        <v>14.23</v>
      </c>
      <c r="R406">
        <v>14.42</v>
      </c>
      <c r="S406">
        <v>14.43</v>
      </c>
      <c r="T406">
        <v>1.46</v>
      </c>
      <c r="U406">
        <v>2.67</v>
      </c>
      <c r="V406">
        <v>-50.92</v>
      </c>
      <c r="W406">
        <v>-582</v>
      </c>
      <c r="X406">
        <v>14.31</v>
      </c>
      <c r="Y406" t="s">
        <v>2621</v>
      </c>
      <c r="Z406" t="s">
        <v>507</v>
      </c>
      <c r="AA406">
        <v>1.76</v>
      </c>
      <c r="AB406">
        <v>18</v>
      </c>
      <c r="AC406">
        <v>2</v>
      </c>
      <c r="AD406">
        <v>3.24</v>
      </c>
      <c r="AE406" t="s">
        <v>2434</v>
      </c>
      <c r="AF406" t="s">
        <v>2617</v>
      </c>
      <c r="AG406" t="s">
        <v>2622</v>
      </c>
      <c r="AH406" t="s">
        <v>2623</v>
      </c>
      <c r="AI406">
        <v>-2.72</v>
      </c>
      <c r="AJ406">
        <v>-0.62</v>
      </c>
      <c r="AK406">
        <v>2.17</v>
      </c>
      <c r="AL406">
        <v>2.87</v>
      </c>
    </row>
    <row r="407" spans="1:38" x14ac:dyDescent="0.25">
      <c r="A407">
        <v>406</v>
      </c>
      <c r="B407" t="str">
        <f xml:space="preserve"> "000778"</f>
        <v>000778</v>
      </c>
      <c r="C407" t="s">
        <v>2624</v>
      </c>
      <c r="D407">
        <v>6.43</v>
      </c>
      <c r="E407">
        <v>2.88</v>
      </c>
      <c r="F407">
        <v>0.18</v>
      </c>
      <c r="G407" t="s">
        <v>2625</v>
      </c>
      <c r="H407">
        <v>8972</v>
      </c>
      <c r="I407">
        <v>6.42</v>
      </c>
      <c r="J407">
        <v>6.43</v>
      </c>
      <c r="K407">
        <v>0</v>
      </c>
      <c r="L407">
        <v>1.74</v>
      </c>
      <c r="M407" t="s">
        <v>2626</v>
      </c>
      <c r="N407">
        <v>25.61</v>
      </c>
      <c r="O407" t="s">
        <v>1229</v>
      </c>
      <c r="P407">
        <v>6.49</v>
      </c>
      <c r="Q407">
        <v>6.23</v>
      </c>
      <c r="R407">
        <v>6.25</v>
      </c>
      <c r="S407">
        <v>6.25</v>
      </c>
      <c r="T407">
        <v>4.16</v>
      </c>
      <c r="U407">
        <v>2.38</v>
      </c>
      <c r="V407">
        <v>-30.36</v>
      </c>
      <c r="W407" t="s">
        <v>590</v>
      </c>
      <c r="X407">
        <v>6.39</v>
      </c>
      <c r="Y407" t="s">
        <v>2627</v>
      </c>
      <c r="Z407" t="s">
        <v>2628</v>
      </c>
      <c r="AA407">
        <v>0.57999999999999996</v>
      </c>
      <c r="AB407">
        <v>3595</v>
      </c>
      <c r="AC407" t="s">
        <v>2522</v>
      </c>
      <c r="AD407">
        <v>1.32</v>
      </c>
      <c r="AE407" t="s">
        <v>1127</v>
      </c>
      <c r="AF407" t="s">
        <v>2617</v>
      </c>
      <c r="AG407" t="s">
        <v>2629</v>
      </c>
      <c r="AH407" t="s">
        <v>1543</v>
      </c>
      <c r="AI407">
        <v>0.78</v>
      </c>
      <c r="AJ407">
        <v>2.39</v>
      </c>
      <c r="AK407">
        <v>3.5</v>
      </c>
      <c r="AL407">
        <v>5.4</v>
      </c>
    </row>
    <row r="408" spans="1:38" x14ac:dyDescent="0.25">
      <c r="A408">
        <v>407</v>
      </c>
      <c r="B408" t="str">
        <f xml:space="preserve"> "002385"</f>
        <v>002385</v>
      </c>
      <c r="C408" t="s">
        <v>2630</v>
      </c>
      <c r="D408">
        <v>6.25</v>
      </c>
      <c r="E408">
        <v>0.64</v>
      </c>
      <c r="F408">
        <v>0.04</v>
      </c>
      <c r="G408" t="s">
        <v>2631</v>
      </c>
      <c r="H408">
        <v>1540</v>
      </c>
      <c r="I408">
        <v>6.24</v>
      </c>
      <c r="J408">
        <v>6.25</v>
      </c>
      <c r="K408">
        <v>0.16</v>
      </c>
      <c r="L408">
        <v>0.31</v>
      </c>
      <c r="M408" t="s">
        <v>2632</v>
      </c>
      <c r="N408">
        <v>24.42</v>
      </c>
      <c r="O408" t="s">
        <v>622</v>
      </c>
      <c r="P408">
        <v>6.25</v>
      </c>
      <c r="Q408">
        <v>6.19</v>
      </c>
      <c r="R408">
        <v>6.21</v>
      </c>
      <c r="S408">
        <v>6.21</v>
      </c>
      <c r="T408">
        <v>0.97</v>
      </c>
      <c r="U408">
        <v>0.59</v>
      </c>
      <c r="V408">
        <v>-32.18</v>
      </c>
      <c r="W408">
        <v>-8086</v>
      </c>
      <c r="X408">
        <v>6.23</v>
      </c>
      <c r="Y408" t="s">
        <v>1373</v>
      </c>
      <c r="Z408" t="s">
        <v>2032</v>
      </c>
      <c r="AA408">
        <v>1.06</v>
      </c>
      <c r="AB408">
        <v>1360</v>
      </c>
      <c r="AC408">
        <v>4883</v>
      </c>
      <c r="AD408">
        <v>2.73</v>
      </c>
      <c r="AE408" t="s">
        <v>2633</v>
      </c>
      <c r="AF408" t="s">
        <v>2486</v>
      </c>
      <c r="AG408" t="s">
        <v>2528</v>
      </c>
      <c r="AH408" t="s">
        <v>2634</v>
      </c>
      <c r="AI408">
        <v>0.32</v>
      </c>
      <c r="AJ408">
        <v>2.29</v>
      </c>
      <c r="AK408">
        <v>1.4</v>
      </c>
      <c r="AL408">
        <v>2.96</v>
      </c>
    </row>
    <row r="409" spans="1:38" x14ac:dyDescent="0.25">
      <c r="A409">
        <v>408</v>
      </c>
      <c r="B409" t="str">
        <f xml:space="preserve"> "002424"</f>
        <v>002424</v>
      </c>
      <c r="C409" t="s">
        <v>2635</v>
      </c>
      <c r="D409">
        <v>18.14</v>
      </c>
      <c r="E409">
        <v>0.5</v>
      </c>
      <c r="F409">
        <v>0.09</v>
      </c>
      <c r="G409" t="s">
        <v>2636</v>
      </c>
      <c r="H409">
        <v>1325</v>
      </c>
      <c r="I409">
        <v>18.13</v>
      </c>
      <c r="J409">
        <v>18.14</v>
      </c>
      <c r="K409">
        <v>0</v>
      </c>
      <c r="L409">
        <v>1.37</v>
      </c>
      <c r="M409" t="s">
        <v>2637</v>
      </c>
      <c r="N409">
        <v>53.62</v>
      </c>
      <c r="O409" t="s">
        <v>392</v>
      </c>
      <c r="P409">
        <v>18.420000000000002</v>
      </c>
      <c r="Q409">
        <v>18.02</v>
      </c>
      <c r="R409">
        <v>18.13</v>
      </c>
      <c r="S409">
        <v>18.05</v>
      </c>
      <c r="T409">
        <v>2.2200000000000002</v>
      </c>
      <c r="U409">
        <v>0.62</v>
      </c>
      <c r="V409">
        <v>0.91</v>
      </c>
      <c r="W409">
        <v>40</v>
      </c>
      <c r="X409">
        <v>18.25</v>
      </c>
      <c r="Y409" t="s">
        <v>800</v>
      </c>
      <c r="Z409" t="s">
        <v>2045</v>
      </c>
      <c r="AA409">
        <v>0.79</v>
      </c>
      <c r="AB409">
        <v>622</v>
      </c>
      <c r="AC409">
        <v>516</v>
      </c>
      <c r="AD409">
        <v>8.1300000000000008</v>
      </c>
      <c r="AE409" t="s">
        <v>1715</v>
      </c>
      <c r="AF409" t="s">
        <v>2486</v>
      </c>
      <c r="AG409" t="s">
        <v>1106</v>
      </c>
      <c r="AH409" t="s">
        <v>869</v>
      </c>
      <c r="AI409">
        <v>-0.87</v>
      </c>
      <c r="AJ409">
        <v>6.89</v>
      </c>
      <c r="AK409">
        <v>5.26</v>
      </c>
      <c r="AL409">
        <v>12.47</v>
      </c>
    </row>
    <row r="410" spans="1:38" x14ac:dyDescent="0.25">
      <c r="A410">
        <v>409</v>
      </c>
      <c r="B410" t="str">
        <f xml:space="preserve"> "603019"</f>
        <v>603019</v>
      </c>
      <c r="C410" t="s">
        <v>2638</v>
      </c>
      <c r="D410">
        <v>39.81</v>
      </c>
      <c r="E410">
        <v>6.73</v>
      </c>
      <c r="F410">
        <v>2.5099999999999998</v>
      </c>
      <c r="G410" t="s">
        <v>1457</v>
      </c>
      <c r="H410">
        <v>2</v>
      </c>
      <c r="I410">
        <v>39.799999999999997</v>
      </c>
      <c r="J410">
        <v>39.81</v>
      </c>
      <c r="K410">
        <v>-0.08</v>
      </c>
      <c r="L410">
        <v>12.34</v>
      </c>
      <c r="M410" t="s">
        <v>931</v>
      </c>
      <c r="N410">
        <v>188.95</v>
      </c>
      <c r="O410" t="s">
        <v>553</v>
      </c>
      <c r="P410">
        <v>40.409999999999997</v>
      </c>
      <c r="Q410">
        <v>37.6</v>
      </c>
      <c r="R410">
        <v>37.6</v>
      </c>
      <c r="S410">
        <v>37.299999999999997</v>
      </c>
      <c r="T410">
        <v>7.53</v>
      </c>
      <c r="U410">
        <v>1.45</v>
      </c>
      <c r="V410">
        <v>-65.16</v>
      </c>
      <c r="W410">
        <v>-1126</v>
      </c>
      <c r="X410">
        <v>39.340000000000003</v>
      </c>
      <c r="Y410" t="s">
        <v>1775</v>
      </c>
      <c r="Z410" t="s">
        <v>1977</v>
      </c>
      <c r="AA410">
        <v>0.63</v>
      </c>
      <c r="AB410">
        <v>76</v>
      </c>
      <c r="AC410">
        <v>39</v>
      </c>
      <c r="AD410">
        <v>8.7799999999999994</v>
      </c>
      <c r="AE410" t="s">
        <v>2639</v>
      </c>
      <c r="AF410" t="s">
        <v>2486</v>
      </c>
      <c r="AG410" t="s">
        <v>2640</v>
      </c>
      <c r="AH410" t="s">
        <v>2641</v>
      </c>
      <c r="AI410">
        <v>4.46</v>
      </c>
      <c r="AJ410">
        <v>7.97</v>
      </c>
      <c r="AK410">
        <v>28.5</v>
      </c>
      <c r="AL410">
        <v>54.93</v>
      </c>
    </row>
    <row r="411" spans="1:38" x14ac:dyDescent="0.25">
      <c r="A411">
        <v>410</v>
      </c>
      <c r="B411" t="str">
        <f xml:space="preserve"> "002745"</f>
        <v>002745</v>
      </c>
      <c r="C411" t="s">
        <v>2642</v>
      </c>
      <c r="D411">
        <v>48.45</v>
      </c>
      <c r="E411">
        <v>-0.14000000000000001</v>
      </c>
      <c r="F411">
        <v>-7.0000000000000007E-2</v>
      </c>
      <c r="G411" t="s">
        <v>2643</v>
      </c>
      <c r="H411">
        <v>1707</v>
      </c>
      <c r="I411">
        <v>48.42</v>
      </c>
      <c r="J411">
        <v>48.45</v>
      </c>
      <c r="K411">
        <v>-0.37</v>
      </c>
      <c r="L411">
        <v>3.52</v>
      </c>
      <c r="M411" t="s">
        <v>1463</v>
      </c>
      <c r="N411">
        <v>41.81</v>
      </c>
      <c r="O411" t="s">
        <v>380</v>
      </c>
      <c r="P411">
        <v>48.72</v>
      </c>
      <c r="Q411">
        <v>46.81</v>
      </c>
      <c r="R411">
        <v>47.8</v>
      </c>
      <c r="S411">
        <v>48.52</v>
      </c>
      <c r="T411">
        <v>3.94</v>
      </c>
      <c r="U411">
        <v>0.67</v>
      </c>
      <c r="V411">
        <v>-46.7</v>
      </c>
      <c r="W411">
        <v>-643</v>
      </c>
      <c r="X411">
        <v>47.91</v>
      </c>
      <c r="Y411" t="s">
        <v>2193</v>
      </c>
      <c r="Z411" t="s">
        <v>1043</v>
      </c>
      <c r="AA411">
        <v>1.04</v>
      </c>
      <c r="AB411">
        <v>136</v>
      </c>
      <c r="AC411">
        <v>419</v>
      </c>
      <c r="AD411">
        <v>4.76</v>
      </c>
      <c r="AE411" t="s">
        <v>2438</v>
      </c>
      <c r="AF411" t="s">
        <v>2486</v>
      </c>
      <c r="AG411" t="s">
        <v>514</v>
      </c>
      <c r="AH411" t="s">
        <v>2644</v>
      </c>
      <c r="AI411">
        <v>-1.58</v>
      </c>
      <c r="AJ411">
        <v>5.46</v>
      </c>
      <c r="AK411">
        <v>10.050000000000001</v>
      </c>
      <c r="AL411">
        <v>29.96</v>
      </c>
    </row>
    <row r="412" spans="1:38" x14ac:dyDescent="0.25">
      <c r="A412">
        <v>411</v>
      </c>
      <c r="B412" t="str">
        <f xml:space="preserve"> "002509"</f>
        <v>002509</v>
      </c>
      <c r="C412" t="s">
        <v>2645</v>
      </c>
      <c r="D412">
        <v>10.25</v>
      </c>
      <c r="E412">
        <v>-1.25</v>
      </c>
      <c r="F412">
        <v>-0.13</v>
      </c>
      <c r="G412" t="s">
        <v>160</v>
      </c>
      <c r="H412">
        <v>3575</v>
      </c>
      <c r="I412">
        <v>10.210000000000001</v>
      </c>
      <c r="J412">
        <v>10.25</v>
      </c>
      <c r="K412">
        <v>0.39</v>
      </c>
      <c r="L412">
        <v>0.8</v>
      </c>
      <c r="M412" t="s">
        <v>2646</v>
      </c>
      <c r="N412">
        <v>52.99</v>
      </c>
      <c r="O412" t="s">
        <v>2647</v>
      </c>
      <c r="P412">
        <v>10.35</v>
      </c>
      <c r="Q412">
        <v>9.99</v>
      </c>
      <c r="R412">
        <v>10.28</v>
      </c>
      <c r="S412">
        <v>10.38</v>
      </c>
      <c r="T412">
        <v>3.47</v>
      </c>
      <c r="U412">
        <v>0.8</v>
      </c>
      <c r="V412">
        <v>-91.22</v>
      </c>
      <c r="W412">
        <v>-9307</v>
      </c>
      <c r="X412">
        <v>10.16</v>
      </c>
      <c r="Y412" t="s">
        <v>299</v>
      </c>
      <c r="Z412" t="s">
        <v>1444</v>
      </c>
      <c r="AA412">
        <v>1.35</v>
      </c>
      <c r="AB412">
        <v>152</v>
      </c>
      <c r="AC412">
        <v>3851</v>
      </c>
      <c r="AD412">
        <v>5.45</v>
      </c>
      <c r="AE412" t="s">
        <v>2589</v>
      </c>
      <c r="AF412" t="s">
        <v>1998</v>
      </c>
      <c r="AG412" t="s">
        <v>2648</v>
      </c>
      <c r="AH412" t="s">
        <v>2649</v>
      </c>
      <c r="AI412">
        <v>0.28999999999999998</v>
      </c>
      <c r="AJ412">
        <v>3.74</v>
      </c>
      <c r="AK412">
        <v>3.06</v>
      </c>
      <c r="AL412">
        <v>5.8</v>
      </c>
    </row>
    <row r="413" spans="1:38" x14ac:dyDescent="0.25">
      <c r="A413">
        <v>412</v>
      </c>
      <c r="B413" t="str">
        <f xml:space="preserve"> "002359"</f>
        <v>002359</v>
      </c>
      <c r="C413" t="s">
        <v>2650</v>
      </c>
      <c r="D413">
        <v>23.44</v>
      </c>
      <c r="E413">
        <v>-0.21</v>
      </c>
      <c r="F413">
        <v>-0.05</v>
      </c>
      <c r="G413" t="s">
        <v>2451</v>
      </c>
      <c r="H413">
        <v>7618</v>
      </c>
      <c r="I413">
        <v>23.43</v>
      </c>
      <c r="J413">
        <v>23.44</v>
      </c>
      <c r="K413">
        <v>0.13</v>
      </c>
      <c r="L413">
        <v>0.42</v>
      </c>
      <c r="M413" t="s">
        <v>2651</v>
      </c>
      <c r="N413">
        <v>499.31</v>
      </c>
      <c r="O413" t="s">
        <v>680</v>
      </c>
      <c r="P413">
        <v>23.85</v>
      </c>
      <c r="Q413">
        <v>23.17</v>
      </c>
      <c r="R413">
        <v>23.55</v>
      </c>
      <c r="S413">
        <v>23.49</v>
      </c>
      <c r="T413">
        <v>2.89</v>
      </c>
      <c r="U413">
        <v>1.31</v>
      </c>
      <c r="V413">
        <v>-66.84</v>
      </c>
      <c r="W413">
        <v>-1204</v>
      </c>
      <c r="X413">
        <v>23.42</v>
      </c>
      <c r="Y413">
        <v>9565</v>
      </c>
      <c r="Z413" t="s">
        <v>1381</v>
      </c>
      <c r="AA413">
        <v>0.48</v>
      </c>
      <c r="AB413">
        <v>30</v>
      </c>
      <c r="AC413">
        <v>964</v>
      </c>
      <c r="AD413">
        <v>4.32</v>
      </c>
      <c r="AE413" t="s">
        <v>888</v>
      </c>
      <c r="AF413" t="s">
        <v>1998</v>
      </c>
      <c r="AG413" t="s">
        <v>2600</v>
      </c>
      <c r="AH413" t="s">
        <v>2649</v>
      </c>
      <c r="AI413">
        <v>2</v>
      </c>
      <c r="AJ413">
        <v>-0.97</v>
      </c>
      <c r="AK413">
        <v>1.08</v>
      </c>
      <c r="AL413">
        <v>2.02</v>
      </c>
    </row>
    <row r="414" spans="1:38" x14ac:dyDescent="0.25">
      <c r="A414">
        <v>413</v>
      </c>
      <c r="B414" t="str">
        <f xml:space="preserve"> "603515"</f>
        <v>603515</v>
      </c>
      <c r="C414" t="s">
        <v>2652</v>
      </c>
      <c r="D414">
        <v>43.97</v>
      </c>
      <c r="E414">
        <v>0</v>
      </c>
      <c r="F414">
        <v>0</v>
      </c>
      <c r="G414" t="s">
        <v>2653</v>
      </c>
      <c r="H414">
        <v>1</v>
      </c>
      <c r="I414">
        <v>43.95</v>
      </c>
      <c r="J414">
        <v>43.98</v>
      </c>
      <c r="K414">
        <v>0.05</v>
      </c>
      <c r="L414">
        <v>2.17</v>
      </c>
      <c r="M414" t="s">
        <v>2654</v>
      </c>
      <c r="N414">
        <v>49.25</v>
      </c>
      <c r="O414" t="s">
        <v>380</v>
      </c>
      <c r="P414">
        <v>44.96</v>
      </c>
      <c r="Q414">
        <v>43.19</v>
      </c>
      <c r="R414">
        <v>43.88</v>
      </c>
      <c r="S414">
        <v>43.97</v>
      </c>
      <c r="T414">
        <v>4.03</v>
      </c>
      <c r="U414">
        <v>1.18</v>
      </c>
      <c r="V414">
        <v>-52</v>
      </c>
      <c r="W414">
        <v>-280</v>
      </c>
      <c r="X414">
        <v>43.98</v>
      </c>
      <c r="Y414" t="s">
        <v>1785</v>
      </c>
      <c r="Z414" t="s">
        <v>2284</v>
      </c>
      <c r="AA414">
        <v>1.03</v>
      </c>
      <c r="AB414">
        <v>76</v>
      </c>
      <c r="AC414">
        <v>5</v>
      </c>
      <c r="AD414">
        <v>7.93</v>
      </c>
      <c r="AE414" t="s">
        <v>2655</v>
      </c>
      <c r="AF414" t="s">
        <v>1998</v>
      </c>
      <c r="AG414" t="s">
        <v>2656</v>
      </c>
      <c r="AH414" t="s">
        <v>1610</v>
      </c>
      <c r="AI414">
        <v>6.18</v>
      </c>
      <c r="AJ414">
        <v>9.3800000000000008</v>
      </c>
      <c r="AK414">
        <v>7.16</v>
      </c>
      <c r="AL414">
        <v>11.39</v>
      </c>
    </row>
    <row r="415" spans="1:38" x14ac:dyDescent="0.25">
      <c r="A415">
        <v>414</v>
      </c>
      <c r="B415" t="str">
        <f xml:space="preserve"> "000887"</f>
        <v>000887</v>
      </c>
      <c r="C415" t="s">
        <v>2657</v>
      </c>
      <c r="D415">
        <v>20.63</v>
      </c>
      <c r="E415">
        <v>0.34</v>
      </c>
      <c r="F415">
        <v>7.0000000000000007E-2</v>
      </c>
      <c r="G415" t="s">
        <v>748</v>
      </c>
      <c r="H415">
        <v>613</v>
      </c>
      <c r="I415">
        <v>20.62</v>
      </c>
      <c r="J415">
        <v>20.63</v>
      </c>
      <c r="K415">
        <v>0</v>
      </c>
      <c r="L415">
        <v>0.66</v>
      </c>
      <c r="M415" t="s">
        <v>1112</v>
      </c>
      <c r="N415">
        <v>20.399999999999999</v>
      </c>
      <c r="O415" t="s">
        <v>2128</v>
      </c>
      <c r="P415">
        <v>20.84</v>
      </c>
      <c r="Q415">
        <v>20.34</v>
      </c>
      <c r="R415">
        <v>20.34</v>
      </c>
      <c r="S415">
        <v>20.56</v>
      </c>
      <c r="T415">
        <v>2.4300000000000002</v>
      </c>
      <c r="U415">
        <v>0.73</v>
      </c>
      <c r="V415">
        <v>20.55</v>
      </c>
      <c r="W415">
        <v>405</v>
      </c>
      <c r="X415">
        <v>20.56</v>
      </c>
      <c r="Y415" t="s">
        <v>2658</v>
      </c>
      <c r="Z415" t="s">
        <v>1547</v>
      </c>
      <c r="AA415">
        <v>0.9</v>
      </c>
      <c r="AB415">
        <v>76</v>
      </c>
      <c r="AC415">
        <v>138</v>
      </c>
      <c r="AD415">
        <v>3.66</v>
      </c>
      <c r="AE415" t="s">
        <v>2659</v>
      </c>
      <c r="AF415" t="s">
        <v>1998</v>
      </c>
      <c r="AG415" t="s">
        <v>1115</v>
      </c>
      <c r="AH415" t="s">
        <v>133</v>
      </c>
      <c r="AI415">
        <v>-3.42</v>
      </c>
      <c r="AJ415">
        <v>-2.1800000000000002</v>
      </c>
      <c r="AK415">
        <v>2.27</v>
      </c>
      <c r="AL415">
        <v>5.16</v>
      </c>
    </row>
    <row r="416" spans="1:38" x14ac:dyDescent="0.25">
      <c r="A416">
        <v>415</v>
      </c>
      <c r="B416" t="str">
        <f xml:space="preserve"> "600649"</f>
        <v>600649</v>
      </c>
      <c r="C416" t="s">
        <v>2660</v>
      </c>
      <c r="D416">
        <v>10.039999999999999</v>
      </c>
      <c r="E416">
        <v>1.21</v>
      </c>
      <c r="F416">
        <v>0.12</v>
      </c>
      <c r="G416" t="s">
        <v>2661</v>
      </c>
      <c r="H416">
        <v>30</v>
      </c>
      <c r="I416">
        <v>10.029999999999999</v>
      </c>
      <c r="J416">
        <v>10.039999999999999</v>
      </c>
      <c r="K416">
        <v>0</v>
      </c>
      <c r="L416">
        <v>0.79</v>
      </c>
      <c r="M416" t="s">
        <v>2662</v>
      </c>
      <c r="N416">
        <v>14.06</v>
      </c>
      <c r="O416" t="s">
        <v>244</v>
      </c>
      <c r="P416">
        <v>10.09</v>
      </c>
      <c r="Q416">
        <v>9.89</v>
      </c>
      <c r="R416">
        <v>9.92</v>
      </c>
      <c r="S416">
        <v>9.92</v>
      </c>
      <c r="T416">
        <v>2.02</v>
      </c>
      <c r="U416">
        <v>1.53</v>
      </c>
      <c r="V416">
        <v>-25.69</v>
      </c>
      <c r="W416">
        <v>-4479</v>
      </c>
      <c r="X416">
        <v>10.02</v>
      </c>
      <c r="Y416" t="s">
        <v>1923</v>
      </c>
      <c r="Z416" t="s">
        <v>2003</v>
      </c>
      <c r="AA416">
        <v>0.72</v>
      </c>
      <c r="AB416">
        <v>2041</v>
      </c>
      <c r="AC416">
        <v>184</v>
      </c>
      <c r="AD416">
        <v>1.39</v>
      </c>
      <c r="AE416" t="s">
        <v>2663</v>
      </c>
      <c r="AF416" t="s">
        <v>2572</v>
      </c>
      <c r="AG416" t="s">
        <v>1104</v>
      </c>
      <c r="AH416" t="s">
        <v>1642</v>
      </c>
      <c r="AI416">
        <v>0.2</v>
      </c>
      <c r="AJ416">
        <v>1.52</v>
      </c>
      <c r="AK416">
        <v>1.59</v>
      </c>
      <c r="AL416">
        <v>3.39</v>
      </c>
    </row>
    <row r="417" spans="1:38" x14ac:dyDescent="0.25">
      <c r="A417">
        <v>416</v>
      </c>
      <c r="B417" t="str">
        <f xml:space="preserve"> "000008"</f>
        <v>000008</v>
      </c>
      <c r="C417" t="s">
        <v>2664</v>
      </c>
      <c r="D417">
        <v>9</v>
      </c>
      <c r="E417">
        <v>-1.32</v>
      </c>
      <c r="F417">
        <v>-0.12</v>
      </c>
      <c r="G417" t="s">
        <v>345</v>
      </c>
      <c r="H417">
        <v>2627</v>
      </c>
      <c r="I417">
        <v>9</v>
      </c>
      <c r="J417">
        <v>9.01</v>
      </c>
      <c r="K417">
        <v>-0.11</v>
      </c>
      <c r="L417">
        <v>0.28999999999999998</v>
      </c>
      <c r="M417" t="s">
        <v>2665</v>
      </c>
      <c r="N417">
        <v>227.63</v>
      </c>
      <c r="O417" t="s">
        <v>253</v>
      </c>
      <c r="P417">
        <v>9.11</v>
      </c>
      <c r="Q417">
        <v>8.9499999999999993</v>
      </c>
      <c r="R417">
        <v>9.0299999999999994</v>
      </c>
      <c r="S417">
        <v>9.1199999999999992</v>
      </c>
      <c r="T417">
        <v>1.75</v>
      </c>
      <c r="U417">
        <v>0.59</v>
      </c>
      <c r="V417">
        <v>62.4</v>
      </c>
      <c r="W417">
        <v>3496</v>
      </c>
      <c r="X417">
        <v>9.02</v>
      </c>
      <c r="Y417" t="s">
        <v>2621</v>
      </c>
      <c r="Z417" t="s">
        <v>394</v>
      </c>
      <c r="AA417">
        <v>1.51</v>
      </c>
      <c r="AB417">
        <v>1120</v>
      </c>
      <c r="AC417">
        <v>89</v>
      </c>
      <c r="AD417">
        <v>4.09</v>
      </c>
      <c r="AE417" t="s">
        <v>395</v>
      </c>
      <c r="AF417" t="s">
        <v>2572</v>
      </c>
      <c r="AG417" t="s">
        <v>2666</v>
      </c>
      <c r="AH417" t="s">
        <v>2072</v>
      </c>
      <c r="AI417">
        <v>-1.85</v>
      </c>
      <c r="AJ417">
        <v>4.41</v>
      </c>
      <c r="AK417">
        <v>1.1200000000000001</v>
      </c>
      <c r="AL417">
        <v>2.7</v>
      </c>
    </row>
    <row r="418" spans="1:38" x14ac:dyDescent="0.25">
      <c r="A418">
        <v>417</v>
      </c>
      <c r="B418" t="str">
        <f xml:space="preserve"> "000581"</f>
        <v>000581</v>
      </c>
      <c r="C418" t="s">
        <v>2667</v>
      </c>
      <c r="D418">
        <v>25.13</v>
      </c>
      <c r="E418">
        <v>1.54</v>
      </c>
      <c r="F418">
        <v>0.38</v>
      </c>
      <c r="G418" t="s">
        <v>1242</v>
      </c>
      <c r="H418">
        <v>1710</v>
      </c>
      <c r="I418">
        <v>25.13</v>
      </c>
      <c r="J418">
        <v>25.14</v>
      </c>
      <c r="K418">
        <v>0</v>
      </c>
      <c r="L418">
        <v>1.38</v>
      </c>
      <c r="M418" t="s">
        <v>2668</v>
      </c>
      <c r="N418">
        <v>9.56</v>
      </c>
      <c r="O418" t="s">
        <v>169</v>
      </c>
      <c r="P418">
        <v>25.18</v>
      </c>
      <c r="Q418">
        <v>24.59</v>
      </c>
      <c r="R418">
        <v>24.76</v>
      </c>
      <c r="S418">
        <v>24.75</v>
      </c>
      <c r="T418">
        <v>2.38</v>
      </c>
      <c r="U418">
        <v>1.2</v>
      </c>
      <c r="V418">
        <v>-54.47</v>
      </c>
      <c r="W418">
        <v>-4095</v>
      </c>
      <c r="X418">
        <v>24.92</v>
      </c>
      <c r="Y418" t="s">
        <v>1947</v>
      </c>
      <c r="Z418" t="s">
        <v>914</v>
      </c>
      <c r="AA418">
        <v>0.67</v>
      </c>
      <c r="AB418">
        <v>501</v>
      </c>
      <c r="AC418">
        <v>813</v>
      </c>
      <c r="AD418">
        <v>1.95</v>
      </c>
      <c r="AE418" t="s">
        <v>262</v>
      </c>
      <c r="AF418" t="s">
        <v>2572</v>
      </c>
      <c r="AG418" t="s">
        <v>2669</v>
      </c>
      <c r="AH418" t="s">
        <v>1563</v>
      </c>
      <c r="AI418">
        <v>0.72</v>
      </c>
      <c r="AJ418">
        <v>3.89</v>
      </c>
      <c r="AK418">
        <v>3.79</v>
      </c>
      <c r="AL418">
        <v>7.16</v>
      </c>
    </row>
    <row r="419" spans="1:38" x14ac:dyDescent="0.25">
      <c r="A419">
        <v>418</v>
      </c>
      <c r="B419" t="str">
        <f xml:space="preserve"> "600074"</f>
        <v>600074</v>
      </c>
      <c r="C419" t="s">
        <v>2670</v>
      </c>
      <c r="D419" t="s">
        <v>616</v>
      </c>
      <c r="E419" t="s">
        <v>616</v>
      </c>
      <c r="F419" t="s">
        <v>616</v>
      </c>
      <c r="G419" t="s">
        <v>616</v>
      </c>
      <c r="H419" t="s">
        <v>616</v>
      </c>
      <c r="I419" t="s">
        <v>616</v>
      </c>
      <c r="J419" t="s">
        <v>616</v>
      </c>
      <c r="K419" t="s">
        <v>616</v>
      </c>
      <c r="L419" t="s">
        <v>616</v>
      </c>
      <c r="M419" t="s">
        <v>616</v>
      </c>
      <c r="N419">
        <v>34.39</v>
      </c>
      <c r="O419" t="s">
        <v>205</v>
      </c>
      <c r="P419" t="s">
        <v>616</v>
      </c>
      <c r="Q419" t="s">
        <v>616</v>
      </c>
      <c r="R419" t="s">
        <v>616</v>
      </c>
      <c r="S419">
        <v>10.39</v>
      </c>
      <c r="T419" t="s">
        <v>616</v>
      </c>
      <c r="U419" t="s">
        <v>616</v>
      </c>
      <c r="V419" t="s">
        <v>616</v>
      </c>
      <c r="W419" t="s">
        <v>616</v>
      </c>
      <c r="X419" t="s">
        <v>616</v>
      </c>
      <c r="Y419" t="s">
        <v>616</v>
      </c>
      <c r="Z419" t="s">
        <v>616</v>
      </c>
      <c r="AA419" t="s">
        <v>616</v>
      </c>
      <c r="AB419" t="s">
        <v>616</v>
      </c>
      <c r="AC419" t="s">
        <v>616</v>
      </c>
      <c r="AD419">
        <v>5.32</v>
      </c>
      <c r="AE419" t="s">
        <v>903</v>
      </c>
      <c r="AF419" t="s">
        <v>2671</v>
      </c>
      <c r="AG419" t="s">
        <v>1766</v>
      </c>
      <c r="AH419" t="s">
        <v>1459</v>
      </c>
      <c r="AI419">
        <v>0</v>
      </c>
      <c r="AJ419">
        <v>0</v>
      </c>
      <c r="AK419">
        <v>0</v>
      </c>
      <c r="AL419">
        <v>0</v>
      </c>
    </row>
    <row r="420" spans="1:38" x14ac:dyDescent="0.25">
      <c r="A420">
        <v>419</v>
      </c>
      <c r="B420" t="str">
        <f xml:space="preserve"> "600525"</f>
        <v>600525</v>
      </c>
      <c r="C420" t="s">
        <v>2672</v>
      </c>
      <c r="D420">
        <v>19.22</v>
      </c>
      <c r="E420">
        <v>2.0699999999999998</v>
      </c>
      <c r="F420">
        <v>0.39</v>
      </c>
      <c r="G420" t="s">
        <v>1179</v>
      </c>
      <c r="H420">
        <v>127</v>
      </c>
      <c r="I420">
        <v>19.22</v>
      </c>
      <c r="J420">
        <v>19.23</v>
      </c>
      <c r="K420">
        <v>-0.05</v>
      </c>
      <c r="L420">
        <v>0.6</v>
      </c>
      <c r="M420" t="s">
        <v>2106</v>
      </c>
      <c r="N420">
        <v>47.82</v>
      </c>
      <c r="O420" t="s">
        <v>859</v>
      </c>
      <c r="P420">
        <v>19.25</v>
      </c>
      <c r="Q420">
        <v>18.71</v>
      </c>
      <c r="R420">
        <v>18.78</v>
      </c>
      <c r="S420">
        <v>18.829999999999998</v>
      </c>
      <c r="T420">
        <v>2.87</v>
      </c>
      <c r="U420">
        <v>0.54</v>
      </c>
      <c r="V420">
        <v>-1.6</v>
      </c>
      <c r="W420">
        <v>-76</v>
      </c>
      <c r="X420">
        <v>19.14</v>
      </c>
      <c r="Y420" t="s">
        <v>1500</v>
      </c>
      <c r="Z420" t="s">
        <v>2673</v>
      </c>
      <c r="AA420">
        <v>0.65</v>
      </c>
      <c r="AB420">
        <v>373</v>
      </c>
      <c r="AC420">
        <v>557</v>
      </c>
      <c r="AD420">
        <v>3.43</v>
      </c>
      <c r="AE420" t="s">
        <v>1358</v>
      </c>
      <c r="AF420" t="s">
        <v>2671</v>
      </c>
      <c r="AG420" t="s">
        <v>2674</v>
      </c>
      <c r="AH420" t="s">
        <v>2675</v>
      </c>
      <c r="AI420">
        <v>0.42</v>
      </c>
      <c r="AJ420">
        <v>-2.58</v>
      </c>
      <c r="AK420">
        <v>2.2400000000000002</v>
      </c>
      <c r="AL420">
        <v>6.17</v>
      </c>
    </row>
    <row r="421" spans="1:38" x14ac:dyDescent="0.25">
      <c r="A421">
        <v>420</v>
      </c>
      <c r="B421" t="str">
        <f xml:space="preserve"> "300699"</f>
        <v>300699</v>
      </c>
      <c r="C421" t="s">
        <v>2676</v>
      </c>
      <c r="D421">
        <v>68.650000000000006</v>
      </c>
      <c r="E421">
        <v>2.16</v>
      </c>
      <c r="F421">
        <v>1.45</v>
      </c>
      <c r="G421" t="s">
        <v>1780</v>
      </c>
      <c r="H421">
        <v>1954</v>
      </c>
      <c r="I421">
        <v>68.650000000000006</v>
      </c>
      <c r="J421">
        <v>68.66</v>
      </c>
      <c r="K421">
        <v>0</v>
      </c>
      <c r="L421">
        <v>14.29</v>
      </c>
      <c r="M421" t="s">
        <v>2677</v>
      </c>
      <c r="N421">
        <v>82.75</v>
      </c>
      <c r="O421" t="s">
        <v>667</v>
      </c>
      <c r="P421">
        <v>70.010000000000005</v>
      </c>
      <c r="Q421">
        <v>68.08</v>
      </c>
      <c r="R421">
        <v>68.5</v>
      </c>
      <c r="S421">
        <v>67.2</v>
      </c>
      <c r="T421">
        <v>2.87</v>
      </c>
      <c r="U421">
        <v>0.49</v>
      </c>
      <c r="V421">
        <v>77.260000000000005</v>
      </c>
      <c r="W421">
        <v>1221</v>
      </c>
      <c r="X421">
        <v>68.97</v>
      </c>
      <c r="Y421" t="s">
        <v>2499</v>
      </c>
      <c r="Z421" t="s">
        <v>2401</v>
      </c>
      <c r="AA421">
        <v>1.07</v>
      </c>
      <c r="AB421">
        <v>500</v>
      </c>
      <c r="AC421">
        <v>46</v>
      </c>
      <c r="AD421">
        <v>10.06</v>
      </c>
      <c r="AE421" t="s">
        <v>2591</v>
      </c>
      <c r="AF421" t="s">
        <v>2671</v>
      </c>
      <c r="AG421" t="s">
        <v>2678</v>
      </c>
      <c r="AH421" t="s">
        <v>2679</v>
      </c>
      <c r="AI421">
        <v>-6</v>
      </c>
      <c r="AJ421">
        <v>-13.2</v>
      </c>
      <c r="AK421">
        <v>70.47</v>
      </c>
      <c r="AL421">
        <v>160.16999999999999</v>
      </c>
    </row>
    <row r="422" spans="1:38" x14ac:dyDescent="0.25">
      <c r="A422">
        <v>421</v>
      </c>
      <c r="B422" t="str">
        <f xml:space="preserve"> "300027"</f>
        <v>300027</v>
      </c>
      <c r="C422" t="s">
        <v>2680</v>
      </c>
      <c r="D422">
        <v>9.09</v>
      </c>
      <c r="E422">
        <v>0.78</v>
      </c>
      <c r="F422">
        <v>7.0000000000000007E-2</v>
      </c>
      <c r="G422" t="s">
        <v>767</v>
      </c>
      <c r="H422">
        <v>2179</v>
      </c>
      <c r="I422">
        <v>9.08</v>
      </c>
      <c r="J422">
        <v>9.09</v>
      </c>
      <c r="K422">
        <v>0.11</v>
      </c>
      <c r="L422">
        <v>0.64</v>
      </c>
      <c r="M422" t="s">
        <v>679</v>
      </c>
      <c r="N422">
        <v>29.3</v>
      </c>
      <c r="O422" t="s">
        <v>1126</v>
      </c>
      <c r="P422">
        <v>9.1</v>
      </c>
      <c r="Q422">
        <v>9.01</v>
      </c>
      <c r="R422">
        <v>9.0500000000000007</v>
      </c>
      <c r="S422">
        <v>9.02</v>
      </c>
      <c r="T422">
        <v>1</v>
      </c>
      <c r="U422">
        <v>0.67</v>
      </c>
      <c r="V422">
        <v>-43.93</v>
      </c>
      <c r="W422">
        <v>-7632</v>
      </c>
      <c r="X422">
        <v>9.0500000000000007</v>
      </c>
      <c r="Y422" t="s">
        <v>399</v>
      </c>
      <c r="Z422" t="s">
        <v>1557</v>
      </c>
      <c r="AA422">
        <v>0.86</v>
      </c>
      <c r="AB422">
        <v>2037</v>
      </c>
      <c r="AC422">
        <v>3085</v>
      </c>
      <c r="AD422">
        <v>2.67</v>
      </c>
      <c r="AE422" t="s">
        <v>1292</v>
      </c>
      <c r="AF422" t="s">
        <v>133</v>
      </c>
      <c r="AG422" t="s">
        <v>486</v>
      </c>
      <c r="AH422" t="s">
        <v>2681</v>
      </c>
      <c r="AI422">
        <v>-0.76</v>
      </c>
      <c r="AJ422">
        <v>1.56</v>
      </c>
      <c r="AK422">
        <v>2.14</v>
      </c>
      <c r="AL422">
        <v>5.39</v>
      </c>
    </row>
    <row r="423" spans="1:38" x14ac:dyDescent="0.25">
      <c r="A423">
        <v>422</v>
      </c>
      <c r="B423" t="str">
        <f xml:space="preserve"> "000977"</f>
        <v>000977</v>
      </c>
      <c r="C423" t="s">
        <v>2682</v>
      </c>
      <c r="D423">
        <v>19.559999999999999</v>
      </c>
      <c r="E423">
        <v>-0.61</v>
      </c>
      <c r="F423">
        <v>-0.12</v>
      </c>
      <c r="G423" t="s">
        <v>2150</v>
      </c>
      <c r="H423">
        <v>2929</v>
      </c>
      <c r="I423">
        <v>19.559999999999999</v>
      </c>
      <c r="J423">
        <v>19.57</v>
      </c>
      <c r="K423">
        <v>0</v>
      </c>
      <c r="L423">
        <v>1.44</v>
      </c>
      <c r="M423" t="s">
        <v>474</v>
      </c>
      <c r="N423">
        <v>87.67</v>
      </c>
      <c r="O423" t="s">
        <v>553</v>
      </c>
      <c r="P423">
        <v>19.86</v>
      </c>
      <c r="Q423">
        <v>19.46</v>
      </c>
      <c r="R423">
        <v>19.62</v>
      </c>
      <c r="S423">
        <v>19.68</v>
      </c>
      <c r="T423">
        <v>2.0299999999999998</v>
      </c>
      <c r="U423">
        <v>0.56000000000000005</v>
      </c>
      <c r="V423">
        <v>60.08</v>
      </c>
      <c r="W423">
        <v>1592</v>
      </c>
      <c r="X423">
        <v>19.62</v>
      </c>
      <c r="Y423" t="s">
        <v>442</v>
      </c>
      <c r="Z423" t="s">
        <v>1760</v>
      </c>
      <c r="AA423">
        <v>1.62</v>
      </c>
      <c r="AB423">
        <v>1133</v>
      </c>
      <c r="AC423">
        <v>132</v>
      </c>
      <c r="AD423">
        <v>3.6</v>
      </c>
      <c r="AE423" t="s">
        <v>2683</v>
      </c>
      <c r="AF423" t="s">
        <v>133</v>
      </c>
      <c r="AG423" t="s">
        <v>1376</v>
      </c>
      <c r="AH423" t="s">
        <v>1505</v>
      </c>
      <c r="AI423">
        <v>-3.69</v>
      </c>
      <c r="AJ423">
        <v>1.61</v>
      </c>
      <c r="AK423">
        <v>6.2</v>
      </c>
      <c r="AL423">
        <v>14.41</v>
      </c>
    </row>
    <row r="424" spans="1:38" x14ac:dyDescent="0.25">
      <c r="A424">
        <v>423</v>
      </c>
      <c r="B424" t="str">
        <f xml:space="preserve"> "300142"</f>
        <v>300142</v>
      </c>
      <c r="C424" t="s">
        <v>2684</v>
      </c>
      <c r="D424">
        <v>16.399999999999999</v>
      </c>
      <c r="E424">
        <v>-1.2</v>
      </c>
      <c r="F424">
        <v>-0.2</v>
      </c>
      <c r="G424" t="s">
        <v>2685</v>
      </c>
      <c r="H424">
        <v>1750</v>
      </c>
      <c r="I424">
        <v>16.399999999999999</v>
      </c>
      <c r="J424">
        <v>16.41</v>
      </c>
      <c r="K424">
        <v>0.12</v>
      </c>
      <c r="L424">
        <v>1.71</v>
      </c>
      <c r="M424" t="s">
        <v>2686</v>
      </c>
      <c r="N424">
        <v>-293.07</v>
      </c>
      <c r="O424" t="s">
        <v>392</v>
      </c>
      <c r="P424">
        <v>16.84</v>
      </c>
      <c r="Q424">
        <v>16</v>
      </c>
      <c r="R424">
        <v>16.559999999999999</v>
      </c>
      <c r="S424">
        <v>16.600000000000001</v>
      </c>
      <c r="T424">
        <v>5.0599999999999996</v>
      </c>
      <c r="U424">
        <v>1.02</v>
      </c>
      <c r="V424">
        <v>69.66</v>
      </c>
      <c r="W424" t="s">
        <v>1685</v>
      </c>
      <c r="X424">
        <v>16.43</v>
      </c>
      <c r="Y424" t="s">
        <v>102</v>
      </c>
      <c r="Z424" t="s">
        <v>991</v>
      </c>
      <c r="AA424">
        <v>1.08</v>
      </c>
      <c r="AB424">
        <v>9293</v>
      </c>
      <c r="AC424">
        <v>2049</v>
      </c>
      <c r="AD424">
        <v>7.99</v>
      </c>
      <c r="AE424" t="s">
        <v>2422</v>
      </c>
      <c r="AF424" t="s">
        <v>133</v>
      </c>
      <c r="AG424" t="s">
        <v>2683</v>
      </c>
      <c r="AH424" t="s">
        <v>2687</v>
      </c>
      <c r="AI424">
        <v>-8.5299999999999994</v>
      </c>
      <c r="AJ424">
        <v>-2.79</v>
      </c>
      <c r="AK424">
        <v>5.56</v>
      </c>
      <c r="AL424">
        <v>10.11</v>
      </c>
    </row>
    <row r="425" spans="1:38" x14ac:dyDescent="0.25">
      <c r="A425">
        <v>424</v>
      </c>
      <c r="B425" t="str">
        <f xml:space="preserve"> "600874"</f>
        <v>600874</v>
      </c>
      <c r="C425" t="s">
        <v>2688</v>
      </c>
      <c r="D425">
        <v>17.66</v>
      </c>
      <c r="E425">
        <v>6.77</v>
      </c>
      <c r="F425">
        <v>1.1200000000000001</v>
      </c>
      <c r="G425" t="s">
        <v>2689</v>
      </c>
      <c r="H425">
        <v>3</v>
      </c>
      <c r="I425">
        <v>17.66</v>
      </c>
      <c r="J425">
        <v>17.670000000000002</v>
      </c>
      <c r="K425">
        <v>0.17</v>
      </c>
      <c r="L425">
        <v>5.75</v>
      </c>
      <c r="M425" t="s">
        <v>352</v>
      </c>
      <c r="N425">
        <v>49.41</v>
      </c>
      <c r="O425" t="s">
        <v>2085</v>
      </c>
      <c r="P425">
        <v>17.87</v>
      </c>
      <c r="Q425">
        <v>16.2</v>
      </c>
      <c r="R425">
        <v>16.38</v>
      </c>
      <c r="S425">
        <v>16.54</v>
      </c>
      <c r="T425">
        <v>10.1</v>
      </c>
      <c r="U425">
        <v>4.2</v>
      </c>
      <c r="V425">
        <v>-59.65</v>
      </c>
      <c r="W425">
        <v>-6018</v>
      </c>
      <c r="X425">
        <v>17.239999999999998</v>
      </c>
      <c r="Y425" t="s">
        <v>1916</v>
      </c>
      <c r="Z425" t="s">
        <v>551</v>
      </c>
      <c r="AA425">
        <v>0.78</v>
      </c>
      <c r="AB425">
        <v>14</v>
      </c>
      <c r="AC425">
        <v>1201</v>
      </c>
      <c r="AD425">
        <v>5.33</v>
      </c>
      <c r="AE425" t="s">
        <v>2246</v>
      </c>
      <c r="AF425" t="s">
        <v>133</v>
      </c>
      <c r="AG425" t="s">
        <v>888</v>
      </c>
      <c r="AH425" t="s">
        <v>2413</v>
      </c>
      <c r="AI425">
        <v>5.75</v>
      </c>
      <c r="AJ425">
        <v>10.31</v>
      </c>
      <c r="AK425">
        <v>8.6</v>
      </c>
      <c r="AL425">
        <v>12.6</v>
      </c>
    </row>
    <row r="426" spans="1:38" x14ac:dyDescent="0.25">
      <c r="A426">
        <v>425</v>
      </c>
      <c r="B426" t="str">
        <f xml:space="preserve"> "000960"</f>
        <v>000960</v>
      </c>
      <c r="C426" t="s">
        <v>2690</v>
      </c>
      <c r="D426">
        <v>15.02</v>
      </c>
      <c r="E426">
        <v>-0.4</v>
      </c>
      <c r="F426">
        <v>-0.06</v>
      </c>
      <c r="G426" t="s">
        <v>1775</v>
      </c>
      <c r="H426">
        <v>3120</v>
      </c>
      <c r="I426">
        <v>15.02</v>
      </c>
      <c r="J426">
        <v>15.03</v>
      </c>
      <c r="K426">
        <v>7.0000000000000007E-2</v>
      </c>
      <c r="L426">
        <v>1.58</v>
      </c>
      <c r="M426" t="s">
        <v>1622</v>
      </c>
      <c r="N426">
        <v>34.96</v>
      </c>
      <c r="O426" t="s">
        <v>449</v>
      </c>
      <c r="P426">
        <v>15.08</v>
      </c>
      <c r="Q426">
        <v>14.94</v>
      </c>
      <c r="R426">
        <v>15</v>
      </c>
      <c r="S426">
        <v>15.08</v>
      </c>
      <c r="T426">
        <v>0.93</v>
      </c>
      <c r="U426">
        <v>0.39</v>
      </c>
      <c r="V426">
        <v>11.19</v>
      </c>
      <c r="W426">
        <v>698</v>
      </c>
      <c r="X426">
        <v>15.01</v>
      </c>
      <c r="Y426" t="s">
        <v>362</v>
      </c>
      <c r="Z426" t="s">
        <v>2691</v>
      </c>
      <c r="AA426">
        <v>1.19</v>
      </c>
      <c r="AB426">
        <v>871</v>
      </c>
      <c r="AC426">
        <v>774</v>
      </c>
      <c r="AD426">
        <v>3.04</v>
      </c>
      <c r="AE426" t="s">
        <v>1375</v>
      </c>
      <c r="AF426" t="s">
        <v>1505</v>
      </c>
      <c r="AG426" t="s">
        <v>2071</v>
      </c>
      <c r="AH426" t="s">
        <v>518</v>
      </c>
      <c r="AI426">
        <v>-2.2799999999999998</v>
      </c>
      <c r="AJ426">
        <v>-4.21</v>
      </c>
      <c r="AK426">
        <v>8.23</v>
      </c>
      <c r="AL426">
        <v>21.63</v>
      </c>
    </row>
    <row r="427" spans="1:38" x14ac:dyDescent="0.25">
      <c r="A427">
        <v>426</v>
      </c>
      <c r="B427" t="str">
        <f xml:space="preserve"> "601801"</f>
        <v>601801</v>
      </c>
      <c r="C427" t="s">
        <v>2692</v>
      </c>
      <c r="D427">
        <v>12.57</v>
      </c>
      <c r="E427">
        <v>0.48</v>
      </c>
      <c r="F427">
        <v>0.06</v>
      </c>
      <c r="G427" t="s">
        <v>2693</v>
      </c>
      <c r="H427">
        <v>14</v>
      </c>
      <c r="I427">
        <v>12.56</v>
      </c>
      <c r="J427">
        <v>12.57</v>
      </c>
      <c r="K427">
        <v>0.08</v>
      </c>
      <c r="L427">
        <v>0.25</v>
      </c>
      <c r="M427" t="s">
        <v>2694</v>
      </c>
      <c r="N427">
        <v>15.07</v>
      </c>
      <c r="O427" t="s">
        <v>1126</v>
      </c>
      <c r="P427">
        <v>12.66</v>
      </c>
      <c r="Q427">
        <v>12.52</v>
      </c>
      <c r="R427">
        <v>12.52</v>
      </c>
      <c r="S427">
        <v>12.51</v>
      </c>
      <c r="T427">
        <v>1.1200000000000001</v>
      </c>
      <c r="U427">
        <v>0.79</v>
      </c>
      <c r="V427">
        <v>-34.72</v>
      </c>
      <c r="W427">
        <v>-2387</v>
      </c>
      <c r="X427">
        <v>12.59</v>
      </c>
      <c r="Y427" t="s">
        <v>2695</v>
      </c>
      <c r="Z427" t="s">
        <v>2696</v>
      </c>
      <c r="AA427">
        <v>1</v>
      </c>
      <c r="AB427">
        <v>16</v>
      </c>
      <c r="AC427">
        <v>572</v>
      </c>
      <c r="AD427">
        <v>2.76</v>
      </c>
      <c r="AE427" t="s">
        <v>2666</v>
      </c>
      <c r="AF427" t="s">
        <v>2697</v>
      </c>
      <c r="AG427" t="s">
        <v>2666</v>
      </c>
      <c r="AH427" t="s">
        <v>2697</v>
      </c>
      <c r="AI427">
        <v>0.72</v>
      </c>
      <c r="AJ427">
        <v>2.95</v>
      </c>
      <c r="AK427">
        <v>0.92</v>
      </c>
      <c r="AL427">
        <v>1.87</v>
      </c>
    </row>
    <row r="428" spans="1:38" x14ac:dyDescent="0.25">
      <c r="A428">
        <v>427</v>
      </c>
      <c r="B428" t="str">
        <f xml:space="preserve"> "600879"</f>
        <v>600879</v>
      </c>
      <c r="C428" t="s">
        <v>2698</v>
      </c>
      <c r="D428">
        <v>9.19</v>
      </c>
      <c r="E428">
        <v>-0.43</v>
      </c>
      <c r="F428">
        <v>-0.04</v>
      </c>
      <c r="G428" t="s">
        <v>2699</v>
      </c>
      <c r="H428">
        <v>7</v>
      </c>
      <c r="I428">
        <v>9.18</v>
      </c>
      <c r="J428">
        <v>9.19</v>
      </c>
      <c r="K428">
        <v>0.11</v>
      </c>
      <c r="L428">
        <v>3.43</v>
      </c>
      <c r="M428" t="s">
        <v>2700</v>
      </c>
      <c r="N428">
        <v>59.82</v>
      </c>
      <c r="O428" t="s">
        <v>926</v>
      </c>
      <c r="P428">
        <v>9.26</v>
      </c>
      <c r="Q428">
        <v>9.07</v>
      </c>
      <c r="R428">
        <v>9.17</v>
      </c>
      <c r="S428">
        <v>9.23</v>
      </c>
      <c r="T428">
        <v>2.06</v>
      </c>
      <c r="U428">
        <v>1.26</v>
      </c>
      <c r="V428">
        <v>-30.29</v>
      </c>
      <c r="W428">
        <v>-6746</v>
      </c>
      <c r="X428">
        <v>9.14</v>
      </c>
      <c r="Y428" t="s">
        <v>85</v>
      </c>
      <c r="Z428" t="s">
        <v>1614</v>
      </c>
      <c r="AA428">
        <v>1.4</v>
      </c>
      <c r="AB428">
        <v>1890</v>
      </c>
      <c r="AC428">
        <v>142</v>
      </c>
      <c r="AD428">
        <v>2.2599999999999998</v>
      </c>
      <c r="AE428" t="s">
        <v>1030</v>
      </c>
      <c r="AF428" t="s">
        <v>2697</v>
      </c>
      <c r="AG428" t="s">
        <v>1147</v>
      </c>
      <c r="AH428" t="s">
        <v>812</v>
      </c>
      <c r="AI428">
        <v>2.91</v>
      </c>
      <c r="AJ428">
        <v>4.67</v>
      </c>
      <c r="AK428">
        <v>11.97</v>
      </c>
      <c r="AL428">
        <v>17.07</v>
      </c>
    </row>
    <row r="429" spans="1:38" x14ac:dyDescent="0.25">
      <c r="A429">
        <v>428</v>
      </c>
      <c r="B429" t="str">
        <f xml:space="preserve"> "300182"</f>
        <v>300182</v>
      </c>
      <c r="C429" t="s">
        <v>2701</v>
      </c>
      <c r="D429">
        <v>9.75</v>
      </c>
      <c r="E429">
        <v>1.1399999999999999</v>
      </c>
      <c r="F429">
        <v>0.11</v>
      </c>
      <c r="G429" t="s">
        <v>337</v>
      </c>
      <c r="H429">
        <v>1882</v>
      </c>
      <c r="I429">
        <v>9.75</v>
      </c>
      <c r="J429">
        <v>9.76</v>
      </c>
      <c r="K429">
        <v>-0.1</v>
      </c>
      <c r="L429">
        <v>0.81</v>
      </c>
      <c r="M429" t="s">
        <v>1120</v>
      </c>
      <c r="N429">
        <v>23.86</v>
      </c>
      <c r="O429" t="s">
        <v>893</v>
      </c>
      <c r="P429">
        <v>9.7799999999999994</v>
      </c>
      <c r="Q429">
        <v>9.58</v>
      </c>
      <c r="R429">
        <v>9.64</v>
      </c>
      <c r="S429">
        <v>9.64</v>
      </c>
      <c r="T429">
        <v>2.0699999999999998</v>
      </c>
      <c r="U429">
        <v>0.55000000000000004</v>
      </c>
      <c r="V429">
        <v>-69.23</v>
      </c>
      <c r="W429">
        <v>-9952</v>
      </c>
      <c r="X429">
        <v>9.6999999999999993</v>
      </c>
      <c r="Y429" t="s">
        <v>2702</v>
      </c>
      <c r="Z429" t="s">
        <v>2703</v>
      </c>
      <c r="AA429">
        <v>0.78</v>
      </c>
      <c r="AB429">
        <v>1009</v>
      </c>
      <c r="AC429">
        <v>959</v>
      </c>
      <c r="AD429">
        <v>2.65</v>
      </c>
      <c r="AE429" t="s">
        <v>2376</v>
      </c>
      <c r="AF429" t="s">
        <v>2704</v>
      </c>
      <c r="AG429" t="s">
        <v>1047</v>
      </c>
      <c r="AH429" t="s">
        <v>683</v>
      </c>
      <c r="AI429">
        <v>0.31</v>
      </c>
      <c r="AJ429">
        <v>1.1399999999999999</v>
      </c>
      <c r="AK429">
        <v>3.38</v>
      </c>
      <c r="AL429">
        <v>8.2200000000000006</v>
      </c>
    </row>
    <row r="430" spans="1:38" x14ac:dyDescent="0.25">
      <c r="A430">
        <v>429</v>
      </c>
      <c r="B430" t="str">
        <f xml:space="preserve"> "002127"</f>
        <v>002127</v>
      </c>
      <c r="C430" t="s">
        <v>2705</v>
      </c>
      <c r="D430">
        <v>16.149999999999999</v>
      </c>
      <c r="E430">
        <v>-1.22</v>
      </c>
      <c r="F430">
        <v>-0.2</v>
      </c>
      <c r="G430" t="s">
        <v>2069</v>
      </c>
      <c r="H430">
        <v>700</v>
      </c>
      <c r="I430">
        <v>16.149999999999999</v>
      </c>
      <c r="J430">
        <v>16.16</v>
      </c>
      <c r="K430">
        <v>-0.12</v>
      </c>
      <c r="L430">
        <v>0.72</v>
      </c>
      <c r="M430" t="s">
        <v>2706</v>
      </c>
      <c r="N430">
        <v>88.82</v>
      </c>
      <c r="O430" t="s">
        <v>1443</v>
      </c>
      <c r="P430">
        <v>16.55</v>
      </c>
      <c r="Q430">
        <v>16.100000000000001</v>
      </c>
      <c r="R430">
        <v>16.5</v>
      </c>
      <c r="S430">
        <v>16.350000000000001</v>
      </c>
      <c r="T430">
        <v>2.75</v>
      </c>
      <c r="U430">
        <v>0.68</v>
      </c>
      <c r="V430">
        <v>53.88</v>
      </c>
      <c r="W430">
        <v>1178</v>
      </c>
      <c r="X430">
        <v>16.25</v>
      </c>
      <c r="Y430" t="s">
        <v>105</v>
      </c>
      <c r="Z430" t="s">
        <v>2515</v>
      </c>
      <c r="AA430">
        <v>1.25</v>
      </c>
      <c r="AB430">
        <v>413</v>
      </c>
      <c r="AC430">
        <v>10</v>
      </c>
      <c r="AD430">
        <v>14.84</v>
      </c>
      <c r="AE430" t="s">
        <v>2422</v>
      </c>
      <c r="AF430" t="s">
        <v>2381</v>
      </c>
      <c r="AG430" t="s">
        <v>2707</v>
      </c>
      <c r="AH430" t="s">
        <v>651</v>
      </c>
      <c r="AI430">
        <v>0.44</v>
      </c>
      <c r="AJ430">
        <v>6.39</v>
      </c>
      <c r="AK430">
        <v>2.79</v>
      </c>
      <c r="AL430">
        <v>6.03</v>
      </c>
    </row>
    <row r="431" spans="1:38" x14ac:dyDescent="0.25">
      <c r="A431">
        <v>430</v>
      </c>
      <c r="B431" t="str">
        <f xml:space="preserve"> "000750"</f>
        <v>000750</v>
      </c>
      <c r="C431" t="s">
        <v>2708</v>
      </c>
      <c r="D431">
        <v>5.89</v>
      </c>
      <c r="E431">
        <v>0</v>
      </c>
      <c r="F431">
        <v>0</v>
      </c>
      <c r="G431" t="s">
        <v>1834</v>
      </c>
      <c r="H431">
        <v>1744</v>
      </c>
      <c r="I431">
        <v>5.88</v>
      </c>
      <c r="J431">
        <v>5.89</v>
      </c>
      <c r="K431">
        <v>0</v>
      </c>
      <c r="L431">
        <v>0.32</v>
      </c>
      <c r="M431" t="s">
        <v>2709</v>
      </c>
      <c r="N431">
        <v>34.69</v>
      </c>
      <c r="O431" t="s">
        <v>306</v>
      </c>
      <c r="P431">
        <v>5.91</v>
      </c>
      <c r="Q431">
        <v>5.86</v>
      </c>
      <c r="R431">
        <v>5.89</v>
      </c>
      <c r="S431">
        <v>5.89</v>
      </c>
      <c r="T431">
        <v>0.85</v>
      </c>
      <c r="U431">
        <v>0.76</v>
      </c>
      <c r="V431">
        <v>-3.09</v>
      </c>
      <c r="W431">
        <v>-983</v>
      </c>
      <c r="X431">
        <v>5.89</v>
      </c>
      <c r="Y431" t="s">
        <v>1709</v>
      </c>
      <c r="Z431" t="s">
        <v>1937</v>
      </c>
      <c r="AA431">
        <v>1.44</v>
      </c>
      <c r="AB431">
        <v>5294</v>
      </c>
      <c r="AC431">
        <v>354</v>
      </c>
      <c r="AD431">
        <v>1.81</v>
      </c>
      <c r="AE431" t="s">
        <v>2227</v>
      </c>
      <c r="AF431" t="s">
        <v>2381</v>
      </c>
      <c r="AG431" t="s">
        <v>2227</v>
      </c>
      <c r="AH431" t="s">
        <v>2381</v>
      </c>
      <c r="AI431">
        <v>-1.17</v>
      </c>
      <c r="AJ431">
        <v>1.2</v>
      </c>
      <c r="AK431">
        <v>0.92</v>
      </c>
      <c r="AL431">
        <v>2.4</v>
      </c>
    </row>
    <row r="432" spans="1:38" x14ac:dyDescent="0.25">
      <c r="A432">
        <v>431</v>
      </c>
      <c r="B432" t="str">
        <f xml:space="preserve"> "600521"</f>
        <v>600521</v>
      </c>
      <c r="C432" t="s">
        <v>2710</v>
      </c>
      <c r="D432">
        <v>23.73</v>
      </c>
      <c r="E432">
        <v>0.21</v>
      </c>
      <c r="F432">
        <v>0.05</v>
      </c>
      <c r="G432" t="s">
        <v>754</v>
      </c>
      <c r="H432">
        <v>10</v>
      </c>
      <c r="I432">
        <v>23.67</v>
      </c>
      <c r="J432">
        <v>23.7</v>
      </c>
      <c r="K432">
        <v>-0.08</v>
      </c>
      <c r="L432">
        <v>0.28999999999999998</v>
      </c>
      <c r="M432" t="s">
        <v>2711</v>
      </c>
      <c r="N432">
        <v>41.87</v>
      </c>
      <c r="O432" t="s">
        <v>392</v>
      </c>
      <c r="P432">
        <v>23.97</v>
      </c>
      <c r="Q432">
        <v>23.5</v>
      </c>
      <c r="R432">
        <v>23.92</v>
      </c>
      <c r="S432">
        <v>23.68</v>
      </c>
      <c r="T432">
        <v>1.98</v>
      </c>
      <c r="U432">
        <v>0.69</v>
      </c>
      <c r="V432">
        <v>-63.89</v>
      </c>
      <c r="W432">
        <v>-276</v>
      </c>
      <c r="X432">
        <v>23.75</v>
      </c>
      <c r="Y432" t="s">
        <v>1869</v>
      </c>
      <c r="Z432" t="s">
        <v>2383</v>
      </c>
      <c r="AA432">
        <v>0.62</v>
      </c>
      <c r="AB432">
        <v>14</v>
      </c>
      <c r="AC432">
        <v>2</v>
      </c>
      <c r="AD432">
        <v>5.49</v>
      </c>
      <c r="AE432" t="s">
        <v>755</v>
      </c>
      <c r="AF432" t="s">
        <v>2445</v>
      </c>
      <c r="AG432" t="s">
        <v>707</v>
      </c>
      <c r="AH432" t="s">
        <v>1536</v>
      </c>
      <c r="AI432">
        <v>3.22</v>
      </c>
      <c r="AJ432">
        <v>4.63</v>
      </c>
      <c r="AK432">
        <v>1.38</v>
      </c>
      <c r="AL432">
        <v>2.38</v>
      </c>
    </row>
    <row r="433" spans="1:38" x14ac:dyDescent="0.25">
      <c r="A433">
        <v>432</v>
      </c>
      <c r="B433" t="str">
        <f xml:space="preserve"> "002839"</f>
        <v>002839</v>
      </c>
      <c r="C433" t="s">
        <v>2712</v>
      </c>
      <c r="D433">
        <v>13.66</v>
      </c>
      <c r="E433">
        <v>0.89</v>
      </c>
      <c r="F433">
        <v>0.12</v>
      </c>
      <c r="G433" t="s">
        <v>681</v>
      </c>
      <c r="H433">
        <v>1239</v>
      </c>
      <c r="I433">
        <v>13.65</v>
      </c>
      <c r="J433">
        <v>13.66</v>
      </c>
      <c r="K433">
        <v>-7.0000000000000007E-2</v>
      </c>
      <c r="L433">
        <v>3.72</v>
      </c>
      <c r="M433" t="s">
        <v>2713</v>
      </c>
      <c r="N433">
        <v>35.1</v>
      </c>
      <c r="O433" t="s">
        <v>41</v>
      </c>
      <c r="P433">
        <v>13.73</v>
      </c>
      <c r="Q433">
        <v>13.53</v>
      </c>
      <c r="R433">
        <v>13.56</v>
      </c>
      <c r="S433">
        <v>13.54</v>
      </c>
      <c r="T433">
        <v>1.48</v>
      </c>
      <c r="U433">
        <v>0.51</v>
      </c>
      <c r="V433">
        <v>-30.07</v>
      </c>
      <c r="W433">
        <v>-2219</v>
      </c>
      <c r="X433">
        <v>13.64</v>
      </c>
      <c r="Y433" t="s">
        <v>2427</v>
      </c>
      <c r="Z433" t="s">
        <v>2714</v>
      </c>
      <c r="AA433">
        <v>0.91</v>
      </c>
      <c r="AB433">
        <v>606</v>
      </c>
      <c r="AC433">
        <v>1071</v>
      </c>
      <c r="AD433">
        <v>3.1</v>
      </c>
      <c r="AE433" t="s">
        <v>1046</v>
      </c>
      <c r="AF433" t="s">
        <v>2445</v>
      </c>
      <c r="AG433" t="s">
        <v>2715</v>
      </c>
      <c r="AH433" t="s">
        <v>2716</v>
      </c>
      <c r="AI433">
        <v>-0.73</v>
      </c>
      <c r="AJ433">
        <v>3.88</v>
      </c>
      <c r="AK433">
        <v>13.43</v>
      </c>
      <c r="AL433">
        <v>39.840000000000003</v>
      </c>
    </row>
    <row r="434" spans="1:38" x14ac:dyDescent="0.25">
      <c r="A434">
        <v>433</v>
      </c>
      <c r="B434" t="str">
        <f xml:space="preserve"> "300186"</f>
        <v>300186</v>
      </c>
      <c r="C434" t="s">
        <v>2717</v>
      </c>
      <c r="D434" t="s">
        <v>616</v>
      </c>
      <c r="E434" t="s">
        <v>616</v>
      </c>
      <c r="F434" t="s">
        <v>616</v>
      </c>
      <c r="G434" t="s">
        <v>616</v>
      </c>
      <c r="H434" t="s">
        <v>616</v>
      </c>
      <c r="I434" t="s">
        <v>616</v>
      </c>
      <c r="J434" t="s">
        <v>616</v>
      </c>
      <c r="K434" t="s">
        <v>616</v>
      </c>
      <c r="L434" t="s">
        <v>616</v>
      </c>
      <c r="M434" t="s">
        <v>616</v>
      </c>
      <c r="N434">
        <v>154.08000000000001</v>
      </c>
      <c r="O434" t="s">
        <v>392</v>
      </c>
      <c r="P434" t="s">
        <v>616</v>
      </c>
      <c r="Q434" t="s">
        <v>616</v>
      </c>
      <c r="R434" t="s">
        <v>616</v>
      </c>
      <c r="S434">
        <v>45.72</v>
      </c>
      <c r="T434" t="s">
        <v>616</v>
      </c>
      <c r="U434" t="s">
        <v>616</v>
      </c>
      <c r="V434" t="s">
        <v>616</v>
      </c>
      <c r="W434" t="s">
        <v>616</v>
      </c>
      <c r="X434" t="s">
        <v>616</v>
      </c>
      <c r="Y434" t="s">
        <v>616</v>
      </c>
      <c r="Z434" t="s">
        <v>616</v>
      </c>
      <c r="AA434" t="s">
        <v>616</v>
      </c>
      <c r="AB434" t="s">
        <v>616</v>
      </c>
      <c r="AC434" t="s">
        <v>616</v>
      </c>
      <c r="AD434">
        <v>11.62</v>
      </c>
      <c r="AE434" t="s">
        <v>2718</v>
      </c>
      <c r="AF434" t="s">
        <v>2445</v>
      </c>
      <c r="AG434" t="s">
        <v>1000</v>
      </c>
      <c r="AH434" t="s">
        <v>97</v>
      </c>
      <c r="AI434">
        <v>0</v>
      </c>
      <c r="AJ434">
        <v>0</v>
      </c>
      <c r="AK434">
        <v>0</v>
      </c>
      <c r="AL434">
        <v>0</v>
      </c>
    </row>
    <row r="435" spans="1:38" x14ac:dyDescent="0.25">
      <c r="A435">
        <v>434</v>
      </c>
      <c r="B435" t="str">
        <f xml:space="preserve"> "002573"</f>
        <v>002573</v>
      </c>
      <c r="C435" t="s">
        <v>2719</v>
      </c>
      <c r="D435">
        <v>22.87</v>
      </c>
      <c r="E435">
        <v>8.75</v>
      </c>
      <c r="F435">
        <v>1.84</v>
      </c>
      <c r="G435" t="s">
        <v>2720</v>
      </c>
      <c r="H435">
        <v>7320</v>
      </c>
      <c r="I435">
        <v>22.86</v>
      </c>
      <c r="J435">
        <v>22.87</v>
      </c>
      <c r="K435">
        <v>-0.13</v>
      </c>
      <c r="L435">
        <v>3.37</v>
      </c>
      <c r="M435" t="s">
        <v>2721</v>
      </c>
      <c r="N435">
        <v>39.03</v>
      </c>
      <c r="O435" t="s">
        <v>1155</v>
      </c>
      <c r="P435">
        <v>23.1</v>
      </c>
      <c r="Q435">
        <v>20.99</v>
      </c>
      <c r="R435">
        <v>21</v>
      </c>
      <c r="S435">
        <v>21.03</v>
      </c>
      <c r="T435">
        <v>10.029999999999999</v>
      </c>
      <c r="U435">
        <v>2.4300000000000002</v>
      </c>
      <c r="V435">
        <v>-15.06</v>
      </c>
      <c r="W435">
        <v>-623</v>
      </c>
      <c r="X435">
        <v>22.22</v>
      </c>
      <c r="Y435" t="s">
        <v>1772</v>
      </c>
      <c r="Z435" t="s">
        <v>2197</v>
      </c>
      <c r="AA435">
        <v>0.55000000000000004</v>
      </c>
      <c r="AB435">
        <v>207</v>
      </c>
      <c r="AC435">
        <v>859</v>
      </c>
      <c r="AD435">
        <v>6.56</v>
      </c>
      <c r="AE435" t="s">
        <v>352</v>
      </c>
      <c r="AF435" t="s">
        <v>770</v>
      </c>
      <c r="AG435" t="s">
        <v>352</v>
      </c>
      <c r="AH435" t="s">
        <v>770</v>
      </c>
      <c r="AI435">
        <v>2.5099999999999998</v>
      </c>
      <c r="AJ435">
        <v>6.82</v>
      </c>
      <c r="AK435">
        <v>6.55</v>
      </c>
      <c r="AL435">
        <v>10.29</v>
      </c>
    </row>
    <row r="436" spans="1:38" x14ac:dyDescent="0.25">
      <c r="A436">
        <v>435</v>
      </c>
      <c r="B436" t="str">
        <f xml:space="preserve"> "002195"</f>
        <v>002195</v>
      </c>
      <c r="C436" t="s">
        <v>2722</v>
      </c>
      <c r="D436">
        <v>7.45</v>
      </c>
      <c r="E436">
        <v>2.9</v>
      </c>
      <c r="F436">
        <v>0.21</v>
      </c>
      <c r="G436" t="s">
        <v>2723</v>
      </c>
      <c r="H436">
        <v>7956</v>
      </c>
      <c r="I436">
        <v>7.44</v>
      </c>
      <c r="J436">
        <v>7.45</v>
      </c>
      <c r="K436">
        <v>0.13</v>
      </c>
      <c r="L436">
        <v>2.04</v>
      </c>
      <c r="M436" t="s">
        <v>1395</v>
      </c>
      <c r="N436">
        <v>27.01</v>
      </c>
      <c r="O436" t="s">
        <v>553</v>
      </c>
      <c r="P436">
        <v>7.48</v>
      </c>
      <c r="Q436">
        <v>7.21</v>
      </c>
      <c r="R436">
        <v>7.25</v>
      </c>
      <c r="S436">
        <v>7.24</v>
      </c>
      <c r="T436">
        <v>3.73</v>
      </c>
      <c r="U436">
        <v>1.25</v>
      </c>
      <c r="V436">
        <v>-43.3</v>
      </c>
      <c r="W436" t="s">
        <v>2724</v>
      </c>
      <c r="X436">
        <v>7.38</v>
      </c>
      <c r="Y436" t="s">
        <v>2725</v>
      </c>
      <c r="Z436" t="s">
        <v>1235</v>
      </c>
      <c r="AA436">
        <v>0.57999999999999996</v>
      </c>
      <c r="AB436">
        <v>5047</v>
      </c>
      <c r="AC436">
        <v>9735</v>
      </c>
      <c r="AD436">
        <v>3.48</v>
      </c>
      <c r="AE436" t="s">
        <v>2726</v>
      </c>
      <c r="AF436" t="s">
        <v>2727</v>
      </c>
      <c r="AG436" t="s">
        <v>1880</v>
      </c>
      <c r="AH436" t="s">
        <v>2728</v>
      </c>
      <c r="AI436">
        <v>0.68</v>
      </c>
      <c r="AJ436">
        <v>4.78</v>
      </c>
      <c r="AK436">
        <v>4.58</v>
      </c>
      <c r="AL436">
        <v>10.220000000000001</v>
      </c>
    </row>
    <row r="437" spans="1:38" x14ac:dyDescent="0.25">
      <c r="A437">
        <v>436</v>
      </c>
      <c r="B437" t="str">
        <f xml:space="preserve"> "600875"</f>
        <v>600875</v>
      </c>
      <c r="C437" t="s">
        <v>2729</v>
      </c>
      <c r="D437">
        <v>10.45</v>
      </c>
      <c r="E437">
        <v>0.97</v>
      </c>
      <c r="F437">
        <v>0.1</v>
      </c>
      <c r="G437" t="s">
        <v>2447</v>
      </c>
      <c r="H437">
        <v>27</v>
      </c>
      <c r="I437">
        <v>10.44</v>
      </c>
      <c r="J437">
        <v>10.45</v>
      </c>
      <c r="K437">
        <v>0.19</v>
      </c>
      <c r="L437">
        <v>0.3</v>
      </c>
      <c r="M437" t="s">
        <v>2730</v>
      </c>
      <c r="N437">
        <v>32.380000000000003</v>
      </c>
      <c r="O437" t="s">
        <v>680</v>
      </c>
      <c r="P437">
        <v>10.45</v>
      </c>
      <c r="Q437">
        <v>10.3</v>
      </c>
      <c r="R437">
        <v>10.3</v>
      </c>
      <c r="S437">
        <v>10.35</v>
      </c>
      <c r="T437">
        <v>1.45</v>
      </c>
      <c r="U437">
        <v>0.67</v>
      </c>
      <c r="V437">
        <v>-29.14</v>
      </c>
      <c r="W437">
        <v>-1716</v>
      </c>
      <c r="X437">
        <v>10.39</v>
      </c>
      <c r="Y437" t="s">
        <v>2731</v>
      </c>
      <c r="Z437" t="s">
        <v>2732</v>
      </c>
      <c r="AA437">
        <v>0.66</v>
      </c>
      <c r="AB437">
        <v>139</v>
      </c>
      <c r="AC437">
        <v>937</v>
      </c>
      <c r="AD437">
        <v>1.1299999999999999</v>
      </c>
      <c r="AE437" t="s">
        <v>2733</v>
      </c>
      <c r="AF437" t="s">
        <v>1536</v>
      </c>
      <c r="AG437" t="s">
        <v>1063</v>
      </c>
      <c r="AH437" t="s">
        <v>2102</v>
      </c>
      <c r="AI437">
        <v>-1.04</v>
      </c>
      <c r="AJ437">
        <v>0.28999999999999998</v>
      </c>
      <c r="AK437">
        <v>1.22</v>
      </c>
      <c r="AL437">
        <v>2.56</v>
      </c>
    </row>
    <row r="438" spans="1:38" x14ac:dyDescent="0.25">
      <c r="A438">
        <v>437</v>
      </c>
      <c r="B438" t="str">
        <f xml:space="preserve"> "300156"</f>
        <v>300156</v>
      </c>
      <c r="C438" t="s">
        <v>2734</v>
      </c>
      <c r="D438" t="s">
        <v>616</v>
      </c>
      <c r="E438" t="s">
        <v>616</v>
      </c>
      <c r="F438" t="s">
        <v>616</v>
      </c>
      <c r="G438" t="s">
        <v>616</v>
      </c>
      <c r="H438" t="s">
        <v>616</v>
      </c>
      <c r="I438" t="s">
        <v>616</v>
      </c>
      <c r="J438" t="s">
        <v>616</v>
      </c>
      <c r="K438" t="s">
        <v>616</v>
      </c>
      <c r="L438" t="s">
        <v>616</v>
      </c>
      <c r="M438" t="s">
        <v>616</v>
      </c>
      <c r="N438">
        <v>30.14</v>
      </c>
      <c r="O438" t="s">
        <v>1155</v>
      </c>
      <c r="P438" t="s">
        <v>616</v>
      </c>
      <c r="Q438" t="s">
        <v>616</v>
      </c>
      <c r="R438" t="s">
        <v>616</v>
      </c>
      <c r="S438">
        <v>24.16</v>
      </c>
      <c r="T438" t="s">
        <v>616</v>
      </c>
      <c r="U438" t="s">
        <v>616</v>
      </c>
      <c r="V438" t="s">
        <v>616</v>
      </c>
      <c r="W438" t="s">
        <v>616</v>
      </c>
      <c r="X438" t="s">
        <v>616</v>
      </c>
      <c r="Y438" t="s">
        <v>616</v>
      </c>
      <c r="Z438" t="s">
        <v>616</v>
      </c>
      <c r="AA438" t="s">
        <v>616</v>
      </c>
      <c r="AB438" t="s">
        <v>616</v>
      </c>
      <c r="AC438" t="s">
        <v>616</v>
      </c>
      <c r="AD438">
        <v>8.64</v>
      </c>
      <c r="AE438" t="s">
        <v>262</v>
      </c>
      <c r="AF438" t="s">
        <v>1536</v>
      </c>
      <c r="AG438" t="s">
        <v>2735</v>
      </c>
      <c r="AH438" t="s">
        <v>2736</v>
      </c>
      <c r="AI438">
        <v>0</v>
      </c>
      <c r="AJ438">
        <v>0</v>
      </c>
      <c r="AK438">
        <v>0</v>
      </c>
      <c r="AL438">
        <v>0</v>
      </c>
    </row>
    <row r="439" spans="1:38" x14ac:dyDescent="0.25">
      <c r="A439">
        <v>438</v>
      </c>
      <c r="B439" t="str">
        <f xml:space="preserve"> "300274"</f>
        <v>300274</v>
      </c>
      <c r="C439" t="s">
        <v>2737</v>
      </c>
      <c r="D439">
        <v>16.75</v>
      </c>
      <c r="E439">
        <v>4.5599999999999996</v>
      </c>
      <c r="F439">
        <v>0.73</v>
      </c>
      <c r="G439" t="s">
        <v>1298</v>
      </c>
      <c r="H439">
        <v>2312</v>
      </c>
      <c r="I439">
        <v>16.739999999999998</v>
      </c>
      <c r="J439">
        <v>16.75</v>
      </c>
      <c r="K439">
        <v>0.12</v>
      </c>
      <c r="L439">
        <v>1.83</v>
      </c>
      <c r="M439" t="s">
        <v>2738</v>
      </c>
      <c r="N439">
        <v>32.869999999999997</v>
      </c>
      <c r="O439" t="s">
        <v>648</v>
      </c>
      <c r="P439">
        <v>16.82</v>
      </c>
      <c r="Q439">
        <v>16.11</v>
      </c>
      <c r="R439">
        <v>16.190000000000001</v>
      </c>
      <c r="S439">
        <v>16.02</v>
      </c>
      <c r="T439">
        <v>4.43</v>
      </c>
      <c r="U439">
        <v>1.1299999999999999</v>
      </c>
      <c r="V439">
        <v>-67.31</v>
      </c>
      <c r="W439">
        <v>-1759</v>
      </c>
      <c r="X439">
        <v>16.54</v>
      </c>
      <c r="Y439" t="s">
        <v>196</v>
      </c>
      <c r="Z439" t="s">
        <v>1780</v>
      </c>
      <c r="AA439">
        <v>0.48</v>
      </c>
      <c r="AB439">
        <v>8</v>
      </c>
      <c r="AC439">
        <v>330</v>
      </c>
      <c r="AD439">
        <v>3.77</v>
      </c>
      <c r="AE439" t="s">
        <v>2387</v>
      </c>
      <c r="AF439" t="s">
        <v>1642</v>
      </c>
      <c r="AG439" t="s">
        <v>1554</v>
      </c>
      <c r="AH439" t="s">
        <v>1092</v>
      </c>
      <c r="AI439">
        <v>1.82</v>
      </c>
      <c r="AJ439">
        <v>0.12</v>
      </c>
      <c r="AK439">
        <v>4.3499999999999996</v>
      </c>
      <c r="AL439">
        <v>9.93</v>
      </c>
    </row>
    <row r="440" spans="1:38" x14ac:dyDescent="0.25">
      <c r="A440">
        <v>439</v>
      </c>
      <c r="B440" t="str">
        <f xml:space="preserve"> "600021"</f>
        <v>600021</v>
      </c>
      <c r="C440" t="s">
        <v>2739</v>
      </c>
      <c r="D440">
        <v>11.32</v>
      </c>
      <c r="E440">
        <v>-0.61</v>
      </c>
      <c r="F440">
        <v>-7.0000000000000007E-2</v>
      </c>
      <c r="G440" t="s">
        <v>2398</v>
      </c>
      <c r="H440">
        <v>9</v>
      </c>
      <c r="I440">
        <v>11.32</v>
      </c>
      <c r="J440">
        <v>11.33</v>
      </c>
      <c r="K440">
        <v>0</v>
      </c>
      <c r="L440">
        <v>0.17</v>
      </c>
      <c r="M440" t="s">
        <v>2740</v>
      </c>
      <c r="N440">
        <v>73.31</v>
      </c>
      <c r="O440" t="s">
        <v>186</v>
      </c>
      <c r="P440">
        <v>11.43</v>
      </c>
      <c r="Q440">
        <v>11.3</v>
      </c>
      <c r="R440">
        <v>11.39</v>
      </c>
      <c r="S440">
        <v>11.39</v>
      </c>
      <c r="T440">
        <v>1.1399999999999999</v>
      </c>
      <c r="U440">
        <v>0.65</v>
      </c>
      <c r="V440">
        <v>34.909999999999997</v>
      </c>
      <c r="W440">
        <v>1962</v>
      </c>
      <c r="X440">
        <v>11.33</v>
      </c>
      <c r="Y440" t="s">
        <v>2741</v>
      </c>
      <c r="Z440">
        <v>9304</v>
      </c>
      <c r="AA440">
        <v>2.95</v>
      </c>
      <c r="AB440">
        <v>21</v>
      </c>
      <c r="AC440">
        <v>766</v>
      </c>
      <c r="AD440">
        <v>2.41</v>
      </c>
      <c r="AE440" t="s">
        <v>289</v>
      </c>
      <c r="AF440" t="s">
        <v>2423</v>
      </c>
      <c r="AG440" t="s">
        <v>289</v>
      </c>
      <c r="AH440" t="s">
        <v>2423</v>
      </c>
      <c r="AI440">
        <v>0.98</v>
      </c>
      <c r="AJ440">
        <v>0.53</v>
      </c>
      <c r="AK440">
        <v>0.92</v>
      </c>
      <c r="AL440">
        <v>1.48</v>
      </c>
    </row>
    <row r="441" spans="1:38" x14ac:dyDescent="0.25">
      <c r="A441">
        <v>440</v>
      </c>
      <c r="B441" t="str">
        <f xml:space="preserve"> "600260"</f>
        <v>600260</v>
      </c>
      <c r="C441" t="s">
        <v>2742</v>
      </c>
      <c r="D441">
        <v>34.159999999999997</v>
      </c>
      <c r="E441">
        <v>3.3</v>
      </c>
      <c r="F441">
        <v>1.0900000000000001</v>
      </c>
      <c r="G441" t="s">
        <v>2743</v>
      </c>
      <c r="H441">
        <v>4</v>
      </c>
      <c r="I441">
        <v>34.119999999999997</v>
      </c>
      <c r="J441">
        <v>34.19</v>
      </c>
      <c r="K441">
        <v>0.18</v>
      </c>
      <c r="L441">
        <v>2.44</v>
      </c>
      <c r="M441" t="s">
        <v>2744</v>
      </c>
      <c r="N441">
        <v>34.96</v>
      </c>
      <c r="O441" t="s">
        <v>580</v>
      </c>
      <c r="P441">
        <v>34.270000000000003</v>
      </c>
      <c r="Q441">
        <v>33.049999999999997</v>
      </c>
      <c r="R441">
        <v>33.07</v>
      </c>
      <c r="S441">
        <v>33.07</v>
      </c>
      <c r="T441">
        <v>3.69</v>
      </c>
      <c r="U441">
        <v>1.81</v>
      </c>
      <c r="V441">
        <v>-61.26</v>
      </c>
      <c r="W441">
        <v>-585</v>
      </c>
      <c r="X441">
        <v>33.909999999999997</v>
      </c>
      <c r="Y441" t="s">
        <v>1909</v>
      </c>
      <c r="Z441" t="s">
        <v>2745</v>
      </c>
      <c r="AA441">
        <v>0.72</v>
      </c>
      <c r="AB441">
        <v>2</v>
      </c>
      <c r="AC441">
        <v>8</v>
      </c>
      <c r="AD441">
        <v>5.62</v>
      </c>
      <c r="AE441" t="s">
        <v>2746</v>
      </c>
      <c r="AF441" t="s">
        <v>2423</v>
      </c>
      <c r="AG441" t="s">
        <v>2718</v>
      </c>
      <c r="AH441" t="s">
        <v>637</v>
      </c>
      <c r="AI441">
        <v>3.52</v>
      </c>
      <c r="AJ441">
        <v>8.51</v>
      </c>
      <c r="AK441">
        <v>5.35</v>
      </c>
      <c r="AL441">
        <v>9.16</v>
      </c>
    </row>
    <row r="442" spans="1:38" x14ac:dyDescent="0.25">
      <c r="A442">
        <v>441</v>
      </c>
      <c r="B442" t="str">
        <f xml:space="preserve"> "000686"</f>
        <v>000686</v>
      </c>
      <c r="C442" t="s">
        <v>2747</v>
      </c>
      <c r="D442">
        <v>10.34</v>
      </c>
      <c r="E442">
        <v>-0.19</v>
      </c>
      <c r="F442">
        <v>-0.02</v>
      </c>
      <c r="G442" t="s">
        <v>337</v>
      </c>
      <c r="H442">
        <v>8166</v>
      </c>
      <c r="I442">
        <v>10.34</v>
      </c>
      <c r="J442">
        <v>10.37</v>
      </c>
      <c r="K442">
        <v>-0.48</v>
      </c>
      <c r="L442">
        <v>0.48</v>
      </c>
      <c r="M442" t="s">
        <v>2748</v>
      </c>
      <c r="N442">
        <v>38.909999999999997</v>
      </c>
      <c r="O442" t="s">
        <v>306</v>
      </c>
      <c r="P442">
        <v>10.42</v>
      </c>
      <c r="Q442">
        <v>10.34</v>
      </c>
      <c r="R442">
        <v>10.37</v>
      </c>
      <c r="S442">
        <v>10.36</v>
      </c>
      <c r="T442">
        <v>0.77</v>
      </c>
      <c r="U442">
        <v>0.74</v>
      </c>
      <c r="V442">
        <v>9.85</v>
      </c>
      <c r="W442">
        <v>888</v>
      </c>
      <c r="X442">
        <v>10.37</v>
      </c>
      <c r="Y442" t="s">
        <v>2749</v>
      </c>
      <c r="Z442" t="s">
        <v>2750</v>
      </c>
      <c r="AA442">
        <v>1.04</v>
      </c>
      <c r="AB442">
        <v>2645</v>
      </c>
      <c r="AC442">
        <v>49</v>
      </c>
      <c r="AD442">
        <v>1.56</v>
      </c>
      <c r="AE442" t="s">
        <v>2733</v>
      </c>
      <c r="AF442" t="s">
        <v>2423</v>
      </c>
      <c r="AG442" t="s">
        <v>2733</v>
      </c>
      <c r="AH442" t="s">
        <v>2423</v>
      </c>
      <c r="AI442">
        <v>-1.43</v>
      </c>
      <c r="AJ442">
        <v>0.98</v>
      </c>
      <c r="AK442">
        <v>1.48</v>
      </c>
      <c r="AL442">
        <v>3.69</v>
      </c>
    </row>
    <row r="443" spans="1:38" x14ac:dyDescent="0.25">
      <c r="A443">
        <v>442</v>
      </c>
      <c r="B443" t="str">
        <f xml:space="preserve"> "600155"</f>
        <v>600155</v>
      </c>
      <c r="C443" t="s">
        <v>2751</v>
      </c>
      <c r="D443">
        <v>13.91</v>
      </c>
      <c r="E443">
        <v>0.72</v>
      </c>
      <c r="F443">
        <v>0.1</v>
      </c>
      <c r="G443" t="s">
        <v>2752</v>
      </c>
      <c r="H443">
        <v>580</v>
      </c>
      <c r="I443">
        <v>13.9</v>
      </c>
      <c r="J443">
        <v>13.91</v>
      </c>
      <c r="K443">
        <v>-7.0000000000000007E-2</v>
      </c>
      <c r="L443">
        <v>0.51</v>
      </c>
      <c r="M443" t="s">
        <v>2753</v>
      </c>
      <c r="N443">
        <v>81.75</v>
      </c>
      <c r="O443" t="s">
        <v>667</v>
      </c>
      <c r="P443">
        <v>13.95</v>
      </c>
      <c r="Q443">
        <v>13.74</v>
      </c>
      <c r="R443">
        <v>13.83</v>
      </c>
      <c r="S443">
        <v>13.81</v>
      </c>
      <c r="T443">
        <v>1.52</v>
      </c>
      <c r="U443">
        <v>0.75</v>
      </c>
      <c r="V443">
        <v>-69.8</v>
      </c>
      <c r="W443">
        <v>-3028</v>
      </c>
      <c r="X443">
        <v>13.84</v>
      </c>
      <c r="Y443" t="s">
        <v>2754</v>
      </c>
      <c r="Z443" t="s">
        <v>2755</v>
      </c>
      <c r="AA443">
        <v>0.92</v>
      </c>
      <c r="AB443">
        <v>87</v>
      </c>
      <c r="AC443">
        <v>15</v>
      </c>
      <c r="AD443">
        <v>1.61</v>
      </c>
      <c r="AE443" t="s">
        <v>1540</v>
      </c>
      <c r="AF443" t="s">
        <v>2423</v>
      </c>
      <c r="AG443" t="s">
        <v>2756</v>
      </c>
      <c r="AH443" t="s">
        <v>2757</v>
      </c>
      <c r="AI443">
        <v>-1.49</v>
      </c>
      <c r="AJ443">
        <v>1.24</v>
      </c>
      <c r="AK443">
        <v>1.82</v>
      </c>
      <c r="AL443">
        <v>3.89</v>
      </c>
    </row>
    <row r="444" spans="1:38" x14ac:dyDescent="0.25">
      <c r="A444">
        <v>443</v>
      </c>
      <c r="B444" t="str">
        <f xml:space="preserve"> "600266"</f>
        <v>600266</v>
      </c>
      <c r="C444" t="s">
        <v>2758</v>
      </c>
      <c r="D444">
        <v>15.31</v>
      </c>
      <c r="E444">
        <v>7.0000000000000007E-2</v>
      </c>
      <c r="F444">
        <v>0.01</v>
      </c>
      <c r="G444" t="s">
        <v>1861</v>
      </c>
      <c r="H444">
        <v>10</v>
      </c>
      <c r="I444">
        <v>15.3</v>
      </c>
      <c r="J444">
        <v>15.31</v>
      </c>
      <c r="K444">
        <v>-7.0000000000000007E-2</v>
      </c>
      <c r="L444">
        <v>0.99</v>
      </c>
      <c r="M444" t="s">
        <v>2759</v>
      </c>
      <c r="N444">
        <v>45.39</v>
      </c>
      <c r="O444" t="s">
        <v>244</v>
      </c>
      <c r="P444">
        <v>15.42</v>
      </c>
      <c r="Q444">
        <v>15.17</v>
      </c>
      <c r="R444">
        <v>15.3</v>
      </c>
      <c r="S444">
        <v>15.3</v>
      </c>
      <c r="T444">
        <v>1.63</v>
      </c>
      <c r="U444">
        <v>0.47</v>
      </c>
      <c r="V444">
        <v>17.59</v>
      </c>
      <c r="W444">
        <v>531</v>
      </c>
      <c r="X444">
        <v>15.31</v>
      </c>
      <c r="Y444" t="s">
        <v>1659</v>
      </c>
      <c r="Z444" t="s">
        <v>781</v>
      </c>
      <c r="AA444">
        <v>1.48</v>
      </c>
      <c r="AB444">
        <v>11</v>
      </c>
      <c r="AC444">
        <v>76</v>
      </c>
      <c r="AD444">
        <v>1.31</v>
      </c>
      <c r="AE444" t="s">
        <v>2760</v>
      </c>
      <c r="AF444" t="s">
        <v>1233</v>
      </c>
      <c r="AG444" t="s">
        <v>2760</v>
      </c>
      <c r="AH444" t="s">
        <v>1233</v>
      </c>
      <c r="AI444">
        <v>-2.48</v>
      </c>
      <c r="AJ444">
        <v>-1.73</v>
      </c>
      <c r="AK444">
        <v>3.82</v>
      </c>
      <c r="AL444">
        <v>11.61</v>
      </c>
    </row>
    <row r="445" spans="1:38" x14ac:dyDescent="0.25">
      <c r="A445">
        <v>444</v>
      </c>
      <c r="B445" t="str">
        <f xml:space="preserve"> "300558"</f>
        <v>300558</v>
      </c>
      <c r="C445" t="s">
        <v>2761</v>
      </c>
      <c r="D445">
        <v>59.8</v>
      </c>
      <c r="E445">
        <v>-2.11</v>
      </c>
      <c r="F445">
        <v>-1.29</v>
      </c>
      <c r="G445" t="s">
        <v>2518</v>
      </c>
      <c r="H445">
        <v>131</v>
      </c>
      <c r="I445">
        <v>59.8</v>
      </c>
      <c r="J445">
        <v>59.84</v>
      </c>
      <c r="K445">
        <v>0</v>
      </c>
      <c r="L445">
        <v>3.31</v>
      </c>
      <c r="M445" t="s">
        <v>2762</v>
      </c>
      <c r="N445">
        <v>87.47</v>
      </c>
      <c r="O445" t="s">
        <v>392</v>
      </c>
      <c r="P445">
        <v>60.8</v>
      </c>
      <c r="Q445">
        <v>59.49</v>
      </c>
      <c r="R445">
        <v>60.06</v>
      </c>
      <c r="S445">
        <v>61.09</v>
      </c>
      <c r="T445">
        <v>2.14</v>
      </c>
      <c r="U445">
        <v>0.73</v>
      </c>
      <c r="V445">
        <v>60.33</v>
      </c>
      <c r="W445">
        <v>82</v>
      </c>
      <c r="X445">
        <v>60.01</v>
      </c>
      <c r="Y445">
        <v>7856</v>
      </c>
      <c r="Z445">
        <v>5503</v>
      </c>
      <c r="AA445">
        <v>1.43</v>
      </c>
      <c r="AB445">
        <v>11</v>
      </c>
      <c r="AC445">
        <v>1</v>
      </c>
      <c r="AD445">
        <v>12.04</v>
      </c>
      <c r="AE445" t="s">
        <v>1922</v>
      </c>
      <c r="AF445" t="s">
        <v>1233</v>
      </c>
      <c r="AG445" t="s">
        <v>2763</v>
      </c>
      <c r="AH445" t="s">
        <v>2317</v>
      </c>
      <c r="AI445">
        <v>-1.69</v>
      </c>
      <c r="AJ445">
        <v>9.5399999999999991</v>
      </c>
      <c r="AK445">
        <v>14.01</v>
      </c>
      <c r="AL445">
        <v>25.93</v>
      </c>
    </row>
    <row r="446" spans="1:38" x14ac:dyDescent="0.25">
      <c r="A446">
        <v>445</v>
      </c>
      <c r="B446" t="str">
        <f xml:space="preserve"> "002078"</f>
        <v>002078</v>
      </c>
      <c r="C446" t="s">
        <v>2764</v>
      </c>
      <c r="D446">
        <v>9.4499999999999993</v>
      </c>
      <c r="E446">
        <v>0.43</v>
      </c>
      <c r="F446">
        <v>0.04</v>
      </c>
      <c r="G446" t="s">
        <v>167</v>
      </c>
      <c r="H446">
        <v>2378</v>
      </c>
      <c r="I446">
        <v>9.4499999999999993</v>
      </c>
      <c r="J446">
        <v>9.4600000000000009</v>
      </c>
      <c r="K446">
        <v>0</v>
      </c>
      <c r="L446">
        <v>0.81</v>
      </c>
      <c r="M446" t="s">
        <v>1088</v>
      </c>
      <c r="N446">
        <v>13.7</v>
      </c>
      <c r="O446" t="s">
        <v>1874</v>
      </c>
      <c r="P446">
        <v>9.5</v>
      </c>
      <c r="Q446">
        <v>9.36</v>
      </c>
      <c r="R446">
        <v>9.42</v>
      </c>
      <c r="S446">
        <v>9.41</v>
      </c>
      <c r="T446">
        <v>1.49</v>
      </c>
      <c r="U446">
        <v>0.46</v>
      </c>
      <c r="V446">
        <v>-50.89</v>
      </c>
      <c r="W446">
        <v>-5329</v>
      </c>
      <c r="X446">
        <v>9.43</v>
      </c>
      <c r="Y446" t="s">
        <v>2765</v>
      </c>
      <c r="Z446" t="s">
        <v>1242</v>
      </c>
      <c r="AA446">
        <v>0.76</v>
      </c>
      <c r="AB446">
        <v>781</v>
      </c>
      <c r="AC446">
        <v>2227</v>
      </c>
      <c r="AD446">
        <v>2.76</v>
      </c>
      <c r="AE446" t="s">
        <v>1129</v>
      </c>
      <c r="AF446" t="s">
        <v>1233</v>
      </c>
      <c r="AG446" t="s">
        <v>2663</v>
      </c>
      <c r="AH446" t="s">
        <v>2675</v>
      </c>
      <c r="AI446">
        <v>-3.28</v>
      </c>
      <c r="AJ446">
        <v>-1.05</v>
      </c>
      <c r="AK446">
        <v>3.75</v>
      </c>
      <c r="AL446">
        <v>9.61</v>
      </c>
    </row>
    <row r="447" spans="1:38" x14ac:dyDescent="0.25">
      <c r="A447">
        <v>446</v>
      </c>
      <c r="B447" t="str">
        <f xml:space="preserve"> "600623"</f>
        <v>600623</v>
      </c>
      <c r="C447" t="s">
        <v>2766</v>
      </c>
      <c r="D447">
        <v>11.3</v>
      </c>
      <c r="E447">
        <v>0.98</v>
      </c>
      <c r="F447">
        <v>0.11</v>
      </c>
      <c r="G447" t="s">
        <v>105</v>
      </c>
      <c r="H447">
        <v>20</v>
      </c>
      <c r="I447">
        <v>11.28</v>
      </c>
      <c r="J447">
        <v>11.3</v>
      </c>
      <c r="K447">
        <v>-0.18</v>
      </c>
      <c r="L447">
        <v>0.42</v>
      </c>
      <c r="M447" t="s">
        <v>2767</v>
      </c>
      <c r="N447">
        <v>37.22</v>
      </c>
      <c r="O447" t="s">
        <v>667</v>
      </c>
      <c r="P447">
        <v>11.33</v>
      </c>
      <c r="Q447">
        <v>11.16</v>
      </c>
      <c r="R447">
        <v>11.17</v>
      </c>
      <c r="S447">
        <v>11.19</v>
      </c>
      <c r="T447">
        <v>1.52</v>
      </c>
      <c r="U447">
        <v>0.82</v>
      </c>
      <c r="V447">
        <v>-77.959999999999994</v>
      </c>
      <c r="W447">
        <v>-5524</v>
      </c>
      <c r="X447">
        <v>11.25</v>
      </c>
      <c r="Y447" t="s">
        <v>713</v>
      </c>
      <c r="Z447" t="s">
        <v>1416</v>
      </c>
      <c r="AA447">
        <v>0.78</v>
      </c>
      <c r="AB447">
        <v>228</v>
      </c>
      <c r="AC447">
        <v>359</v>
      </c>
      <c r="AD447">
        <v>1.46</v>
      </c>
      <c r="AE447" t="s">
        <v>1896</v>
      </c>
      <c r="AF447" t="s">
        <v>2675</v>
      </c>
      <c r="AG447" t="s">
        <v>2768</v>
      </c>
      <c r="AH447" t="s">
        <v>702</v>
      </c>
      <c r="AI447">
        <v>-0.26</v>
      </c>
      <c r="AJ447">
        <v>4.82</v>
      </c>
      <c r="AK447">
        <v>1.0900000000000001</v>
      </c>
      <c r="AL447">
        <v>2.95</v>
      </c>
    </row>
    <row r="448" spans="1:38" x14ac:dyDescent="0.25">
      <c r="A448">
        <v>447</v>
      </c>
      <c r="B448" t="str">
        <f xml:space="preserve"> "601928"</f>
        <v>601928</v>
      </c>
      <c r="C448" t="s">
        <v>2769</v>
      </c>
      <c r="D448">
        <v>9.4</v>
      </c>
      <c r="E448">
        <v>0.11</v>
      </c>
      <c r="F448">
        <v>0.01</v>
      </c>
      <c r="G448" t="s">
        <v>2770</v>
      </c>
      <c r="H448">
        <v>73</v>
      </c>
      <c r="I448">
        <v>9.4</v>
      </c>
      <c r="J448">
        <v>9.41</v>
      </c>
      <c r="K448">
        <v>0</v>
      </c>
      <c r="L448">
        <v>0.23</v>
      </c>
      <c r="M448" t="s">
        <v>2771</v>
      </c>
      <c r="N448">
        <v>15.3</v>
      </c>
      <c r="O448" t="s">
        <v>1126</v>
      </c>
      <c r="P448">
        <v>9.41</v>
      </c>
      <c r="Q448">
        <v>9.34</v>
      </c>
      <c r="R448">
        <v>9.3699999999999992</v>
      </c>
      <c r="S448">
        <v>9.39</v>
      </c>
      <c r="T448">
        <v>0.75</v>
      </c>
      <c r="U448">
        <v>0.96</v>
      </c>
      <c r="V448">
        <v>-47.72</v>
      </c>
      <c r="W448">
        <v>-3166</v>
      </c>
      <c r="X448">
        <v>9.3800000000000008</v>
      </c>
      <c r="Y448" t="s">
        <v>1190</v>
      </c>
      <c r="Z448" t="s">
        <v>2755</v>
      </c>
      <c r="AA448">
        <v>0.99</v>
      </c>
      <c r="AB448">
        <v>39</v>
      </c>
      <c r="AC448">
        <v>860</v>
      </c>
      <c r="AD448">
        <v>1.99</v>
      </c>
      <c r="AE448" t="s">
        <v>1129</v>
      </c>
      <c r="AF448" t="s">
        <v>2675</v>
      </c>
      <c r="AG448" t="s">
        <v>1129</v>
      </c>
      <c r="AH448" t="s">
        <v>2675</v>
      </c>
      <c r="AI448">
        <v>0.11</v>
      </c>
      <c r="AJ448">
        <v>2.29</v>
      </c>
      <c r="AK448">
        <v>0.81</v>
      </c>
      <c r="AL448">
        <v>1.44</v>
      </c>
    </row>
    <row r="449" spans="1:38" x14ac:dyDescent="0.25">
      <c r="A449">
        <v>448</v>
      </c>
      <c r="B449" t="str">
        <f xml:space="preserve"> "600885"</f>
        <v>600885</v>
      </c>
      <c r="C449" t="s">
        <v>2772</v>
      </c>
      <c r="D449">
        <v>44.92</v>
      </c>
      <c r="E449">
        <v>2.21</v>
      </c>
      <c r="F449">
        <v>0.97</v>
      </c>
      <c r="G449" t="s">
        <v>2485</v>
      </c>
      <c r="H449">
        <v>6</v>
      </c>
      <c r="I449">
        <v>44.91</v>
      </c>
      <c r="J449">
        <v>44.92</v>
      </c>
      <c r="K449">
        <v>-0.09</v>
      </c>
      <c r="L449">
        <v>0.5</v>
      </c>
      <c r="M449" t="s">
        <v>60</v>
      </c>
      <c r="N449">
        <v>29.6</v>
      </c>
      <c r="O449" t="s">
        <v>380</v>
      </c>
      <c r="P449">
        <v>45.49</v>
      </c>
      <c r="Q449">
        <v>43.75</v>
      </c>
      <c r="R449">
        <v>44.21</v>
      </c>
      <c r="S449">
        <v>43.95</v>
      </c>
      <c r="T449">
        <v>3.96</v>
      </c>
      <c r="U449">
        <v>0.99</v>
      </c>
      <c r="V449">
        <v>-38.11</v>
      </c>
      <c r="W449">
        <v>-101</v>
      </c>
      <c r="X449">
        <v>44.71</v>
      </c>
      <c r="Y449" t="s">
        <v>75</v>
      </c>
      <c r="Z449" t="s">
        <v>2773</v>
      </c>
      <c r="AA449">
        <v>0.62</v>
      </c>
      <c r="AB449">
        <v>11</v>
      </c>
      <c r="AC449">
        <v>4</v>
      </c>
      <c r="AD449">
        <v>6.48</v>
      </c>
      <c r="AE449" t="s">
        <v>2774</v>
      </c>
      <c r="AF449" t="s">
        <v>2675</v>
      </c>
      <c r="AG449" t="s">
        <v>2774</v>
      </c>
      <c r="AH449" t="s">
        <v>2675</v>
      </c>
      <c r="AI449">
        <v>4.4400000000000004</v>
      </c>
      <c r="AJ449">
        <v>7.62</v>
      </c>
      <c r="AK449">
        <v>1.52</v>
      </c>
      <c r="AL449">
        <v>3.01</v>
      </c>
    </row>
    <row r="450" spans="1:38" x14ac:dyDescent="0.25">
      <c r="A450">
        <v>449</v>
      </c>
      <c r="B450" t="str">
        <f xml:space="preserve"> "002410"</f>
        <v>002410</v>
      </c>
      <c r="C450" t="s">
        <v>2775</v>
      </c>
      <c r="D450">
        <v>21.34</v>
      </c>
      <c r="E450">
        <v>4.1500000000000004</v>
      </c>
      <c r="F450">
        <v>0.85</v>
      </c>
      <c r="G450" t="s">
        <v>2776</v>
      </c>
      <c r="H450">
        <v>875</v>
      </c>
      <c r="I450">
        <v>21.34</v>
      </c>
      <c r="J450">
        <v>21.35</v>
      </c>
      <c r="K450">
        <v>0.14000000000000001</v>
      </c>
      <c r="L450">
        <v>0.89</v>
      </c>
      <c r="M450" t="s">
        <v>2339</v>
      </c>
      <c r="N450">
        <v>84.07</v>
      </c>
      <c r="O450" t="s">
        <v>893</v>
      </c>
      <c r="P450">
        <v>21.51</v>
      </c>
      <c r="Q450">
        <v>20.43</v>
      </c>
      <c r="R450">
        <v>20.5</v>
      </c>
      <c r="S450">
        <v>20.49</v>
      </c>
      <c r="T450">
        <v>5.27</v>
      </c>
      <c r="U450">
        <v>1.1299999999999999</v>
      </c>
      <c r="V450">
        <v>-11.4</v>
      </c>
      <c r="W450">
        <v>-185</v>
      </c>
      <c r="X450">
        <v>21.2</v>
      </c>
      <c r="Y450" t="s">
        <v>2777</v>
      </c>
      <c r="Z450" t="s">
        <v>2406</v>
      </c>
      <c r="AA450">
        <v>0.53</v>
      </c>
      <c r="AB450">
        <v>18</v>
      </c>
      <c r="AC450">
        <v>172</v>
      </c>
      <c r="AD450">
        <v>8.64</v>
      </c>
      <c r="AE450" t="s">
        <v>2328</v>
      </c>
      <c r="AF450" t="s">
        <v>2675</v>
      </c>
      <c r="AG450" t="s">
        <v>1515</v>
      </c>
      <c r="AH450" t="s">
        <v>2778</v>
      </c>
      <c r="AI450">
        <v>0.76</v>
      </c>
      <c r="AJ450">
        <v>6.7</v>
      </c>
      <c r="AK450">
        <v>2.4700000000000002</v>
      </c>
      <c r="AL450">
        <v>4.8099999999999996</v>
      </c>
    </row>
    <row r="451" spans="1:38" x14ac:dyDescent="0.25">
      <c r="A451">
        <v>450</v>
      </c>
      <c r="B451" t="str">
        <f xml:space="preserve"> "600079"</f>
        <v>600079</v>
      </c>
      <c r="C451" t="s">
        <v>2779</v>
      </c>
      <c r="D451">
        <v>18.559999999999999</v>
      </c>
      <c r="E451">
        <v>-0.05</v>
      </c>
      <c r="F451">
        <v>-0.01</v>
      </c>
      <c r="G451" t="s">
        <v>2780</v>
      </c>
      <c r="H451">
        <v>40</v>
      </c>
      <c r="I451">
        <v>18.55</v>
      </c>
      <c r="J451">
        <v>18.559999999999999</v>
      </c>
      <c r="K451">
        <v>0</v>
      </c>
      <c r="L451">
        <v>0.7</v>
      </c>
      <c r="M451" t="s">
        <v>746</v>
      </c>
      <c r="N451">
        <v>31.76</v>
      </c>
      <c r="O451" t="s">
        <v>392</v>
      </c>
      <c r="P451">
        <v>18.670000000000002</v>
      </c>
      <c r="Q451">
        <v>18.510000000000002</v>
      </c>
      <c r="R451">
        <v>18.63</v>
      </c>
      <c r="S451">
        <v>18.57</v>
      </c>
      <c r="T451">
        <v>0.86</v>
      </c>
      <c r="U451">
        <v>0.71</v>
      </c>
      <c r="V451">
        <v>1.43</v>
      </c>
      <c r="W451">
        <v>47</v>
      </c>
      <c r="X451">
        <v>18.579999999999998</v>
      </c>
      <c r="Y451" t="s">
        <v>1286</v>
      </c>
      <c r="Z451" t="s">
        <v>2781</v>
      </c>
      <c r="AA451">
        <v>0.89</v>
      </c>
      <c r="AB451">
        <v>390</v>
      </c>
      <c r="AC451">
        <v>87</v>
      </c>
      <c r="AD451">
        <v>2.75</v>
      </c>
      <c r="AE451" t="s">
        <v>2683</v>
      </c>
      <c r="AF451" t="s">
        <v>2675</v>
      </c>
      <c r="AG451" t="s">
        <v>1554</v>
      </c>
      <c r="AH451" t="s">
        <v>1555</v>
      </c>
      <c r="AI451">
        <v>0.16</v>
      </c>
      <c r="AJ451">
        <v>2.4300000000000002</v>
      </c>
      <c r="AK451">
        <v>2.4900000000000002</v>
      </c>
      <c r="AL451">
        <v>5.62</v>
      </c>
    </row>
    <row r="452" spans="1:38" x14ac:dyDescent="0.25">
      <c r="A452">
        <v>451</v>
      </c>
      <c r="B452" t="str">
        <f xml:space="preserve"> "002285"</f>
        <v>002285</v>
      </c>
      <c r="C452" t="s">
        <v>2782</v>
      </c>
      <c r="D452" t="s">
        <v>616</v>
      </c>
      <c r="E452" t="s">
        <v>616</v>
      </c>
      <c r="F452" t="s">
        <v>616</v>
      </c>
      <c r="G452" t="s">
        <v>616</v>
      </c>
      <c r="H452" t="s">
        <v>616</v>
      </c>
      <c r="I452" t="s">
        <v>616</v>
      </c>
      <c r="J452" t="s">
        <v>616</v>
      </c>
      <c r="K452" t="s">
        <v>616</v>
      </c>
      <c r="L452" t="s">
        <v>616</v>
      </c>
      <c r="M452" t="s">
        <v>616</v>
      </c>
      <c r="N452">
        <v>41.89</v>
      </c>
      <c r="O452" t="s">
        <v>244</v>
      </c>
      <c r="P452" t="s">
        <v>616</v>
      </c>
      <c r="Q452" t="s">
        <v>616</v>
      </c>
      <c r="R452" t="s">
        <v>616</v>
      </c>
      <c r="S452">
        <v>11.67</v>
      </c>
      <c r="T452" t="s">
        <v>616</v>
      </c>
      <c r="U452" t="s">
        <v>616</v>
      </c>
      <c r="V452" t="s">
        <v>616</v>
      </c>
      <c r="W452" t="s">
        <v>616</v>
      </c>
      <c r="X452" t="s">
        <v>616</v>
      </c>
      <c r="Y452" t="s">
        <v>616</v>
      </c>
      <c r="Z452" t="s">
        <v>616</v>
      </c>
      <c r="AA452" t="s">
        <v>616</v>
      </c>
      <c r="AB452" t="s">
        <v>616</v>
      </c>
      <c r="AC452" t="s">
        <v>616</v>
      </c>
      <c r="AD452">
        <v>5.51</v>
      </c>
      <c r="AE452" t="s">
        <v>740</v>
      </c>
      <c r="AF452" t="s">
        <v>2675</v>
      </c>
      <c r="AG452" t="s">
        <v>909</v>
      </c>
      <c r="AH452" t="s">
        <v>153</v>
      </c>
      <c r="AI452">
        <v>0</v>
      </c>
      <c r="AJ452">
        <v>0</v>
      </c>
      <c r="AK452">
        <v>0</v>
      </c>
      <c r="AL452">
        <v>3.01</v>
      </c>
    </row>
    <row r="453" spans="1:38" x14ac:dyDescent="0.25">
      <c r="A453">
        <v>452</v>
      </c>
      <c r="B453" t="str">
        <f xml:space="preserve"> "600320"</f>
        <v>600320</v>
      </c>
      <c r="C453" t="s">
        <v>2783</v>
      </c>
      <c r="D453">
        <v>5.43</v>
      </c>
      <c r="E453">
        <v>0.18</v>
      </c>
      <c r="F453">
        <v>0.01</v>
      </c>
      <c r="G453" t="s">
        <v>792</v>
      </c>
      <c r="H453">
        <v>116</v>
      </c>
      <c r="I453">
        <v>5.43</v>
      </c>
      <c r="J453">
        <v>5.44</v>
      </c>
      <c r="K453">
        <v>0</v>
      </c>
      <c r="L453">
        <v>0.19</v>
      </c>
      <c r="M453" t="s">
        <v>2784</v>
      </c>
      <c r="N453">
        <v>103.26</v>
      </c>
      <c r="O453" t="s">
        <v>648</v>
      </c>
      <c r="P453">
        <v>5.45</v>
      </c>
      <c r="Q453">
        <v>5.41</v>
      </c>
      <c r="R453">
        <v>5.42</v>
      </c>
      <c r="S453">
        <v>5.42</v>
      </c>
      <c r="T453">
        <v>0.74</v>
      </c>
      <c r="U453">
        <v>0.76</v>
      </c>
      <c r="V453">
        <v>-40.69</v>
      </c>
      <c r="W453" t="s">
        <v>2785</v>
      </c>
      <c r="X453">
        <v>5.43</v>
      </c>
      <c r="Y453" t="s">
        <v>121</v>
      </c>
      <c r="Z453" t="s">
        <v>2786</v>
      </c>
      <c r="AA453">
        <v>1.1499999999999999</v>
      </c>
      <c r="AB453">
        <v>33</v>
      </c>
      <c r="AC453">
        <v>1030</v>
      </c>
      <c r="AD453">
        <v>1.65</v>
      </c>
      <c r="AE453" t="s">
        <v>1828</v>
      </c>
      <c r="AF453" t="s">
        <v>1645</v>
      </c>
      <c r="AG453" t="s">
        <v>1292</v>
      </c>
      <c r="AH453" t="s">
        <v>2787</v>
      </c>
      <c r="AI453">
        <v>-0.37</v>
      </c>
      <c r="AJ453">
        <v>0.74</v>
      </c>
      <c r="AK453">
        <v>0.69</v>
      </c>
      <c r="AL453">
        <v>1.43</v>
      </c>
    </row>
    <row r="454" spans="1:38" x14ac:dyDescent="0.25">
      <c r="A454">
        <v>453</v>
      </c>
      <c r="B454" t="str">
        <f xml:space="preserve"> "600315"</f>
        <v>600315</v>
      </c>
      <c r="C454" t="s">
        <v>2788</v>
      </c>
      <c r="D454">
        <v>35.39</v>
      </c>
      <c r="E454">
        <v>10.01</v>
      </c>
      <c r="F454">
        <v>3.22</v>
      </c>
      <c r="G454" t="s">
        <v>2292</v>
      </c>
      <c r="H454">
        <v>2</v>
      </c>
      <c r="I454">
        <v>35.39</v>
      </c>
      <c r="J454" t="s">
        <v>616</v>
      </c>
      <c r="K454">
        <v>0</v>
      </c>
      <c r="L454">
        <v>2.44</v>
      </c>
      <c r="M454" t="s">
        <v>2789</v>
      </c>
      <c r="N454">
        <v>55.11</v>
      </c>
      <c r="O454" t="s">
        <v>667</v>
      </c>
      <c r="P454">
        <v>35.39</v>
      </c>
      <c r="Q454">
        <v>35.39</v>
      </c>
      <c r="R454">
        <v>35.39</v>
      </c>
      <c r="S454">
        <v>32.17</v>
      </c>
      <c r="T454">
        <v>0</v>
      </c>
      <c r="U454">
        <v>3.41</v>
      </c>
      <c r="V454">
        <v>100</v>
      </c>
      <c r="W454" t="s">
        <v>2790</v>
      </c>
      <c r="X454">
        <v>35.39</v>
      </c>
      <c r="Y454" t="s">
        <v>2292</v>
      </c>
      <c r="Z454">
        <v>0</v>
      </c>
      <c r="AA454">
        <v>1</v>
      </c>
      <c r="AB454" t="s">
        <v>953</v>
      </c>
      <c r="AC454">
        <v>0</v>
      </c>
      <c r="AD454">
        <v>4.3899999999999997</v>
      </c>
      <c r="AE454" t="s">
        <v>2791</v>
      </c>
      <c r="AF454" t="s">
        <v>1645</v>
      </c>
      <c r="AG454" t="s">
        <v>2792</v>
      </c>
      <c r="AH454" t="s">
        <v>1645</v>
      </c>
      <c r="AI454">
        <v>0</v>
      </c>
      <c r="AJ454">
        <v>0</v>
      </c>
      <c r="AK454">
        <v>2.44</v>
      </c>
      <c r="AL454">
        <v>2.44</v>
      </c>
    </row>
    <row r="455" spans="1:38" x14ac:dyDescent="0.25">
      <c r="A455">
        <v>454</v>
      </c>
      <c r="B455" t="str">
        <f xml:space="preserve"> "000937"</f>
        <v>000937</v>
      </c>
      <c r="C455" t="s">
        <v>2793</v>
      </c>
      <c r="D455">
        <v>6.74</v>
      </c>
      <c r="E455">
        <v>0.9</v>
      </c>
      <c r="F455">
        <v>0.06</v>
      </c>
      <c r="G455" t="s">
        <v>2165</v>
      </c>
      <c r="H455">
        <v>2098</v>
      </c>
      <c r="I455">
        <v>6.73</v>
      </c>
      <c r="J455">
        <v>6.74</v>
      </c>
      <c r="K455">
        <v>0</v>
      </c>
      <c r="L455">
        <v>0.75</v>
      </c>
      <c r="M455" t="s">
        <v>1862</v>
      </c>
      <c r="N455">
        <v>20.87</v>
      </c>
      <c r="O455" t="s">
        <v>150</v>
      </c>
      <c r="P455">
        <v>6.76</v>
      </c>
      <c r="Q455">
        <v>6.66</v>
      </c>
      <c r="R455">
        <v>6.71</v>
      </c>
      <c r="S455">
        <v>6.68</v>
      </c>
      <c r="T455">
        <v>1.5</v>
      </c>
      <c r="U455">
        <v>0.95</v>
      </c>
      <c r="V455">
        <v>-19.05</v>
      </c>
      <c r="W455">
        <v>-6533</v>
      </c>
      <c r="X455">
        <v>6.71</v>
      </c>
      <c r="Y455" t="s">
        <v>541</v>
      </c>
      <c r="Z455" t="s">
        <v>363</v>
      </c>
      <c r="AA455">
        <v>0.99</v>
      </c>
      <c r="AB455">
        <v>3519</v>
      </c>
      <c r="AC455">
        <v>4557</v>
      </c>
      <c r="AD455">
        <v>1.26</v>
      </c>
      <c r="AE455" t="s">
        <v>2794</v>
      </c>
      <c r="AF455" t="s">
        <v>1645</v>
      </c>
      <c r="AG455" t="s">
        <v>2795</v>
      </c>
      <c r="AH455" t="s">
        <v>1555</v>
      </c>
      <c r="AI455">
        <v>-1.32</v>
      </c>
      <c r="AJ455">
        <v>-1.61</v>
      </c>
      <c r="AK455">
        <v>2.94</v>
      </c>
      <c r="AL455">
        <v>4.7</v>
      </c>
    </row>
    <row r="456" spans="1:38" x14ac:dyDescent="0.25">
      <c r="A456">
        <v>455</v>
      </c>
      <c r="B456" t="str">
        <f xml:space="preserve"> "600409"</f>
        <v>600409</v>
      </c>
      <c r="C456" t="s">
        <v>2796</v>
      </c>
      <c r="D456">
        <v>11.53</v>
      </c>
      <c r="E456">
        <v>1.32</v>
      </c>
      <c r="F456">
        <v>0.15</v>
      </c>
      <c r="G456" t="s">
        <v>1389</v>
      </c>
      <c r="H456">
        <v>50</v>
      </c>
      <c r="I456">
        <v>11.53</v>
      </c>
      <c r="J456">
        <v>11.54</v>
      </c>
      <c r="K456">
        <v>0</v>
      </c>
      <c r="L456">
        <v>1.22</v>
      </c>
      <c r="M456" t="s">
        <v>2208</v>
      </c>
      <c r="N456">
        <v>12.37</v>
      </c>
      <c r="O456" t="s">
        <v>667</v>
      </c>
      <c r="P456">
        <v>11.56</v>
      </c>
      <c r="Q456">
        <v>11.34</v>
      </c>
      <c r="R456">
        <v>11.4</v>
      </c>
      <c r="S456">
        <v>11.38</v>
      </c>
      <c r="T456">
        <v>1.93</v>
      </c>
      <c r="U456">
        <v>0.74</v>
      </c>
      <c r="V456">
        <v>-65.569999999999993</v>
      </c>
      <c r="W456">
        <v>-5077</v>
      </c>
      <c r="X456">
        <v>11.45</v>
      </c>
      <c r="Y456" t="s">
        <v>867</v>
      </c>
      <c r="Z456" t="s">
        <v>609</v>
      </c>
      <c r="AA456">
        <v>0.78</v>
      </c>
      <c r="AB456">
        <v>146</v>
      </c>
      <c r="AC456">
        <v>18</v>
      </c>
      <c r="AD456">
        <v>2.62</v>
      </c>
      <c r="AE456" t="s">
        <v>2797</v>
      </c>
      <c r="AF456" t="s">
        <v>1645</v>
      </c>
      <c r="AG456" t="s">
        <v>1674</v>
      </c>
      <c r="AH456" t="s">
        <v>2325</v>
      </c>
      <c r="AI456">
        <v>-1.62</v>
      </c>
      <c r="AJ456">
        <v>0.17</v>
      </c>
      <c r="AK456">
        <v>4.3600000000000003</v>
      </c>
      <c r="AL456">
        <v>9.4499999999999993</v>
      </c>
    </row>
    <row r="457" spans="1:38" x14ac:dyDescent="0.25">
      <c r="A457">
        <v>456</v>
      </c>
      <c r="B457" t="str">
        <f xml:space="preserve"> "300308"</f>
        <v>300308</v>
      </c>
      <c r="C457" t="s">
        <v>2798</v>
      </c>
      <c r="D457">
        <v>50.2</v>
      </c>
      <c r="E457">
        <v>3.68</v>
      </c>
      <c r="F457">
        <v>1.78</v>
      </c>
      <c r="G457" t="s">
        <v>658</v>
      </c>
      <c r="H457">
        <v>534</v>
      </c>
      <c r="I457">
        <v>50.2</v>
      </c>
      <c r="J457">
        <v>50.21</v>
      </c>
      <c r="K457">
        <v>0.04</v>
      </c>
      <c r="L457">
        <v>0.91</v>
      </c>
      <c r="M457" t="s">
        <v>2799</v>
      </c>
      <c r="N457">
        <v>2996.85</v>
      </c>
      <c r="O457" t="s">
        <v>648</v>
      </c>
      <c r="P457">
        <v>50.28</v>
      </c>
      <c r="Q457">
        <v>48.12</v>
      </c>
      <c r="R457">
        <v>48.5</v>
      </c>
      <c r="S457">
        <v>48.42</v>
      </c>
      <c r="T457">
        <v>4.46</v>
      </c>
      <c r="U457">
        <v>0.69</v>
      </c>
      <c r="V457">
        <v>62.47</v>
      </c>
      <c r="W457">
        <v>533</v>
      </c>
      <c r="X457">
        <v>49.22</v>
      </c>
      <c r="Y457">
        <v>9186</v>
      </c>
      <c r="Z457" t="s">
        <v>2800</v>
      </c>
      <c r="AA457">
        <v>0.87</v>
      </c>
      <c r="AB457">
        <v>629</v>
      </c>
      <c r="AC457">
        <v>2</v>
      </c>
      <c r="AD457">
        <v>6.52</v>
      </c>
      <c r="AE457" t="s">
        <v>1082</v>
      </c>
      <c r="AF457" t="s">
        <v>1645</v>
      </c>
      <c r="AG457" t="s">
        <v>1914</v>
      </c>
      <c r="AH457" t="s">
        <v>99</v>
      </c>
      <c r="AI457">
        <v>0.8</v>
      </c>
      <c r="AJ457">
        <v>6.81</v>
      </c>
      <c r="AK457">
        <v>2.79</v>
      </c>
      <c r="AL457">
        <v>7.49</v>
      </c>
    </row>
    <row r="458" spans="1:38" x14ac:dyDescent="0.25">
      <c r="A458">
        <v>457</v>
      </c>
      <c r="B458" t="str">
        <f xml:space="preserve"> "002147"</f>
        <v>002147</v>
      </c>
      <c r="C458" t="s">
        <v>2801</v>
      </c>
      <c r="D458">
        <v>13</v>
      </c>
      <c r="E458">
        <v>0.85</v>
      </c>
      <c r="F458">
        <v>0.11</v>
      </c>
      <c r="G458" t="s">
        <v>2180</v>
      </c>
      <c r="H458">
        <v>2016</v>
      </c>
      <c r="I458">
        <v>12.99</v>
      </c>
      <c r="J458">
        <v>13</v>
      </c>
      <c r="K458">
        <v>0.78</v>
      </c>
      <c r="L458">
        <v>0.73</v>
      </c>
      <c r="M458" t="s">
        <v>2802</v>
      </c>
      <c r="N458">
        <v>320.79000000000002</v>
      </c>
      <c r="O458" t="s">
        <v>244</v>
      </c>
      <c r="P458">
        <v>13</v>
      </c>
      <c r="Q458">
        <v>12.88</v>
      </c>
      <c r="R458">
        <v>12.9</v>
      </c>
      <c r="S458">
        <v>12.89</v>
      </c>
      <c r="T458">
        <v>0.93</v>
      </c>
      <c r="U458">
        <v>1.44</v>
      </c>
      <c r="V458">
        <v>-28.42</v>
      </c>
      <c r="W458">
        <v>-260</v>
      </c>
      <c r="X458">
        <v>12.96</v>
      </c>
      <c r="Y458">
        <v>6061</v>
      </c>
      <c r="Z458" t="s">
        <v>1532</v>
      </c>
      <c r="AA458">
        <v>0.18</v>
      </c>
      <c r="AB458">
        <v>2</v>
      </c>
      <c r="AC458">
        <v>3</v>
      </c>
      <c r="AD458">
        <v>3.55</v>
      </c>
      <c r="AE458" t="s">
        <v>2803</v>
      </c>
      <c r="AF458" t="s">
        <v>1645</v>
      </c>
      <c r="AG458" t="s">
        <v>2804</v>
      </c>
      <c r="AH458" t="s">
        <v>1175</v>
      </c>
      <c r="AI458">
        <v>0.85</v>
      </c>
      <c r="AJ458">
        <v>-0.08</v>
      </c>
      <c r="AK458">
        <v>1.38</v>
      </c>
      <c r="AL458">
        <v>3.29</v>
      </c>
    </row>
    <row r="459" spans="1:38" x14ac:dyDescent="0.25">
      <c r="A459">
        <v>458</v>
      </c>
      <c r="B459" t="str">
        <f xml:space="preserve"> "002366"</f>
        <v>002366</v>
      </c>
      <c r="C459" t="s">
        <v>2805</v>
      </c>
      <c r="D459">
        <v>27.3</v>
      </c>
      <c r="E459">
        <v>-2.5299999999999998</v>
      </c>
      <c r="F459">
        <v>-0.71</v>
      </c>
      <c r="G459" t="s">
        <v>2806</v>
      </c>
      <c r="H459">
        <v>1114</v>
      </c>
      <c r="I459">
        <v>27.3</v>
      </c>
      <c r="J459">
        <v>27.31</v>
      </c>
      <c r="K459">
        <v>0</v>
      </c>
      <c r="L459">
        <v>1.91</v>
      </c>
      <c r="M459" t="s">
        <v>2807</v>
      </c>
      <c r="N459">
        <v>27.79</v>
      </c>
      <c r="O459" t="s">
        <v>648</v>
      </c>
      <c r="P459">
        <v>28.26</v>
      </c>
      <c r="Q459">
        <v>27.29</v>
      </c>
      <c r="R459">
        <v>28.08</v>
      </c>
      <c r="S459">
        <v>28.01</v>
      </c>
      <c r="T459">
        <v>3.46</v>
      </c>
      <c r="U459">
        <v>1.62</v>
      </c>
      <c r="V459">
        <v>48.15</v>
      </c>
      <c r="W459">
        <v>1078</v>
      </c>
      <c r="X459">
        <v>27.81</v>
      </c>
      <c r="Y459" t="s">
        <v>2752</v>
      </c>
      <c r="Z459" t="s">
        <v>2808</v>
      </c>
      <c r="AA459">
        <v>1.59</v>
      </c>
      <c r="AB459">
        <v>532</v>
      </c>
      <c r="AC459">
        <v>11</v>
      </c>
      <c r="AD459">
        <v>11.12</v>
      </c>
      <c r="AE459" t="s">
        <v>1515</v>
      </c>
      <c r="AF459" t="s">
        <v>2809</v>
      </c>
      <c r="AG459" t="s">
        <v>2810</v>
      </c>
      <c r="AH459" t="s">
        <v>683</v>
      </c>
      <c r="AI459">
        <v>-3.4</v>
      </c>
      <c r="AJ459">
        <v>-1.87</v>
      </c>
      <c r="AK459">
        <v>4.54</v>
      </c>
      <c r="AL459">
        <v>7.79</v>
      </c>
    </row>
    <row r="460" spans="1:38" x14ac:dyDescent="0.25">
      <c r="A460">
        <v>459</v>
      </c>
      <c r="B460" t="str">
        <f xml:space="preserve"> "300267"</f>
        <v>300267</v>
      </c>
      <c r="C460" t="s">
        <v>2811</v>
      </c>
      <c r="D460" t="s">
        <v>616</v>
      </c>
      <c r="E460" t="s">
        <v>616</v>
      </c>
      <c r="F460" t="s">
        <v>616</v>
      </c>
      <c r="G460" t="s">
        <v>616</v>
      </c>
      <c r="H460" t="s">
        <v>616</v>
      </c>
      <c r="I460" t="s">
        <v>616</v>
      </c>
      <c r="J460" t="s">
        <v>616</v>
      </c>
      <c r="K460" t="s">
        <v>616</v>
      </c>
      <c r="L460" t="s">
        <v>616</v>
      </c>
      <c r="M460" t="s">
        <v>616</v>
      </c>
      <c r="N460">
        <v>27.96</v>
      </c>
      <c r="O460" t="s">
        <v>392</v>
      </c>
      <c r="P460" t="s">
        <v>616</v>
      </c>
      <c r="Q460" t="s">
        <v>616</v>
      </c>
      <c r="R460" t="s">
        <v>616</v>
      </c>
      <c r="S460">
        <v>11.46</v>
      </c>
      <c r="T460" t="s">
        <v>616</v>
      </c>
      <c r="U460" t="s">
        <v>616</v>
      </c>
      <c r="V460" t="s">
        <v>616</v>
      </c>
      <c r="W460" t="s">
        <v>616</v>
      </c>
      <c r="X460" t="s">
        <v>616</v>
      </c>
      <c r="Y460" t="s">
        <v>616</v>
      </c>
      <c r="Z460" t="s">
        <v>616</v>
      </c>
      <c r="AA460" t="s">
        <v>616</v>
      </c>
      <c r="AB460" t="s">
        <v>616</v>
      </c>
      <c r="AC460" t="s">
        <v>616</v>
      </c>
      <c r="AD460">
        <v>4.26</v>
      </c>
      <c r="AE460" t="s">
        <v>2797</v>
      </c>
      <c r="AF460" t="s">
        <v>2539</v>
      </c>
      <c r="AG460" t="s">
        <v>1572</v>
      </c>
      <c r="AH460" t="s">
        <v>834</v>
      </c>
      <c r="AI460">
        <v>0</v>
      </c>
      <c r="AJ460">
        <v>0</v>
      </c>
      <c r="AK460">
        <v>0</v>
      </c>
      <c r="AL460">
        <v>0</v>
      </c>
    </row>
    <row r="461" spans="1:38" x14ac:dyDescent="0.25">
      <c r="A461">
        <v>460</v>
      </c>
      <c r="B461" t="str">
        <f xml:space="preserve"> "600511"</f>
        <v>600511</v>
      </c>
      <c r="C461" t="s">
        <v>2812</v>
      </c>
      <c r="D461">
        <v>30.77</v>
      </c>
      <c r="E461">
        <v>-0.06</v>
      </c>
      <c r="F461">
        <v>-0.02</v>
      </c>
      <c r="G461" t="s">
        <v>1984</v>
      </c>
      <c r="H461">
        <v>2</v>
      </c>
      <c r="I461">
        <v>30.74</v>
      </c>
      <c r="J461">
        <v>30.77</v>
      </c>
      <c r="K461">
        <v>0.13</v>
      </c>
      <c r="L461">
        <v>1.21</v>
      </c>
      <c r="M461" t="s">
        <v>2611</v>
      </c>
      <c r="N461">
        <v>21.3</v>
      </c>
      <c r="O461" t="s">
        <v>392</v>
      </c>
      <c r="P461">
        <v>30.91</v>
      </c>
      <c r="Q461">
        <v>30.41</v>
      </c>
      <c r="R461">
        <v>30.7</v>
      </c>
      <c r="S461">
        <v>30.79</v>
      </c>
      <c r="T461">
        <v>1.62</v>
      </c>
      <c r="U461">
        <v>0.66</v>
      </c>
      <c r="V461">
        <v>-42.3</v>
      </c>
      <c r="W461">
        <v>-477</v>
      </c>
      <c r="X461">
        <v>30.7</v>
      </c>
      <c r="Y461" t="s">
        <v>1986</v>
      </c>
      <c r="Z461" t="s">
        <v>2518</v>
      </c>
      <c r="AA461">
        <v>1.51</v>
      </c>
      <c r="AB461">
        <v>5</v>
      </c>
      <c r="AC461">
        <v>13</v>
      </c>
      <c r="AD461">
        <v>3.1</v>
      </c>
      <c r="AE461" t="s">
        <v>2813</v>
      </c>
      <c r="AF461" t="s">
        <v>2539</v>
      </c>
      <c r="AG461" t="s">
        <v>273</v>
      </c>
      <c r="AH461" t="s">
        <v>2814</v>
      </c>
      <c r="AI461">
        <v>0.69</v>
      </c>
      <c r="AJ461">
        <v>3.64</v>
      </c>
      <c r="AK461">
        <v>6.17</v>
      </c>
      <c r="AL461">
        <v>10.33</v>
      </c>
    </row>
    <row r="462" spans="1:38" x14ac:dyDescent="0.25">
      <c r="A462">
        <v>461</v>
      </c>
      <c r="B462" t="str">
        <f xml:space="preserve"> "601966"</f>
        <v>601966</v>
      </c>
      <c r="C462" t="s">
        <v>2815</v>
      </c>
      <c r="D462">
        <v>19.64</v>
      </c>
      <c r="E462">
        <v>0.46</v>
      </c>
      <c r="F462">
        <v>0.09</v>
      </c>
      <c r="G462" t="s">
        <v>2515</v>
      </c>
      <c r="H462">
        <v>10</v>
      </c>
      <c r="I462">
        <v>19.63</v>
      </c>
      <c r="J462">
        <v>19.64</v>
      </c>
      <c r="K462">
        <v>0.1</v>
      </c>
      <c r="L462">
        <v>0.79</v>
      </c>
      <c r="M462" t="s">
        <v>2816</v>
      </c>
      <c r="N462">
        <v>27.18</v>
      </c>
      <c r="O462" t="s">
        <v>169</v>
      </c>
      <c r="P462">
        <v>19.66</v>
      </c>
      <c r="Q462">
        <v>19.53</v>
      </c>
      <c r="R462">
        <v>19.559999999999999</v>
      </c>
      <c r="S462">
        <v>19.55</v>
      </c>
      <c r="T462">
        <v>0.66</v>
      </c>
      <c r="U462">
        <v>0.56999999999999995</v>
      </c>
      <c r="V462">
        <v>-26.65</v>
      </c>
      <c r="W462">
        <v>-473</v>
      </c>
      <c r="X462">
        <v>19.600000000000001</v>
      </c>
      <c r="Y462" t="s">
        <v>1886</v>
      </c>
      <c r="Z462" t="s">
        <v>1077</v>
      </c>
      <c r="AA462">
        <v>1.36</v>
      </c>
      <c r="AB462">
        <v>124</v>
      </c>
      <c r="AC462">
        <v>188</v>
      </c>
      <c r="AD462">
        <v>2.88</v>
      </c>
      <c r="AE462" t="s">
        <v>177</v>
      </c>
      <c r="AF462" t="s">
        <v>2539</v>
      </c>
      <c r="AG462" t="s">
        <v>2817</v>
      </c>
      <c r="AH462" t="s">
        <v>1687</v>
      </c>
      <c r="AI462">
        <v>-1.75</v>
      </c>
      <c r="AJ462">
        <v>-1.26</v>
      </c>
      <c r="AK462">
        <v>3.12</v>
      </c>
      <c r="AL462">
        <v>7.74</v>
      </c>
    </row>
    <row r="463" spans="1:38" x14ac:dyDescent="0.25">
      <c r="A463">
        <v>462</v>
      </c>
      <c r="B463" t="str">
        <f xml:space="preserve"> "600282"</f>
        <v>600282</v>
      </c>
      <c r="C463" t="s">
        <v>2818</v>
      </c>
      <c r="D463">
        <v>5.34</v>
      </c>
      <c r="E463">
        <v>1.1399999999999999</v>
      </c>
      <c r="F463">
        <v>0.06</v>
      </c>
      <c r="G463" t="s">
        <v>2819</v>
      </c>
      <c r="H463">
        <v>246</v>
      </c>
      <c r="I463">
        <v>5.34</v>
      </c>
      <c r="J463">
        <v>5.35</v>
      </c>
      <c r="K463">
        <v>0</v>
      </c>
      <c r="L463">
        <v>2.2799999999999998</v>
      </c>
      <c r="M463" t="s">
        <v>2820</v>
      </c>
      <c r="N463">
        <v>9.74</v>
      </c>
      <c r="O463" t="s">
        <v>416</v>
      </c>
      <c r="P463">
        <v>5.39</v>
      </c>
      <c r="Q463">
        <v>5.22</v>
      </c>
      <c r="R463">
        <v>5.27</v>
      </c>
      <c r="S463">
        <v>5.28</v>
      </c>
      <c r="T463">
        <v>3.22</v>
      </c>
      <c r="U463">
        <v>0.88</v>
      </c>
      <c r="V463">
        <v>-34.21</v>
      </c>
      <c r="W463" t="s">
        <v>2821</v>
      </c>
      <c r="X463">
        <v>5.3</v>
      </c>
      <c r="Y463" t="s">
        <v>2822</v>
      </c>
      <c r="Z463" t="s">
        <v>2823</v>
      </c>
      <c r="AA463">
        <v>0.79</v>
      </c>
      <c r="AB463">
        <v>82</v>
      </c>
      <c r="AC463">
        <v>2266</v>
      </c>
      <c r="AD463">
        <v>2.4900000000000002</v>
      </c>
      <c r="AE463" t="s">
        <v>276</v>
      </c>
      <c r="AF463" t="s">
        <v>2824</v>
      </c>
      <c r="AG463" t="s">
        <v>1662</v>
      </c>
      <c r="AH463" t="s">
        <v>692</v>
      </c>
      <c r="AI463">
        <v>1.52</v>
      </c>
      <c r="AJ463">
        <v>-1.66</v>
      </c>
      <c r="AK463">
        <v>7.38</v>
      </c>
      <c r="AL463">
        <v>15.24</v>
      </c>
    </row>
    <row r="464" spans="1:38" x14ac:dyDescent="0.25">
      <c r="A464">
        <v>463</v>
      </c>
      <c r="B464" t="str">
        <f xml:space="preserve"> "600633"</f>
        <v>600633</v>
      </c>
      <c r="C464" t="s">
        <v>2825</v>
      </c>
      <c r="D464">
        <v>18.079999999999998</v>
      </c>
      <c r="E464">
        <v>-0.66</v>
      </c>
      <c r="F464">
        <v>-0.12</v>
      </c>
      <c r="G464" t="s">
        <v>2826</v>
      </c>
      <c r="H464">
        <v>10</v>
      </c>
      <c r="I464">
        <v>18.079999999999998</v>
      </c>
      <c r="J464">
        <v>18.09</v>
      </c>
      <c r="K464">
        <v>-0.06</v>
      </c>
      <c r="L464">
        <v>0.54</v>
      </c>
      <c r="M464" t="s">
        <v>2827</v>
      </c>
      <c r="N464">
        <v>8.92</v>
      </c>
      <c r="O464" t="s">
        <v>1126</v>
      </c>
      <c r="P464">
        <v>18.23</v>
      </c>
      <c r="Q464">
        <v>18.02</v>
      </c>
      <c r="R464">
        <v>18.2</v>
      </c>
      <c r="S464">
        <v>18.2</v>
      </c>
      <c r="T464">
        <v>1.1499999999999999</v>
      </c>
      <c r="U464">
        <v>0.53</v>
      </c>
      <c r="V464">
        <v>12.31</v>
      </c>
      <c r="W464">
        <v>351</v>
      </c>
      <c r="X464">
        <v>18.09</v>
      </c>
      <c r="Y464" t="s">
        <v>1489</v>
      </c>
      <c r="Z464" t="s">
        <v>1887</v>
      </c>
      <c r="AA464">
        <v>1.83</v>
      </c>
      <c r="AB464">
        <v>201</v>
      </c>
      <c r="AC464">
        <v>130</v>
      </c>
      <c r="AD464">
        <v>3.1</v>
      </c>
      <c r="AE464" t="s">
        <v>2828</v>
      </c>
      <c r="AF464" t="s">
        <v>2824</v>
      </c>
      <c r="AG464" t="s">
        <v>1011</v>
      </c>
      <c r="AH464" t="s">
        <v>1925</v>
      </c>
      <c r="AI464">
        <v>-1.63</v>
      </c>
      <c r="AJ464">
        <v>3.67</v>
      </c>
      <c r="AK464">
        <v>2.4</v>
      </c>
      <c r="AL464">
        <v>5.69</v>
      </c>
    </row>
    <row r="465" spans="1:38" x14ac:dyDescent="0.25">
      <c r="A465">
        <v>464</v>
      </c>
      <c r="B465" t="str">
        <f xml:space="preserve"> "601000"</f>
        <v>601000</v>
      </c>
      <c r="C465" t="s">
        <v>2829</v>
      </c>
      <c r="D465">
        <v>5.15</v>
      </c>
      <c r="E465">
        <v>0.98</v>
      </c>
      <c r="F465">
        <v>0.05</v>
      </c>
      <c r="G465" t="s">
        <v>2301</v>
      </c>
      <c r="H465">
        <v>2</v>
      </c>
      <c r="I465">
        <v>5.14</v>
      </c>
      <c r="J465">
        <v>5.15</v>
      </c>
      <c r="K465">
        <v>0.19</v>
      </c>
      <c r="L465">
        <v>0.39</v>
      </c>
      <c r="M465" t="s">
        <v>2830</v>
      </c>
      <c r="N465">
        <v>16.010000000000002</v>
      </c>
      <c r="O465" t="s">
        <v>440</v>
      </c>
      <c r="P465">
        <v>5.15</v>
      </c>
      <c r="Q465">
        <v>5.08</v>
      </c>
      <c r="R465">
        <v>5.0999999999999996</v>
      </c>
      <c r="S465">
        <v>5.0999999999999996</v>
      </c>
      <c r="T465">
        <v>1.37</v>
      </c>
      <c r="U465">
        <v>0.81</v>
      </c>
      <c r="V465">
        <v>-53.07</v>
      </c>
      <c r="W465" t="s">
        <v>2831</v>
      </c>
      <c r="X465">
        <v>5.12</v>
      </c>
      <c r="Y465" t="s">
        <v>649</v>
      </c>
      <c r="Z465" t="s">
        <v>2832</v>
      </c>
      <c r="AA465">
        <v>0.82</v>
      </c>
      <c r="AB465">
        <v>551</v>
      </c>
      <c r="AC465" t="s">
        <v>999</v>
      </c>
      <c r="AD465">
        <v>1.7</v>
      </c>
      <c r="AE465" t="s">
        <v>1137</v>
      </c>
      <c r="AF465" t="s">
        <v>2824</v>
      </c>
      <c r="AG465" t="s">
        <v>2833</v>
      </c>
      <c r="AH465" t="s">
        <v>692</v>
      </c>
      <c r="AI465">
        <v>0.19</v>
      </c>
      <c r="AJ465">
        <v>3</v>
      </c>
      <c r="AK465">
        <v>1.38</v>
      </c>
      <c r="AL465">
        <v>2.78</v>
      </c>
    </row>
    <row r="466" spans="1:38" x14ac:dyDescent="0.25">
      <c r="A466">
        <v>465</v>
      </c>
      <c r="B466" t="str">
        <f xml:space="preserve"> "000961"</f>
        <v>000961</v>
      </c>
      <c r="C466" t="s">
        <v>2834</v>
      </c>
      <c r="D466">
        <v>6.32</v>
      </c>
      <c r="E466">
        <v>0.16</v>
      </c>
      <c r="F466">
        <v>0.01</v>
      </c>
      <c r="G466" t="s">
        <v>2806</v>
      </c>
      <c r="H466">
        <v>1325</v>
      </c>
      <c r="I466">
        <v>6.31</v>
      </c>
      <c r="J466">
        <v>6.32</v>
      </c>
      <c r="K466">
        <v>0.16</v>
      </c>
      <c r="L466">
        <v>0.25</v>
      </c>
      <c r="M466" t="s">
        <v>2835</v>
      </c>
      <c r="N466">
        <v>33.1</v>
      </c>
      <c r="O466" t="s">
        <v>244</v>
      </c>
      <c r="P466">
        <v>6.35</v>
      </c>
      <c r="Q466">
        <v>6.27</v>
      </c>
      <c r="R466">
        <v>6.31</v>
      </c>
      <c r="S466">
        <v>6.31</v>
      </c>
      <c r="T466">
        <v>1.27</v>
      </c>
      <c r="U466">
        <v>0.56000000000000005</v>
      </c>
      <c r="V466">
        <v>25.75</v>
      </c>
      <c r="W466">
        <v>6162</v>
      </c>
      <c r="X466">
        <v>6.31</v>
      </c>
      <c r="Y466" t="s">
        <v>2836</v>
      </c>
      <c r="Z466" t="s">
        <v>1878</v>
      </c>
      <c r="AA466">
        <v>1.48</v>
      </c>
      <c r="AB466">
        <v>2805</v>
      </c>
      <c r="AC466">
        <v>88</v>
      </c>
      <c r="AD466">
        <v>1.7</v>
      </c>
      <c r="AE466" t="s">
        <v>1817</v>
      </c>
      <c r="AF466" t="s">
        <v>1543</v>
      </c>
      <c r="AG466" t="s">
        <v>2837</v>
      </c>
      <c r="AH466" t="s">
        <v>1543</v>
      </c>
      <c r="AI466">
        <v>-1.71</v>
      </c>
      <c r="AJ466">
        <v>0.48</v>
      </c>
      <c r="AK466">
        <v>1.1000000000000001</v>
      </c>
      <c r="AL466">
        <v>2.5099999999999998</v>
      </c>
    </row>
    <row r="467" spans="1:38" x14ac:dyDescent="0.25">
      <c r="A467">
        <v>466</v>
      </c>
      <c r="B467" t="str">
        <f xml:space="preserve"> "600967"</f>
        <v>600967</v>
      </c>
      <c r="C467" t="s">
        <v>2838</v>
      </c>
      <c r="D467">
        <v>13.87</v>
      </c>
      <c r="E467">
        <v>0.51</v>
      </c>
      <c r="F467">
        <v>7.0000000000000007E-2</v>
      </c>
      <c r="G467" t="s">
        <v>641</v>
      </c>
      <c r="H467">
        <v>6</v>
      </c>
      <c r="I467">
        <v>13.86</v>
      </c>
      <c r="J467">
        <v>13.87</v>
      </c>
      <c r="K467">
        <v>0</v>
      </c>
      <c r="L467">
        <v>1.2</v>
      </c>
      <c r="M467" t="s">
        <v>1757</v>
      </c>
      <c r="N467">
        <v>59.73</v>
      </c>
      <c r="O467" t="s">
        <v>648</v>
      </c>
      <c r="P467">
        <v>13.94</v>
      </c>
      <c r="Q467">
        <v>13.62</v>
      </c>
      <c r="R467">
        <v>13.77</v>
      </c>
      <c r="S467">
        <v>13.8</v>
      </c>
      <c r="T467">
        <v>2.3199999999999998</v>
      </c>
      <c r="U467">
        <v>1.02</v>
      </c>
      <c r="V467">
        <v>-67.989999999999995</v>
      </c>
      <c r="W467">
        <v>-2400</v>
      </c>
      <c r="X467">
        <v>13.79</v>
      </c>
      <c r="Y467" t="s">
        <v>2839</v>
      </c>
      <c r="Z467" t="s">
        <v>1947</v>
      </c>
      <c r="AA467">
        <v>1.1299999999999999</v>
      </c>
      <c r="AB467">
        <v>29</v>
      </c>
      <c r="AC467">
        <v>604</v>
      </c>
      <c r="AD467">
        <v>3.17</v>
      </c>
      <c r="AE467" t="s">
        <v>2840</v>
      </c>
      <c r="AF467" t="s">
        <v>1543</v>
      </c>
      <c r="AG467" t="s">
        <v>2841</v>
      </c>
      <c r="AH467" t="s">
        <v>2842</v>
      </c>
      <c r="AI467">
        <v>2.14</v>
      </c>
      <c r="AJ467">
        <v>2.82</v>
      </c>
      <c r="AK467">
        <v>4.45</v>
      </c>
      <c r="AL467">
        <v>7.11</v>
      </c>
    </row>
    <row r="468" spans="1:38" x14ac:dyDescent="0.25">
      <c r="A468">
        <v>467</v>
      </c>
      <c r="B468" t="str">
        <f xml:space="preserve"> "600161"</f>
        <v>600161</v>
      </c>
      <c r="C468" t="s">
        <v>2843</v>
      </c>
      <c r="D468">
        <v>34.94</v>
      </c>
      <c r="E468">
        <v>-0.68</v>
      </c>
      <c r="F468">
        <v>-0.24</v>
      </c>
      <c r="G468" t="s">
        <v>2844</v>
      </c>
      <c r="H468">
        <v>13</v>
      </c>
      <c r="I468">
        <v>34.950000000000003</v>
      </c>
      <c r="J468">
        <v>34.96</v>
      </c>
      <c r="K468">
        <v>0.11</v>
      </c>
      <c r="L468">
        <v>0.98</v>
      </c>
      <c r="M468" t="s">
        <v>2845</v>
      </c>
      <c r="N468">
        <v>12.39</v>
      </c>
      <c r="O468" t="s">
        <v>392</v>
      </c>
      <c r="P468">
        <v>35.380000000000003</v>
      </c>
      <c r="Q468">
        <v>34.770000000000003</v>
      </c>
      <c r="R468">
        <v>35.299999999999997</v>
      </c>
      <c r="S468">
        <v>35.18</v>
      </c>
      <c r="T468">
        <v>1.73</v>
      </c>
      <c r="U468">
        <v>0.69</v>
      </c>
      <c r="V468">
        <v>-55.64</v>
      </c>
      <c r="W468">
        <v>-291</v>
      </c>
      <c r="X468">
        <v>34.97</v>
      </c>
      <c r="Y468" t="s">
        <v>1539</v>
      </c>
      <c r="Z468" t="s">
        <v>2846</v>
      </c>
      <c r="AA468">
        <v>1.44</v>
      </c>
      <c r="AB468">
        <v>4</v>
      </c>
      <c r="AC468">
        <v>134</v>
      </c>
      <c r="AD468">
        <v>8.35</v>
      </c>
      <c r="AE468" t="s">
        <v>2847</v>
      </c>
      <c r="AF468" t="s">
        <v>1543</v>
      </c>
      <c r="AG468" t="s">
        <v>2847</v>
      </c>
      <c r="AH468" t="s">
        <v>1543</v>
      </c>
      <c r="AI468">
        <v>0.81</v>
      </c>
      <c r="AJ468">
        <v>5.24</v>
      </c>
      <c r="AK468">
        <v>4.62</v>
      </c>
      <c r="AL468">
        <v>8.11</v>
      </c>
    </row>
    <row r="469" spans="1:38" x14ac:dyDescent="0.25">
      <c r="A469">
        <v>468</v>
      </c>
      <c r="B469" t="str">
        <f xml:space="preserve"> "600179"</f>
        <v>600179</v>
      </c>
      <c r="C469" t="s">
        <v>2848</v>
      </c>
      <c r="D469">
        <v>21.96</v>
      </c>
      <c r="E469">
        <v>2.19</v>
      </c>
      <c r="F469">
        <v>0.47</v>
      </c>
      <c r="G469" t="s">
        <v>280</v>
      </c>
      <c r="H469">
        <v>38</v>
      </c>
      <c r="I469">
        <v>21.96</v>
      </c>
      <c r="J469">
        <v>21.97</v>
      </c>
      <c r="K469">
        <v>0.18</v>
      </c>
      <c r="L469">
        <v>3.18</v>
      </c>
      <c r="M469" t="s">
        <v>977</v>
      </c>
      <c r="N469">
        <v>51.05</v>
      </c>
      <c r="O469" t="s">
        <v>274</v>
      </c>
      <c r="P469">
        <v>21.97</v>
      </c>
      <c r="Q469">
        <v>21.23</v>
      </c>
      <c r="R469">
        <v>21.34</v>
      </c>
      <c r="S469">
        <v>21.49</v>
      </c>
      <c r="T469">
        <v>3.44</v>
      </c>
      <c r="U469">
        <v>1.1399999999999999</v>
      </c>
      <c r="V469">
        <v>-81.36</v>
      </c>
      <c r="W469">
        <v>-2157</v>
      </c>
      <c r="X469">
        <v>21.74</v>
      </c>
      <c r="Y469" t="s">
        <v>2849</v>
      </c>
      <c r="Z469" t="s">
        <v>2850</v>
      </c>
      <c r="AA469">
        <v>0.57999999999999996</v>
      </c>
      <c r="AB469">
        <v>160</v>
      </c>
      <c r="AC469">
        <v>110</v>
      </c>
      <c r="AD469">
        <v>8.7200000000000006</v>
      </c>
      <c r="AE469" t="s">
        <v>1554</v>
      </c>
      <c r="AF469" t="s">
        <v>2851</v>
      </c>
      <c r="AG469" t="s">
        <v>2852</v>
      </c>
      <c r="AH469" t="s">
        <v>1459</v>
      </c>
      <c r="AI469">
        <v>8.8699999999999992</v>
      </c>
      <c r="AJ469">
        <v>15.88</v>
      </c>
      <c r="AK469">
        <v>9.6300000000000008</v>
      </c>
      <c r="AL469">
        <v>17.079999999999998</v>
      </c>
    </row>
    <row r="470" spans="1:38" x14ac:dyDescent="0.25">
      <c r="A470">
        <v>469</v>
      </c>
      <c r="B470" t="str">
        <f xml:space="preserve"> "000738"</f>
        <v>000738</v>
      </c>
      <c r="C470" t="s">
        <v>2853</v>
      </c>
      <c r="D470">
        <v>20.34</v>
      </c>
      <c r="E470">
        <v>-0.39</v>
      </c>
      <c r="F470">
        <v>-0.08</v>
      </c>
      <c r="G470" t="s">
        <v>1179</v>
      </c>
      <c r="H470">
        <v>709</v>
      </c>
      <c r="I470">
        <v>20.329999999999998</v>
      </c>
      <c r="J470">
        <v>20.34</v>
      </c>
      <c r="K470">
        <v>0</v>
      </c>
      <c r="L470">
        <v>0.66</v>
      </c>
      <c r="M470" t="s">
        <v>2231</v>
      </c>
      <c r="N470">
        <v>81.33</v>
      </c>
      <c r="O470" t="s">
        <v>926</v>
      </c>
      <c r="P470">
        <v>20.38</v>
      </c>
      <c r="Q470">
        <v>20.18</v>
      </c>
      <c r="R470">
        <v>20.22</v>
      </c>
      <c r="S470">
        <v>20.420000000000002</v>
      </c>
      <c r="T470">
        <v>0.98</v>
      </c>
      <c r="U470">
        <v>0.84</v>
      </c>
      <c r="V470">
        <v>-21.47</v>
      </c>
      <c r="W470">
        <v>-770</v>
      </c>
      <c r="X470">
        <v>20.260000000000002</v>
      </c>
      <c r="Y470" t="s">
        <v>2346</v>
      </c>
      <c r="Z470" t="s">
        <v>1533</v>
      </c>
      <c r="AA470">
        <v>1.72</v>
      </c>
      <c r="AB470">
        <v>478</v>
      </c>
      <c r="AC470">
        <v>329</v>
      </c>
      <c r="AD470">
        <v>4.5999999999999996</v>
      </c>
      <c r="AE470" t="s">
        <v>2388</v>
      </c>
      <c r="AF470" t="s">
        <v>2851</v>
      </c>
      <c r="AG470" t="s">
        <v>2388</v>
      </c>
      <c r="AH470" t="s">
        <v>2851</v>
      </c>
      <c r="AI470">
        <v>1.1399999999999999</v>
      </c>
      <c r="AJ470">
        <v>1.7</v>
      </c>
      <c r="AK470">
        <v>2.86</v>
      </c>
      <c r="AL470">
        <v>4.57</v>
      </c>
    </row>
    <row r="471" spans="1:38" x14ac:dyDescent="0.25">
      <c r="A471">
        <v>470</v>
      </c>
      <c r="B471" t="str">
        <f xml:space="preserve"> "002563"</f>
        <v>002563</v>
      </c>
      <c r="C471" t="s">
        <v>2854</v>
      </c>
      <c r="D471">
        <v>8.65</v>
      </c>
      <c r="E471">
        <v>-0.35</v>
      </c>
      <c r="F471">
        <v>-0.03</v>
      </c>
      <c r="G471" t="s">
        <v>1704</v>
      </c>
      <c r="H471">
        <v>151</v>
      </c>
      <c r="I471">
        <v>8.65</v>
      </c>
      <c r="J471">
        <v>8.66</v>
      </c>
      <c r="K471">
        <v>0</v>
      </c>
      <c r="L471">
        <v>0.14000000000000001</v>
      </c>
      <c r="M471" t="s">
        <v>2855</v>
      </c>
      <c r="N471">
        <v>21.82</v>
      </c>
      <c r="O471" t="s">
        <v>1443</v>
      </c>
      <c r="P471">
        <v>8.69</v>
      </c>
      <c r="Q471">
        <v>8.58</v>
      </c>
      <c r="R471">
        <v>8.67</v>
      </c>
      <c r="S471">
        <v>8.68</v>
      </c>
      <c r="T471">
        <v>1.27</v>
      </c>
      <c r="U471">
        <v>0.57999999999999996</v>
      </c>
      <c r="V471">
        <v>-19.850000000000001</v>
      </c>
      <c r="W471">
        <v>-427</v>
      </c>
      <c r="X471">
        <v>8.6199999999999992</v>
      </c>
      <c r="Y471" t="s">
        <v>1278</v>
      </c>
      <c r="Z471" t="s">
        <v>1685</v>
      </c>
      <c r="AA471">
        <v>1.59</v>
      </c>
      <c r="AB471">
        <v>646</v>
      </c>
      <c r="AC471">
        <v>525</v>
      </c>
      <c r="AD471">
        <v>2.4500000000000002</v>
      </c>
      <c r="AE471" t="s">
        <v>1053</v>
      </c>
      <c r="AF471" t="s">
        <v>2851</v>
      </c>
      <c r="AG471" t="s">
        <v>2856</v>
      </c>
      <c r="AH471" t="s">
        <v>2857</v>
      </c>
      <c r="AI471">
        <v>-0.92</v>
      </c>
      <c r="AJ471">
        <v>-1.03</v>
      </c>
      <c r="AK471">
        <v>0.7</v>
      </c>
      <c r="AL471">
        <v>1.37</v>
      </c>
    </row>
    <row r="472" spans="1:38" x14ac:dyDescent="0.25">
      <c r="A472">
        <v>471</v>
      </c>
      <c r="B472" t="str">
        <f xml:space="preserve"> "002589"</f>
        <v>002589</v>
      </c>
      <c r="C472" t="s">
        <v>2858</v>
      </c>
      <c r="D472">
        <v>15.43</v>
      </c>
      <c r="E472">
        <v>0.06</v>
      </c>
      <c r="F472">
        <v>0.01</v>
      </c>
      <c r="G472" t="s">
        <v>767</v>
      </c>
      <c r="H472">
        <v>574</v>
      </c>
      <c r="I472">
        <v>15.43</v>
      </c>
      <c r="J472">
        <v>15.44</v>
      </c>
      <c r="K472">
        <v>-0.06</v>
      </c>
      <c r="L472">
        <v>1.36</v>
      </c>
      <c r="M472" t="s">
        <v>957</v>
      </c>
      <c r="N472">
        <v>22.58</v>
      </c>
      <c r="O472" t="s">
        <v>392</v>
      </c>
      <c r="P472">
        <v>15.58</v>
      </c>
      <c r="Q472">
        <v>15.19</v>
      </c>
      <c r="R472">
        <v>15.41</v>
      </c>
      <c r="S472">
        <v>15.42</v>
      </c>
      <c r="T472">
        <v>2.5299999999999998</v>
      </c>
      <c r="U472">
        <v>0.85</v>
      </c>
      <c r="V472">
        <v>-44.54</v>
      </c>
      <c r="W472">
        <v>-1637</v>
      </c>
      <c r="X472">
        <v>15.43</v>
      </c>
      <c r="Y472" t="s">
        <v>1641</v>
      </c>
      <c r="Z472" t="s">
        <v>1835</v>
      </c>
      <c r="AA472">
        <v>0.84</v>
      </c>
      <c r="AB472">
        <v>332</v>
      </c>
      <c r="AC472">
        <v>762</v>
      </c>
      <c r="AD472">
        <v>3.17</v>
      </c>
      <c r="AE472" t="s">
        <v>2347</v>
      </c>
      <c r="AF472" t="s">
        <v>443</v>
      </c>
      <c r="AG472" t="s">
        <v>2133</v>
      </c>
      <c r="AH472" t="s">
        <v>2859</v>
      </c>
      <c r="AI472">
        <v>3.98</v>
      </c>
      <c r="AJ472">
        <v>9.2799999999999994</v>
      </c>
      <c r="AK472">
        <v>6.63</v>
      </c>
      <c r="AL472">
        <v>9.3800000000000008</v>
      </c>
    </row>
    <row r="473" spans="1:38" x14ac:dyDescent="0.25">
      <c r="A473">
        <v>472</v>
      </c>
      <c r="B473" t="str">
        <f xml:space="preserve"> "603225"</f>
        <v>603225</v>
      </c>
      <c r="C473" t="s">
        <v>2860</v>
      </c>
      <c r="D473">
        <v>38.19</v>
      </c>
      <c r="E473">
        <v>2.19</v>
      </c>
      <c r="F473">
        <v>0.82</v>
      </c>
      <c r="G473" t="s">
        <v>574</v>
      </c>
      <c r="H473">
        <v>10</v>
      </c>
      <c r="I473">
        <v>38.18</v>
      </c>
      <c r="J473">
        <v>38.19</v>
      </c>
      <c r="K473">
        <v>0.03</v>
      </c>
      <c r="L473">
        <v>5.99</v>
      </c>
      <c r="M473" t="s">
        <v>2861</v>
      </c>
      <c r="N473">
        <v>21.84</v>
      </c>
      <c r="O473" t="s">
        <v>1798</v>
      </c>
      <c r="P473">
        <v>38.44</v>
      </c>
      <c r="Q473">
        <v>37.18</v>
      </c>
      <c r="R473">
        <v>37.450000000000003</v>
      </c>
      <c r="S473">
        <v>37.369999999999997</v>
      </c>
      <c r="T473">
        <v>3.37</v>
      </c>
      <c r="U473">
        <v>1.95</v>
      </c>
      <c r="V473">
        <v>-44.57</v>
      </c>
      <c r="W473">
        <v>-409</v>
      </c>
      <c r="X473">
        <v>38.1</v>
      </c>
      <c r="Y473" t="s">
        <v>2509</v>
      </c>
      <c r="Z473" t="s">
        <v>2862</v>
      </c>
      <c r="AA473">
        <v>0.78</v>
      </c>
      <c r="AB473">
        <v>18</v>
      </c>
      <c r="AC473">
        <v>90</v>
      </c>
      <c r="AD473">
        <v>4.12</v>
      </c>
      <c r="AE473" t="s">
        <v>1573</v>
      </c>
      <c r="AF473" t="s">
        <v>793</v>
      </c>
      <c r="AG473" t="s">
        <v>2863</v>
      </c>
      <c r="AH473" t="s">
        <v>775</v>
      </c>
      <c r="AI473">
        <v>1.49</v>
      </c>
      <c r="AJ473">
        <v>5.09</v>
      </c>
      <c r="AK473">
        <v>12.86</v>
      </c>
      <c r="AL473">
        <v>21.4</v>
      </c>
    </row>
    <row r="474" spans="1:38" x14ac:dyDescent="0.25">
      <c r="A474">
        <v>473</v>
      </c>
      <c r="B474" t="str">
        <f xml:space="preserve"> "000990"</f>
        <v>000990</v>
      </c>
      <c r="C474" t="s">
        <v>2864</v>
      </c>
      <c r="D474">
        <v>18.34</v>
      </c>
      <c r="E474">
        <v>0.27</v>
      </c>
      <c r="F474">
        <v>0.05</v>
      </c>
      <c r="G474" t="s">
        <v>2865</v>
      </c>
      <c r="H474">
        <v>471</v>
      </c>
      <c r="I474">
        <v>18.329999999999998</v>
      </c>
      <c r="J474">
        <v>18.34</v>
      </c>
      <c r="K474">
        <v>0</v>
      </c>
      <c r="L474">
        <v>0.85</v>
      </c>
      <c r="M474" t="s">
        <v>2866</v>
      </c>
      <c r="N474">
        <v>29</v>
      </c>
      <c r="O474" t="s">
        <v>667</v>
      </c>
      <c r="P474">
        <v>18.420000000000002</v>
      </c>
      <c r="Q474">
        <v>18.09</v>
      </c>
      <c r="R474">
        <v>18.3</v>
      </c>
      <c r="S474">
        <v>18.29</v>
      </c>
      <c r="T474">
        <v>1.8</v>
      </c>
      <c r="U474">
        <v>0.42</v>
      </c>
      <c r="V474">
        <v>-33.450000000000003</v>
      </c>
      <c r="W474">
        <v>-560</v>
      </c>
      <c r="X474">
        <v>18.22</v>
      </c>
      <c r="Y474" t="s">
        <v>1950</v>
      </c>
      <c r="Z474" t="s">
        <v>2255</v>
      </c>
      <c r="AA474">
        <v>1.08</v>
      </c>
      <c r="AB474">
        <v>187</v>
      </c>
      <c r="AC474">
        <v>94</v>
      </c>
      <c r="AD474">
        <v>1.47</v>
      </c>
      <c r="AE474" t="s">
        <v>2674</v>
      </c>
      <c r="AF474" t="s">
        <v>793</v>
      </c>
      <c r="AG474" t="s">
        <v>1057</v>
      </c>
      <c r="AH474" t="s">
        <v>2867</v>
      </c>
      <c r="AI474">
        <v>0.38</v>
      </c>
      <c r="AJ474">
        <v>5.16</v>
      </c>
      <c r="AK474">
        <v>4.51</v>
      </c>
      <c r="AL474">
        <v>10.9</v>
      </c>
    </row>
    <row r="475" spans="1:38" x14ac:dyDescent="0.25">
      <c r="A475">
        <v>474</v>
      </c>
      <c r="B475" t="str">
        <f xml:space="preserve"> "002051"</f>
        <v>002051</v>
      </c>
      <c r="C475" t="s">
        <v>2868</v>
      </c>
      <c r="D475">
        <v>20.62</v>
      </c>
      <c r="E475">
        <v>1.73</v>
      </c>
      <c r="F475">
        <v>0.35</v>
      </c>
      <c r="G475" t="s">
        <v>2546</v>
      </c>
      <c r="H475">
        <v>1509</v>
      </c>
      <c r="I475">
        <v>20.61</v>
      </c>
      <c r="J475">
        <v>20.62</v>
      </c>
      <c r="K475">
        <v>0.05</v>
      </c>
      <c r="L475">
        <v>0.5</v>
      </c>
      <c r="M475" t="s">
        <v>2869</v>
      </c>
      <c r="N475">
        <v>23.2</v>
      </c>
      <c r="O475" t="s">
        <v>263</v>
      </c>
      <c r="P475">
        <v>20.62</v>
      </c>
      <c r="Q475">
        <v>20.239999999999998</v>
      </c>
      <c r="R475">
        <v>20.28</v>
      </c>
      <c r="S475">
        <v>20.27</v>
      </c>
      <c r="T475">
        <v>1.87</v>
      </c>
      <c r="U475">
        <v>1.0900000000000001</v>
      </c>
      <c r="V475">
        <v>-34.39</v>
      </c>
      <c r="W475">
        <v>-1231</v>
      </c>
      <c r="X475">
        <v>20.48</v>
      </c>
      <c r="Y475" t="s">
        <v>1578</v>
      </c>
      <c r="Z475" t="s">
        <v>2870</v>
      </c>
      <c r="AA475">
        <v>0.43</v>
      </c>
      <c r="AB475">
        <v>27</v>
      </c>
      <c r="AC475">
        <v>233</v>
      </c>
      <c r="AD475">
        <v>3.14</v>
      </c>
      <c r="AE475" t="s">
        <v>204</v>
      </c>
      <c r="AF475" t="s">
        <v>258</v>
      </c>
      <c r="AG475" t="s">
        <v>204</v>
      </c>
      <c r="AH475" t="s">
        <v>319</v>
      </c>
      <c r="AI475">
        <v>0.1</v>
      </c>
      <c r="AJ475">
        <v>2.59</v>
      </c>
      <c r="AK475">
        <v>1.42</v>
      </c>
      <c r="AL475">
        <v>2.77</v>
      </c>
    </row>
    <row r="476" spans="1:38" x14ac:dyDescent="0.25">
      <c r="A476">
        <v>475</v>
      </c>
      <c r="B476" t="str">
        <f xml:space="preserve"> "600598"</f>
        <v>600598</v>
      </c>
      <c r="C476" t="s">
        <v>2871</v>
      </c>
      <c r="D476">
        <v>12.89</v>
      </c>
      <c r="E476">
        <v>2.87</v>
      </c>
      <c r="F476">
        <v>0.36</v>
      </c>
      <c r="G476" t="s">
        <v>2872</v>
      </c>
      <c r="H476">
        <v>16</v>
      </c>
      <c r="I476">
        <v>12.86</v>
      </c>
      <c r="J476">
        <v>12.87</v>
      </c>
      <c r="K476">
        <v>0</v>
      </c>
      <c r="L476">
        <v>2.12</v>
      </c>
      <c r="M476" t="s">
        <v>2873</v>
      </c>
      <c r="N476">
        <v>21.85</v>
      </c>
      <c r="O476" t="s">
        <v>622</v>
      </c>
      <c r="P476">
        <v>12.93</v>
      </c>
      <c r="Q476">
        <v>12.51</v>
      </c>
      <c r="R476">
        <v>12.57</v>
      </c>
      <c r="S476">
        <v>12.53</v>
      </c>
      <c r="T476">
        <v>3.35</v>
      </c>
      <c r="U476">
        <v>1.1299999999999999</v>
      </c>
      <c r="V476">
        <v>-76.09</v>
      </c>
      <c r="W476">
        <v>-2463</v>
      </c>
      <c r="X476">
        <v>12.78</v>
      </c>
      <c r="Y476" t="s">
        <v>225</v>
      </c>
      <c r="Z476" t="s">
        <v>2725</v>
      </c>
      <c r="AA476">
        <v>0.68</v>
      </c>
      <c r="AB476">
        <v>62</v>
      </c>
      <c r="AC476">
        <v>19</v>
      </c>
      <c r="AD476">
        <v>3.92</v>
      </c>
      <c r="AE476" t="s">
        <v>1713</v>
      </c>
      <c r="AF476" t="s">
        <v>258</v>
      </c>
      <c r="AG476" t="s">
        <v>1713</v>
      </c>
      <c r="AH476" t="s">
        <v>258</v>
      </c>
      <c r="AI476">
        <v>1.74</v>
      </c>
      <c r="AJ476">
        <v>7.78</v>
      </c>
      <c r="AK476">
        <v>5.56</v>
      </c>
      <c r="AL476">
        <v>11.53</v>
      </c>
    </row>
    <row r="477" spans="1:38" x14ac:dyDescent="0.25">
      <c r="A477">
        <v>476</v>
      </c>
      <c r="B477" t="str">
        <f xml:space="preserve"> "000997"</f>
        <v>000997</v>
      </c>
      <c r="C477" t="s">
        <v>2874</v>
      </c>
      <c r="D477">
        <v>22.65</v>
      </c>
      <c r="E477">
        <v>-3.41</v>
      </c>
      <c r="F477">
        <v>-0.8</v>
      </c>
      <c r="G477" t="s">
        <v>2571</v>
      </c>
      <c r="H477">
        <v>2327</v>
      </c>
      <c r="I477">
        <v>22.65</v>
      </c>
      <c r="J477">
        <v>22.66</v>
      </c>
      <c r="K477">
        <v>0</v>
      </c>
      <c r="L477">
        <v>3.87</v>
      </c>
      <c r="M477" t="s">
        <v>2875</v>
      </c>
      <c r="N477">
        <v>26.74</v>
      </c>
      <c r="O477" t="s">
        <v>553</v>
      </c>
      <c r="P477">
        <v>23.13</v>
      </c>
      <c r="Q477">
        <v>22.48</v>
      </c>
      <c r="R477">
        <v>23.13</v>
      </c>
      <c r="S477">
        <v>23.45</v>
      </c>
      <c r="T477">
        <v>2.77</v>
      </c>
      <c r="U477">
        <v>2.13</v>
      </c>
      <c r="V477">
        <v>73.36</v>
      </c>
      <c r="W477">
        <v>3393</v>
      </c>
      <c r="X477">
        <v>22.75</v>
      </c>
      <c r="Y477" t="s">
        <v>1419</v>
      </c>
      <c r="Z477" t="s">
        <v>844</v>
      </c>
      <c r="AA477">
        <v>1.59</v>
      </c>
      <c r="AB477">
        <v>782</v>
      </c>
      <c r="AC477">
        <v>141</v>
      </c>
      <c r="AD477">
        <v>5.0999999999999996</v>
      </c>
      <c r="AE477" t="s">
        <v>262</v>
      </c>
      <c r="AF477" t="s">
        <v>258</v>
      </c>
      <c r="AG477" t="s">
        <v>2876</v>
      </c>
      <c r="AH477" t="s">
        <v>2102</v>
      </c>
      <c r="AI477">
        <v>-3</v>
      </c>
      <c r="AJ477">
        <v>0.57999999999999996</v>
      </c>
      <c r="AK477">
        <v>8.07</v>
      </c>
      <c r="AL477">
        <v>12.92</v>
      </c>
    </row>
    <row r="478" spans="1:38" x14ac:dyDescent="0.25">
      <c r="A478">
        <v>477</v>
      </c>
      <c r="B478" t="str">
        <f xml:space="preserve"> "000710"</f>
        <v>000710</v>
      </c>
      <c r="C478" t="s">
        <v>2877</v>
      </c>
      <c r="D478">
        <v>64.53</v>
      </c>
      <c r="E478">
        <v>-0.54</v>
      </c>
      <c r="F478">
        <v>-0.35</v>
      </c>
      <c r="G478" t="s">
        <v>468</v>
      </c>
      <c r="H478">
        <v>436</v>
      </c>
      <c r="I478">
        <v>64.53</v>
      </c>
      <c r="J478">
        <v>64.599999999999994</v>
      </c>
      <c r="K478">
        <v>0</v>
      </c>
      <c r="L478">
        <v>1.4</v>
      </c>
      <c r="M478" t="s">
        <v>746</v>
      </c>
      <c r="N478">
        <v>-1554.2</v>
      </c>
      <c r="O478" t="s">
        <v>1372</v>
      </c>
      <c r="P478">
        <v>65.72</v>
      </c>
      <c r="Q478">
        <v>64.45</v>
      </c>
      <c r="R478">
        <v>64.900000000000006</v>
      </c>
      <c r="S478">
        <v>64.88</v>
      </c>
      <c r="T478">
        <v>1.96</v>
      </c>
      <c r="U478">
        <v>0.54</v>
      </c>
      <c r="V478">
        <v>-14.36</v>
      </c>
      <c r="W478">
        <v>-59</v>
      </c>
      <c r="X478">
        <v>65.040000000000006</v>
      </c>
      <c r="Y478" t="s">
        <v>2616</v>
      </c>
      <c r="Z478">
        <v>8119</v>
      </c>
      <c r="AA478">
        <v>1.61</v>
      </c>
      <c r="AB478">
        <v>89</v>
      </c>
      <c r="AC478">
        <v>36</v>
      </c>
      <c r="AD478">
        <v>214.43</v>
      </c>
      <c r="AE478" t="s">
        <v>2012</v>
      </c>
      <c r="AF478" t="s">
        <v>258</v>
      </c>
      <c r="AG478" t="s">
        <v>2878</v>
      </c>
      <c r="AH478" t="s">
        <v>2879</v>
      </c>
      <c r="AI478">
        <v>-5.24</v>
      </c>
      <c r="AJ478">
        <v>-0.28000000000000003</v>
      </c>
      <c r="AK478">
        <v>6.84</v>
      </c>
      <c r="AL478">
        <v>14.26</v>
      </c>
    </row>
    <row r="479" spans="1:38" x14ac:dyDescent="0.25">
      <c r="A479">
        <v>478</v>
      </c>
      <c r="B479" t="str">
        <f xml:space="preserve"> "300355"</f>
        <v>300355</v>
      </c>
      <c r="C479" t="s">
        <v>2880</v>
      </c>
      <c r="D479">
        <v>14.2</v>
      </c>
      <c r="E479">
        <v>9.99</v>
      </c>
      <c r="F479">
        <v>1.29</v>
      </c>
      <c r="G479" t="s">
        <v>2881</v>
      </c>
      <c r="H479" t="s">
        <v>87</v>
      </c>
      <c r="I479">
        <v>14.2</v>
      </c>
      <c r="J479" t="s">
        <v>616</v>
      </c>
      <c r="K479">
        <v>7.0000000000000007E-2</v>
      </c>
      <c r="L479">
        <v>12.05</v>
      </c>
      <c r="M479" t="s">
        <v>784</v>
      </c>
      <c r="N479">
        <v>28.72</v>
      </c>
      <c r="O479" t="s">
        <v>1155</v>
      </c>
      <c r="P479">
        <v>14.2</v>
      </c>
      <c r="Q479">
        <v>12.81</v>
      </c>
      <c r="R479">
        <v>12.88</v>
      </c>
      <c r="S479">
        <v>12.91</v>
      </c>
      <c r="T479">
        <v>10.77</v>
      </c>
      <c r="U479">
        <v>1.65</v>
      </c>
      <c r="V479">
        <v>100</v>
      </c>
      <c r="W479">
        <v>5151</v>
      </c>
      <c r="X479">
        <v>13.67</v>
      </c>
      <c r="Y479" t="s">
        <v>2882</v>
      </c>
      <c r="Z479" t="s">
        <v>2883</v>
      </c>
      <c r="AA479">
        <v>0.55000000000000004</v>
      </c>
      <c r="AB479">
        <v>2201</v>
      </c>
      <c r="AC479">
        <v>0</v>
      </c>
      <c r="AD479">
        <v>7.22</v>
      </c>
      <c r="AE479" t="s">
        <v>1147</v>
      </c>
      <c r="AF479" t="s">
        <v>319</v>
      </c>
      <c r="AG479" t="s">
        <v>1572</v>
      </c>
      <c r="AH479" t="s">
        <v>155</v>
      </c>
      <c r="AI479">
        <v>9.31</v>
      </c>
      <c r="AJ479">
        <v>17.260000000000002</v>
      </c>
      <c r="AK479">
        <v>24.08</v>
      </c>
      <c r="AL479">
        <v>48.57</v>
      </c>
    </row>
    <row r="480" spans="1:38" x14ac:dyDescent="0.25">
      <c r="A480">
        <v>479</v>
      </c>
      <c r="B480" t="str">
        <f xml:space="preserve"> "601969"</f>
        <v>601969</v>
      </c>
      <c r="C480" t="s">
        <v>2884</v>
      </c>
      <c r="D480">
        <v>11.64</v>
      </c>
      <c r="E480">
        <v>-0.6</v>
      </c>
      <c r="F480">
        <v>-7.0000000000000007E-2</v>
      </c>
      <c r="G480" t="s">
        <v>2220</v>
      </c>
      <c r="H480">
        <v>50</v>
      </c>
      <c r="I480">
        <v>11.64</v>
      </c>
      <c r="J480">
        <v>11.65</v>
      </c>
      <c r="K480">
        <v>0</v>
      </c>
      <c r="L480">
        <v>0.59</v>
      </c>
      <c r="M480" t="s">
        <v>2885</v>
      </c>
      <c r="N480">
        <v>369.3</v>
      </c>
      <c r="O480" t="s">
        <v>416</v>
      </c>
      <c r="P480">
        <v>11.7</v>
      </c>
      <c r="Q480">
        <v>11.56</v>
      </c>
      <c r="R480">
        <v>11.7</v>
      </c>
      <c r="S480">
        <v>11.71</v>
      </c>
      <c r="T480">
        <v>1.2</v>
      </c>
      <c r="U480">
        <v>0.79</v>
      </c>
      <c r="V480">
        <v>6.29</v>
      </c>
      <c r="W480">
        <v>147</v>
      </c>
      <c r="X480">
        <v>11.62</v>
      </c>
      <c r="Y480" t="s">
        <v>2115</v>
      </c>
      <c r="Z480" t="s">
        <v>432</v>
      </c>
      <c r="AA480">
        <v>1.34</v>
      </c>
      <c r="AB480">
        <v>107</v>
      </c>
      <c r="AC480">
        <v>184</v>
      </c>
      <c r="AD480">
        <v>4.63</v>
      </c>
      <c r="AE480" t="s">
        <v>931</v>
      </c>
      <c r="AF480" t="s">
        <v>319</v>
      </c>
      <c r="AG480" t="s">
        <v>2249</v>
      </c>
      <c r="AH480" t="s">
        <v>1144</v>
      </c>
      <c r="AI480">
        <v>-3.48</v>
      </c>
      <c r="AJ480">
        <v>-3.08</v>
      </c>
      <c r="AK480">
        <v>2.76</v>
      </c>
      <c r="AL480">
        <v>4.3499999999999996</v>
      </c>
    </row>
    <row r="481" spans="1:38" x14ac:dyDescent="0.25">
      <c r="A481">
        <v>480</v>
      </c>
      <c r="B481" t="str">
        <f xml:space="preserve"> "000800"</f>
        <v>000800</v>
      </c>
      <c r="C481" t="s">
        <v>2886</v>
      </c>
      <c r="D481">
        <v>13.97</v>
      </c>
      <c r="E481">
        <v>-0.21</v>
      </c>
      <c r="F481">
        <v>-0.03</v>
      </c>
      <c r="G481" t="s">
        <v>291</v>
      </c>
      <c r="H481">
        <v>4790</v>
      </c>
      <c r="I481">
        <v>13.97</v>
      </c>
      <c r="J481">
        <v>13.98</v>
      </c>
      <c r="K481">
        <v>7.0000000000000007E-2</v>
      </c>
      <c r="L481">
        <v>1.85</v>
      </c>
      <c r="M481" t="s">
        <v>2887</v>
      </c>
      <c r="N481">
        <v>42.03</v>
      </c>
      <c r="O481" t="s">
        <v>169</v>
      </c>
      <c r="P481">
        <v>14.03</v>
      </c>
      <c r="Q481">
        <v>13.77</v>
      </c>
      <c r="R481">
        <v>13.93</v>
      </c>
      <c r="S481">
        <v>14</v>
      </c>
      <c r="T481">
        <v>1.86</v>
      </c>
      <c r="U481">
        <v>0.43</v>
      </c>
      <c r="V481">
        <v>-48.98</v>
      </c>
      <c r="W481">
        <v>-3549</v>
      </c>
      <c r="X481">
        <v>13.9</v>
      </c>
      <c r="Y481" t="s">
        <v>2743</v>
      </c>
      <c r="Z481" t="s">
        <v>1772</v>
      </c>
      <c r="AA481">
        <v>1.03</v>
      </c>
      <c r="AB481">
        <v>844</v>
      </c>
      <c r="AC481">
        <v>1441</v>
      </c>
      <c r="AD481">
        <v>2.85</v>
      </c>
      <c r="AE481" t="s">
        <v>1464</v>
      </c>
      <c r="AF481" t="s">
        <v>1789</v>
      </c>
      <c r="AG481" t="s">
        <v>1715</v>
      </c>
      <c r="AH481" t="s">
        <v>1071</v>
      </c>
      <c r="AI481">
        <v>-3.66</v>
      </c>
      <c r="AJ481">
        <v>7.3</v>
      </c>
      <c r="AK481">
        <v>8.9600000000000009</v>
      </c>
      <c r="AL481">
        <v>23.46</v>
      </c>
    </row>
    <row r="482" spans="1:38" x14ac:dyDescent="0.25">
      <c r="A482">
        <v>481</v>
      </c>
      <c r="B482" t="str">
        <f xml:space="preserve"> "600201"</f>
        <v>600201</v>
      </c>
      <c r="C482" t="s">
        <v>2888</v>
      </c>
      <c r="D482">
        <v>25.26</v>
      </c>
      <c r="E482">
        <v>0.72</v>
      </c>
      <c r="F482">
        <v>0.18</v>
      </c>
      <c r="G482" t="s">
        <v>2889</v>
      </c>
      <c r="H482">
        <v>1</v>
      </c>
      <c r="I482">
        <v>25.27</v>
      </c>
      <c r="J482">
        <v>25.28</v>
      </c>
      <c r="K482">
        <v>0.12</v>
      </c>
      <c r="L482">
        <v>0.68</v>
      </c>
      <c r="M482" t="s">
        <v>2523</v>
      </c>
      <c r="N482">
        <v>29.32</v>
      </c>
      <c r="O482" t="s">
        <v>2060</v>
      </c>
      <c r="P482">
        <v>25.44</v>
      </c>
      <c r="Q482">
        <v>25.1</v>
      </c>
      <c r="R482">
        <v>25.1</v>
      </c>
      <c r="S482">
        <v>25.08</v>
      </c>
      <c r="T482">
        <v>1.36</v>
      </c>
      <c r="U482">
        <v>0.85</v>
      </c>
      <c r="V482">
        <v>-79.86</v>
      </c>
      <c r="W482">
        <v>-1926</v>
      </c>
      <c r="X482">
        <v>25.28</v>
      </c>
      <c r="Y482" t="s">
        <v>1724</v>
      </c>
      <c r="Z482" t="s">
        <v>1719</v>
      </c>
      <c r="AA482">
        <v>0.56000000000000005</v>
      </c>
      <c r="AB482">
        <v>11</v>
      </c>
      <c r="AC482">
        <v>31</v>
      </c>
      <c r="AD482">
        <v>5.23</v>
      </c>
      <c r="AE482" t="s">
        <v>2890</v>
      </c>
      <c r="AF482" t="s">
        <v>1789</v>
      </c>
      <c r="AG482" t="s">
        <v>2891</v>
      </c>
      <c r="AH482" t="s">
        <v>2892</v>
      </c>
      <c r="AI482">
        <v>2.72</v>
      </c>
      <c r="AJ482">
        <v>6.65</v>
      </c>
      <c r="AK482">
        <v>2.57</v>
      </c>
      <c r="AL482">
        <v>4.6500000000000004</v>
      </c>
    </row>
    <row r="483" spans="1:38" x14ac:dyDescent="0.25">
      <c r="A483">
        <v>482</v>
      </c>
      <c r="B483" t="str">
        <f xml:space="preserve"> "600258"</f>
        <v>600258</v>
      </c>
      <c r="C483" t="s">
        <v>2893</v>
      </c>
      <c r="D483">
        <v>27.84</v>
      </c>
      <c r="E483">
        <v>-0.5</v>
      </c>
      <c r="F483">
        <v>-0.14000000000000001</v>
      </c>
      <c r="G483" t="s">
        <v>2360</v>
      </c>
      <c r="H483">
        <v>8</v>
      </c>
      <c r="I483">
        <v>27.82</v>
      </c>
      <c r="J483">
        <v>27.83</v>
      </c>
      <c r="K483">
        <v>-0.11</v>
      </c>
      <c r="L483">
        <v>0.8</v>
      </c>
      <c r="M483" t="s">
        <v>2894</v>
      </c>
      <c r="N483">
        <v>47.17</v>
      </c>
      <c r="O483" t="s">
        <v>951</v>
      </c>
      <c r="P483">
        <v>28.29</v>
      </c>
      <c r="Q483">
        <v>27.8</v>
      </c>
      <c r="R483">
        <v>27.84</v>
      </c>
      <c r="S483">
        <v>27.98</v>
      </c>
      <c r="T483">
        <v>1.75</v>
      </c>
      <c r="U483">
        <v>0.98</v>
      </c>
      <c r="V483">
        <v>17.97</v>
      </c>
      <c r="W483">
        <v>149</v>
      </c>
      <c r="X483">
        <v>28</v>
      </c>
      <c r="Y483" t="s">
        <v>124</v>
      </c>
      <c r="Z483">
        <v>9509</v>
      </c>
      <c r="AA483">
        <v>1.33</v>
      </c>
      <c r="AB483">
        <v>82</v>
      </c>
      <c r="AC483">
        <v>16</v>
      </c>
      <c r="AD483">
        <v>3.27</v>
      </c>
      <c r="AE483" t="s">
        <v>2895</v>
      </c>
      <c r="AF483" t="s">
        <v>1789</v>
      </c>
      <c r="AG483" t="s">
        <v>273</v>
      </c>
      <c r="AH483" t="s">
        <v>2896</v>
      </c>
      <c r="AI483">
        <v>-6.58</v>
      </c>
      <c r="AJ483">
        <v>-7.78</v>
      </c>
      <c r="AK483">
        <v>2.58</v>
      </c>
      <c r="AL483">
        <v>4.88</v>
      </c>
    </row>
    <row r="484" spans="1:38" x14ac:dyDescent="0.25">
      <c r="A484">
        <v>483</v>
      </c>
      <c r="B484" t="str">
        <f xml:space="preserve"> "601608"</f>
        <v>601608</v>
      </c>
      <c r="C484" t="s">
        <v>2897</v>
      </c>
      <c r="D484">
        <v>5.2</v>
      </c>
      <c r="E484">
        <v>1.17</v>
      </c>
      <c r="F484">
        <v>0.06</v>
      </c>
      <c r="G484" t="s">
        <v>1448</v>
      </c>
      <c r="H484">
        <v>147</v>
      </c>
      <c r="I484">
        <v>5.19</v>
      </c>
      <c r="J484">
        <v>5.2</v>
      </c>
      <c r="K484">
        <v>0.19</v>
      </c>
      <c r="L484">
        <v>0.24</v>
      </c>
      <c r="M484" t="s">
        <v>2898</v>
      </c>
      <c r="N484">
        <v>530.79999999999995</v>
      </c>
      <c r="O484" t="s">
        <v>648</v>
      </c>
      <c r="P484">
        <v>5.2</v>
      </c>
      <c r="Q484">
        <v>5.12</v>
      </c>
      <c r="R484">
        <v>5.14</v>
      </c>
      <c r="S484">
        <v>5.14</v>
      </c>
      <c r="T484">
        <v>1.56</v>
      </c>
      <c r="U484">
        <v>0.93</v>
      </c>
      <c r="V484">
        <v>-67.55</v>
      </c>
      <c r="W484" t="s">
        <v>2899</v>
      </c>
      <c r="X484">
        <v>5.16</v>
      </c>
      <c r="Y484" t="s">
        <v>2702</v>
      </c>
      <c r="Z484" t="s">
        <v>2900</v>
      </c>
      <c r="AA484">
        <v>0.91</v>
      </c>
      <c r="AB484">
        <v>836</v>
      </c>
      <c r="AC484">
        <v>528</v>
      </c>
      <c r="AD484">
        <v>3.16</v>
      </c>
      <c r="AE484" t="s">
        <v>2901</v>
      </c>
      <c r="AF484" t="s">
        <v>2902</v>
      </c>
      <c r="AG484" t="s">
        <v>2903</v>
      </c>
      <c r="AH484" t="s">
        <v>2728</v>
      </c>
      <c r="AI484">
        <v>0.19</v>
      </c>
      <c r="AJ484">
        <v>1.17</v>
      </c>
      <c r="AK484">
        <v>0.76</v>
      </c>
      <c r="AL484">
        <v>1.53</v>
      </c>
    </row>
    <row r="485" spans="1:38" x14ac:dyDescent="0.25">
      <c r="A485">
        <v>484</v>
      </c>
      <c r="B485" t="str">
        <f xml:space="preserve"> "000401"</f>
        <v>000401</v>
      </c>
      <c r="C485" t="s">
        <v>2904</v>
      </c>
      <c r="D485">
        <v>16.739999999999998</v>
      </c>
      <c r="E485">
        <v>0.6</v>
      </c>
      <c r="F485">
        <v>0.1</v>
      </c>
      <c r="G485" t="s">
        <v>956</v>
      </c>
      <c r="H485">
        <v>3347</v>
      </c>
      <c r="I485">
        <v>16.73</v>
      </c>
      <c r="J485">
        <v>16.739999999999998</v>
      </c>
      <c r="K485">
        <v>0.06</v>
      </c>
      <c r="L485">
        <v>2.02</v>
      </c>
      <c r="M485" t="s">
        <v>112</v>
      </c>
      <c r="N485">
        <v>-101.85</v>
      </c>
      <c r="O485" t="s">
        <v>562</v>
      </c>
      <c r="P485">
        <v>16.78</v>
      </c>
      <c r="Q485">
        <v>16.36</v>
      </c>
      <c r="R485">
        <v>16.54</v>
      </c>
      <c r="S485">
        <v>16.64</v>
      </c>
      <c r="T485">
        <v>2.52</v>
      </c>
      <c r="U485">
        <v>0.96</v>
      </c>
      <c r="V485">
        <v>-34.409999999999997</v>
      </c>
      <c r="W485">
        <v>-4438</v>
      </c>
      <c r="X485">
        <v>16.62</v>
      </c>
      <c r="Y485" t="s">
        <v>1237</v>
      </c>
      <c r="Z485" t="s">
        <v>236</v>
      </c>
      <c r="AA485">
        <v>1.02</v>
      </c>
      <c r="AB485">
        <v>1646</v>
      </c>
      <c r="AC485">
        <v>1477</v>
      </c>
      <c r="AD485">
        <v>2.29</v>
      </c>
      <c r="AE485" t="s">
        <v>1587</v>
      </c>
      <c r="AF485" t="s">
        <v>2902</v>
      </c>
      <c r="AG485" t="s">
        <v>1587</v>
      </c>
      <c r="AH485" t="s">
        <v>2902</v>
      </c>
      <c r="AI485">
        <v>0.6</v>
      </c>
      <c r="AJ485">
        <v>3.53</v>
      </c>
      <c r="AK485">
        <v>6.72</v>
      </c>
      <c r="AL485">
        <v>12.55</v>
      </c>
    </row>
    <row r="486" spans="1:38" x14ac:dyDescent="0.25">
      <c r="A486">
        <v>485</v>
      </c>
      <c r="B486" t="str">
        <f xml:space="preserve"> "000939"</f>
        <v>000939</v>
      </c>
      <c r="C486" t="s">
        <v>2905</v>
      </c>
      <c r="D486">
        <v>5.72</v>
      </c>
      <c r="E486">
        <v>2.69</v>
      </c>
      <c r="F486">
        <v>0.15</v>
      </c>
      <c r="G486" t="s">
        <v>2906</v>
      </c>
      <c r="H486">
        <v>6498</v>
      </c>
      <c r="I486">
        <v>5.72</v>
      </c>
      <c r="J486">
        <v>5.73</v>
      </c>
      <c r="K486">
        <v>-0.17</v>
      </c>
      <c r="L486">
        <v>1.85</v>
      </c>
      <c r="M486" t="s">
        <v>2907</v>
      </c>
      <c r="N486">
        <v>87.46</v>
      </c>
      <c r="O486" t="s">
        <v>186</v>
      </c>
      <c r="P486">
        <v>5.76</v>
      </c>
      <c r="Q486">
        <v>5.51</v>
      </c>
      <c r="R486">
        <v>5.59</v>
      </c>
      <c r="S486">
        <v>5.57</v>
      </c>
      <c r="T486">
        <v>4.49</v>
      </c>
      <c r="U486">
        <v>1.23</v>
      </c>
      <c r="V486">
        <v>-58.79</v>
      </c>
      <c r="W486" t="s">
        <v>2908</v>
      </c>
      <c r="X486">
        <v>5.64</v>
      </c>
      <c r="Y486" t="s">
        <v>766</v>
      </c>
      <c r="Z486" t="s">
        <v>2165</v>
      </c>
      <c r="AA486">
        <v>0.81</v>
      </c>
      <c r="AB486">
        <v>2265</v>
      </c>
      <c r="AC486">
        <v>4465</v>
      </c>
      <c r="AD486">
        <v>1.87</v>
      </c>
      <c r="AE486" t="s">
        <v>2569</v>
      </c>
      <c r="AF486" t="s">
        <v>2909</v>
      </c>
      <c r="AG486" t="s">
        <v>1896</v>
      </c>
      <c r="AH486" t="s">
        <v>309</v>
      </c>
      <c r="AI486">
        <v>1.24</v>
      </c>
      <c r="AJ486">
        <v>0.53</v>
      </c>
      <c r="AK486">
        <v>3.59</v>
      </c>
      <c r="AL486">
        <v>9.3800000000000008</v>
      </c>
    </row>
    <row r="487" spans="1:38" x14ac:dyDescent="0.25">
      <c r="A487">
        <v>486</v>
      </c>
      <c r="B487" t="str">
        <f xml:space="preserve"> "603228"</f>
        <v>603228</v>
      </c>
      <c r="C487" t="s">
        <v>2910</v>
      </c>
      <c r="D487">
        <v>55.08</v>
      </c>
      <c r="E487">
        <v>-0.02</v>
      </c>
      <c r="F487">
        <v>-0.01</v>
      </c>
      <c r="G487">
        <v>6042</v>
      </c>
      <c r="H487">
        <v>3</v>
      </c>
      <c r="I487">
        <v>55.05</v>
      </c>
      <c r="J487">
        <v>55.09</v>
      </c>
      <c r="K487">
        <v>0.15</v>
      </c>
      <c r="L487">
        <v>1.26</v>
      </c>
      <c r="M487" t="s">
        <v>2911</v>
      </c>
      <c r="N487">
        <v>35.57</v>
      </c>
      <c r="O487" t="s">
        <v>380</v>
      </c>
      <c r="P487">
        <v>55.28</v>
      </c>
      <c r="Q487">
        <v>54.37</v>
      </c>
      <c r="R487">
        <v>55.05</v>
      </c>
      <c r="S487">
        <v>55.09</v>
      </c>
      <c r="T487">
        <v>1.65</v>
      </c>
      <c r="U487">
        <v>0.39</v>
      </c>
      <c r="V487">
        <v>-32.56</v>
      </c>
      <c r="W487">
        <v>-28</v>
      </c>
      <c r="X487">
        <v>54.78</v>
      </c>
      <c r="Y487">
        <v>3700</v>
      </c>
      <c r="Z487">
        <v>2342</v>
      </c>
      <c r="AA487">
        <v>1.58</v>
      </c>
      <c r="AB487">
        <v>4</v>
      </c>
      <c r="AC487">
        <v>10</v>
      </c>
      <c r="AD487">
        <v>7.66</v>
      </c>
      <c r="AE487" t="s">
        <v>2912</v>
      </c>
      <c r="AF487" t="s">
        <v>2909</v>
      </c>
      <c r="AG487" t="s">
        <v>2913</v>
      </c>
      <c r="AH487" t="s">
        <v>1279</v>
      </c>
      <c r="AI487">
        <v>2.19</v>
      </c>
      <c r="AJ487">
        <v>2.36</v>
      </c>
      <c r="AK487">
        <v>6.24</v>
      </c>
      <c r="AL487">
        <v>17.41</v>
      </c>
    </row>
    <row r="488" spans="1:38" x14ac:dyDescent="0.25">
      <c r="A488">
        <v>487</v>
      </c>
      <c r="B488" t="str">
        <f xml:space="preserve"> "002223"</f>
        <v>002223</v>
      </c>
      <c r="C488" t="s">
        <v>2914</v>
      </c>
      <c r="D488">
        <v>22.41</v>
      </c>
      <c r="E488">
        <v>0.27</v>
      </c>
      <c r="F488">
        <v>0.06</v>
      </c>
      <c r="G488" t="s">
        <v>115</v>
      </c>
      <c r="H488">
        <v>3137</v>
      </c>
      <c r="I488">
        <v>22.4</v>
      </c>
      <c r="J488">
        <v>22.41</v>
      </c>
      <c r="K488">
        <v>0</v>
      </c>
      <c r="L488">
        <v>2.5299999999999998</v>
      </c>
      <c r="M488" t="s">
        <v>2915</v>
      </c>
      <c r="N488">
        <v>28.21</v>
      </c>
      <c r="O488" t="s">
        <v>1552</v>
      </c>
      <c r="P488">
        <v>23.1</v>
      </c>
      <c r="Q488">
        <v>22.06</v>
      </c>
      <c r="R488">
        <v>22.2</v>
      </c>
      <c r="S488">
        <v>22.35</v>
      </c>
      <c r="T488">
        <v>4.6500000000000004</v>
      </c>
      <c r="U488">
        <v>0.91</v>
      </c>
      <c r="V488">
        <v>-56.3</v>
      </c>
      <c r="W488">
        <v>-2267</v>
      </c>
      <c r="X488">
        <v>22.59</v>
      </c>
      <c r="Y488" t="s">
        <v>991</v>
      </c>
      <c r="Z488" t="s">
        <v>498</v>
      </c>
      <c r="AA488">
        <v>0.97</v>
      </c>
      <c r="AB488">
        <v>465</v>
      </c>
      <c r="AC488">
        <v>2684</v>
      </c>
      <c r="AD488">
        <v>4.45</v>
      </c>
      <c r="AE488" t="s">
        <v>1384</v>
      </c>
      <c r="AF488" t="s">
        <v>2909</v>
      </c>
      <c r="AG488" t="s">
        <v>2916</v>
      </c>
      <c r="AH488" t="s">
        <v>2413</v>
      </c>
      <c r="AI488">
        <v>-2.4</v>
      </c>
      <c r="AJ488">
        <v>9.9600000000000009</v>
      </c>
      <c r="AK488">
        <v>10.74</v>
      </c>
      <c r="AL488">
        <v>16.46</v>
      </c>
    </row>
    <row r="489" spans="1:38" x14ac:dyDescent="0.25">
      <c r="A489">
        <v>488</v>
      </c>
      <c r="B489" t="str">
        <f xml:space="preserve"> "002506"</f>
        <v>002506</v>
      </c>
      <c r="C489" t="s">
        <v>2917</v>
      </c>
      <c r="D489">
        <v>4.45</v>
      </c>
      <c r="E489">
        <v>0.91</v>
      </c>
      <c r="F489">
        <v>0.04</v>
      </c>
      <c r="G489" t="s">
        <v>1614</v>
      </c>
      <c r="H489">
        <v>3029</v>
      </c>
      <c r="I489">
        <v>4.45</v>
      </c>
      <c r="J489">
        <v>4.46</v>
      </c>
      <c r="K489">
        <v>0</v>
      </c>
      <c r="L489">
        <v>0.91</v>
      </c>
      <c r="M489" t="s">
        <v>2179</v>
      </c>
      <c r="N489">
        <v>467.6</v>
      </c>
      <c r="O489" t="s">
        <v>380</v>
      </c>
      <c r="P489">
        <v>4.51</v>
      </c>
      <c r="Q489">
        <v>4.38</v>
      </c>
      <c r="R489">
        <v>4.42</v>
      </c>
      <c r="S489">
        <v>4.41</v>
      </c>
      <c r="T489">
        <v>2.95</v>
      </c>
      <c r="U489">
        <v>1.54</v>
      </c>
      <c r="V489">
        <v>-40.340000000000003</v>
      </c>
      <c r="W489" t="s">
        <v>2918</v>
      </c>
      <c r="X489">
        <v>4.45</v>
      </c>
      <c r="Y489" t="s">
        <v>747</v>
      </c>
      <c r="Z489" t="s">
        <v>207</v>
      </c>
      <c r="AA489">
        <v>0.59</v>
      </c>
      <c r="AB489">
        <v>3027</v>
      </c>
      <c r="AC489">
        <v>1669</v>
      </c>
      <c r="AD489">
        <v>5.38</v>
      </c>
      <c r="AE489" t="s">
        <v>2919</v>
      </c>
      <c r="AF489" t="s">
        <v>2909</v>
      </c>
      <c r="AG489" t="s">
        <v>2920</v>
      </c>
      <c r="AH489" t="s">
        <v>2921</v>
      </c>
      <c r="AI489">
        <v>0.23</v>
      </c>
      <c r="AJ489">
        <v>2.5299999999999998</v>
      </c>
      <c r="AK489">
        <v>2</v>
      </c>
      <c r="AL489">
        <v>3.84</v>
      </c>
    </row>
    <row r="490" spans="1:38" x14ac:dyDescent="0.25">
      <c r="A490">
        <v>489</v>
      </c>
      <c r="B490" t="str">
        <f xml:space="preserve"> "600567"</f>
        <v>600567</v>
      </c>
      <c r="C490" t="s">
        <v>2922</v>
      </c>
      <c r="D490">
        <v>4.93</v>
      </c>
      <c r="E490">
        <v>-0.2</v>
      </c>
      <c r="F490">
        <v>-0.01</v>
      </c>
      <c r="G490" t="s">
        <v>1458</v>
      </c>
      <c r="H490">
        <v>71</v>
      </c>
      <c r="I490">
        <v>4.93</v>
      </c>
      <c r="J490">
        <v>4.9400000000000004</v>
      </c>
      <c r="K490">
        <v>0</v>
      </c>
      <c r="L490">
        <v>1.33</v>
      </c>
      <c r="M490" t="s">
        <v>2923</v>
      </c>
      <c r="N490">
        <v>13.58</v>
      </c>
      <c r="O490" t="s">
        <v>1874</v>
      </c>
      <c r="P490">
        <v>4.95</v>
      </c>
      <c r="Q490">
        <v>4.8099999999999996</v>
      </c>
      <c r="R490">
        <v>4.9000000000000004</v>
      </c>
      <c r="S490">
        <v>4.9400000000000004</v>
      </c>
      <c r="T490">
        <v>2.83</v>
      </c>
      <c r="U490">
        <v>0.48</v>
      </c>
      <c r="V490">
        <v>-39.520000000000003</v>
      </c>
      <c r="W490" t="s">
        <v>1327</v>
      </c>
      <c r="X490">
        <v>4.8899999999999997</v>
      </c>
      <c r="Y490" t="s">
        <v>2924</v>
      </c>
      <c r="Z490" t="s">
        <v>1678</v>
      </c>
      <c r="AA490">
        <v>0.93</v>
      </c>
      <c r="AB490">
        <v>1616</v>
      </c>
      <c r="AC490" t="s">
        <v>1785</v>
      </c>
      <c r="AD490">
        <v>2.5</v>
      </c>
      <c r="AE490" t="s">
        <v>2460</v>
      </c>
      <c r="AF490" t="s">
        <v>1402</v>
      </c>
      <c r="AG490" t="s">
        <v>2460</v>
      </c>
      <c r="AH490" t="s">
        <v>1402</v>
      </c>
      <c r="AI490">
        <v>-6.45</v>
      </c>
      <c r="AJ490">
        <v>-7.33</v>
      </c>
      <c r="AK490">
        <v>8.15</v>
      </c>
      <c r="AL490">
        <v>15.34</v>
      </c>
    </row>
    <row r="491" spans="1:38" x14ac:dyDescent="0.25">
      <c r="A491">
        <v>490</v>
      </c>
      <c r="B491" t="str">
        <f xml:space="preserve"> "600298"</f>
        <v>600298</v>
      </c>
      <c r="C491" t="s">
        <v>2925</v>
      </c>
      <c r="D491">
        <v>27.22</v>
      </c>
      <c r="E491">
        <v>-0.37</v>
      </c>
      <c r="F491">
        <v>-0.1</v>
      </c>
      <c r="G491" t="s">
        <v>2926</v>
      </c>
      <c r="H491">
        <v>16</v>
      </c>
      <c r="I491">
        <v>27.23</v>
      </c>
      <c r="J491">
        <v>27.24</v>
      </c>
      <c r="K491">
        <v>-0.11</v>
      </c>
      <c r="L491">
        <v>0.91</v>
      </c>
      <c r="M491" t="s">
        <v>1075</v>
      </c>
      <c r="N491">
        <v>26.65</v>
      </c>
      <c r="O491" t="s">
        <v>406</v>
      </c>
      <c r="P491">
        <v>27.72</v>
      </c>
      <c r="Q491">
        <v>26.92</v>
      </c>
      <c r="R491">
        <v>27.39</v>
      </c>
      <c r="S491">
        <v>27.32</v>
      </c>
      <c r="T491">
        <v>2.93</v>
      </c>
      <c r="U491">
        <v>0.73</v>
      </c>
      <c r="V491">
        <v>-65.53</v>
      </c>
      <c r="W491">
        <v>-852</v>
      </c>
      <c r="X491">
        <v>27.2</v>
      </c>
      <c r="Y491" t="s">
        <v>952</v>
      </c>
      <c r="Z491" t="s">
        <v>1661</v>
      </c>
      <c r="AA491">
        <v>0.92</v>
      </c>
      <c r="AB491">
        <v>14</v>
      </c>
      <c r="AC491">
        <v>100</v>
      </c>
      <c r="AD491">
        <v>6.57</v>
      </c>
      <c r="AE491" t="s">
        <v>2927</v>
      </c>
      <c r="AF491" t="s">
        <v>1402</v>
      </c>
      <c r="AG491" t="s">
        <v>2927</v>
      </c>
      <c r="AH491" t="s">
        <v>1402</v>
      </c>
      <c r="AI491">
        <v>4.49</v>
      </c>
      <c r="AJ491">
        <v>7.21</v>
      </c>
      <c r="AK491">
        <v>4.05</v>
      </c>
      <c r="AL491">
        <v>7.15</v>
      </c>
    </row>
    <row r="492" spans="1:38" x14ac:dyDescent="0.25">
      <c r="A492">
        <v>491</v>
      </c>
      <c r="B492" t="str">
        <f xml:space="preserve"> "000503"</f>
        <v>000503</v>
      </c>
      <c r="C492" t="s">
        <v>2928</v>
      </c>
      <c r="D492" t="s">
        <v>616</v>
      </c>
      <c r="E492" t="s">
        <v>616</v>
      </c>
      <c r="F492" t="s">
        <v>616</v>
      </c>
      <c r="G492" t="s">
        <v>616</v>
      </c>
      <c r="H492" t="s">
        <v>616</v>
      </c>
      <c r="I492" t="s">
        <v>616</v>
      </c>
      <c r="J492" t="s">
        <v>616</v>
      </c>
      <c r="K492" t="s">
        <v>616</v>
      </c>
      <c r="L492" t="s">
        <v>616</v>
      </c>
      <c r="M492" t="s">
        <v>616</v>
      </c>
      <c r="N492">
        <v>-140.07</v>
      </c>
      <c r="O492" t="s">
        <v>553</v>
      </c>
      <c r="P492" t="s">
        <v>616</v>
      </c>
      <c r="Q492" t="s">
        <v>616</v>
      </c>
      <c r="R492" t="s">
        <v>616</v>
      </c>
      <c r="S492">
        <v>24.93</v>
      </c>
      <c r="T492" t="s">
        <v>616</v>
      </c>
      <c r="U492" t="s">
        <v>616</v>
      </c>
      <c r="V492" t="s">
        <v>616</v>
      </c>
      <c r="W492" t="s">
        <v>616</v>
      </c>
      <c r="X492" t="s">
        <v>616</v>
      </c>
      <c r="Y492" t="s">
        <v>616</v>
      </c>
      <c r="Z492" t="s">
        <v>616</v>
      </c>
      <c r="AA492" t="s">
        <v>616</v>
      </c>
      <c r="AB492" t="s">
        <v>616</v>
      </c>
      <c r="AC492" t="s">
        <v>616</v>
      </c>
      <c r="AD492">
        <v>16.850000000000001</v>
      </c>
      <c r="AE492" t="s">
        <v>2890</v>
      </c>
      <c r="AF492" t="s">
        <v>1402</v>
      </c>
      <c r="AG492" t="s">
        <v>2890</v>
      </c>
      <c r="AH492" t="s">
        <v>1402</v>
      </c>
      <c r="AI492">
        <v>0</v>
      </c>
      <c r="AJ492">
        <v>0</v>
      </c>
      <c r="AK492">
        <v>0</v>
      </c>
      <c r="AL492">
        <v>0</v>
      </c>
    </row>
    <row r="493" spans="1:38" x14ac:dyDescent="0.25">
      <c r="A493">
        <v>492</v>
      </c>
      <c r="B493" t="str">
        <f xml:space="preserve"> "600317"</f>
        <v>600317</v>
      </c>
      <c r="C493" t="s">
        <v>2929</v>
      </c>
      <c r="D493">
        <v>3.46</v>
      </c>
      <c r="E493">
        <v>0.28999999999999998</v>
      </c>
      <c r="F493">
        <v>0.01</v>
      </c>
      <c r="G493" t="s">
        <v>2930</v>
      </c>
      <c r="H493">
        <v>50</v>
      </c>
      <c r="I493">
        <v>3.45</v>
      </c>
      <c r="J493">
        <v>3.46</v>
      </c>
      <c r="K493">
        <v>0.28999999999999998</v>
      </c>
      <c r="L493">
        <v>0.08</v>
      </c>
      <c r="M493" t="s">
        <v>2931</v>
      </c>
      <c r="N493">
        <v>43.97</v>
      </c>
      <c r="O493" t="s">
        <v>440</v>
      </c>
      <c r="P493">
        <v>3.46</v>
      </c>
      <c r="Q493">
        <v>3.43</v>
      </c>
      <c r="R493">
        <v>3.44</v>
      </c>
      <c r="S493">
        <v>3.45</v>
      </c>
      <c r="T493">
        <v>0.87</v>
      </c>
      <c r="U493">
        <v>0.8</v>
      </c>
      <c r="V493">
        <v>-3.98</v>
      </c>
      <c r="W493">
        <v>-1654</v>
      </c>
      <c r="X493">
        <v>3.45</v>
      </c>
      <c r="Y493" t="s">
        <v>1796</v>
      </c>
      <c r="Z493" t="s">
        <v>2932</v>
      </c>
      <c r="AA493">
        <v>1.19</v>
      </c>
      <c r="AB493">
        <v>4505</v>
      </c>
      <c r="AC493">
        <v>4215</v>
      </c>
      <c r="AD493">
        <v>2.13</v>
      </c>
      <c r="AE493" t="s">
        <v>2933</v>
      </c>
      <c r="AF493" t="s">
        <v>1402</v>
      </c>
      <c r="AG493" t="s">
        <v>2933</v>
      </c>
      <c r="AH493" t="s">
        <v>1402</v>
      </c>
      <c r="AI493">
        <v>0</v>
      </c>
      <c r="AJ493">
        <v>1.76</v>
      </c>
      <c r="AK493">
        <v>0.32</v>
      </c>
      <c r="AL493">
        <v>0.56000000000000005</v>
      </c>
    </row>
    <row r="494" spans="1:38" x14ac:dyDescent="0.25">
      <c r="A494">
        <v>493</v>
      </c>
      <c r="B494" t="str">
        <f xml:space="preserve"> "300197"</f>
        <v>300197</v>
      </c>
      <c r="C494" t="s">
        <v>2934</v>
      </c>
      <c r="D494">
        <v>14.62</v>
      </c>
      <c r="E494">
        <v>3.39</v>
      </c>
      <c r="F494">
        <v>0.48</v>
      </c>
      <c r="G494" t="s">
        <v>1992</v>
      </c>
      <c r="H494">
        <v>2157</v>
      </c>
      <c r="I494">
        <v>14.61</v>
      </c>
      <c r="J494">
        <v>14.62</v>
      </c>
      <c r="K494">
        <v>7.0000000000000007E-2</v>
      </c>
      <c r="L494">
        <v>2.4</v>
      </c>
      <c r="M494" t="s">
        <v>1034</v>
      </c>
      <c r="N494">
        <v>41.26</v>
      </c>
      <c r="O494" t="s">
        <v>1221</v>
      </c>
      <c r="P494">
        <v>14.64</v>
      </c>
      <c r="Q494">
        <v>13.92</v>
      </c>
      <c r="R494">
        <v>14.25</v>
      </c>
      <c r="S494">
        <v>14.14</v>
      </c>
      <c r="T494">
        <v>5.09</v>
      </c>
      <c r="U494">
        <v>0.76</v>
      </c>
      <c r="V494">
        <v>-3.59</v>
      </c>
      <c r="W494">
        <v>-427</v>
      </c>
      <c r="X494">
        <v>14.32</v>
      </c>
      <c r="Y494" t="s">
        <v>1222</v>
      </c>
      <c r="Z494" t="s">
        <v>1771</v>
      </c>
      <c r="AA494">
        <v>0.75</v>
      </c>
      <c r="AB494">
        <v>2787</v>
      </c>
      <c r="AC494">
        <v>1873</v>
      </c>
      <c r="AD494">
        <v>4.22</v>
      </c>
      <c r="AE494" t="s">
        <v>1225</v>
      </c>
      <c r="AF494" t="s">
        <v>2935</v>
      </c>
      <c r="AG494" t="s">
        <v>2936</v>
      </c>
      <c r="AH494" t="s">
        <v>575</v>
      </c>
      <c r="AI494">
        <v>3.61</v>
      </c>
      <c r="AJ494">
        <v>18.670000000000002</v>
      </c>
      <c r="AK494">
        <v>6.07</v>
      </c>
      <c r="AL494">
        <v>18.309999999999999</v>
      </c>
    </row>
    <row r="495" spans="1:38" x14ac:dyDescent="0.25">
      <c r="A495">
        <v>494</v>
      </c>
      <c r="B495" t="str">
        <f xml:space="preserve"> "603816"</f>
        <v>603816</v>
      </c>
      <c r="C495" t="s">
        <v>2937</v>
      </c>
      <c r="D495">
        <v>53.85</v>
      </c>
      <c r="E495">
        <v>-0.06</v>
      </c>
      <c r="F495">
        <v>-0.03</v>
      </c>
      <c r="G495">
        <v>9899</v>
      </c>
      <c r="H495">
        <v>1</v>
      </c>
      <c r="I495">
        <v>53.89</v>
      </c>
      <c r="J495">
        <v>53.91</v>
      </c>
      <c r="K495">
        <v>-7.0000000000000007E-2</v>
      </c>
      <c r="L495">
        <v>1.2</v>
      </c>
      <c r="M495" t="s">
        <v>2938</v>
      </c>
      <c r="N495">
        <v>28.63</v>
      </c>
      <c r="O495" t="s">
        <v>1469</v>
      </c>
      <c r="P495">
        <v>54.48</v>
      </c>
      <c r="Q495">
        <v>53.45</v>
      </c>
      <c r="R495">
        <v>53.8</v>
      </c>
      <c r="S495">
        <v>53.88</v>
      </c>
      <c r="T495">
        <v>1.91</v>
      </c>
      <c r="U495">
        <v>0.63</v>
      </c>
      <c r="V495">
        <v>-56.3</v>
      </c>
      <c r="W495">
        <v>-67</v>
      </c>
      <c r="X495">
        <v>53.91</v>
      </c>
      <c r="Y495">
        <v>3962</v>
      </c>
      <c r="Z495">
        <v>5937</v>
      </c>
      <c r="AA495">
        <v>0.67</v>
      </c>
      <c r="AB495">
        <v>9</v>
      </c>
      <c r="AC495">
        <v>9</v>
      </c>
      <c r="AD495">
        <v>6.28</v>
      </c>
      <c r="AE495" t="s">
        <v>1310</v>
      </c>
      <c r="AF495" t="s">
        <v>2935</v>
      </c>
      <c r="AG495" t="s">
        <v>2939</v>
      </c>
      <c r="AH495" t="s">
        <v>2940</v>
      </c>
      <c r="AI495">
        <v>2.81</v>
      </c>
      <c r="AJ495">
        <v>5.26</v>
      </c>
      <c r="AK495">
        <v>6.42</v>
      </c>
      <c r="AL495">
        <v>10.65</v>
      </c>
    </row>
    <row r="496" spans="1:38" x14ac:dyDescent="0.25">
      <c r="A496">
        <v>495</v>
      </c>
      <c r="B496" t="str">
        <f xml:space="preserve"> "600435"</f>
        <v>600435</v>
      </c>
      <c r="C496" t="s">
        <v>2941</v>
      </c>
      <c r="D496">
        <v>14.9</v>
      </c>
      <c r="E496">
        <v>-0.93</v>
      </c>
      <c r="F496">
        <v>-0.14000000000000001</v>
      </c>
      <c r="G496" t="s">
        <v>225</v>
      </c>
      <c r="H496">
        <v>30</v>
      </c>
      <c r="I496">
        <v>14.9</v>
      </c>
      <c r="J496">
        <v>14.91</v>
      </c>
      <c r="K496">
        <v>7.0000000000000007E-2</v>
      </c>
      <c r="L496">
        <v>1.02</v>
      </c>
      <c r="M496" t="s">
        <v>2942</v>
      </c>
      <c r="N496">
        <v>2318.71</v>
      </c>
      <c r="O496" t="s">
        <v>648</v>
      </c>
      <c r="P496">
        <v>15.01</v>
      </c>
      <c r="Q496">
        <v>14.81</v>
      </c>
      <c r="R496">
        <v>15</v>
      </c>
      <c r="S496">
        <v>15.04</v>
      </c>
      <c r="T496">
        <v>1.33</v>
      </c>
      <c r="U496">
        <v>0.81</v>
      </c>
      <c r="V496">
        <v>26.24</v>
      </c>
      <c r="W496">
        <v>1142</v>
      </c>
      <c r="X496">
        <v>14.88</v>
      </c>
      <c r="Y496" t="s">
        <v>2943</v>
      </c>
      <c r="Z496" t="s">
        <v>2944</v>
      </c>
      <c r="AA496">
        <v>1.93</v>
      </c>
      <c r="AB496">
        <v>941</v>
      </c>
      <c r="AC496">
        <v>162</v>
      </c>
      <c r="AD496">
        <v>10.84</v>
      </c>
      <c r="AE496" t="s">
        <v>2945</v>
      </c>
      <c r="AF496" t="s">
        <v>2935</v>
      </c>
      <c r="AG496" t="s">
        <v>2945</v>
      </c>
      <c r="AH496" t="s">
        <v>2935</v>
      </c>
      <c r="AI496">
        <v>0.34</v>
      </c>
      <c r="AJ496">
        <v>2.2599999999999998</v>
      </c>
      <c r="AK496">
        <v>4.55</v>
      </c>
      <c r="AL496">
        <v>7.31</v>
      </c>
    </row>
    <row r="497" spans="1:38" x14ac:dyDescent="0.25">
      <c r="A497">
        <v>496</v>
      </c>
      <c r="B497" t="str">
        <f xml:space="preserve"> "600718"</f>
        <v>600718</v>
      </c>
      <c r="C497" t="s">
        <v>2946</v>
      </c>
      <c r="D497">
        <v>17.829999999999998</v>
      </c>
      <c r="E497">
        <v>1.02</v>
      </c>
      <c r="F497">
        <v>0.18</v>
      </c>
      <c r="G497" t="s">
        <v>1237</v>
      </c>
      <c r="H497">
        <v>5</v>
      </c>
      <c r="I497">
        <v>17.82</v>
      </c>
      <c r="J497">
        <v>17.829999999999998</v>
      </c>
      <c r="K497">
        <v>0.17</v>
      </c>
      <c r="L497">
        <v>1.1100000000000001</v>
      </c>
      <c r="M497" t="s">
        <v>233</v>
      </c>
      <c r="N497">
        <v>90.9</v>
      </c>
      <c r="O497" t="s">
        <v>893</v>
      </c>
      <c r="P497">
        <v>17.940000000000001</v>
      </c>
      <c r="Q497">
        <v>17.690000000000001</v>
      </c>
      <c r="R497">
        <v>17.739999999999998</v>
      </c>
      <c r="S497">
        <v>17.649999999999999</v>
      </c>
      <c r="T497">
        <v>1.42</v>
      </c>
      <c r="U497">
        <v>0.6</v>
      </c>
      <c r="V497">
        <v>-36.32</v>
      </c>
      <c r="W497">
        <v>-1054</v>
      </c>
      <c r="X497">
        <v>17.809999999999999</v>
      </c>
      <c r="Y497" t="s">
        <v>2947</v>
      </c>
      <c r="Z497" t="s">
        <v>264</v>
      </c>
      <c r="AA497">
        <v>1.19</v>
      </c>
      <c r="AB497">
        <v>117</v>
      </c>
      <c r="AC497">
        <v>5</v>
      </c>
      <c r="AD497">
        <v>2.83</v>
      </c>
      <c r="AE497" t="s">
        <v>361</v>
      </c>
      <c r="AF497" t="s">
        <v>2935</v>
      </c>
      <c r="AG497" t="s">
        <v>2659</v>
      </c>
      <c r="AH497" t="s">
        <v>189</v>
      </c>
      <c r="AI497">
        <v>-0.56000000000000005</v>
      </c>
      <c r="AJ497">
        <v>2.77</v>
      </c>
      <c r="AK497">
        <v>4.92</v>
      </c>
      <c r="AL497">
        <v>10.41</v>
      </c>
    </row>
    <row r="498" spans="1:38" x14ac:dyDescent="0.25">
      <c r="A498">
        <v>497</v>
      </c>
      <c r="B498" t="str">
        <f xml:space="preserve"> "002219"</f>
        <v>002219</v>
      </c>
      <c r="C498" t="s">
        <v>2948</v>
      </c>
      <c r="D498">
        <v>11.88</v>
      </c>
      <c r="E498">
        <v>0.42</v>
      </c>
      <c r="F498">
        <v>0.05</v>
      </c>
      <c r="G498" t="s">
        <v>2702</v>
      </c>
      <c r="H498">
        <v>692</v>
      </c>
      <c r="I498">
        <v>11.8</v>
      </c>
      <c r="J498">
        <v>11.88</v>
      </c>
      <c r="K498">
        <v>0</v>
      </c>
      <c r="L498">
        <v>0.53</v>
      </c>
      <c r="M498" t="s">
        <v>2949</v>
      </c>
      <c r="N498">
        <v>66.95</v>
      </c>
      <c r="O498" t="s">
        <v>392</v>
      </c>
      <c r="P498">
        <v>11.95</v>
      </c>
      <c r="Q498">
        <v>11.7</v>
      </c>
      <c r="R498">
        <v>11.82</v>
      </c>
      <c r="S498">
        <v>11.83</v>
      </c>
      <c r="T498">
        <v>2.11</v>
      </c>
      <c r="U498">
        <v>0.75</v>
      </c>
      <c r="V498">
        <v>-25.21</v>
      </c>
      <c r="W498">
        <v>-762</v>
      </c>
      <c r="X498">
        <v>11.8</v>
      </c>
      <c r="Y498" t="s">
        <v>1986</v>
      </c>
      <c r="Z498" t="s">
        <v>2950</v>
      </c>
      <c r="AA498">
        <v>0.7</v>
      </c>
      <c r="AB498">
        <v>132</v>
      </c>
      <c r="AC498">
        <v>189</v>
      </c>
      <c r="AD498">
        <v>5.21</v>
      </c>
      <c r="AE498" t="s">
        <v>1362</v>
      </c>
      <c r="AF498" t="s">
        <v>2935</v>
      </c>
      <c r="AG498" t="s">
        <v>2951</v>
      </c>
      <c r="AH498" t="s">
        <v>2006</v>
      </c>
      <c r="AI498">
        <v>-1.57</v>
      </c>
      <c r="AJ498">
        <v>3.12</v>
      </c>
      <c r="AK498">
        <v>1.97</v>
      </c>
      <c r="AL498">
        <v>4.1100000000000003</v>
      </c>
    </row>
    <row r="499" spans="1:38" x14ac:dyDescent="0.25">
      <c r="A499">
        <v>498</v>
      </c>
      <c r="B499" t="str">
        <f xml:space="preserve"> "300383"</f>
        <v>300383</v>
      </c>
      <c r="C499" t="s">
        <v>2952</v>
      </c>
      <c r="D499">
        <v>15.32</v>
      </c>
      <c r="E499">
        <v>0.92</v>
      </c>
      <c r="F499">
        <v>0.14000000000000001</v>
      </c>
      <c r="G499" t="s">
        <v>2953</v>
      </c>
      <c r="H499">
        <v>3222</v>
      </c>
      <c r="I499">
        <v>15.32</v>
      </c>
      <c r="J499">
        <v>15.33</v>
      </c>
      <c r="K499">
        <v>0</v>
      </c>
      <c r="L499">
        <v>2.7</v>
      </c>
      <c r="M499" t="s">
        <v>2954</v>
      </c>
      <c r="N499">
        <v>52.86</v>
      </c>
      <c r="O499" t="s">
        <v>467</v>
      </c>
      <c r="P499">
        <v>15.49</v>
      </c>
      <c r="Q499">
        <v>15.05</v>
      </c>
      <c r="R499">
        <v>15.38</v>
      </c>
      <c r="S499">
        <v>15.18</v>
      </c>
      <c r="T499">
        <v>2.9</v>
      </c>
      <c r="U499">
        <v>0.85</v>
      </c>
      <c r="V499">
        <v>6.69</v>
      </c>
      <c r="W499">
        <v>334</v>
      </c>
      <c r="X499">
        <v>15.3</v>
      </c>
      <c r="Y499" t="s">
        <v>2008</v>
      </c>
      <c r="Z499" t="s">
        <v>2955</v>
      </c>
      <c r="AA499">
        <v>0.94</v>
      </c>
      <c r="AB499">
        <v>503</v>
      </c>
      <c r="AC499">
        <v>284</v>
      </c>
      <c r="AD499">
        <v>3.58</v>
      </c>
      <c r="AE499" t="s">
        <v>2387</v>
      </c>
      <c r="AF499" t="s">
        <v>2935</v>
      </c>
      <c r="AG499" t="s">
        <v>1566</v>
      </c>
      <c r="AH499" t="s">
        <v>2102</v>
      </c>
      <c r="AI499">
        <v>0.99</v>
      </c>
      <c r="AJ499">
        <v>11.5</v>
      </c>
      <c r="AK499">
        <v>11.47</v>
      </c>
      <c r="AL499">
        <v>18.52</v>
      </c>
    </row>
    <row r="500" spans="1:38" x14ac:dyDescent="0.25">
      <c r="A500">
        <v>499</v>
      </c>
      <c r="B500" t="str">
        <f xml:space="preserve"> "600500"</f>
        <v>600500</v>
      </c>
      <c r="C500" t="s">
        <v>2956</v>
      </c>
      <c r="D500">
        <v>10.61</v>
      </c>
      <c r="E500">
        <v>1.82</v>
      </c>
      <c r="F500">
        <v>0.19</v>
      </c>
      <c r="G500" t="s">
        <v>873</v>
      </c>
      <c r="H500">
        <v>4</v>
      </c>
      <c r="I500">
        <v>10.59</v>
      </c>
      <c r="J500">
        <v>10.6</v>
      </c>
      <c r="K500">
        <v>0.09</v>
      </c>
      <c r="L500">
        <v>0.57999999999999996</v>
      </c>
      <c r="M500" t="s">
        <v>2239</v>
      </c>
      <c r="N500">
        <v>29.73</v>
      </c>
      <c r="O500" t="s">
        <v>667</v>
      </c>
      <c r="P500">
        <v>10.65</v>
      </c>
      <c r="Q500">
        <v>10.35</v>
      </c>
      <c r="R500">
        <v>10.44</v>
      </c>
      <c r="S500">
        <v>10.42</v>
      </c>
      <c r="T500">
        <v>2.88</v>
      </c>
      <c r="U500">
        <v>1.56</v>
      </c>
      <c r="V500">
        <v>-60.82</v>
      </c>
      <c r="W500">
        <v>-3790</v>
      </c>
      <c r="X500">
        <v>10.55</v>
      </c>
      <c r="Y500" t="s">
        <v>2790</v>
      </c>
      <c r="Z500" t="s">
        <v>2957</v>
      </c>
      <c r="AA500">
        <v>0.67</v>
      </c>
      <c r="AB500">
        <v>103</v>
      </c>
      <c r="AC500">
        <v>115</v>
      </c>
      <c r="AD500">
        <v>1.93</v>
      </c>
      <c r="AE500" t="s">
        <v>1085</v>
      </c>
      <c r="AF500" t="s">
        <v>419</v>
      </c>
      <c r="AG500" t="s">
        <v>1085</v>
      </c>
      <c r="AH500" t="s">
        <v>419</v>
      </c>
      <c r="AI500">
        <v>1.34</v>
      </c>
      <c r="AJ500">
        <v>3.71</v>
      </c>
      <c r="AK500">
        <v>1.36</v>
      </c>
      <c r="AL500">
        <v>2.4500000000000002</v>
      </c>
    </row>
    <row r="501" spans="1:38" x14ac:dyDescent="0.25">
      <c r="A501">
        <v>500</v>
      </c>
      <c r="B501" t="str">
        <f xml:space="preserve"> "600256"</f>
        <v>600256</v>
      </c>
      <c r="C501" t="s">
        <v>2958</v>
      </c>
      <c r="D501">
        <v>4.2300000000000004</v>
      </c>
      <c r="E501">
        <v>0</v>
      </c>
      <c r="F501">
        <v>0</v>
      </c>
      <c r="G501" t="s">
        <v>2959</v>
      </c>
      <c r="H501">
        <v>110</v>
      </c>
      <c r="I501">
        <v>4.22</v>
      </c>
      <c r="J501">
        <v>4.2300000000000004</v>
      </c>
      <c r="K501">
        <v>0</v>
      </c>
      <c r="L501">
        <v>0.19</v>
      </c>
      <c r="M501" t="s">
        <v>2960</v>
      </c>
      <c r="N501">
        <v>100.66</v>
      </c>
      <c r="O501" t="s">
        <v>61</v>
      </c>
      <c r="P501">
        <v>4.24</v>
      </c>
      <c r="Q501">
        <v>4.22</v>
      </c>
      <c r="R501">
        <v>4.2300000000000004</v>
      </c>
      <c r="S501">
        <v>4.2300000000000004</v>
      </c>
      <c r="T501">
        <v>0.47</v>
      </c>
      <c r="U501">
        <v>0.56000000000000005</v>
      </c>
      <c r="V501">
        <v>-23.38</v>
      </c>
      <c r="W501" t="s">
        <v>2961</v>
      </c>
      <c r="X501">
        <v>4.2300000000000004</v>
      </c>
      <c r="Y501" t="s">
        <v>272</v>
      </c>
      <c r="Z501" t="s">
        <v>2962</v>
      </c>
      <c r="AA501">
        <v>1.01</v>
      </c>
      <c r="AB501">
        <v>9285</v>
      </c>
      <c r="AC501">
        <v>1120</v>
      </c>
      <c r="AD501">
        <v>1.99</v>
      </c>
      <c r="AE501" t="s">
        <v>625</v>
      </c>
      <c r="AF501" t="s">
        <v>419</v>
      </c>
      <c r="AG501" t="s">
        <v>625</v>
      </c>
      <c r="AH501" t="s">
        <v>419</v>
      </c>
      <c r="AI501">
        <v>-0.7</v>
      </c>
      <c r="AJ501">
        <v>2.17</v>
      </c>
      <c r="AK501">
        <v>0.73</v>
      </c>
      <c r="AL501">
        <v>1.86</v>
      </c>
    </row>
    <row r="502" spans="1:38" x14ac:dyDescent="0.25">
      <c r="A502">
        <v>501</v>
      </c>
      <c r="B502" t="str">
        <f xml:space="preserve"> "600183"</f>
        <v>600183</v>
      </c>
      <c r="C502" t="s">
        <v>2963</v>
      </c>
      <c r="D502">
        <v>15.16</v>
      </c>
      <c r="E502">
        <v>-1.56</v>
      </c>
      <c r="F502">
        <v>-0.24</v>
      </c>
      <c r="G502" t="s">
        <v>1237</v>
      </c>
      <c r="H502">
        <v>10</v>
      </c>
      <c r="I502">
        <v>15.15</v>
      </c>
      <c r="J502">
        <v>15.16</v>
      </c>
      <c r="K502">
        <v>-7.0000000000000007E-2</v>
      </c>
      <c r="L502">
        <v>0.94</v>
      </c>
      <c r="M502" t="s">
        <v>2964</v>
      </c>
      <c r="N502">
        <v>20.45</v>
      </c>
      <c r="O502" t="s">
        <v>380</v>
      </c>
      <c r="P502">
        <v>15.43</v>
      </c>
      <c r="Q502">
        <v>15.13</v>
      </c>
      <c r="R502">
        <v>15.33</v>
      </c>
      <c r="S502">
        <v>15.4</v>
      </c>
      <c r="T502">
        <v>1.95</v>
      </c>
      <c r="U502">
        <v>0.68</v>
      </c>
      <c r="V502">
        <v>8.33</v>
      </c>
      <c r="W502">
        <v>384</v>
      </c>
      <c r="X502">
        <v>15.21</v>
      </c>
      <c r="Y502" t="s">
        <v>517</v>
      </c>
      <c r="Z502" t="s">
        <v>2421</v>
      </c>
      <c r="AA502">
        <v>2.13</v>
      </c>
      <c r="AB502">
        <v>180</v>
      </c>
      <c r="AC502">
        <v>321</v>
      </c>
      <c r="AD502">
        <v>4.26</v>
      </c>
      <c r="AE502" t="s">
        <v>801</v>
      </c>
      <c r="AF502" t="s">
        <v>419</v>
      </c>
      <c r="AG502" t="s">
        <v>801</v>
      </c>
      <c r="AH502" t="s">
        <v>419</v>
      </c>
      <c r="AI502">
        <v>-2.94</v>
      </c>
      <c r="AJ502">
        <v>0.8</v>
      </c>
      <c r="AK502">
        <v>3.7</v>
      </c>
      <c r="AL502">
        <v>7.83</v>
      </c>
    </row>
    <row r="503" spans="1:38" x14ac:dyDescent="0.25">
      <c r="A503">
        <v>502</v>
      </c>
      <c r="B503" t="str">
        <f xml:space="preserve"> "600167"</f>
        <v>600167</v>
      </c>
      <c r="C503" t="s">
        <v>2965</v>
      </c>
      <c r="D503">
        <v>24.95</v>
      </c>
      <c r="E503">
        <v>2.17</v>
      </c>
      <c r="F503">
        <v>0.53</v>
      </c>
      <c r="G503" t="s">
        <v>2966</v>
      </c>
      <c r="H503">
        <v>10</v>
      </c>
      <c r="I503">
        <v>24.9</v>
      </c>
      <c r="J503">
        <v>24.92</v>
      </c>
      <c r="K503">
        <v>-0.44</v>
      </c>
      <c r="L503">
        <v>1.19</v>
      </c>
      <c r="M503" t="s">
        <v>2967</v>
      </c>
      <c r="N503">
        <v>24.39</v>
      </c>
      <c r="O503" t="s">
        <v>186</v>
      </c>
      <c r="P503">
        <v>25.25</v>
      </c>
      <c r="Q503">
        <v>24.26</v>
      </c>
      <c r="R503">
        <v>24.32</v>
      </c>
      <c r="S503">
        <v>24.42</v>
      </c>
      <c r="T503">
        <v>4.05</v>
      </c>
      <c r="U503">
        <v>1.92</v>
      </c>
      <c r="V503">
        <v>-20.59</v>
      </c>
      <c r="W503">
        <v>-84</v>
      </c>
      <c r="X503">
        <v>24.76</v>
      </c>
      <c r="Y503">
        <v>8641</v>
      </c>
      <c r="Z503" t="s">
        <v>2968</v>
      </c>
      <c r="AA503">
        <v>0.53</v>
      </c>
      <c r="AB503">
        <v>27</v>
      </c>
      <c r="AC503">
        <v>19</v>
      </c>
      <c r="AD503">
        <v>3.24</v>
      </c>
      <c r="AE503" t="s">
        <v>2969</v>
      </c>
      <c r="AF503" t="s">
        <v>189</v>
      </c>
      <c r="AG503" t="s">
        <v>2970</v>
      </c>
      <c r="AH503" t="s">
        <v>2971</v>
      </c>
      <c r="AI503">
        <v>1.0900000000000001</v>
      </c>
      <c r="AJ503">
        <v>0.77</v>
      </c>
      <c r="AK503">
        <v>2.1800000000000002</v>
      </c>
      <c r="AL503">
        <v>4.29</v>
      </c>
    </row>
    <row r="504" spans="1:38" x14ac:dyDescent="0.25">
      <c r="A504">
        <v>503</v>
      </c>
      <c r="B504" t="str">
        <f xml:space="preserve"> "600582"</f>
        <v>600582</v>
      </c>
      <c r="C504" t="s">
        <v>2972</v>
      </c>
      <c r="D504">
        <v>5.3</v>
      </c>
      <c r="E504">
        <v>3.11</v>
      </c>
      <c r="F504">
        <v>0.16</v>
      </c>
      <c r="G504" t="s">
        <v>1219</v>
      </c>
      <c r="H504">
        <v>5</v>
      </c>
      <c r="I504">
        <v>5.29</v>
      </c>
      <c r="J504">
        <v>5.3</v>
      </c>
      <c r="K504">
        <v>0.19</v>
      </c>
      <c r="L504">
        <v>0.92</v>
      </c>
      <c r="M504" t="s">
        <v>2973</v>
      </c>
      <c r="N504">
        <v>32.71</v>
      </c>
      <c r="O504" t="s">
        <v>648</v>
      </c>
      <c r="P504">
        <v>5.34</v>
      </c>
      <c r="Q504">
        <v>5.1100000000000003</v>
      </c>
      <c r="R504">
        <v>5.15</v>
      </c>
      <c r="S504">
        <v>5.14</v>
      </c>
      <c r="T504">
        <v>4.47</v>
      </c>
      <c r="U504">
        <v>1.2</v>
      </c>
      <c r="V504">
        <v>-20.94</v>
      </c>
      <c r="W504">
        <v>-5691</v>
      </c>
      <c r="X504">
        <v>5.25</v>
      </c>
      <c r="Y504" t="s">
        <v>1699</v>
      </c>
      <c r="Z504" t="s">
        <v>2043</v>
      </c>
      <c r="AA504">
        <v>0.27</v>
      </c>
      <c r="AB504">
        <v>378</v>
      </c>
      <c r="AC504">
        <v>2170</v>
      </c>
      <c r="AD504">
        <v>1.56</v>
      </c>
      <c r="AE504" t="s">
        <v>2974</v>
      </c>
      <c r="AF504" t="s">
        <v>2138</v>
      </c>
      <c r="AG504" t="s">
        <v>1292</v>
      </c>
      <c r="AH504" t="s">
        <v>812</v>
      </c>
      <c r="AI504">
        <v>1.34</v>
      </c>
      <c r="AJ504">
        <v>5.37</v>
      </c>
      <c r="AK504">
        <v>1.97</v>
      </c>
      <c r="AL504">
        <v>4.7699999999999996</v>
      </c>
    </row>
    <row r="505" spans="1:38" x14ac:dyDescent="0.25">
      <c r="A505">
        <v>504</v>
      </c>
      <c r="B505" t="str">
        <f xml:space="preserve"> "002129"</f>
        <v>002129</v>
      </c>
      <c r="C505" t="s">
        <v>2975</v>
      </c>
      <c r="D505" t="s">
        <v>616</v>
      </c>
      <c r="E505" t="s">
        <v>616</v>
      </c>
      <c r="F505" t="s">
        <v>616</v>
      </c>
      <c r="G505" t="s">
        <v>616</v>
      </c>
      <c r="H505" t="s">
        <v>616</v>
      </c>
      <c r="I505" t="s">
        <v>616</v>
      </c>
      <c r="J505" t="s">
        <v>616</v>
      </c>
      <c r="K505" t="s">
        <v>616</v>
      </c>
      <c r="L505" t="s">
        <v>616</v>
      </c>
      <c r="M505" t="s">
        <v>616</v>
      </c>
      <c r="N505">
        <v>39.75</v>
      </c>
      <c r="O505" t="s">
        <v>380</v>
      </c>
      <c r="P505" t="s">
        <v>616</v>
      </c>
      <c r="Q505" t="s">
        <v>616</v>
      </c>
      <c r="R505" t="s">
        <v>616</v>
      </c>
      <c r="S505">
        <v>8.24</v>
      </c>
      <c r="T505" t="s">
        <v>616</v>
      </c>
      <c r="U505" t="s">
        <v>616</v>
      </c>
      <c r="V505" t="s">
        <v>616</v>
      </c>
      <c r="W505" t="s">
        <v>616</v>
      </c>
      <c r="X505" t="s">
        <v>616</v>
      </c>
      <c r="Y505" t="s">
        <v>616</v>
      </c>
      <c r="Z505" t="s">
        <v>616</v>
      </c>
      <c r="AA505" t="s">
        <v>616</v>
      </c>
      <c r="AB505" t="s">
        <v>616</v>
      </c>
      <c r="AC505" t="s">
        <v>616</v>
      </c>
      <c r="AD505">
        <v>2.04</v>
      </c>
      <c r="AE505" t="s">
        <v>1279</v>
      </c>
      <c r="AF505" t="s">
        <v>2976</v>
      </c>
      <c r="AG505" t="s">
        <v>1279</v>
      </c>
      <c r="AH505" t="s">
        <v>2976</v>
      </c>
      <c r="AI505">
        <v>0</v>
      </c>
      <c r="AJ505">
        <v>0</v>
      </c>
      <c r="AK505">
        <v>0</v>
      </c>
      <c r="AL505">
        <v>0</v>
      </c>
    </row>
    <row r="506" spans="1:38" x14ac:dyDescent="0.25">
      <c r="A506">
        <v>505</v>
      </c>
      <c r="B506" t="str">
        <f xml:space="preserve"> "300014"</f>
        <v>300014</v>
      </c>
      <c r="C506" t="s">
        <v>2977</v>
      </c>
      <c r="D506">
        <v>25.45</v>
      </c>
      <c r="E506">
        <v>0.87</v>
      </c>
      <c r="F506">
        <v>0.22</v>
      </c>
      <c r="G506" t="s">
        <v>2978</v>
      </c>
      <c r="H506">
        <v>2895</v>
      </c>
      <c r="I506">
        <v>25.45</v>
      </c>
      <c r="J506">
        <v>25.46</v>
      </c>
      <c r="K506">
        <v>-0.04</v>
      </c>
      <c r="L506">
        <v>2.31</v>
      </c>
      <c r="M506" t="s">
        <v>2979</v>
      </c>
      <c r="N506">
        <v>46.84</v>
      </c>
      <c r="O506" t="s">
        <v>380</v>
      </c>
      <c r="P506">
        <v>25.81</v>
      </c>
      <c r="Q506">
        <v>25.23</v>
      </c>
      <c r="R506">
        <v>25.25</v>
      </c>
      <c r="S506">
        <v>25.23</v>
      </c>
      <c r="T506">
        <v>2.2999999999999998</v>
      </c>
      <c r="U506">
        <v>0.78</v>
      </c>
      <c r="V506">
        <v>-0.01</v>
      </c>
      <c r="W506">
        <v>-1</v>
      </c>
      <c r="X506">
        <v>25.55</v>
      </c>
      <c r="Y506" t="s">
        <v>564</v>
      </c>
      <c r="Z506" t="s">
        <v>641</v>
      </c>
      <c r="AA506">
        <v>0.91</v>
      </c>
      <c r="AB506">
        <v>221</v>
      </c>
      <c r="AC506">
        <v>372</v>
      </c>
      <c r="AD506">
        <v>10.130000000000001</v>
      </c>
      <c r="AE506" t="s">
        <v>2980</v>
      </c>
      <c r="AF506" t="s">
        <v>2976</v>
      </c>
      <c r="AG506" t="s">
        <v>2981</v>
      </c>
      <c r="AH506" t="s">
        <v>2102</v>
      </c>
      <c r="AI506">
        <v>-0.82</v>
      </c>
      <c r="AJ506">
        <v>-1.01</v>
      </c>
      <c r="AK506">
        <v>8.02</v>
      </c>
      <c r="AL506">
        <v>17.14</v>
      </c>
    </row>
    <row r="507" spans="1:38" x14ac:dyDescent="0.25">
      <c r="A507">
        <v>506</v>
      </c>
      <c r="B507" t="str">
        <f xml:space="preserve"> "600612"</f>
        <v>600612</v>
      </c>
      <c r="C507" t="s">
        <v>2982</v>
      </c>
      <c r="D507">
        <v>41.62</v>
      </c>
      <c r="E507">
        <v>-0.79</v>
      </c>
      <c r="F507">
        <v>-0.33</v>
      </c>
      <c r="G507">
        <v>8364</v>
      </c>
      <c r="H507">
        <v>1</v>
      </c>
      <c r="I507">
        <v>41.62</v>
      </c>
      <c r="J507">
        <v>41.64</v>
      </c>
      <c r="K507">
        <v>0.02</v>
      </c>
      <c r="L507">
        <v>0.26</v>
      </c>
      <c r="M507" t="s">
        <v>2983</v>
      </c>
      <c r="N507">
        <v>18.690000000000001</v>
      </c>
      <c r="O507" t="s">
        <v>2984</v>
      </c>
      <c r="P507">
        <v>42.15</v>
      </c>
      <c r="Q507">
        <v>41.53</v>
      </c>
      <c r="R507">
        <v>41.96</v>
      </c>
      <c r="S507">
        <v>41.95</v>
      </c>
      <c r="T507">
        <v>1.48</v>
      </c>
      <c r="U507">
        <v>0.6</v>
      </c>
      <c r="V507">
        <v>30.08</v>
      </c>
      <c r="W507">
        <v>142</v>
      </c>
      <c r="X507">
        <v>41.66</v>
      </c>
      <c r="Y507">
        <v>4457</v>
      </c>
      <c r="Z507">
        <v>3907</v>
      </c>
      <c r="AA507">
        <v>1.1399999999999999</v>
      </c>
      <c r="AB507">
        <v>71</v>
      </c>
      <c r="AC507">
        <v>7</v>
      </c>
      <c r="AD507">
        <v>4.2699999999999996</v>
      </c>
      <c r="AE507" t="s">
        <v>2985</v>
      </c>
      <c r="AF507" t="s">
        <v>2976</v>
      </c>
      <c r="AG507" t="s">
        <v>972</v>
      </c>
      <c r="AH507" t="s">
        <v>869</v>
      </c>
      <c r="AI507">
        <v>-0.9</v>
      </c>
      <c r="AJ507">
        <v>2.31</v>
      </c>
      <c r="AK507">
        <v>1.28</v>
      </c>
      <c r="AL507">
        <v>2.4500000000000002</v>
      </c>
    </row>
    <row r="508" spans="1:38" x14ac:dyDescent="0.25">
      <c r="A508">
        <v>507</v>
      </c>
      <c r="B508" t="str">
        <f xml:space="preserve"> "600787"</f>
        <v>600787</v>
      </c>
      <c r="C508" t="s">
        <v>2986</v>
      </c>
      <c r="D508">
        <v>9.89</v>
      </c>
      <c r="E508">
        <v>0.3</v>
      </c>
      <c r="F508">
        <v>0.03</v>
      </c>
      <c r="G508" t="s">
        <v>991</v>
      </c>
      <c r="H508">
        <v>175</v>
      </c>
      <c r="I508">
        <v>9.8699999999999992</v>
      </c>
      <c r="J508">
        <v>9.9</v>
      </c>
      <c r="K508">
        <v>0.2</v>
      </c>
      <c r="L508">
        <v>0.56999999999999995</v>
      </c>
      <c r="M508" t="s">
        <v>1907</v>
      </c>
      <c r="N508">
        <v>110.77</v>
      </c>
      <c r="O508" t="s">
        <v>274</v>
      </c>
      <c r="P508">
        <v>9.94</v>
      </c>
      <c r="Q508">
        <v>9.7200000000000006</v>
      </c>
      <c r="R508">
        <v>9.8000000000000007</v>
      </c>
      <c r="S508">
        <v>9.86</v>
      </c>
      <c r="T508">
        <v>2.23</v>
      </c>
      <c r="U508">
        <v>0.48</v>
      </c>
      <c r="V508">
        <v>-49.42</v>
      </c>
      <c r="W508">
        <v>-4165</v>
      </c>
      <c r="X508">
        <v>9.86</v>
      </c>
      <c r="Y508" t="s">
        <v>2987</v>
      </c>
      <c r="Z508" t="s">
        <v>2988</v>
      </c>
      <c r="AA508">
        <v>0.94</v>
      </c>
      <c r="AB508">
        <v>415</v>
      </c>
      <c r="AC508">
        <v>829</v>
      </c>
      <c r="AD508">
        <v>2.3199999999999998</v>
      </c>
      <c r="AE508" t="s">
        <v>662</v>
      </c>
      <c r="AF508" t="s">
        <v>2976</v>
      </c>
      <c r="AG508" t="s">
        <v>1200</v>
      </c>
      <c r="AH508" t="s">
        <v>637</v>
      </c>
      <c r="AI508">
        <v>-0.1</v>
      </c>
      <c r="AJ508">
        <v>4.99</v>
      </c>
      <c r="AK508">
        <v>2.66</v>
      </c>
      <c r="AL508">
        <v>6.54</v>
      </c>
    </row>
    <row r="509" spans="1:38" x14ac:dyDescent="0.25">
      <c r="A509">
        <v>508</v>
      </c>
      <c r="B509" t="str">
        <f xml:space="preserve"> "000732"</f>
        <v>000732</v>
      </c>
      <c r="C509" t="s">
        <v>2989</v>
      </c>
      <c r="D509">
        <v>17.48</v>
      </c>
      <c r="E509">
        <v>-0.28999999999999998</v>
      </c>
      <c r="F509">
        <v>-0.05</v>
      </c>
      <c r="G509" t="s">
        <v>1043</v>
      </c>
      <c r="H509">
        <v>465</v>
      </c>
      <c r="I509">
        <v>17.47</v>
      </c>
      <c r="J509">
        <v>17.48</v>
      </c>
      <c r="K509">
        <v>-0.06</v>
      </c>
      <c r="L509">
        <v>0.23</v>
      </c>
      <c r="M509" t="s">
        <v>2990</v>
      </c>
      <c r="N509">
        <v>11.83</v>
      </c>
      <c r="O509" t="s">
        <v>244</v>
      </c>
      <c r="P509">
        <v>17.579999999999998</v>
      </c>
      <c r="Q509">
        <v>17.2</v>
      </c>
      <c r="R509">
        <v>17.54</v>
      </c>
      <c r="S509">
        <v>17.53</v>
      </c>
      <c r="T509">
        <v>2.17</v>
      </c>
      <c r="U509">
        <v>0.82</v>
      </c>
      <c r="V509">
        <v>-26.17</v>
      </c>
      <c r="W509">
        <v>-223</v>
      </c>
      <c r="X509">
        <v>17.36</v>
      </c>
      <c r="Y509" t="s">
        <v>1278</v>
      </c>
      <c r="Z509" t="s">
        <v>2991</v>
      </c>
      <c r="AA509">
        <v>1.38</v>
      </c>
      <c r="AB509">
        <v>218</v>
      </c>
      <c r="AC509">
        <v>121</v>
      </c>
      <c r="AD509">
        <v>1.47</v>
      </c>
      <c r="AE509" t="s">
        <v>361</v>
      </c>
      <c r="AF509" t="s">
        <v>2976</v>
      </c>
      <c r="AG509" t="s">
        <v>361</v>
      </c>
      <c r="AH509" t="s">
        <v>2892</v>
      </c>
      <c r="AI509">
        <v>-2.67</v>
      </c>
      <c r="AJ509">
        <v>-1.74</v>
      </c>
      <c r="AK509">
        <v>0.78</v>
      </c>
      <c r="AL509">
        <v>1.6</v>
      </c>
    </row>
    <row r="510" spans="1:38" x14ac:dyDescent="0.25">
      <c r="A510">
        <v>509</v>
      </c>
      <c r="B510" t="str">
        <f xml:space="preserve"> "600307"</f>
        <v>600307</v>
      </c>
      <c r="C510" t="s">
        <v>2992</v>
      </c>
      <c r="D510">
        <v>3.47</v>
      </c>
      <c r="E510">
        <v>-1.1399999999999999</v>
      </c>
      <c r="F510">
        <v>-0.04</v>
      </c>
      <c r="G510" t="s">
        <v>2993</v>
      </c>
      <c r="H510">
        <v>4540</v>
      </c>
      <c r="I510">
        <v>3.47</v>
      </c>
      <c r="J510">
        <v>3.48</v>
      </c>
      <c r="K510">
        <v>0</v>
      </c>
      <c r="L510">
        <v>1.52</v>
      </c>
      <c r="M510" t="s">
        <v>1417</v>
      </c>
      <c r="N510">
        <v>30.98</v>
      </c>
      <c r="O510" t="s">
        <v>416</v>
      </c>
      <c r="P510">
        <v>3.51</v>
      </c>
      <c r="Q510">
        <v>3.44</v>
      </c>
      <c r="R510">
        <v>3.5</v>
      </c>
      <c r="S510">
        <v>3.51</v>
      </c>
      <c r="T510">
        <v>1.99</v>
      </c>
      <c r="U510">
        <v>0.67</v>
      </c>
      <c r="V510">
        <v>-25.57</v>
      </c>
      <c r="W510" t="s">
        <v>2994</v>
      </c>
      <c r="X510">
        <v>3.47</v>
      </c>
      <c r="Y510" t="s">
        <v>2995</v>
      </c>
      <c r="Z510" t="s">
        <v>1018</v>
      </c>
      <c r="AA510">
        <v>1.41</v>
      </c>
      <c r="AB510">
        <v>5468</v>
      </c>
      <c r="AC510" t="s">
        <v>1726</v>
      </c>
      <c r="AD510">
        <v>2.2799999999999998</v>
      </c>
      <c r="AE510" t="s">
        <v>2996</v>
      </c>
      <c r="AF510" t="s">
        <v>2892</v>
      </c>
      <c r="AG510" t="s">
        <v>2996</v>
      </c>
      <c r="AH510" t="s">
        <v>2892</v>
      </c>
      <c r="AI510">
        <v>0.57999999999999996</v>
      </c>
      <c r="AJ510">
        <v>-3.07</v>
      </c>
      <c r="AK510">
        <v>5.3</v>
      </c>
      <c r="AL510">
        <v>12.95</v>
      </c>
    </row>
    <row r="511" spans="1:38" x14ac:dyDescent="0.25">
      <c r="A511">
        <v>510</v>
      </c>
      <c r="B511" t="str">
        <f xml:space="preserve"> "600012"</f>
        <v>600012</v>
      </c>
      <c r="C511" t="s">
        <v>2997</v>
      </c>
      <c r="D511">
        <v>13.1</v>
      </c>
      <c r="E511">
        <v>0.15</v>
      </c>
      <c r="F511">
        <v>0.02</v>
      </c>
      <c r="G511" t="s">
        <v>545</v>
      </c>
      <c r="H511">
        <v>10</v>
      </c>
      <c r="I511">
        <v>13.09</v>
      </c>
      <c r="J511">
        <v>13.1</v>
      </c>
      <c r="K511">
        <v>0.08</v>
      </c>
      <c r="L511">
        <v>0.11</v>
      </c>
      <c r="M511" t="s">
        <v>2998</v>
      </c>
      <c r="N511">
        <v>20.72</v>
      </c>
      <c r="O511" t="s">
        <v>1348</v>
      </c>
      <c r="P511">
        <v>13.14</v>
      </c>
      <c r="Q511">
        <v>13.05</v>
      </c>
      <c r="R511">
        <v>13.1</v>
      </c>
      <c r="S511">
        <v>13.08</v>
      </c>
      <c r="T511">
        <v>0.69</v>
      </c>
      <c r="U511">
        <v>0.55000000000000004</v>
      </c>
      <c r="V511">
        <v>-6.41</v>
      </c>
      <c r="W511">
        <v>-118</v>
      </c>
      <c r="X511">
        <v>13.08</v>
      </c>
      <c r="Y511">
        <v>8550</v>
      </c>
      <c r="Z511">
        <v>4379</v>
      </c>
      <c r="AA511">
        <v>1.95</v>
      </c>
      <c r="AB511">
        <v>8</v>
      </c>
      <c r="AC511">
        <v>495</v>
      </c>
      <c r="AD511">
        <v>2.57</v>
      </c>
      <c r="AE511" t="s">
        <v>2999</v>
      </c>
      <c r="AF511" t="s">
        <v>2892</v>
      </c>
      <c r="AG511" t="s">
        <v>1132</v>
      </c>
      <c r="AH511" t="s">
        <v>611</v>
      </c>
      <c r="AI511">
        <v>-1.43</v>
      </c>
      <c r="AJ511">
        <v>-0.15</v>
      </c>
      <c r="AK511">
        <v>0.44</v>
      </c>
      <c r="AL511">
        <v>1.1200000000000001</v>
      </c>
    </row>
    <row r="512" spans="1:38" x14ac:dyDescent="0.25">
      <c r="A512">
        <v>511</v>
      </c>
      <c r="B512" t="str">
        <f xml:space="preserve"> "002174"</f>
        <v>002174</v>
      </c>
      <c r="C512" t="s">
        <v>3000</v>
      </c>
      <c r="D512">
        <v>25.19</v>
      </c>
      <c r="E512">
        <v>1.08</v>
      </c>
      <c r="F512">
        <v>0.27</v>
      </c>
      <c r="G512" t="s">
        <v>620</v>
      </c>
      <c r="H512">
        <v>406</v>
      </c>
      <c r="I512">
        <v>25.18</v>
      </c>
      <c r="J512">
        <v>25.19</v>
      </c>
      <c r="K512">
        <v>0.04</v>
      </c>
      <c r="L512">
        <v>1.22</v>
      </c>
      <c r="M512" t="s">
        <v>989</v>
      </c>
      <c r="N512">
        <v>31.95</v>
      </c>
      <c r="O512" t="s">
        <v>893</v>
      </c>
      <c r="P512">
        <v>25.41</v>
      </c>
      <c r="Q512">
        <v>24.8</v>
      </c>
      <c r="R512">
        <v>24.87</v>
      </c>
      <c r="S512">
        <v>24.92</v>
      </c>
      <c r="T512">
        <v>2.4500000000000002</v>
      </c>
      <c r="U512">
        <v>0.96</v>
      </c>
      <c r="V512">
        <v>36.840000000000003</v>
      </c>
      <c r="W512">
        <v>729</v>
      </c>
      <c r="X512">
        <v>25.24</v>
      </c>
      <c r="Y512" t="s">
        <v>2696</v>
      </c>
      <c r="Z512" t="s">
        <v>1489</v>
      </c>
      <c r="AA512">
        <v>0.61</v>
      </c>
      <c r="AB512">
        <v>408</v>
      </c>
      <c r="AC512">
        <v>121</v>
      </c>
      <c r="AD512">
        <v>7.3</v>
      </c>
      <c r="AE512" t="s">
        <v>1168</v>
      </c>
      <c r="AF512" t="s">
        <v>2892</v>
      </c>
      <c r="AG512" t="s">
        <v>1809</v>
      </c>
      <c r="AH512" t="s">
        <v>3001</v>
      </c>
      <c r="AI512">
        <v>2.52</v>
      </c>
      <c r="AJ512">
        <v>6.6</v>
      </c>
      <c r="AK512">
        <v>4.54</v>
      </c>
      <c r="AL512">
        <v>7.57</v>
      </c>
    </row>
    <row r="513" spans="1:38" x14ac:dyDescent="0.25">
      <c r="A513">
        <v>512</v>
      </c>
      <c r="B513" t="str">
        <f xml:space="preserve"> "603369"</f>
        <v>603369</v>
      </c>
      <c r="C513" t="s">
        <v>3002</v>
      </c>
      <c r="D513">
        <v>17.260000000000002</v>
      </c>
      <c r="E513">
        <v>0.64</v>
      </c>
      <c r="F513">
        <v>0.11</v>
      </c>
      <c r="G513" t="s">
        <v>1775</v>
      </c>
      <c r="H513">
        <v>6</v>
      </c>
      <c r="I513">
        <v>17.260000000000002</v>
      </c>
      <c r="J513">
        <v>17.27</v>
      </c>
      <c r="K513">
        <v>0.06</v>
      </c>
      <c r="L513">
        <v>1.52</v>
      </c>
      <c r="M513" t="s">
        <v>1417</v>
      </c>
      <c r="N513">
        <v>16.670000000000002</v>
      </c>
      <c r="O513" t="s">
        <v>123</v>
      </c>
      <c r="P513">
        <v>17.45</v>
      </c>
      <c r="Q513">
        <v>17.05</v>
      </c>
      <c r="R513">
        <v>17.12</v>
      </c>
      <c r="S513">
        <v>17.149999999999999</v>
      </c>
      <c r="T513">
        <v>2.33</v>
      </c>
      <c r="U513">
        <v>0.97</v>
      </c>
      <c r="V513">
        <v>-19.04</v>
      </c>
      <c r="W513">
        <v>-481</v>
      </c>
      <c r="X513">
        <v>17.28</v>
      </c>
      <c r="Y513" t="s">
        <v>2140</v>
      </c>
      <c r="Z513" t="s">
        <v>1270</v>
      </c>
      <c r="AA513">
        <v>0.82</v>
      </c>
      <c r="AB513">
        <v>254</v>
      </c>
      <c r="AC513">
        <v>239</v>
      </c>
      <c r="AD513">
        <v>4.3099999999999996</v>
      </c>
      <c r="AE513" t="s">
        <v>2674</v>
      </c>
      <c r="AF513" t="s">
        <v>2892</v>
      </c>
      <c r="AG513" t="s">
        <v>2674</v>
      </c>
      <c r="AH513" t="s">
        <v>2892</v>
      </c>
      <c r="AI513">
        <v>5.05</v>
      </c>
      <c r="AJ513">
        <v>6.94</v>
      </c>
      <c r="AK513">
        <v>5.75</v>
      </c>
      <c r="AL513">
        <v>9.3800000000000008</v>
      </c>
    </row>
    <row r="514" spans="1:38" x14ac:dyDescent="0.25">
      <c r="A514">
        <v>513</v>
      </c>
      <c r="B514" t="str">
        <f xml:space="preserve"> "002399"</f>
        <v>002399</v>
      </c>
      <c r="C514" t="s">
        <v>3003</v>
      </c>
      <c r="D514">
        <v>17.34</v>
      </c>
      <c r="E514">
        <v>0.17</v>
      </c>
      <c r="F514">
        <v>0.03</v>
      </c>
      <c r="G514" t="s">
        <v>1271</v>
      </c>
      <c r="H514">
        <v>261</v>
      </c>
      <c r="I514">
        <v>17.329999999999998</v>
      </c>
      <c r="J514">
        <v>17.34</v>
      </c>
      <c r="K514">
        <v>0.06</v>
      </c>
      <c r="L514">
        <v>0.33</v>
      </c>
      <c r="M514" t="s">
        <v>3004</v>
      </c>
      <c r="N514">
        <v>1451.42</v>
      </c>
      <c r="O514" t="s">
        <v>392</v>
      </c>
      <c r="P514">
        <v>17.43</v>
      </c>
      <c r="Q514">
        <v>17.100000000000001</v>
      </c>
      <c r="R514">
        <v>17.36</v>
      </c>
      <c r="S514">
        <v>17.309999999999999</v>
      </c>
      <c r="T514">
        <v>1.91</v>
      </c>
      <c r="U514">
        <v>0.94</v>
      </c>
      <c r="V514">
        <v>-52.15</v>
      </c>
      <c r="W514">
        <v>-604</v>
      </c>
      <c r="X514">
        <v>17.260000000000002</v>
      </c>
      <c r="Y514" t="s">
        <v>1796</v>
      </c>
      <c r="Z514" t="s">
        <v>2518</v>
      </c>
      <c r="AA514">
        <v>2.04</v>
      </c>
      <c r="AB514">
        <v>42</v>
      </c>
      <c r="AC514">
        <v>290</v>
      </c>
      <c r="AD514">
        <v>2.88</v>
      </c>
      <c r="AE514" t="s">
        <v>2674</v>
      </c>
      <c r="AF514" t="s">
        <v>452</v>
      </c>
      <c r="AG514" t="s">
        <v>2674</v>
      </c>
      <c r="AH514" t="s">
        <v>452</v>
      </c>
      <c r="AI514">
        <v>-1.76</v>
      </c>
      <c r="AJ514">
        <v>-1.03</v>
      </c>
      <c r="AK514">
        <v>0.92</v>
      </c>
      <c r="AL514">
        <v>2.0699999999999998</v>
      </c>
    </row>
    <row r="515" spans="1:38" x14ac:dyDescent="0.25">
      <c r="A515">
        <v>514</v>
      </c>
      <c r="B515" t="str">
        <f xml:space="preserve"> "002176"</f>
        <v>002176</v>
      </c>
      <c r="C515" t="s">
        <v>3005</v>
      </c>
      <c r="D515">
        <v>14.66</v>
      </c>
      <c r="E515">
        <v>2.02</v>
      </c>
      <c r="F515">
        <v>0.28999999999999998</v>
      </c>
      <c r="G515" t="s">
        <v>3006</v>
      </c>
      <c r="H515">
        <v>5926</v>
      </c>
      <c r="I515">
        <v>14.66</v>
      </c>
      <c r="J515">
        <v>14.67</v>
      </c>
      <c r="K515">
        <v>7.0000000000000007E-2</v>
      </c>
      <c r="L515">
        <v>3.54</v>
      </c>
      <c r="M515" t="s">
        <v>3007</v>
      </c>
      <c r="N515">
        <v>173.48</v>
      </c>
      <c r="O515" t="s">
        <v>648</v>
      </c>
      <c r="P515">
        <v>14.83</v>
      </c>
      <c r="Q515">
        <v>14.31</v>
      </c>
      <c r="R515">
        <v>14.45</v>
      </c>
      <c r="S515">
        <v>14.37</v>
      </c>
      <c r="T515">
        <v>3.62</v>
      </c>
      <c r="U515">
        <v>0.66</v>
      </c>
      <c r="V515">
        <v>17.3</v>
      </c>
      <c r="W515">
        <v>2012</v>
      </c>
      <c r="X515">
        <v>14.64</v>
      </c>
      <c r="Y515" t="s">
        <v>131</v>
      </c>
      <c r="Z515" t="s">
        <v>3008</v>
      </c>
      <c r="AA515">
        <v>0.75</v>
      </c>
      <c r="AB515">
        <v>958</v>
      </c>
      <c r="AC515">
        <v>899</v>
      </c>
      <c r="AD515">
        <v>5.71</v>
      </c>
      <c r="AE515" t="s">
        <v>3009</v>
      </c>
      <c r="AF515" t="s">
        <v>1925</v>
      </c>
      <c r="AG515" t="s">
        <v>1047</v>
      </c>
      <c r="AH515" t="s">
        <v>2176</v>
      </c>
      <c r="AI515">
        <v>0.55000000000000004</v>
      </c>
      <c r="AJ515">
        <v>-2.79</v>
      </c>
      <c r="AK515">
        <v>13.15</v>
      </c>
      <c r="AL515">
        <v>30.38</v>
      </c>
    </row>
    <row r="516" spans="1:38" x14ac:dyDescent="0.25">
      <c r="A516">
        <v>515</v>
      </c>
      <c r="B516" t="str">
        <f xml:space="preserve"> "603355"</f>
        <v>603355</v>
      </c>
      <c r="C516" t="s">
        <v>3010</v>
      </c>
      <c r="D516">
        <v>53.68</v>
      </c>
      <c r="E516">
        <v>1.21</v>
      </c>
      <c r="F516">
        <v>0.64</v>
      </c>
      <c r="G516" t="s">
        <v>1683</v>
      </c>
      <c r="H516">
        <v>2</v>
      </c>
      <c r="I516">
        <v>53.69</v>
      </c>
      <c r="J516">
        <v>53.7</v>
      </c>
      <c r="K516">
        <v>0.43</v>
      </c>
      <c r="L516">
        <v>2.39</v>
      </c>
      <c r="M516" t="s">
        <v>3011</v>
      </c>
      <c r="N516">
        <v>47.78</v>
      </c>
      <c r="O516" t="s">
        <v>215</v>
      </c>
      <c r="P516">
        <v>55.46</v>
      </c>
      <c r="Q516">
        <v>53.35</v>
      </c>
      <c r="R516">
        <v>53.53</v>
      </c>
      <c r="S516">
        <v>53.04</v>
      </c>
      <c r="T516">
        <v>3.98</v>
      </c>
      <c r="U516">
        <v>1.37</v>
      </c>
      <c r="V516">
        <v>9.86</v>
      </c>
      <c r="W516">
        <v>7</v>
      </c>
      <c r="X516">
        <v>54.31</v>
      </c>
      <c r="Y516">
        <v>7705</v>
      </c>
      <c r="Z516">
        <v>8249</v>
      </c>
      <c r="AA516">
        <v>0.93</v>
      </c>
      <c r="AB516">
        <v>12</v>
      </c>
      <c r="AC516">
        <v>13</v>
      </c>
      <c r="AD516">
        <v>6.95</v>
      </c>
      <c r="AE516" t="s">
        <v>1922</v>
      </c>
      <c r="AF516" t="s">
        <v>1925</v>
      </c>
      <c r="AG516" t="s">
        <v>3012</v>
      </c>
      <c r="AH516" t="s">
        <v>1975</v>
      </c>
      <c r="AI516">
        <v>2.6</v>
      </c>
      <c r="AJ516">
        <v>4.13</v>
      </c>
      <c r="AK516">
        <v>5.87</v>
      </c>
      <c r="AL516">
        <v>11.12</v>
      </c>
    </row>
    <row r="517" spans="1:38" x14ac:dyDescent="0.25">
      <c r="A517">
        <v>516</v>
      </c>
      <c r="B517" t="str">
        <f xml:space="preserve"> "600490"</f>
        <v>600490</v>
      </c>
      <c r="C517" t="s">
        <v>3013</v>
      </c>
      <c r="D517">
        <v>11.38</v>
      </c>
      <c r="E517">
        <v>0.8</v>
      </c>
      <c r="F517">
        <v>0.09</v>
      </c>
      <c r="G517" t="s">
        <v>3014</v>
      </c>
      <c r="H517">
        <v>30</v>
      </c>
      <c r="I517">
        <v>11.37</v>
      </c>
      <c r="J517">
        <v>11.38</v>
      </c>
      <c r="K517">
        <v>0.26</v>
      </c>
      <c r="L517">
        <v>4.79</v>
      </c>
      <c r="M517" t="s">
        <v>3015</v>
      </c>
      <c r="N517">
        <v>67.81</v>
      </c>
      <c r="O517" t="s">
        <v>449</v>
      </c>
      <c r="P517">
        <v>11.63</v>
      </c>
      <c r="Q517">
        <v>11.05</v>
      </c>
      <c r="R517">
        <v>11.35</v>
      </c>
      <c r="S517">
        <v>11.29</v>
      </c>
      <c r="T517">
        <v>5.14</v>
      </c>
      <c r="U517">
        <v>0.54</v>
      </c>
      <c r="V517">
        <v>-39.78</v>
      </c>
      <c r="W517">
        <v>-1813</v>
      </c>
      <c r="X517">
        <v>11.32</v>
      </c>
      <c r="Y517" t="s">
        <v>3016</v>
      </c>
      <c r="Z517" t="s">
        <v>3017</v>
      </c>
      <c r="AA517">
        <v>1.06</v>
      </c>
      <c r="AB517">
        <v>69</v>
      </c>
      <c r="AC517">
        <v>112</v>
      </c>
      <c r="AD517">
        <v>3.86</v>
      </c>
      <c r="AE517" t="s">
        <v>1981</v>
      </c>
      <c r="AF517" t="s">
        <v>1925</v>
      </c>
      <c r="AG517" t="s">
        <v>2033</v>
      </c>
      <c r="AH517" t="s">
        <v>1272</v>
      </c>
      <c r="AI517">
        <v>5.08</v>
      </c>
      <c r="AJ517">
        <v>7.56</v>
      </c>
      <c r="AK517">
        <v>20.9</v>
      </c>
      <c r="AL517">
        <v>49.6</v>
      </c>
    </row>
    <row r="518" spans="1:38" x14ac:dyDescent="0.25">
      <c r="A518">
        <v>517</v>
      </c>
      <c r="B518" t="str">
        <f xml:space="preserve"> "002110"</f>
        <v>002110</v>
      </c>
      <c r="C518" t="s">
        <v>3018</v>
      </c>
      <c r="D518" t="s">
        <v>616</v>
      </c>
      <c r="E518" t="s">
        <v>616</v>
      </c>
      <c r="F518" t="s">
        <v>616</v>
      </c>
      <c r="G518" t="s">
        <v>616</v>
      </c>
      <c r="H518" t="s">
        <v>616</v>
      </c>
      <c r="I518" t="s">
        <v>616</v>
      </c>
      <c r="J518" t="s">
        <v>616</v>
      </c>
      <c r="K518" t="s">
        <v>616</v>
      </c>
      <c r="L518" t="s">
        <v>616</v>
      </c>
      <c r="M518" t="s">
        <v>616</v>
      </c>
      <c r="N518">
        <v>9.9499999999999993</v>
      </c>
      <c r="O518" t="s">
        <v>416</v>
      </c>
      <c r="P518" t="s">
        <v>616</v>
      </c>
      <c r="Q518" t="s">
        <v>616</v>
      </c>
      <c r="R518" t="s">
        <v>616</v>
      </c>
      <c r="S518">
        <v>15.66</v>
      </c>
      <c r="T518" t="s">
        <v>616</v>
      </c>
      <c r="U518" t="s">
        <v>616</v>
      </c>
      <c r="V518" t="s">
        <v>616</v>
      </c>
      <c r="W518" t="s">
        <v>616</v>
      </c>
      <c r="X518" t="s">
        <v>616</v>
      </c>
      <c r="Y518" t="s">
        <v>616</v>
      </c>
      <c r="Z518" t="s">
        <v>616</v>
      </c>
      <c r="AA518" t="s">
        <v>616</v>
      </c>
      <c r="AB518" t="s">
        <v>616</v>
      </c>
      <c r="AC518" t="s">
        <v>616</v>
      </c>
      <c r="AD518">
        <v>2.75</v>
      </c>
      <c r="AE518" t="s">
        <v>1566</v>
      </c>
      <c r="AF518" t="s">
        <v>1925</v>
      </c>
      <c r="AG518" t="s">
        <v>2936</v>
      </c>
      <c r="AH518" t="s">
        <v>3019</v>
      </c>
      <c r="AI518">
        <v>0</v>
      </c>
      <c r="AJ518">
        <v>0</v>
      </c>
      <c r="AK518">
        <v>0</v>
      </c>
      <c r="AL518">
        <v>0</v>
      </c>
    </row>
    <row r="519" spans="1:38" x14ac:dyDescent="0.25">
      <c r="A519">
        <v>518</v>
      </c>
      <c r="B519" t="str">
        <f xml:space="preserve"> "600418"</f>
        <v>600418</v>
      </c>
      <c r="C519" t="s">
        <v>3020</v>
      </c>
      <c r="D519">
        <v>11.33</v>
      </c>
      <c r="E519">
        <v>-1.05</v>
      </c>
      <c r="F519">
        <v>-0.12</v>
      </c>
      <c r="G519" t="s">
        <v>3021</v>
      </c>
      <c r="H519">
        <v>32</v>
      </c>
      <c r="I519">
        <v>11.33</v>
      </c>
      <c r="J519">
        <v>11.34</v>
      </c>
      <c r="K519">
        <v>0</v>
      </c>
      <c r="L519">
        <v>2.2599999999999998</v>
      </c>
      <c r="M519" t="s">
        <v>3022</v>
      </c>
      <c r="N519">
        <v>31.12</v>
      </c>
      <c r="O519" t="s">
        <v>169</v>
      </c>
      <c r="P519">
        <v>11.43</v>
      </c>
      <c r="Q519">
        <v>11.24</v>
      </c>
      <c r="R519">
        <v>11.32</v>
      </c>
      <c r="S519">
        <v>11.45</v>
      </c>
      <c r="T519">
        <v>1.66</v>
      </c>
      <c r="U519">
        <v>0.33</v>
      </c>
      <c r="V519">
        <v>-18.149999999999999</v>
      </c>
      <c r="W519">
        <v>-1885</v>
      </c>
      <c r="X519">
        <v>11.33</v>
      </c>
      <c r="Y519" t="s">
        <v>459</v>
      </c>
      <c r="Z519" t="s">
        <v>1772</v>
      </c>
      <c r="AA519">
        <v>1.56</v>
      </c>
      <c r="AB519">
        <v>176</v>
      </c>
      <c r="AC519">
        <v>701</v>
      </c>
      <c r="AD519">
        <v>1.56</v>
      </c>
      <c r="AE519" t="s">
        <v>1981</v>
      </c>
      <c r="AF519" t="s">
        <v>1925</v>
      </c>
      <c r="AG519" t="s">
        <v>2387</v>
      </c>
      <c r="AH519" t="s">
        <v>1273</v>
      </c>
      <c r="AI519">
        <v>-5.19</v>
      </c>
      <c r="AJ519">
        <v>4.1399999999999997</v>
      </c>
      <c r="AK519">
        <v>12.85</v>
      </c>
      <c r="AL519">
        <v>36.79</v>
      </c>
    </row>
    <row r="520" spans="1:38" x14ac:dyDescent="0.25">
      <c r="A520">
        <v>519</v>
      </c>
      <c r="B520" t="str">
        <f xml:space="preserve"> "002408"</f>
        <v>002408</v>
      </c>
      <c r="C520" t="s">
        <v>3023</v>
      </c>
      <c r="D520">
        <v>12.08</v>
      </c>
      <c r="E520">
        <v>0.57999999999999996</v>
      </c>
      <c r="F520">
        <v>7.0000000000000007E-2</v>
      </c>
      <c r="G520" t="s">
        <v>2220</v>
      </c>
      <c r="H520">
        <v>655</v>
      </c>
      <c r="I520">
        <v>12.07</v>
      </c>
      <c r="J520">
        <v>12.08</v>
      </c>
      <c r="K520">
        <v>0.17</v>
      </c>
      <c r="L520">
        <v>0.3</v>
      </c>
      <c r="M520" t="s">
        <v>3024</v>
      </c>
      <c r="N520">
        <v>33.17</v>
      </c>
      <c r="O520" t="s">
        <v>667</v>
      </c>
      <c r="P520">
        <v>12.09</v>
      </c>
      <c r="Q520">
        <v>11.99</v>
      </c>
      <c r="R520">
        <v>12.05</v>
      </c>
      <c r="S520">
        <v>12.01</v>
      </c>
      <c r="T520">
        <v>0.83</v>
      </c>
      <c r="U520">
        <v>0.59</v>
      </c>
      <c r="V520">
        <v>-76.8</v>
      </c>
      <c r="W520">
        <v>-3740</v>
      </c>
      <c r="X520">
        <v>12.04</v>
      </c>
      <c r="Y520" t="s">
        <v>3025</v>
      </c>
      <c r="Z520" t="s">
        <v>2548</v>
      </c>
      <c r="AA520">
        <v>0.81</v>
      </c>
      <c r="AB520">
        <v>29</v>
      </c>
      <c r="AC520">
        <v>147</v>
      </c>
      <c r="AD520">
        <v>3.5</v>
      </c>
      <c r="AE520" t="s">
        <v>1713</v>
      </c>
      <c r="AF520" t="s">
        <v>2529</v>
      </c>
      <c r="AG520" t="s">
        <v>3026</v>
      </c>
      <c r="AH520" t="s">
        <v>2176</v>
      </c>
      <c r="AI520">
        <v>0.42</v>
      </c>
      <c r="AJ520">
        <v>-1.39</v>
      </c>
      <c r="AK520">
        <v>1.2</v>
      </c>
      <c r="AL520">
        <v>2.88</v>
      </c>
    </row>
    <row r="521" spans="1:38" x14ac:dyDescent="0.25">
      <c r="A521">
        <v>520</v>
      </c>
      <c r="B521" t="str">
        <f xml:space="preserve"> "600801"</f>
        <v>600801</v>
      </c>
      <c r="C521" t="s">
        <v>3027</v>
      </c>
      <c r="D521">
        <v>14.3</v>
      </c>
      <c r="E521">
        <v>1.27</v>
      </c>
      <c r="F521">
        <v>0.18</v>
      </c>
      <c r="G521" t="s">
        <v>2197</v>
      </c>
      <c r="H521">
        <v>34</v>
      </c>
      <c r="I521">
        <v>14.29</v>
      </c>
      <c r="J521">
        <v>14.3</v>
      </c>
      <c r="K521">
        <v>7.0000000000000007E-2</v>
      </c>
      <c r="L521">
        <v>2.4</v>
      </c>
      <c r="M521" t="s">
        <v>1624</v>
      </c>
      <c r="N521">
        <v>14.71</v>
      </c>
      <c r="O521" t="s">
        <v>562</v>
      </c>
      <c r="P521">
        <v>14.32</v>
      </c>
      <c r="Q521">
        <v>13.91</v>
      </c>
      <c r="R521">
        <v>14.1</v>
      </c>
      <c r="S521">
        <v>14.12</v>
      </c>
      <c r="T521">
        <v>2.9</v>
      </c>
      <c r="U521">
        <v>0.69</v>
      </c>
      <c r="V521">
        <v>-54.52</v>
      </c>
      <c r="W521">
        <v>-3685</v>
      </c>
      <c r="X521">
        <v>14.2</v>
      </c>
      <c r="Y521" t="s">
        <v>371</v>
      </c>
      <c r="Z521" t="s">
        <v>873</v>
      </c>
      <c r="AA521">
        <v>0.94</v>
      </c>
      <c r="AB521">
        <v>250</v>
      </c>
      <c r="AC521">
        <v>325</v>
      </c>
      <c r="AD521">
        <v>2.0299999999999998</v>
      </c>
      <c r="AE521" t="s">
        <v>2347</v>
      </c>
      <c r="AF521" t="s">
        <v>2529</v>
      </c>
      <c r="AG521" t="s">
        <v>3028</v>
      </c>
      <c r="AH521" t="s">
        <v>2859</v>
      </c>
      <c r="AI521">
        <v>-2.65</v>
      </c>
      <c r="AJ521">
        <v>-4.79</v>
      </c>
      <c r="AK521">
        <v>8.61</v>
      </c>
      <c r="AL521">
        <v>19.809999999999999</v>
      </c>
    </row>
    <row r="522" spans="1:38" x14ac:dyDescent="0.25">
      <c r="A522">
        <v>521</v>
      </c>
      <c r="B522" t="str">
        <f xml:space="preserve"> "002244"</f>
        <v>002244</v>
      </c>
      <c r="C522" t="s">
        <v>3029</v>
      </c>
      <c r="D522">
        <v>6.87</v>
      </c>
      <c r="E522">
        <v>0.73</v>
      </c>
      <c r="F522">
        <v>0.05</v>
      </c>
      <c r="G522" t="s">
        <v>778</v>
      </c>
      <c r="H522">
        <v>1064</v>
      </c>
      <c r="I522">
        <v>6.86</v>
      </c>
      <c r="J522">
        <v>6.87</v>
      </c>
      <c r="K522">
        <v>0.15</v>
      </c>
      <c r="L522">
        <v>0.49</v>
      </c>
      <c r="M522" t="s">
        <v>3030</v>
      </c>
      <c r="N522">
        <v>11.61</v>
      </c>
      <c r="O522" t="s">
        <v>244</v>
      </c>
      <c r="P522">
        <v>6.88</v>
      </c>
      <c r="Q522">
        <v>6.79</v>
      </c>
      <c r="R522">
        <v>6.79</v>
      </c>
      <c r="S522">
        <v>6.82</v>
      </c>
      <c r="T522">
        <v>1.32</v>
      </c>
      <c r="U522">
        <v>0.7</v>
      </c>
      <c r="V522">
        <v>-30.55</v>
      </c>
      <c r="W522">
        <v>-7584</v>
      </c>
      <c r="X522">
        <v>6.84</v>
      </c>
      <c r="Y522" t="s">
        <v>3031</v>
      </c>
      <c r="Z522" t="s">
        <v>3032</v>
      </c>
      <c r="AA522">
        <v>0.81</v>
      </c>
      <c r="AB522">
        <v>954</v>
      </c>
      <c r="AC522">
        <v>4142</v>
      </c>
      <c r="AD522">
        <v>1.58</v>
      </c>
      <c r="AE522" t="s">
        <v>2205</v>
      </c>
      <c r="AF522" t="s">
        <v>2529</v>
      </c>
      <c r="AG522" t="s">
        <v>547</v>
      </c>
      <c r="AH522" t="s">
        <v>3033</v>
      </c>
      <c r="AI522">
        <v>1.93</v>
      </c>
      <c r="AJ522">
        <v>1.48</v>
      </c>
      <c r="AK522">
        <v>1.88</v>
      </c>
      <c r="AL522">
        <v>4</v>
      </c>
    </row>
    <row r="523" spans="1:38" x14ac:dyDescent="0.25">
      <c r="A523">
        <v>522</v>
      </c>
      <c r="B523" t="str">
        <f xml:space="preserve"> "600666"</f>
        <v>600666</v>
      </c>
      <c r="C523" t="s">
        <v>3034</v>
      </c>
      <c r="D523" t="s">
        <v>616</v>
      </c>
      <c r="E523" t="s">
        <v>616</v>
      </c>
      <c r="F523" t="s">
        <v>616</v>
      </c>
      <c r="G523" t="s">
        <v>616</v>
      </c>
      <c r="H523" t="s">
        <v>616</v>
      </c>
      <c r="I523" t="s">
        <v>616</v>
      </c>
      <c r="J523" t="s">
        <v>616</v>
      </c>
      <c r="K523" t="s">
        <v>616</v>
      </c>
      <c r="L523" t="s">
        <v>616</v>
      </c>
      <c r="M523" t="s">
        <v>616</v>
      </c>
      <c r="N523">
        <v>141.71</v>
      </c>
      <c r="O523" t="s">
        <v>380</v>
      </c>
      <c r="P523" t="s">
        <v>616</v>
      </c>
      <c r="Q523" t="s">
        <v>616</v>
      </c>
      <c r="R523" t="s">
        <v>616</v>
      </c>
      <c r="S523">
        <v>17.399999999999999</v>
      </c>
      <c r="T523" t="s">
        <v>616</v>
      </c>
      <c r="U523" t="s">
        <v>616</v>
      </c>
      <c r="V523" t="s">
        <v>616</v>
      </c>
      <c r="W523" t="s">
        <v>616</v>
      </c>
      <c r="X523" t="s">
        <v>616</v>
      </c>
      <c r="Y523" t="s">
        <v>616</v>
      </c>
      <c r="Z523" t="s">
        <v>616</v>
      </c>
      <c r="AA523" t="s">
        <v>616</v>
      </c>
      <c r="AB523" t="s">
        <v>616</v>
      </c>
      <c r="AC523" t="s">
        <v>616</v>
      </c>
      <c r="AD523">
        <v>8.0399999999999991</v>
      </c>
      <c r="AE523" t="s">
        <v>2659</v>
      </c>
      <c r="AF523" t="s">
        <v>2529</v>
      </c>
      <c r="AG523" t="s">
        <v>3035</v>
      </c>
      <c r="AH523" t="s">
        <v>511</v>
      </c>
      <c r="AI523">
        <v>0</v>
      </c>
      <c r="AJ523">
        <v>0</v>
      </c>
      <c r="AK523">
        <v>0</v>
      </c>
      <c r="AL523">
        <v>0</v>
      </c>
    </row>
    <row r="524" spans="1:38" x14ac:dyDescent="0.25">
      <c r="A524">
        <v>523</v>
      </c>
      <c r="B524" t="str">
        <f xml:space="preserve"> "300628"</f>
        <v>300628</v>
      </c>
      <c r="C524" t="s">
        <v>3036</v>
      </c>
      <c r="D524">
        <v>142.91999999999999</v>
      </c>
      <c r="E524">
        <v>1</v>
      </c>
      <c r="F524">
        <v>1.42</v>
      </c>
      <c r="G524" t="s">
        <v>2089</v>
      </c>
      <c r="H524">
        <v>148</v>
      </c>
      <c r="I524">
        <v>142.91999999999999</v>
      </c>
      <c r="J524">
        <v>142.93</v>
      </c>
      <c r="K524">
        <v>-0.02</v>
      </c>
      <c r="L524">
        <v>3.22</v>
      </c>
      <c r="M524" t="s">
        <v>1531</v>
      </c>
      <c r="N524">
        <v>34.979999999999997</v>
      </c>
      <c r="O524" t="s">
        <v>580</v>
      </c>
      <c r="P524">
        <v>144.58000000000001</v>
      </c>
      <c r="Q524">
        <v>140.61000000000001</v>
      </c>
      <c r="R524">
        <v>142</v>
      </c>
      <c r="S524">
        <v>141.5</v>
      </c>
      <c r="T524">
        <v>2.81</v>
      </c>
      <c r="U524">
        <v>0.5</v>
      </c>
      <c r="V524">
        <v>3.13</v>
      </c>
      <c r="W524">
        <v>2</v>
      </c>
      <c r="X524">
        <v>143.13</v>
      </c>
      <c r="Y524">
        <v>5596</v>
      </c>
      <c r="Z524">
        <v>6431</v>
      </c>
      <c r="AA524">
        <v>0.87</v>
      </c>
      <c r="AB524">
        <v>11</v>
      </c>
      <c r="AC524">
        <v>3</v>
      </c>
      <c r="AD524">
        <v>8.31</v>
      </c>
      <c r="AE524" t="s">
        <v>1306</v>
      </c>
      <c r="AF524" t="s">
        <v>2325</v>
      </c>
      <c r="AG524" t="s">
        <v>3037</v>
      </c>
      <c r="AH524" t="s">
        <v>2512</v>
      </c>
      <c r="AI524">
        <v>-3.44</v>
      </c>
      <c r="AJ524">
        <v>-3.63</v>
      </c>
      <c r="AK524">
        <v>11.73</v>
      </c>
      <c r="AL524">
        <v>35.25</v>
      </c>
    </row>
    <row r="525" spans="1:38" x14ac:dyDescent="0.25">
      <c r="A525">
        <v>524</v>
      </c>
      <c r="B525" t="str">
        <f xml:space="preserve"> "600548"</f>
        <v>600548</v>
      </c>
      <c r="C525" t="s">
        <v>3038</v>
      </c>
      <c r="D525">
        <v>9.7799999999999994</v>
      </c>
      <c r="E525">
        <v>0.82</v>
      </c>
      <c r="F525">
        <v>0.08</v>
      </c>
      <c r="G525" t="s">
        <v>3039</v>
      </c>
      <c r="H525">
        <v>20</v>
      </c>
      <c r="I525">
        <v>9.7799999999999994</v>
      </c>
      <c r="J525">
        <v>9.7899999999999991</v>
      </c>
      <c r="K525">
        <v>0.1</v>
      </c>
      <c r="L525">
        <v>0.23</v>
      </c>
      <c r="M525" t="s">
        <v>3040</v>
      </c>
      <c r="N525">
        <v>14.38</v>
      </c>
      <c r="O525" t="s">
        <v>1348</v>
      </c>
      <c r="P525">
        <v>9.83</v>
      </c>
      <c r="Q525">
        <v>9.64</v>
      </c>
      <c r="R525">
        <v>9.69</v>
      </c>
      <c r="S525">
        <v>9.6999999999999993</v>
      </c>
      <c r="T525">
        <v>1.96</v>
      </c>
      <c r="U525">
        <v>1.21</v>
      </c>
      <c r="V525">
        <v>72.17</v>
      </c>
      <c r="W525" t="s">
        <v>3041</v>
      </c>
      <c r="X525">
        <v>9.73</v>
      </c>
      <c r="Y525" t="s">
        <v>1726</v>
      </c>
      <c r="Z525" t="s">
        <v>3042</v>
      </c>
      <c r="AA525">
        <v>0.65</v>
      </c>
      <c r="AB525">
        <v>90</v>
      </c>
      <c r="AC525">
        <v>870</v>
      </c>
      <c r="AD525">
        <v>1.65</v>
      </c>
      <c r="AE525" t="s">
        <v>2277</v>
      </c>
      <c r="AF525" t="s">
        <v>2325</v>
      </c>
      <c r="AG525" t="s">
        <v>2246</v>
      </c>
      <c r="AH525" t="s">
        <v>511</v>
      </c>
      <c r="AI525">
        <v>1.03</v>
      </c>
      <c r="AJ525">
        <v>1.03</v>
      </c>
      <c r="AK525">
        <v>0.73</v>
      </c>
      <c r="AL525">
        <v>1.18</v>
      </c>
    </row>
    <row r="526" spans="1:38" x14ac:dyDescent="0.25">
      <c r="A526">
        <v>525</v>
      </c>
      <c r="B526" t="str">
        <f xml:space="preserve"> "603603"</f>
        <v>603603</v>
      </c>
      <c r="C526" t="s">
        <v>3043</v>
      </c>
      <c r="D526">
        <v>53.19</v>
      </c>
      <c r="E526">
        <v>10.01</v>
      </c>
      <c r="F526">
        <v>4.84</v>
      </c>
      <c r="G526" t="s">
        <v>2292</v>
      </c>
      <c r="H526">
        <v>140</v>
      </c>
      <c r="I526">
        <v>53.19</v>
      </c>
      <c r="J526" t="s">
        <v>616</v>
      </c>
      <c r="K526">
        <v>0</v>
      </c>
      <c r="L526">
        <v>40.96</v>
      </c>
      <c r="M526" t="s">
        <v>3044</v>
      </c>
      <c r="N526">
        <v>87.33</v>
      </c>
      <c r="O526" t="s">
        <v>1155</v>
      </c>
      <c r="P526">
        <v>53.19</v>
      </c>
      <c r="Q526">
        <v>47.4</v>
      </c>
      <c r="R526">
        <v>48.01</v>
      </c>
      <c r="S526">
        <v>48.35</v>
      </c>
      <c r="T526">
        <v>11.98</v>
      </c>
      <c r="U526">
        <v>2.92</v>
      </c>
      <c r="V526">
        <v>100</v>
      </c>
      <c r="W526">
        <v>2601</v>
      </c>
      <c r="X526">
        <v>51.78</v>
      </c>
      <c r="Y526" t="s">
        <v>425</v>
      </c>
      <c r="Z526" t="s">
        <v>3045</v>
      </c>
      <c r="AA526">
        <v>1.01</v>
      </c>
      <c r="AB526">
        <v>2564</v>
      </c>
      <c r="AC526">
        <v>0</v>
      </c>
      <c r="AD526">
        <v>17.38</v>
      </c>
      <c r="AE526" t="s">
        <v>1000</v>
      </c>
      <c r="AF526" t="s">
        <v>2325</v>
      </c>
      <c r="AG526" t="s">
        <v>2596</v>
      </c>
      <c r="AH526" t="s">
        <v>3046</v>
      </c>
      <c r="AI526">
        <v>6.76</v>
      </c>
      <c r="AJ526">
        <v>13.1</v>
      </c>
      <c r="AK526">
        <v>63.98</v>
      </c>
      <c r="AL526">
        <v>111.13</v>
      </c>
    </row>
    <row r="527" spans="1:38" x14ac:dyDescent="0.25">
      <c r="A527">
        <v>526</v>
      </c>
      <c r="B527" t="str">
        <f xml:space="preserve"> "000156"</f>
        <v>000156</v>
      </c>
      <c r="C527" t="s">
        <v>3047</v>
      </c>
      <c r="D527">
        <v>14.84</v>
      </c>
      <c r="E527">
        <v>0.2</v>
      </c>
      <c r="F527">
        <v>0.03</v>
      </c>
      <c r="G527" t="s">
        <v>2966</v>
      </c>
      <c r="H527">
        <v>777</v>
      </c>
      <c r="I527">
        <v>14.83</v>
      </c>
      <c r="J527">
        <v>14.84</v>
      </c>
      <c r="K527">
        <v>0.13</v>
      </c>
      <c r="L527">
        <v>0.25</v>
      </c>
      <c r="M527" t="s">
        <v>3048</v>
      </c>
      <c r="N527">
        <v>34.549999999999997</v>
      </c>
      <c r="O527" t="s">
        <v>1126</v>
      </c>
      <c r="P527">
        <v>14.88</v>
      </c>
      <c r="Q527">
        <v>14.75</v>
      </c>
      <c r="R527">
        <v>14.87</v>
      </c>
      <c r="S527">
        <v>14.81</v>
      </c>
      <c r="T527">
        <v>0.88</v>
      </c>
      <c r="U527">
        <v>0.67</v>
      </c>
      <c r="V527">
        <v>-54.75</v>
      </c>
      <c r="W527">
        <v>-1719</v>
      </c>
      <c r="X527">
        <v>14.82</v>
      </c>
      <c r="Y527" t="s">
        <v>2551</v>
      </c>
      <c r="Z527" t="s">
        <v>2241</v>
      </c>
      <c r="AA527">
        <v>1.23</v>
      </c>
      <c r="AB527">
        <v>45</v>
      </c>
      <c r="AC527">
        <v>146</v>
      </c>
      <c r="AD527">
        <v>2.15</v>
      </c>
      <c r="AE527" t="s">
        <v>2246</v>
      </c>
      <c r="AF527" t="s">
        <v>2325</v>
      </c>
      <c r="AG527" t="s">
        <v>1014</v>
      </c>
      <c r="AH527" t="s">
        <v>812</v>
      </c>
      <c r="AI527">
        <v>0.2</v>
      </c>
      <c r="AJ527">
        <v>3.85</v>
      </c>
      <c r="AK527">
        <v>1</v>
      </c>
      <c r="AL527">
        <v>2.15</v>
      </c>
    </row>
    <row r="528" spans="1:38" x14ac:dyDescent="0.25">
      <c r="A528">
        <v>527</v>
      </c>
      <c r="B528" t="str">
        <f xml:space="preserve"> "002512"</f>
        <v>002512</v>
      </c>
      <c r="C528" t="s">
        <v>3049</v>
      </c>
      <c r="D528">
        <v>19.399999999999999</v>
      </c>
      <c r="E528">
        <v>0.1</v>
      </c>
      <c r="F528">
        <v>0.02</v>
      </c>
      <c r="G528" t="s">
        <v>3050</v>
      </c>
      <c r="H528">
        <v>2633</v>
      </c>
      <c r="I528">
        <v>19.399999999999999</v>
      </c>
      <c r="J528">
        <v>19.41</v>
      </c>
      <c r="K528">
        <v>0.05</v>
      </c>
      <c r="L528">
        <v>0.97</v>
      </c>
      <c r="M528" t="s">
        <v>1120</v>
      </c>
      <c r="N528">
        <v>385.72</v>
      </c>
      <c r="O528" t="s">
        <v>380</v>
      </c>
      <c r="P528">
        <v>19.45</v>
      </c>
      <c r="Q528">
        <v>19.34</v>
      </c>
      <c r="R528">
        <v>19.39</v>
      </c>
      <c r="S528">
        <v>19.38</v>
      </c>
      <c r="T528">
        <v>0.56999999999999995</v>
      </c>
      <c r="U528">
        <v>0.55000000000000004</v>
      </c>
      <c r="V528">
        <v>28.92</v>
      </c>
      <c r="W528">
        <v>1391</v>
      </c>
      <c r="X528">
        <v>19.38</v>
      </c>
      <c r="Y528" t="s">
        <v>2391</v>
      </c>
      <c r="Z528" t="s">
        <v>3025</v>
      </c>
      <c r="AA528">
        <v>1.47</v>
      </c>
      <c r="AB528">
        <v>933</v>
      </c>
      <c r="AC528">
        <v>193</v>
      </c>
      <c r="AD528">
        <v>7.61</v>
      </c>
      <c r="AE528" t="s">
        <v>2501</v>
      </c>
      <c r="AF528" t="s">
        <v>2325</v>
      </c>
      <c r="AG528" t="s">
        <v>3051</v>
      </c>
      <c r="AH528" t="s">
        <v>1982</v>
      </c>
      <c r="AI528">
        <v>0.62</v>
      </c>
      <c r="AJ528">
        <v>0.73</v>
      </c>
      <c r="AK528">
        <v>3.41</v>
      </c>
      <c r="AL528">
        <v>9.8000000000000007</v>
      </c>
    </row>
    <row r="529" spans="1:38" x14ac:dyDescent="0.25">
      <c r="A529">
        <v>528</v>
      </c>
      <c r="B529" t="str">
        <f xml:space="preserve"> "300315"</f>
        <v>300315</v>
      </c>
      <c r="C529" t="s">
        <v>3052</v>
      </c>
      <c r="D529">
        <v>7.69</v>
      </c>
      <c r="E529">
        <v>0.52</v>
      </c>
      <c r="F529">
        <v>0.04</v>
      </c>
      <c r="G529" t="s">
        <v>496</v>
      </c>
      <c r="H529">
        <v>3072</v>
      </c>
      <c r="I529">
        <v>7.69</v>
      </c>
      <c r="J529">
        <v>7.7</v>
      </c>
      <c r="K529">
        <v>0</v>
      </c>
      <c r="L529">
        <v>0.77</v>
      </c>
      <c r="M529" t="s">
        <v>3053</v>
      </c>
      <c r="N529">
        <v>39.700000000000003</v>
      </c>
      <c r="O529" t="s">
        <v>553</v>
      </c>
      <c r="P529">
        <v>7.72</v>
      </c>
      <c r="Q529">
        <v>7.65</v>
      </c>
      <c r="R529">
        <v>7.67</v>
      </c>
      <c r="S529">
        <v>7.65</v>
      </c>
      <c r="T529">
        <v>0.92</v>
      </c>
      <c r="U529">
        <v>0.66</v>
      </c>
      <c r="V529">
        <v>-13.07</v>
      </c>
      <c r="W529">
        <v>-4308</v>
      </c>
      <c r="X529">
        <v>7.69</v>
      </c>
      <c r="Y529" t="s">
        <v>3054</v>
      </c>
      <c r="Z529" t="s">
        <v>1270</v>
      </c>
      <c r="AA529">
        <v>0.92</v>
      </c>
      <c r="AB529">
        <v>4676</v>
      </c>
      <c r="AC529">
        <v>4462</v>
      </c>
      <c r="AD529">
        <v>2.48</v>
      </c>
      <c r="AE529" t="s">
        <v>1382</v>
      </c>
      <c r="AF529" t="s">
        <v>470</v>
      </c>
      <c r="AG529" t="s">
        <v>1279</v>
      </c>
      <c r="AH529" t="s">
        <v>3055</v>
      </c>
      <c r="AI529">
        <v>-1.1599999999999999</v>
      </c>
      <c r="AJ529">
        <v>3.64</v>
      </c>
      <c r="AK529">
        <v>2.68</v>
      </c>
      <c r="AL529">
        <v>6.58</v>
      </c>
    </row>
    <row r="530" spans="1:38" x14ac:dyDescent="0.25">
      <c r="A530">
        <v>529</v>
      </c>
      <c r="B530" t="str">
        <f xml:space="preserve"> "603658"</f>
        <v>603658</v>
      </c>
      <c r="C530" t="s">
        <v>3056</v>
      </c>
      <c r="D530">
        <v>50.38</v>
      </c>
      <c r="E530">
        <v>3.28</v>
      </c>
      <c r="F530">
        <v>1.6</v>
      </c>
      <c r="G530" t="s">
        <v>603</v>
      </c>
      <c r="H530">
        <v>4</v>
      </c>
      <c r="I530">
        <v>50.33</v>
      </c>
      <c r="J530">
        <v>50.35</v>
      </c>
      <c r="K530">
        <v>0.06</v>
      </c>
      <c r="L530">
        <v>1.04</v>
      </c>
      <c r="M530" t="s">
        <v>3057</v>
      </c>
      <c r="N530">
        <v>55.27</v>
      </c>
      <c r="O530" t="s">
        <v>392</v>
      </c>
      <c r="P530">
        <v>51.58</v>
      </c>
      <c r="Q530">
        <v>49</v>
      </c>
      <c r="R530">
        <v>49.2</v>
      </c>
      <c r="S530">
        <v>48.78</v>
      </c>
      <c r="T530">
        <v>5.29</v>
      </c>
      <c r="U530">
        <v>0.78</v>
      </c>
      <c r="V530">
        <v>-18.850000000000001</v>
      </c>
      <c r="W530">
        <v>-46</v>
      </c>
      <c r="X530">
        <v>50.6</v>
      </c>
      <c r="Y530">
        <v>5892</v>
      </c>
      <c r="Z530">
        <v>8269</v>
      </c>
      <c r="AA530">
        <v>0.71</v>
      </c>
      <c r="AB530">
        <v>3</v>
      </c>
      <c r="AC530">
        <v>92</v>
      </c>
      <c r="AD530">
        <v>14.98</v>
      </c>
      <c r="AE530" t="s">
        <v>1893</v>
      </c>
      <c r="AF530" t="s">
        <v>470</v>
      </c>
      <c r="AG530" t="s">
        <v>3058</v>
      </c>
      <c r="AH530" t="s">
        <v>3059</v>
      </c>
      <c r="AI530">
        <v>2.86</v>
      </c>
      <c r="AJ530">
        <v>6.92</v>
      </c>
      <c r="AK530">
        <v>4.68</v>
      </c>
      <c r="AL530">
        <v>7.72</v>
      </c>
    </row>
    <row r="531" spans="1:38" x14ac:dyDescent="0.25">
      <c r="A531">
        <v>530</v>
      </c>
      <c r="B531" t="str">
        <f xml:space="preserve"> "601689"</f>
        <v>601689</v>
      </c>
      <c r="C531" t="s">
        <v>3060</v>
      </c>
      <c r="D531">
        <v>29.01</v>
      </c>
      <c r="E531">
        <v>-1.63</v>
      </c>
      <c r="F531">
        <v>-0.48</v>
      </c>
      <c r="G531" t="s">
        <v>1525</v>
      </c>
      <c r="H531">
        <v>112</v>
      </c>
      <c r="I531">
        <v>28.99</v>
      </c>
      <c r="J531">
        <v>29</v>
      </c>
      <c r="K531">
        <v>-0.31</v>
      </c>
      <c r="L531">
        <v>1.85</v>
      </c>
      <c r="M531" t="s">
        <v>3061</v>
      </c>
      <c r="N531">
        <v>27.27</v>
      </c>
      <c r="O531" t="s">
        <v>169</v>
      </c>
      <c r="P531">
        <v>29.58</v>
      </c>
      <c r="Q531">
        <v>28.97</v>
      </c>
      <c r="R531">
        <v>29.51</v>
      </c>
      <c r="S531">
        <v>29.49</v>
      </c>
      <c r="T531">
        <v>2.0699999999999998</v>
      </c>
      <c r="U531">
        <v>1.21</v>
      </c>
      <c r="V531">
        <v>-0.32</v>
      </c>
      <c r="W531">
        <v>-4</v>
      </c>
      <c r="X531">
        <v>29.11</v>
      </c>
      <c r="Y531" t="s">
        <v>3062</v>
      </c>
      <c r="Z531" t="s">
        <v>316</v>
      </c>
      <c r="AA531">
        <v>1.7</v>
      </c>
      <c r="AB531">
        <v>91</v>
      </c>
      <c r="AC531">
        <v>388</v>
      </c>
      <c r="AD531">
        <v>3.45</v>
      </c>
      <c r="AE531" t="s">
        <v>3063</v>
      </c>
      <c r="AF531" t="s">
        <v>2687</v>
      </c>
      <c r="AG531" t="s">
        <v>1228</v>
      </c>
      <c r="AH531" t="s">
        <v>722</v>
      </c>
      <c r="AI531">
        <v>-2.3199999999999998</v>
      </c>
      <c r="AJ531">
        <v>2.87</v>
      </c>
      <c r="AK531">
        <v>4.1900000000000004</v>
      </c>
      <c r="AL531">
        <v>9.52</v>
      </c>
    </row>
    <row r="532" spans="1:38" x14ac:dyDescent="0.25">
      <c r="A532">
        <v>531</v>
      </c>
      <c r="B532" t="str">
        <f xml:space="preserve"> "601168"</f>
        <v>601168</v>
      </c>
      <c r="C532" t="s">
        <v>3064</v>
      </c>
      <c r="D532">
        <v>8.84</v>
      </c>
      <c r="E532">
        <v>0.68</v>
      </c>
      <c r="F532">
        <v>0.06</v>
      </c>
      <c r="G532" t="s">
        <v>3065</v>
      </c>
      <c r="H532">
        <v>12</v>
      </c>
      <c r="I532">
        <v>8.83</v>
      </c>
      <c r="J532">
        <v>8.84</v>
      </c>
      <c r="K532">
        <v>0.11</v>
      </c>
      <c r="L532">
        <v>1.46</v>
      </c>
      <c r="M532" t="s">
        <v>1569</v>
      </c>
      <c r="N532">
        <v>40.5</v>
      </c>
      <c r="O532" t="s">
        <v>449</v>
      </c>
      <c r="P532">
        <v>8.91</v>
      </c>
      <c r="Q532">
        <v>8.6999999999999993</v>
      </c>
      <c r="R532">
        <v>8.75</v>
      </c>
      <c r="S532">
        <v>8.7799999999999994</v>
      </c>
      <c r="T532">
        <v>2.39</v>
      </c>
      <c r="U532">
        <v>0.76</v>
      </c>
      <c r="V532">
        <v>-35.869999999999997</v>
      </c>
      <c r="W532">
        <v>-9376</v>
      </c>
      <c r="X532">
        <v>8.83</v>
      </c>
      <c r="Y532" t="s">
        <v>245</v>
      </c>
      <c r="Z532" t="s">
        <v>1390</v>
      </c>
      <c r="AA532">
        <v>1.02</v>
      </c>
      <c r="AB532">
        <v>1733</v>
      </c>
      <c r="AC532">
        <v>1121</v>
      </c>
      <c r="AD532">
        <v>1.81</v>
      </c>
      <c r="AE532" t="s">
        <v>2395</v>
      </c>
      <c r="AF532" t="s">
        <v>2687</v>
      </c>
      <c r="AG532" t="s">
        <v>2395</v>
      </c>
      <c r="AH532" t="s">
        <v>2687</v>
      </c>
      <c r="AI532">
        <v>-3.39</v>
      </c>
      <c r="AJ532">
        <v>-2.54</v>
      </c>
      <c r="AK532">
        <v>6.1</v>
      </c>
      <c r="AL532">
        <v>11.04</v>
      </c>
    </row>
    <row r="533" spans="1:38" x14ac:dyDescent="0.25">
      <c r="A533">
        <v>532</v>
      </c>
      <c r="B533" t="str">
        <f xml:space="preserve"> "300618"</f>
        <v>300618</v>
      </c>
      <c r="C533" t="s">
        <v>3066</v>
      </c>
      <c r="D533">
        <v>174.86</v>
      </c>
      <c r="E533">
        <v>-0.02</v>
      </c>
      <c r="F533">
        <v>-0.04</v>
      </c>
      <c r="G533" t="s">
        <v>2252</v>
      </c>
      <c r="H533">
        <v>350</v>
      </c>
      <c r="I533">
        <v>174.86</v>
      </c>
      <c r="J533">
        <v>174.88</v>
      </c>
      <c r="K533">
        <v>-7.0000000000000007E-2</v>
      </c>
      <c r="L533">
        <v>6</v>
      </c>
      <c r="M533" t="s">
        <v>972</v>
      </c>
      <c r="N533">
        <v>77.180000000000007</v>
      </c>
      <c r="O533" t="s">
        <v>449</v>
      </c>
      <c r="P533">
        <v>179</v>
      </c>
      <c r="Q533">
        <v>173.01</v>
      </c>
      <c r="R533">
        <v>174.9</v>
      </c>
      <c r="S533">
        <v>174.9</v>
      </c>
      <c r="T533">
        <v>3.42</v>
      </c>
      <c r="U533">
        <v>0.64</v>
      </c>
      <c r="V533">
        <v>-9.89</v>
      </c>
      <c r="W533">
        <v>-27</v>
      </c>
      <c r="X533">
        <v>176.23</v>
      </c>
      <c r="Y533">
        <v>8980</v>
      </c>
      <c r="Z533">
        <v>9033</v>
      </c>
      <c r="AA533">
        <v>0.99</v>
      </c>
      <c r="AB533">
        <v>83</v>
      </c>
      <c r="AC533">
        <v>23</v>
      </c>
      <c r="AD533">
        <v>25.35</v>
      </c>
      <c r="AE533" t="s">
        <v>918</v>
      </c>
      <c r="AF533" t="s">
        <v>1563</v>
      </c>
      <c r="AG533" t="s">
        <v>3067</v>
      </c>
      <c r="AH533" t="s">
        <v>2454</v>
      </c>
      <c r="AI533">
        <v>-6.73</v>
      </c>
      <c r="AJ533">
        <v>-10.01</v>
      </c>
      <c r="AK533">
        <v>26.85</v>
      </c>
      <c r="AL533">
        <v>53.16</v>
      </c>
    </row>
    <row r="534" spans="1:38" x14ac:dyDescent="0.25">
      <c r="A534">
        <v>533</v>
      </c>
      <c r="B534" t="str">
        <f xml:space="preserve"> "600426"</f>
        <v>600426</v>
      </c>
      <c r="C534" t="s">
        <v>3068</v>
      </c>
      <c r="D534">
        <v>12.94</v>
      </c>
      <c r="E534">
        <v>-0.61</v>
      </c>
      <c r="F534">
        <v>-0.08</v>
      </c>
      <c r="G534" t="s">
        <v>148</v>
      </c>
      <c r="H534">
        <v>28</v>
      </c>
      <c r="I534">
        <v>12.94</v>
      </c>
      <c r="J534">
        <v>12.95</v>
      </c>
      <c r="K534">
        <v>-0.08</v>
      </c>
      <c r="L534">
        <v>0.78</v>
      </c>
      <c r="M534" t="s">
        <v>2339</v>
      </c>
      <c r="N534">
        <v>19.22</v>
      </c>
      <c r="O534" t="s">
        <v>1936</v>
      </c>
      <c r="P534">
        <v>13.12</v>
      </c>
      <c r="Q534">
        <v>12.81</v>
      </c>
      <c r="R534">
        <v>12.94</v>
      </c>
      <c r="S534">
        <v>13.02</v>
      </c>
      <c r="T534">
        <v>2.38</v>
      </c>
      <c r="U534">
        <v>0.45</v>
      </c>
      <c r="V534">
        <v>-35.96</v>
      </c>
      <c r="W534">
        <v>-1687</v>
      </c>
      <c r="X534">
        <v>12.91</v>
      </c>
      <c r="Y534" t="s">
        <v>3069</v>
      </c>
      <c r="Z534" t="s">
        <v>3070</v>
      </c>
      <c r="AA534">
        <v>1.7</v>
      </c>
      <c r="AB534">
        <v>30</v>
      </c>
      <c r="AC534">
        <v>800</v>
      </c>
      <c r="AD534">
        <v>2.44</v>
      </c>
      <c r="AE534" t="s">
        <v>2648</v>
      </c>
      <c r="AF534" t="s">
        <v>1563</v>
      </c>
      <c r="AG534" t="s">
        <v>3071</v>
      </c>
      <c r="AH534" t="s">
        <v>2102</v>
      </c>
      <c r="AI534">
        <v>5.03</v>
      </c>
      <c r="AJ534">
        <v>0.54</v>
      </c>
      <c r="AK534">
        <v>4.09</v>
      </c>
      <c r="AL534">
        <v>9.5</v>
      </c>
    </row>
    <row r="535" spans="1:38" x14ac:dyDescent="0.25">
      <c r="A535">
        <v>534</v>
      </c>
      <c r="B535" t="str">
        <f xml:space="preserve"> "601233"</f>
        <v>601233</v>
      </c>
      <c r="C535" t="s">
        <v>3072</v>
      </c>
      <c r="D535">
        <v>17</v>
      </c>
      <c r="E535">
        <v>-1.05</v>
      </c>
      <c r="F535">
        <v>-0.18</v>
      </c>
      <c r="G535" t="s">
        <v>3073</v>
      </c>
      <c r="H535">
        <v>71</v>
      </c>
      <c r="I535">
        <v>16.989999999999998</v>
      </c>
      <c r="J535">
        <v>17</v>
      </c>
      <c r="K535">
        <v>0</v>
      </c>
      <c r="L535">
        <v>0.99</v>
      </c>
      <c r="M535" t="s">
        <v>1075</v>
      </c>
      <c r="N535">
        <v>16.88</v>
      </c>
      <c r="O535" t="s">
        <v>1798</v>
      </c>
      <c r="P535">
        <v>17.3</v>
      </c>
      <c r="Q535">
        <v>16.829999999999998</v>
      </c>
      <c r="R535">
        <v>17.2</v>
      </c>
      <c r="S535">
        <v>17.18</v>
      </c>
      <c r="T535">
        <v>2.74</v>
      </c>
      <c r="U535">
        <v>0.64</v>
      </c>
      <c r="V535">
        <v>39.83</v>
      </c>
      <c r="W535">
        <v>1764</v>
      </c>
      <c r="X535">
        <v>17.02</v>
      </c>
      <c r="Y535" t="s">
        <v>3074</v>
      </c>
      <c r="Z535" t="s">
        <v>1198</v>
      </c>
      <c r="AA535">
        <v>1.54</v>
      </c>
      <c r="AB535">
        <v>138</v>
      </c>
      <c r="AC535">
        <v>724</v>
      </c>
      <c r="AD535">
        <v>1.86</v>
      </c>
      <c r="AE535" t="s">
        <v>2659</v>
      </c>
      <c r="AF535" t="s">
        <v>2102</v>
      </c>
      <c r="AG535" t="s">
        <v>2071</v>
      </c>
      <c r="AH535" t="s">
        <v>3075</v>
      </c>
      <c r="AI535">
        <v>-1.1599999999999999</v>
      </c>
      <c r="AJ535">
        <v>1.92</v>
      </c>
      <c r="AK535">
        <v>3.57</v>
      </c>
      <c r="AL535">
        <v>8.69</v>
      </c>
    </row>
    <row r="536" spans="1:38" x14ac:dyDescent="0.25">
      <c r="A536">
        <v>535</v>
      </c>
      <c r="B536" t="str">
        <f xml:space="preserve"> "002503"</f>
        <v>002503</v>
      </c>
      <c r="C536" t="s">
        <v>3076</v>
      </c>
      <c r="D536">
        <v>6.69</v>
      </c>
      <c r="E536">
        <v>-0.15</v>
      </c>
      <c r="F536">
        <v>-0.01</v>
      </c>
      <c r="G536" t="s">
        <v>3077</v>
      </c>
      <c r="H536">
        <v>204</v>
      </c>
      <c r="I536">
        <v>6.68</v>
      </c>
      <c r="J536">
        <v>6.69</v>
      </c>
      <c r="K536">
        <v>0.15</v>
      </c>
      <c r="L536">
        <v>0.22</v>
      </c>
      <c r="M536" t="s">
        <v>3078</v>
      </c>
      <c r="N536">
        <v>28.94</v>
      </c>
      <c r="O536" t="s">
        <v>1443</v>
      </c>
      <c r="P536">
        <v>6.74</v>
      </c>
      <c r="Q536">
        <v>6.65</v>
      </c>
      <c r="R536">
        <v>6.7</v>
      </c>
      <c r="S536">
        <v>6.7</v>
      </c>
      <c r="T536">
        <v>1.34</v>
      </c>
      <c r="U536">
        <v>0.84</v>
      </c>
      <c r="V536">
        <v>-33.33</v>
      </c>
      <c r="W536">
        <v>-2875</v>
      </c>
      <c r="X536">
        <v>6.69</v>
      </c>
      <c r="Y536" t="s">
        <v>1705</v>
      </c>
      <c r="Z536">
        <v>8387</v>
      </c>
      <c r="AA536">
        <v>3.23</v>
      </c>
      <c r="AB536">
        <v>722</v>
      </c>
      <c r="AC536">
        <v>917</v>
      </c>
      <c r="AD536">
        <v>3.84</v>
      </c>
      <c r="AE536" t="s">
        <v>364</v>
      </c>
      <c r="AF536" t="s">
        <v>2102</v>
      </c>
      <c r="AG536" t="s">
        <v>1464</v>
      </c>
      <c r="AH536" t="s">
        <v>2006</v>
      </c>
      <c r="AI536">
        <v>-0.45</v>
      </c>
      <c r="AJ536">
        <v>1.06</v>
      </c>
      <c r="AK536">
        <v>0.83</v>
      </c>
      <c r="AL536">
        <v>1.52</v>
      </c>
    </row>
    <row r="537" spans="1:38" x14ac:dyDescent="0.25">
      <c r="A537">
        <v>536</v>
      </c>
      <c r="B537" t="str">
        <f xml:space="preserve"> "002049"</f>
        <v>002049</v>
      </c>
      <c r="C537" t="s">
        <v>3079</v>
      </c>
      <c r="D537">
        <v>34.369999999999997</v>
      </c>
      <c r="E537">
        <v>-0.23</v>
      </c>
      <c r="F537">
        <v>-0.08</v>
      </c>
      <c r="G537" t="s">
        <v>2505</v>
      </c>
      <c r="H537">
        <v>1646</v>
      </c>
      <c r="I537">
        <v>34.369999999999997</v>
      </c>
      <c r="J537">
        <v>34.380000000000003</v>
      </c>
      <c r="K537">
        <v>-0.03</v>
      </c>
      <c r="L537">
        <v>2</v>
      </c>
      <c r="M537" t="s">
        <v>3080</v>
      </c>
      <c r="N537">
        <v>84.45</v>
      </c>
      <c r="O537" t="s">
        <v>380</v>
      </c>
      <c r="P537">
        <v>34.83</v>
      </c>
      <c r="Q537">
        <v>33.82</v>
      </c>
      <c r="R537">
        <v>34.43</v>
      </c>
      <c r="S537">
        <v>34.450000000000003</v>
      </c>
      <c r="T537">
        <v>2.93</v>
      </c>
      <c r="U537">
        <v>0.39</v>
      </c>
      <c r="V537">
        <v>-20.54</v>
      </c>
      <c r="W537">
        <v>-244</v>
      </c>
      <c r="X537">
        <v>34.340000000000003</v>
      </c>
      <c r="Y537" t="s">
        <v>318</v>
      </c>
      <c r="Z537" t="s">
        <v>345</v>
      </c>
      <c r="AA537">
        <v>1.1200000000000001</v>
      </c>
      <c r="AB537">
        <v>188</v>
      </c>
      <c r="AC537">
        <v>22</v>
      </c>
      <c r="AD537">
        <v>6.34</v>
      </c>
      <c r="AE537" t="s">
        <v>3081</v>
      </c>
      <c r="AF537" t="s">
        <v>2102</v>
      </c>
      <c r="AG537" t="s">
        <v>1951</v>
      </c>
      <c r="AH537" t="s">
        <v>692</v>
      </c>
      <c r="AI537">
        <v>-6.78</v>
      </c>
      <c r="AJ537">
        <v>-4.5</v>
      </c>
      <c r="AK537">
        <v>10.36</v>
      </c>
      <c r="AL537">
        <v>27.89</v>
      </c>
    </row>
    <row r="538" spans="1:38" x14ac:dyDescent="0.25">
      <c r="A538">
        <v>537</v>
      </c>
      <c r="B538" t="str">
        <f xml:space="preserve"> "600166"</f>
        <v>600166</v>
      </c>
      <c r="C538" t="s">
        <v>3082</v>
      </c>
      <c r="D538">
        <v>3.12</v>
      </c>
      <c r="E538">
        <v>-0.64</v>
      </c>
      <c r="F538">
        <v>-0.02</v>
      </c>
      <c r="G538" t="s">
        <v>3083</v>
      </c>
      <c r="H538">
        <v>101</v>
      </c>
      <c r="I538">
        <v>3.11</v>
      </c>
      <c r="J538">
        <v>3.12</v>
      </c>
      <c r="K538">
        <v>0</v>
      </c>
      <c r="L538">
        <v>0.92</v>
      </c>
      <c r="M538" t="s">
        <v>3084</v>
      </c>
      <c r="N538">
        <v>102.39</v>
      </c>
      <c r="O538" t="s">
        <v>169</v>
      </c>
      <c r="P538">
        <v>3.13</v>
      </c>
      <c r="Q538">
        <v>3.1</v>
      </c>
      <c r="R538">
        <v>3.13</v>
      </c>
      <c r="S538">
        <v>3.14</v>
      </c>
      <c r="T538">
        <v>0.96</v>
      </c>
      <c r="U538">
        <v>0.39</v>
      </c>
      <c r="V538">
        <v>14.07</v>
      </c>
      <c r="W538" t="s">
        <v>2966</v>
      </c>
      <c r="X538">
        <v>3.12</v>
      </c>
      <c r="Y538" t="s">
        <v>266</v>
      </c>
      <c r="Z538" t="s">
        <v>3085</v>
      </c>
      <c r="AA538">
        <v>1.54</v>
      </c>
      <c r="AB538" t="s">
        <v>3086</v>
      </c>
      <c r="AC538">
        <v>4220</v>
      </c>
      <c r="AD538">
        <v>1.1000000000000001</v>
      </c>
      <c r="AE538" t="s">
        <v>1311</v>
      </c>
      <c r="AF538" t="s">
        <v>108</v>
      </c>
      <c r="AG538" t="s">
        <v>1311</v>
      </c>
      <c r="AH538" t="s">
        <v>108</v>
      </c>
      <c r="AI538">
        <v>-2.8</v>
      </c>
      <c r="AJ538">
        <v>1.3</v>
      </c>
      <c r="AK538">
        <v>4.24</v>
      </c>
      <c r="AL538">
        <v>12.85</v>
      </c>
    </row>
    <row r="539" spans="1:38" x14ac:dyDescent="0.25">
      <c r="A539">
        <v>538</v>
      </c>
      <c r="B539" t="str">
        <f xml:space="preserve"> "600643"</f>
        <v>600643</v>
      </c>
      <c r="C539" t="s">
        <v>3087</v>
      </c>
      <c r="D539">
        <v>14.42</v>
      </c>
      <c r="E539">
        <v>-1.5</v>
      </c>
      <c r="F539">
        <v>-0.22</v>
      </c>
      <c r="G539" t="s">
        <v>1583</v>
      </c>
      <c r="H539">
        <v>38</v>
      </c>
      <c r="I539">
        <v>14.41</v>
      </c>
      <c r="J539">
        <v>14.42</v>
      </c>
      <c r="K539">
        <v>-0.21</v>
      </c>
      <c r="L539">
        <v>1.01</v>
      </c>
      <c r="M539" t="s">
        <v>2519</v>
      </c>
      <c r="N539">
        <v>28.82</v>
      </c>
      <c r="O539" t="s">
        <v>482</v>
      </c>
      <c r="P539">
        <v>14.76</v>
      </c>
      <c r="Q539">
        <v>14.28</v>
      </c>
      <c r="R539">
        <v>14.5</v>
      </c>
      <c r="S539">
        <v>14.64</v>
      </c>
      <c r="T539">
        <v>3.28</v>
      </c>
      <c r="U539">
        <v>1.07</v>
      </c>
      <c r="V539">
        <v>-15.17</v>
      </c>
      <c r="W539">
        <v>-507</v>
      </c>
      <c r="X539">
        <v>14.43</v>
      </c>
      <c r="Y539" t="s">
        <v>2344</v>
      </c>
      <c r="Z539" t="s">
        <v>2643</v>
      </c>
      <c r="AA539">
        <v>1.54</v>
      </c>
      <c r="AB539">
        <v>11</v>
      </c>
      <c r="AC539">
        <v>32</v>
      </c>
      <c r="AD539">
        <v>3.14</v>
      </c>
      <c r="AE539" t="s">
        <v>2100</v>
      </c>
      <c r="AF539" t="s">
        <v>692</v>
      </c>
      <c r="AG539" t="s">
        <v>2246</v>
      </c>
      <c r="AH539" t="s">
        <v>692</v>
      </c>
      <c r="AI539">
        <v>-0.21</v>
      </c>
      <c r="AJ539">
        <v>4.1900000000000004</v>
      </c>
      <c r="AK539">
        <v>3.27</v>
      </c>
      <c r="AL539">
        <v>5.74</v>
      </c>
    </row>
    <row r="540" spans="1:38" x14ac:dyDescent="0.25">
      <c r="A540">
        <v>539</v>
      </c>
      <c r="B540" t="str">
        <f xml:space="preserve"> "600037"</f>
        <v>600037</v>
      </c>
      <c r="C540" t="s">
        <v>3088</v>
      </c>
      <c r="D540">
        <v>14.86</v>
      </c>
      <c r="E540">
        <v>0.2</v>
      </c>
      <c r="F540">
        <v>0.03</v>
      </c>
      <c r="G540" t="s">
        <v>1494</v>
      </c>
      <c r="H540">
        <v>25</v>
      </c>
      <c r="I540">
        <v>14.84</v>
      </c>
      <c r="J540">
        <v>14.85</v>
      </c>
      <c r="K540">
        <v>0.41</v>
      </c>
      <c r="L540">
        <v>0.37</v>
      </c>
      <c r="M540" t="s">
        <v>3089</v>
      </c>
      <c r="N540">
        <v>27.3</v>
      </c>
      <c r="O540" t="s">
        <v>1126</v>
      </c>
      <c r="P540">
        <v>14.9</v>
      </c>
      <c r="Q540">
        <v>14.74</v>
      </c>
      <c r="R540">
        <v>14.9</v>
      </c>
      <c r="S540">
        <v>14.83</v>
      </c>
      <c r="T540">
        <v>1.08</v>
      </c>
      <c r="U540">
        <v>0.85</v>
      </c>
      <c r="V540">
        <v>-45.26</v>
      </c>
      <c r="W540">
        <v>-1291</v>
      </c>
      <c r="X540">
        <v>14.8</v>
      </c>
      <c r="Y540" t="s">
        <v>3090</v>
      </c>
      <c r="Z540" t="s">
        <v>658</v>
      </c>
      <c r="AA540">
        <v>1.21</v>
      </c>
      <c r="AB540">
        <v>10</v>
      </c>
      <c r="AC540">
        <v>57</v>
      </c>
      <c r="AD540">
        <v>1.64</v>
      </c>
      <c r="AE540" t="s">
        <v>895</v>
      </c>
      <c r="AF540" t="s">
        <v>692</v>
      </c>
      <c r="AG540" t="s">
        <v>1132</v>
      </c>
      <c r="AH540" t="s">
        <v>2736</v>
      </c>
      <c r="AI540">
        <v>-0.93</v>
      </c>
      <c r="AJ540">
        <v>0.13</v>
      </c>
      <c r="AK540">
        <v>1.32</v>
      </c>
      <c r="AL540">
        <v>2.5499999999999998</v>
      </c>
    </row>
    <row r="541" spans="1:38" x14ac:dyDescent="0.25">
      <c r="A541">
        <v>540</v>
      </c>
      <c r="B541" t="str">
        <f xml:space="preserve"> "603077"</f>
        <v>603077</v>
      </c>
      <c r="C541" t="s">
        <v>3091</v>
      </c>
      <c r="D541">
        <v>2.34</v>
      </c>
      <c r="E541">
        <v>0</v>
      </c>
      <c r="F541">
        <v>0</v>
      </c>
      <c r="G541" t="s">
        <v>3092</v>
      </c>
      <c r="H541">
        <v>4</v>
      </c>
      <c r="I541">
        <v>2.33</v>
      </c>
      <c r="J541">
        <v>2.34</v>
      </c>
      <c r="K541">
        <v>0</v>
      </c>
      <c r="L541">
        <v>0.41</v>
      </c>
      <c r="M541" t="s">
        <v>3093</v>
      </c>
      <c r="N541">
        <v>40.369999999999997</v>
      </c>
      <c r="O541" t="s">
        <v>667</v>
      </c>
      <c r="P541">
        <v>2.34</v>
      </c>
      <c r="Q541">
        <v>2.31</v>
      </c>
      <c r="R541">
        <v>2.34</v>
      </c>
      <c r="S541">
        <v>2.34</v>
      </c>
      <c r="T541">
        <v>1.28</v>
      </c>
      <c r="U541">
        <v>0.82</v>
      </c>
      <c r="V541">
        <v>11.76</v>
      </c>
      <c r="W541" t="s">
        <v>2373</v>
      </c>
      <c r="X541">
        <v>2.3199999999999998</v>
      </c>
      <c r="Y541" t="s">
        <v>3094</v>
      </c>
      <c r="Z541" t="s">
        <v>1583</v>
      </c>
      <c r="AA541">
        <v>1.49</v>
      </c>
      <c r="AB541" t="s">
        <v>3095</v>
      </c>
      <c r="AC541" t="s">
        <v>2193</v>
      </c>
      <c r="AD541">
        <v>1.95</v>
      </c>
      <c r="AE541" t="s">
        <v>3096</v>
      </c>
      <c r="AF541" t="s">
        <v>692</v>
      </c>
      <c r="AG541" t="s">
        <v>3096</v>
      </c>
      <c r="AH541" t="s">
        <v>692</v>
      </c>
      <c r="AI541">
        <v>0.43</v>
      </c>
      <c r="AJ541">
        <v>2.63</v>
      </c>
      <c r="AK541">
        <v>1.63</v>
      </c>
      <c r="AL541">
        <v>2.9</v>
      </c>
    </row>
    <row r="542" spans="1:38" x14ac:dyDescent="0.25">
      <c r="A542">
        <v>541</v>
      </c>
      <c r="B542" t="str">
        <f xml:space="preserve"> "002128"</f>
        <v>002128</v>
      </c>
      <c r="C542" t="s">
        <v>3097</v>
      </c>
      <c r="D542">
        <v>12.63</v>
      </c>
      <c r="E542">
        <v>0.48</v>
      </c>
      <c r="F542">
        <v>0.06</v>
      </c>
      <c r="G542" t="s">
        <v>759</v>
      </c>
      <c r="H542">
        <v>1290</v>
      </c>
      <c r="I542">
        <v>12.62</v>
      </c>
      <c r="J542">
        <v>12.63</v>
      </c>
      <c r="K542">
        <v>0</v>
      </c>
      <c r="L542">
        <v>0.92</v>
      </c>
      <c r="M542" t="s">
        <v>2267</v>
      </c>
      <c r="N542">
        <v>9.82</v>
      </c>
      <c r="O542" t="s">
        <v>150</v>
      </c>
      <c r="P542">
        <v>12.69</v>
      </c>
      <c r="Q542">
        <v>12.41</v>
      </c>
      <c r="R542">
        <v>12.6</v>
      </c>
      <c r="S542">
        <v>12.57</v>
      </c>
      <c r="T542">
        <v>2.23</v>
      </c>
      <c r="U542">
        <v>0.64</v>
      </c>
      <c r="V542">
        <v>-20.16</v>
      </c>
      <c r="W542">
        <v>-1745</v>
      </c>
      <c r="X542">
        <v>12.57</v>
      </c>
      <c r="Y542" t="s">
        <v>3098</v>
      </c>
      <c r="Z542" t="s">
        <v>2947</v>
      </c>
      <c r="AA542">
        <v>0.96</v>
      </c>
      <c r="AB542">
        <v>1327</v>
      </c>
      <c r="AC542">
        <v>817</v>
      </c>
      <c r="AD542">
        <v>2.02</v>
      </c>
      <c r="AE542" t="s">
        <v>1464</v>
      </c>
      <c r="AF542" t="s">
        <v>135</v>
      </c>
      <c r="AG542" t="s">
        <v>1477</v>
      </c>
      <c r="AH542" t="s">
        <v>642</v>
      </c>
      <c r="AI542">
        <v>-3</v>
      </c>
      <c r="AJ542">
        <v>-2.92</v>
      </c>
      <c r="AK542">
        <v>4.17</v>
      </c>
      <c r="AL542">
        <v>8.18</v>
      </c>
    </row>
    <row r="543" spans="1:38" x14ac:dyDescent="0.25">
      <c r="A543">
        <v>542</v>
      </c>
      <c r="B543" t="str">
        <f xml:space="preserve"> "000793"</f>
        <v>000793</v>
      </c>
      <c r="C543" t="s">
        <v>3099</v>
      </c>
      <c r="D543">
        <v>10.31</v>
      </c>
      <c r="E543">
        <v>0.28999999999999998</v>
      </c>
      <c r="F543">
        <v>0.03</v>
      </c>
      <c r="G543" t="s">
        <v>2505</v>
      </c>
      <c r="H543">
        <v>247</v>
      </c>
      <c r="I543">
        <v>10.31</v>
      </c>
      <c r="J543">
        <v>10.32</v>
      </c>
      <c r="K543">
        <v>-0.1</v>
      </c>
      <c r="L543">
        <v>0.65</v>
      </c>
      <c r="M543" t="s">
        <v>734</v>
      </c>
      <c r="N543">
        <v>28.7</v>
      </c>
      <c r="O543" t="s">
        <v>1126</v>
      </c>
      <c r="P543">
        <v>10.35</v>
      </c>
      <c r="Q543">
        <v>10.29</v>
      </c>
      <c r="R543">
        <v>10.35</v>
      </c>
      <c r="S543">
        <v>10.28</v>
      </c>
      <c r="T543">
        <v>0.57999999999999996</v>
      </c>
      <c r="U543">
        <v>1.53</v>
      </c>
      <c r="V543">
        <v>-42.92</v>
      </c>
      <c r="W543">
        <v>-4443</v>
      </c>
      <c r="X543">
        <v>10.31</v>
      </c>
      <c r="Y543" t="s">
        <v>624</v>
      </c>
      <c r="Z543" t="s">
        <v>3100</v>
      </c>
      <c r="AA543">
        <v>0.5</v>
      </c>
      <c r="AB543">
        <v>1113</v>
      </c>
      <c r="AC543">
        <v>1460</v>
      </c>
      <c r="AD543">
        <v>2.11</v>
      </c>
      <c r="AE543" t="s">
        <v>1063</v>
      </c>
      <c r="AF543" t="s">
        <v>135</v>
      </c>
      <c r="AG543" t="s">
        <v>2856</v>
      </c>
      <c r="AH543" t="s">
        <v>2593</v>
      </c>
      <c r="AI543">
        <v>1.08</v>
      </c>
      <c r="AJ543">
        <v>2.4900000000000002</v>
      </c>
      <c r="AK543">
        <v>1.77</v>
      </c>
      <c r="AL543">
        <v>2.78</v>
      </c>
    </row>
    <row r="544" spans="1:38" x14ac:dyDescent="0.25">
      <c r="A544">
        <v>543</v>
      </c>
      <c r="B544" t="str">
        <f xml:space="preserve"> "000878"</f>
        <v>000878</v>
      </c>
      <c r="C544" t="s">
        <v>3101</v>
      </c>
      <c r="D544">
        <v>14.5</v>
      </c>
      <c r="E544">
        <v>0.49</v>
      </c>
      <c r="F544">
        <v>7.0000000000000007E-2</v>
      </c>
      <c r="G544" t="s">
        <v>307</v>
      </c>
      <c r="H544">
        <v>8681</v>
      </c>
      <c r="I544">
        <v>14.5</v>
      </c>
      <c r="J544">
        <v>14.51</v>
      </c>
      <c r="K544">
        <v>7.0000000000000007E-2</v>
      </c>
      <c r="L544">
        <v>1.9</v>
      </c>
      <c r="M544" t="s">
        <v>1057</v>
      </c>
      <c r="N544">
        <v>79.819999999999993</v>
      </c>
      <c r="O544" t="s">
        <v>449</v>
      </c>
      <c r="P544">
        <v>14.53</v>
      </c>
      <c r="Q544">
        <v>14.29</v>
      </c>
      <c r="R544">
        <v>14.47</v>
      </c>
      <c r="S544">
        <v>14.43</v>
      </c>
      <c r="T544">
        <v>1.66</v>
      </c>
      <c r="U544">
        <v>1.0900000000000001</v>
      </c>
      <c r="V544">
        <v>-48.69</v>
      </c>
      <c r="W544">
        <v>-6207</v>
      </c>
      <c r="X544">
        <v>14.44</v>
      </c>
      <c r="Y544" t="s">
        <v>778</v>
      </c>
      <c r="Z544" t="s">
        <v>236</v>
      </c>
      <c r="AA544">
        <v>0.99</v>
      </c>
      <c r="AB544">
        <v>1931</v>
      </c>
      <c r="AC544">
        <v>2231</v>
      </c>
      <c r="AD544">
        <v>3.45</v>
      </c>
      <c r="AE544" t="s">
        <v>1202</v>
      </c>
      <c r="AF544" t="s">
        <v>3075</v>
      </c>
      <c r="AG544" t="s">
        <v>1202</v>
      </c>
      <c r="AH544" t="s">
        <v>3075</v>
      </c>
      <c r="AI544">
        <v>1.47</v>
      </c>
      <c r="AJ544">
        <v>1.26</v>
      </c>
      <c r="AK544">
        <v>5.39</v>
      </c>
      <c r="AL544">
        <v>10.61</v>
      </c>
    </row>
    <row r="545" spans="1:38" x14ac:dyDescent="0.25">
      <c r="A545">
        <v>544</v>
      </c>
      <c r="B545" t="str">
        <f xml:space="preserve"> "000933"</f>
        <v>000933</v>
      </c>
      <c r="C545" t="s">
        <v>3102</v>
      </c>
      <c r="D545">
        <v>10.79</v>
      </c>
      <c r="E545">
        <v>1.22</v>
      </c>
      <c r="F545">
        <v>0.13</v>
      </c>
      <c r="G545" t="s">
        <v>1042</v>
      </c>
      <c r="H545">
        <v>9922</v>
      </c>
      <c r="I545">
        <v>10.78</v>
      </c>
      <c r="J545">
        <v>10.79</v>
      </c>
      <c r="K545">
        <v>0</v>
      </c>
      <c r="L545">
        <v>2.82</v>
      </c>
      <c r="M545" t="s">
        <v>2236</v>
      </c>
      <c r="N545">
        <v>16.760000000000002</v>
      </c>
      <c r="O545" t="s">
        <v>449</v>
      </c>
      <c r="P545">
        <v>10.9</v>
      </c>
      <c r="Q545">
        <v>10.62</v>
      </c>
      <c r="R545">
        <v>10.68</v>
      </c>
      <c r="S545">
        <v>10.66</v>
      </c>
      <c r="T545">
        <v>2.63</v>
      </c>
      <c r="U545">
        <v>0.86</v>
      </c>
      <c r="V545">
        <v>10.5</v>
      </c>
      <c r="W545">
        <v>1118</v>
      </c>
      <c r="X545">
        <v>10.75</v>
      </c>
      <c r="Y545" t="s">
        <v>3103</v>
      </c>
      <c r="Z545" t="s">
        <v>956</v>
      </c>
      <c r="AA545">
        <v>0.96</v>
      </c>
      <c r="AB545">
        <v>2563</v>
      </c>
      <c r="AC545">
        <v>27</v>
      </c>
      <c r="AD545">
        <v>3.28</v>
      </c>
      <c r="AE545" t="s">
        <v>493</v>
      </c>
      <c r="AF545" t="s">
        <v>3075</v>
      </c>
      <c r="AG545" t="s">
        <v>493</v>
      </c>
      <c r="AH545" t="s">
        <v>3075</v>
      </c>
      <c r="AI545">
        <v>-3.32</v>
      </c>
      <c r="AJ545">
        <v>-4.93</v>
      </c>
      <c r="AK545">
        <v>11.08</v>
      </c>
      <c r="AL545">
        <v>19.149999999999999</v>
      </c>
    </row>
    <row r="546" spans="1:38" x14ac:dyDescent="0.25">
      <c r="A546">
        <v>545</v>
      </c>
      <c r="B546" t="str">
        <f xml:space="preserve"> "002212"</f>
        <v>002212</v>
      </c>
      <c r="C546" t="s">
        <v>3104</v>
      </c>
      <c r="D546">
        <v>17.82</v>
      </c>
      <c r="E546">
        <v>0.68</v>
      </c>
      <c r="F546">
        <v>0.12</v>
      </c>
      <c r="G546" t="s">
        <v>1539</v>
      </c>
      <c r="H546">
        <v>429</v>
      </c>
      <c r="I546">
        <v>17.8</v>
      </c>
      <c r="J546">
        <v>17.82</v>
      </c>
      <c r="K546">
        <v>0.11</v>
      </c>
      <c r="L546">
        <v>1.68</v>
      </c>
      <c r="M546" t="s">
        <v>3105</v>
      </c>
      <c r="N546">
        <v>-872.21</v>
      </c>
      <c r="O546" t="s">
        <v>680</v>
      </c>
      <c r="P546">
        <v>18.05</v>
      </c>
      <c r="Q546">
        <v>17.690000000000001</v>
      </c>
      <c r="R546">
        <v>17.77</v>
      </c>
      <c r="S546">
        <v>17.7</v>
      </c>
      <c r="T546">
        <v>2.0299999999999998</v>
      </c>
      <c r="U546">
        <v>0.77</v>
      </c>
      <c r="V546">
        <v>-15.62</v>
      </c>
      <c r="W546">
        <v>-171</v>
      </c>
      <c r="X546">
        <v>17.78</v>
      </c>
      <c r="Y546" t="s">
        <v>2088</v>
      </c>
      <c r="Z546" t="s">
        <v>2255</v>
      </c>
      <c r="AA546">
        <v>1.45</v>
      </c>
      <c r="AB546">
        <v>135</v>
      </c>
      <c r="AC546">
        <v>113</v>
      </c>
      <c r="AD546">
        <v>2.7</v>
      </c>
      <c r="AE546" t="s">
        <v>2388</v>
      </c>
      <c r="AF546" t="s">
        <v>3106</v>
      </c>
      <c r="AG546" t="s">
        <v>281</v>
      </c>
      <c r="AH546" t="s">
        <v>3107</v>
      </c>
      <c r="AI546">
        <v>-3.15</v>
      </c>
      <c r="AJ546">
        <v>-1.49</v>
      </c>
      <c r="AK546">
        <v>7.28</v>
      </c>
      <c r="AL546">
        <v>12.57</v>
      </c>
    </row>
    <row r="547" spans="1:38" x14ac:dyDescent="0.25">
      <c r="A547">
        <v>546</v>
      </c>
      <c r="B547" t="str">
        <f xml:space="preserve"> "002292"</f>
        <v>002292</v>
      </c>
      <c r="C547" t="s">
        <v>3108</v>
      </c>
      <c r="D547">
        <v>15.61</v>
      </c>
      <c r="E547">
        <v>-1.08</v>
      </c>
      <c r="F547">
        <v>-0.17</v>
      </c>
      <c r="G547" t="s">
        <v>3109</v>
      </c>
      <c r="H547">
        <v>1847</v>
      </c>
      <c r="I547">
        <v>15.61</v>
      </c>
      <c r="J547">
        <v>15.62</v>
      </c>
      <c r="K547">
        <v>0.06</v>
      </c>
      <c r="L547">
        <v>1.18</v>
      </c>
      <c r="M547" t="s">
        <v>3110</v>
      </c>
      <c r="N547">
        <v>75.489999999999995</v>
      </c>
      <c r="O547" t="s">
        <v>1126</v>
      </c>
      <c r="P547">
        <v>15.76</v>
      </c>
      <c r="Q547">
        <v>15.48</v>
      </c>
      <c r="R547">
        <v>15.75</v>
      </c>
      <c r="S547">
        <v>15.78</v>
      </c>
      <c r="T547">
        <v>1.77</v>
      </c>
      <c r="U547">
        <v>0.61</v>
      </c>
      <c r="V547">
        <v>33.4</v>
      </c>
      <c r="W547">
        <v>1461</v>
      </c>
      <c r="X547">
        <v>15.59</v>
      </c>
      <c r="Y547" t="s">
        <v>3111</v>
      </c>
      <c r="Z547" t="s">
        <v>105</v>
      </c>
      <c r="AA547">
        <v>1.31</v>
      </c>
      <c r="AB547">
        <v>135</v>
      </c>
      <c r="AC547">
        <v>533</v>
      </c>
      <c r="AD547">
        <v>4.21</v>
      </c>
      <c r="AE547" t="s">
        <v>1510</v>
      </c>
      <c r="AF547" t="s">
        <v>3106</v>
      </c>
      <c r="AG547" t="s">
        <v>1764</v>
      </c>
      <c r="AH547" t="s">
        <v>593</v>
      </c>
      <c r="AI547">
        <v>-0.64</v>
      </c>
      <c r="AJ547">
        <v>5.69</v>
      </c>
      <c r="AK547">
        <v>6.17</v>
      </c>
      <c r="AL547">
        <v>10.93</v>
      </c>
    </row>
    <row r="548" spans="1:38" x14ac:dyDescent="0.25">
      <c r="A548">
        <v>547</v>
      </c>
      <c r="B548" t="str">
        <f xml:space="preserve"> "002665"</f>
        <v>002665</v>
      </c>
      <c r="C548" t="s">
        <v>3112</v>
      </c>
      <c r="D548">
        <v>8.0299999999999994</v>
      </c>
      <c r="E548">
        <v>0.25</v>
      </c>
      <c r="F548">
        <v>0.02</v>
      </c>
      <c r="G548" t="s">
        <v>1689</v>
      </c>
      <c r="H548">
        <v>3194</v>
      </c>
      <c r="I548">
        <v>8.02</v>
      </c>
      <c r="J548">
        <v>8.0299999999999994</v>
      </c>
      <c r="K548">
        <v>0.25</v>
      </c>
      <c r="L548">
        <v>0.64</v>
      </c>
      <c r="M548" t="s">
        <v>3113</v>
      </c>
      <c r="N548">
        <v>109.63</v>
      </c>
      <c r="O548" t="s">
        <v>648</v>
      </c>
      <c r="P548">
        <v>8.08</v>
      </c>
      <c r="Q548">
        <v>7.97</v>
      </c>
      <c r="R548">
        <v>8.01</v>
      </c>
      <c r="S548">
        <v>8.01</v>
      </c>
      <c r="T548">
        <v>1.37</v>
      </c>
      <c r="U548">
        <v>0.95</v>
      </c>
      <c r="V548">
        <v>-19.98</v>
      </c>
      <c r="W548">
        <v>-1190</v>
      </c>
      <c r="X548">
        <v>8.01</v>
      </c>
      <c r="Y548" t="s">
        <v>2276</v>
      </c>
      <c r="Z548" t="s">
        <v>2559</v>
      </c>
      <c r="AA548">
        <v>1.91</v>
      </c>
      <c r="AB548">
        <v>90</v>
      </c>
      <c r="AC548">
        <v>1395</v>
      </c>
      <c r="AD548">
        <v>2.76</v>
      </c>
      <c r="AE548" t="s">
        <v>1129</v>
      </c>
      <c r="AF548" t="s">
        <v>3106</v>
      </c>
      <c r="AG548" t="s">
        <v>2422</v>
      </c>
      <c r="AH548" t="s">
        <v>1561</v>
      </c>
      <c r="AI548">
        <v>-1.83</v>
      </c>
      <c r="AJ548">
        <v>-2.31</v>
      </c>
      <c r="AK548">
        <v>1.69</v>
      </c>
      <c r="AL548">
        <v>4</v>
      </c>
    </row>
    <row r="549" spans="1:38" x14ac:dyDescent="0.25">
      <c r="A549">
        <v>548</v>
      </c>
      <c r="B549" t="str">
        <f xml:space="preserve"> "600614"</f>
        <v>600614</v>
      </c>
      <c r="C549" t="s">
        <v>3114</v>
      </c>
      <c r="D549">
        <v>11.62</v>
      </c>
      <c r="E549">
        <v>0.87</v>
      </c>
      <c r="F549">
        <v>0.1</v>
      </c>
      <c r="G549" t="s">
        <v>2443</v>
      </c>
      <c r="H549">
        <v>80</v>
      </c>
      <c r="I549">
        <v>11.61</v>
      </c>
      <c r="J549">
        <v>11.63</v>
      </c>
      <c r="K549">
        <v>0.26</v>
      </c>
      <c r="L549">
        <v>0.37</v>
      </c>
      <c r="M549" t="s">
        <v>3115</v>
      </c>
      <c r="N549">
        <v>49.54</v>
      </c>
      <c r="O549" t="s">
        <v>449</v>
      </c>
      <c r="P549">
        <v>11.68</v>
      </c>
      <c r="Q549">
        <v>11.45</v>
      </c>
      <c r="R549">
        <v>11.45</v>
      </c>
      <c r="S549">
        <v>11.52</v>
      </c>
      <c r="T549">
        <v>2</v>
      </c>
      <c r="U549">
        <v>0.41</v>
      </c>
      <c r="V549">
        <v>-4.51</v>
      </c>
      <c r="W549">
        <v>-185</v>
      </c>
      <c r="X549">
        <v>11.63</v>
      </c>
      <c r="Y549" t="s">
        <v>1986</v>
      </c>
      <c r="Z549" t="s">
        <v>1650</v>
      </c>
      <c r="AA549">
        <v>0.85</v>
      </c>
      <c r="AB549">
        <v>5</v>
      </c>
      <c r="AC549">
        <v>10</v>
      </c>
      <c r="AD549">
        <v>4.25</v>
      </c>
      <c r="AE549" t="s">
        <v>2314</v>
      </c>
      <c r="AF549" t="s">
        <v>3106</v>
      </c>
      <c r="AG549" t="s">
        <v>896</v>
      </c>
      <c r="AH549" t="s">
        <v>3116</v>
      </c>
      <c r="AI549">
        <v>-2.6</v>
      </c>
      <c r="AJ549">
        <v>-2.6</v>
      </c>
      <c r="AK549">
        <v>2.44</v>
      </c>
      <c r="AL549">
        <v>4.88</v>
      </c>
    </row>
    <row r="550" spans="1:38" x14ac:dyDescent="0.25">
      <c r="A550">
        <v>549</v>
      </c>
      <c r="B550" t="str">
        <f xml:space="preserve"> "601127"</f>
        <v>601127</v>
      </c>
      <c r="C550" t="s">
        <v>3117</v>
      </c>
      <c r="D550">
        <v>22.4</v>
      </c>
      <c r="E550">
        <v>0.45</v>
      </c>
      <c r="F550">
        <v>0.1</v>
      </c>
      <c r="G550" t="s">
        <v>1908</v>
      </c>
      <c r="H550">
        <v>8</v>
      </c>
      <c r="I550">
        <v>22.39</v>
      </c>
      <c r="J550">
        <v>22.4</v>
      </c>
      <c r="K550">
        <v>-0.04</v>
      </c>
      <c r="L550">
        <v>1.78</v>
      </c>
      <c r="M550" t="s">
        <v>3118</v>
      </c>
      <c r="N550">
        <v>26.08</v>
      </c>
      <c r="O550" t="s">
        <v>169</v>
      </c>
      <c r="P550">
        <v>22.6</v>
      </c>
      <c r="Q550">
        <v>22.16</v>
      </c>
      <c r="R550">
        <v>22.3</v>
      </c>
      <c r="S550">
        <v>22.3</v>
      </c>
      <c r="T550">
        <v>1.97</v>
      </c>
      <c r="U550">
        <v>0.47</v>
      </c>
      <c r="V550">
        <v>-17.420000000000002</v>
      </c>
      <c r="W550">
        <v>-182</v>
      </c>
      <c r="X550">
        <v>22.38</v>
      </c>
      <c r="Y550" t="s">
        <v>999</v>
      </c>
      <c r="Z550" t="s">
        <v>1113</v>
      </c>
      <c r="AA550">
        <v>0.81</v>
      </c>
      <c r="AB550">
        <v>16</v>
      </c>
      <c r="AC550">
        <v>215</v>
      </c>
      <c r="AD550">
        <v>4.91</v>
      </c>
      <c r="AE550" t="s">
        <v>1542</v>
      </c>
      <c r="AF550" t="s">
        <v>3106</v>
      </c>
      <c r="AG550" t="s">
        <v>3119</v>
      </c>
      <c r="AH550" t="s">
        <v>2607</v>
      </c>
      <c r="AI550">
        <v>-2.0099999999999998</v>
      </c>
      <c r="AJ550">
        <v>4.67</v>
      </c>
      <c r="AK550">
        <v>7</v>
      </c>
      <c r="AL550">
        <v>20.84</v>
      </c>
    </row>
    <row r="551" spans="1:38" x14ac:dyDescent="0.25">
      <c r="A551">
        <v>550</v>
      </c>
      <c r="B551" t="str">
        <f xml:space="preserve"> "300145"</f>
        <v>300145</v>
      </c>
      <c r="C551" t="s">
        <v>3120</v>
      </c>
      <c r="D551" t="s">
        <v>616</v>
      </c>
      <c r="E551" t="s">
        <v>616</v>
      </c>
      <c r="F551" t="s">
        <v>616</v>
      </c>
      <c r="G551" t="s">
        <v>616</v>
      </c>
      <c r="H551" t="s">
        <v>616</v>
      </c>
      <c r="I551" t="s">
        <v>616</v>
      </c>
      <c r="J551" t="s">
        <v>616</v>
      </c>
      <c r="K551" t="s">
        <v>616</v>
      </c>
      <c r="L551" t="s">
        <v>616</v>
      </c>
      <c r="M551" t="s">
        <v>616</v>
      </c>
      <c r="N551">
        <v>40.75</v>
      </c>
      <c r="O551" t="s">
        <v>648</v>
      </c>
      <c r="P551" t="s">
        <v>616</v>
      </c>
      <c r="Q551" t="s">
        <v>616</v>
      </c>
      <c r="R551" t="s">
        <v>616</v>
      </c>
      <c r="S551">
        <v>16.920000000000002</v>
      </c>
      <c r="T551" t="s">
        <v>616</v>
      </c>
      <c r="U551" t="s">
        <v>616</v>
      </c>
      <c r="V551" t="s">
        <v>616</v>
      </c>
      <c r="W551" t="s">
        <v>616</v>
      </c>
      <c r="X551" t="s">
        <v>616</v>
      </c>
      <c r="Y551" t="s">
        <v>616</v>
      </c>
      <c r="Z551" t="s">
        <v>616</v>
      </c>
      <c r="AA551" t="s">
        <v>616</v>
      </c>
      <c r="AB551" t="s">
        <v>616</v>
      </c>
      <c r="AC551" t="s">
        <v>616</v>
      </c>
      <c r="AD551">
        <v>4.76</v>
      </c>
      <c r="AE551" t="s">
        <v>177</v>
      </c>
      <c r="AF551" t="s">
        <v>3055</v>
      </c>
      <c r="AG551" t="s">
        <v>415</v>
      </c>
      <c r="AH551" t="s">
        <v>3121</v>
      </c>
      <c r="AI551">
        <v>0</v>
      </c>
      <c r="AJ551">
        <v>0</v>
      </c>
      <c r="AK551">
        <v>0</v>
      </c>
      <c r="AL551">
        <v>0</v>
      </c>
    </row>
    <row r="552" spans="1:38" x14ac:dyDescent="0.25">
      <c r="A552">
        <v>551</v>
      </c>
      <c r="B552" t="str">
        <f xml:space="preserve"> "000921"</f>
        <v>000921</v>
      </c>
      <c r="C552" t="s">
        <v>3122</v>
      </c>
      <c r="D552">
        <v>14.92</v>
      </c>
      <c r="E552">
        <v>-1.32</v>
      </c>
      <c r="F552">
        <v>-0.2</v>
      </c>
      <c r="G552" t="s">
        <v>59</v>
      </c>
      <c r="H552">
        <v>2268</v>
      </c>
      <c r="I552">
        <v>14.92</v>
      </c>
      <c r="J552">
        <v>14.93</v>
      </c>
      <c r="K552">
        <v>-7.0000000000000007E-2</v>
      </c>
      <c r="L552">
        <v>1.65</v>
      </c>
      <c r="M552" t="s">
        <v>3123</v>
      </c>
      <c r="N552">
        <v>15.13</v>
      </c>
      <c r="O552" t="s">
        <v>215</v>
      </c>
      <c r="P552">
        <v>15.26</v>
      </c>
      <c r="Q552">
        <v>14.82</v>
      </c>
      <c r="R552">
        <v>15.1</v>
      </c>
      <c r="S552">
        <v>15.12</v>
      </c>
      <c r="T552">
        <v>2.91</v>
      </c>
      <c r="U552">
        <v>0.69</v>
      </c>
      <c r="V552">
        <v>0.1</v>
      </c>
      <c r="W552">
        <v>6</v>
      </c>
      <c r="X552">
        <v>14.99</v>
      </c>
      <c r="Y552" t="s">
        <v>3124</v>
      </c>
      <c r="Z552" t="s">
        <v>2276</v>
      </c>
      <c r="AA552">
        <v>1.3</v>
      </c>
      <c r="AB552">
        <v>1973</v>
      </c>
      <c r="AC552">
        <v>346</v>
      </c>
      <c r="AD552">
        <v>4.3099999999999996</v>
      </c>
      <c r="AE552" t="s">
        <v>1434</v>
      </c>
      <c r="AF552" t="s">
        <v>3055</v>
      </c>
      <c r="AG552" t="s">
        <v>2295</v>
      </c>
      <c r="AH552" t="s">
        <v>3125</v>
      </c>
      <c r="AI552">
        <v>5.44</v>
      </c>
      <c r="AJ552">
        <v>11.59</v>
      </c>
      <c r="AK552">
        <v>8.1300000000000008</v>
      </c>
      <c r="AL552">
        <v>13.59</v>
      </c>
    </row>
    <row r="553" spans="1:38" x14ac:dyDescent="0.25">
      <c r="A553">
        <v>552</v>
      </c>
      <c r="B553" t="str">
        <f xml:space="preserve"> "600823"</f>
        <v>600823</v>
      </c>
      <c r="C553" t="s">
        <v>3126</v>
      </c>
      <c r="D553">
        <v>5.42</v>
      </c>
      <c r="E553">
        <v>0</v>
      </c>
      <c r="F553">
        <v>0</v>
      </c>
      <c r="G553" t="s">
        <v>3127</v>
      </c>
      <c r="H553">
        <v>7</v>
      </c>
      <c r="I553">
        <v>5.42</v>
      </c>
      <c r="J553">
        <v>5.43</v>
      </c>
      <c r="K553">
        <v>0.18</v>
      </c>
      <c r="L553">
        <v>0.23</v>
      </c>
      <c r="M553" t="s">
        <v>3128</v>
      </c>
      <c r="N553">
        <v>7.28</v>
      </c>
      <c r="O553" t="s">
        <v>244</v>
      </c>
      <c r="P553">
        <v>5.43</v>
      </c>
      <c r="Q553">
        <v>5.39</v>
      </c>
      <c r="R553">
        <v>5.42</v>
      </c>
      <c r="S553">
        <v>5.42</v>
      </c>
      <c r="T553">
        <v>0.74</v>
      </c>
      <c r="U553">
        <v>0.82</v>
      </c>
      <c r="V553">
        <v>22.61</v>
      </c>
      <c r="W553">
        <v>6092</v>
      </c>
      <c r="X553">
        <v>5.41</v>
      </c>
      <c r="Y553" t="s">
        <v>875</v>
      </c>
      <c r="Z553" t="s">
        <v>430</v>
      </c>
      <c r="AA553">
        <v>1.32</v>
      </c>
      <c r="AB553">
        <v>612</v>
      </c>
      <c r="AC553">
        <v>3133</v>
      </c>
      <c r="AD553">
        <v>0.97</v>
      </c>
      <c r="AE553" t="s">
        <v>1394</v>
      </c>
      <c r="AF553" t="s">
        <v>3055</v>
      </c>
      <c r="AG553" t="s">
        <v>1394</v>
      </c>
      <c r="AH553" t="s">
        <v>3055</v>
      </c>
      <c r="AI553">
        <v>-0.37</v>
      </c>
      <c r="AJ553">
        <v>1.69</v>
      </c>
      <c r="AK553">
        <v>0.71</v>
      </c>
      <c r="AL553">
        <v>1.62</v>
      </c>
    </row>
    <row r="554" spans="1:38" x14ac:dyDescent="0.25">
      <c r="A554">
        <v>553</v>
      </c>
      <c r="B554" t="str">
        <f xml:space="preserve"> "600648"</f>
        <v>600648</v>
      </c>
      <c r="C554" t="s">
        <v>3129</v>
      </c>
      <c r="D554">
        <v>17.88</v>
      </c>
      <c r="E554">
        <v>-0.28000000000000003</v>
      </c>
      <c r="F554">
        <v>-0.05</v>
      </c>
      <c r="G554" t="s">
        <v>3130</v>
      </c>
      <c r="H554">
        <v>40</v>
      </c>
      <c r="I554">
        <v>17.88</v>
      </c>
      <c r="J554">
        <v>17.89</v>
      </c>
      <c r="K554">
        <v>0</v>
      </c>
      <c r="L554">
        <v>0.18</v>
      </c>
      <c r="M554" t="s">
        <v>3131</v>
      </c>
      <c r="N554">
        <v>36.869999999999997</v>
      </c>
      <c r="O554" t="s">
        <v>244</v>
      </c>
      <c r="P554">
        <v>17.98</v>
      </c>
      <c r="Q554">
        <v>17.77</v>
      </c>
      <c r="R554">
        <v>17.97</v>
      </c>
      <c r="S554">
        <v>17.93</v>
      </c>
      <c r="T554">
        <v>1.17</v>
      </c>
      <c r="U554">
        <v>1.1299999999999999</v>
      </c>
      <c r="V554">
        <v>-14.3</v>
      </c>
      <c r="W554">
        <v>-213</v>
      </c>
      <c r="X554">
        <v>17.82</v>
      </c>
      <c r="Y554" t="s">
        <v>2284</v>
      </c>
      <c r="Z554">
        <v>6465</v>
      </c>
      <c r="AA554">
        <v>1.61</v>
      </c>
      <c r="AB554">
        <v>31</v>
      </c>
      <c r="AC554">
        <v>135</v>
      </c>
      <c r="AD554">
        <v>2.2000000000000002</v>
      </c>
      <c r="AE554" t="s">
        <v>357</v>
      </c>
      <c r="AF554" t="s">
        <v>3055</v>
      </c>
      <c r="AG554" t="s">
        <v>3132</v>
      </c>
      <c r="AH554" t="s">
        <v>3133</v>
      </c>
      <c r="AI554">
        <v>0.34</v>
      </c>
      <c r="AJ554">
        <v>1.07</v>
      </c>
      <c r="AK554">
        <v>0.55000000000000004</v>
      </c>
      <c r="AL554">
        <v>0.98</v>
      </c>
    </row>
    <row r="555" spans="1:38" x14ac:dyDescent="0.25">
      <c r="A555">
        <v>554</v>
      </c>
      <c r="B555" t="str">
        <f xml:space="preserve"> "002002"</f>
        <v>002002</v>
      </c>
      <c r="C555" t="s">
        <v>3134</v>
      </c>
      <c r="D555">
        <v>7.85</v>
      </c>
      <c r="E555">
        <v>1.1599999999999999</v>
      </c>
      <c r="F555">
        <v>0.09</v>
      </c>
      <c r="G555" t="s">
        <v>3135</v>
      </c>
      <c r="H555">
        <v>2106</v>
      </c>
      <c r="I555">
        <v>7.84</v>
      </c>
      <c r="J555">
        <v>7.85</v>
      </c>
      <c r="K555">
        <v>0</v>
      </c>
      <c r="L555">
        <v>0.43</v>
      </c>
      <c r="M555" t="s">
        <v>3136</v>
      </c>
      <c r="N555">
        <v>20.09</v>
      </c>
      <c r="O555" t="s">
        <v>667</v>
      </c>
      <c r="P555">
        <v>7.86</v>
      </c>
      <c r="Q555">
        <v>7.73</v>
      </c>
      <c r="R555">
        <v>7.76</v>
      </c>
      <c r="S555">
        <v>7.76</v>
      </c>
      <c r="T555">
        <v>1.68</v>
      </c>
      <c r="U555">
        <v>1.08</v>
      </c>
      <c r="V555">
        <v>-44.99</v>
      </c>
      <c r="W555">
        <v>-6211</v>
      </c>
      <c r="X555">
        <v>7.81</v>
      </c>
      <c r="Y555" t="s">
        <v>2714</v>
      </c>
      <c r="Z555" t="s">
        <v>2272</v>
      </c>
      <c r="AA555">
        <v>0.66</v>
      </c>
      <c r="AB555">
        <v>866</v>
      </c>
      <c r="AC555">
        <v>722</v>
      </c>
      <c r="AD555">
        <v>4.96</v>
      </c>
      <c r="AE555" t="s">
        <v>705</v>
      </c>
      <c r="AF555" t="s">
        <v>3055</v>
      </c>
      <c r="AG555" t="s">
        <v>1085</v>
      </c>
      <c r="AH555" t="s">
        <v>3137</v>
      </c>
      <c r="AI555">
        <v>-0.13</v>
      </c>
      <c r="AJ555">
        <v>1.68</v>
      </c>
      <c r="AK555">
        <v>1.2</v>
      </c>
      <c r="AL555">
        <v>2.4</v>
      </c>
    </row>
    <row r="556" spans="1:38" x14ac:dyDescent="0.25">
      <c r="A556">
        <v>555</v>
      </c>
      <c r="B556" t="str">
        <f xml:space="preserve"> "600835"</f>
        <v>600835</v>
      </c>
      <c r="C556" t="s">
        <v>3138</v>
      </c>
      <c r="D556">
        <v>19.8</v>
      </c>
      <c r="E556">
        <v>0.05</v>
      </c>
      <c r="F556">
        <v>0.01</v>
      </c>
      <c r="G556" t="s">
        <v>1986</v>
      </c>
      <c r="H556">
        <v>19</v>
      </c>
      <c r="I556">
        <v>19.79</v>
      </c>
      <c r="J556">
        <v>19.8</v>
      </c>
      <c r="K556">
        <v>0.05</v>
      </c>
      <c r="L556">
        <v>0.25</v>
      </c>
      <c r="M556" t="s">
        <v>3139</v>
      </c>
      <c r="N556">
        <v>16.05</v>
      </c>
      <c r="O556" t="s">
        <v>648</v>
      </c>
      <c r="P556">
        <v>19.82</v>
      </c>
      <c r="Q556">
        <v>19.72</v>
      </c>
      <c r="R556">
        <v>19.8</v>
      </c>
      <c r="S556">
        <v>19.79</v>
      </c>
      <c r="T556">
        <v>0.51</v>
      </c>
      <c r="U556">
        <v>0.79</v>
      </c>
      <c r="V556">
        <v>-42.42</v>
      </c>
      <c r="W556">
        <v>-710</v>
      </c>
      <c r="X556">
        <v>19.77</v>
      </c>
      <c r="Y556" t="s">
        <v>691</v>
      </c>
      <c r="Z556">
        <v>8329</v>
      </c>
      <c r="AA556">
        <v>1.42</v>
      </c>
      <c r="AB556">
        <v>54</v>
      </c>
      <c r="AC556">
        <v>342</v>
      </c>
      <c r="AD556">
        <v>2.15</v>
      </c>
      <c r="AE556" t="s">
        <v>1766</v>
      </c>
      <c r="AF556" t="s">
        <v>3055</v>
      </c>
      <c r="AG556" t="s">
        <v>3140</v>
      </c>
      <c r="AH556" t="s">
        <v>2641</v>
      </c>
      <c r="AI556">
        <v>-0.35</v>
      </c>
      <c r="AJ556">
        <v>1.02</v>
      </c>
      <c r="AK556">
        <v>0.97</v>
      </c>
      <c r="AL556">
        <v>1.84</v>
      </c>
    </row>
    <row r="557" spans="1:38" x14ac:dyDescent="0.25">
      <c r="A557">
        <v>556</v>
      </c>
      <c r="B557" t="str">
        <f xml:space="preserve"> "300376"</f>
        <v>300376</v>
      </c>
      <c r="C557" t="s">
        <v>3141</v>
      </c>
      <c r="D557" t="s">
        <v>616</v>
      </c>
      <c r="E557" t="s">
        <v>616</v>
      </c>
      <c r="F557" t="s">
        <v>616</v>
      </c>
      <c r="G557" t="s">
        <v>616</v>
      </c>
      <c r="H557" t="s">
        <v>616</v>
      </c>
      <c r="I557" t="s">
        <v>616</v>
      </c>
      <c r="J557" t="s">
        <v>616</v>
      </c>
      <c r="K557" t="s">
        <v>616</v>
      </c>
      <c r="L557" t="s">
        <v>616</v>
      </c>
      <c r="M557" t="s">
        <v>616</v>
      </c>
      <c r="N557">
        <v>31.88</v>
      </c>
      <c r="O557" t="s">
        <v>680</v>
      </c>
      <c r="P557" t="s">
        <v>616</v>
      </c>
      <c r="Q557" t="s">
        <v>616</v>
      </c>
      <c r="R557" t="s">
        <v>616</v>
      </c>
      <c r="S557">
        <v>8.69</v>
      </c>
      <c r="T557" t="s">
        <v>616</v>
      </c>
      <c r="U557" t="s">
        <v>616</v>
      </c>
      <c r="V557" t="s">
        <v>616</v>
      </c>
      <c r="W557" t="s">
        <v>616</v>
      </c>
      <c r="X557" t="s">
        <v>616</v>
      </c>
      <c r="Y557" t="s">
        <v>616</v>
      </c>
      <c r="Z557" t="s">
        <v>616</v>
      </c>
      <c r="AA557" t="s">
        <v>616</v>
      </c>
      <c r="AB557" t="s">
        <v>616</v>
      </c>
      <c r="AC557" t="s">
        <v>616</v>
      </c>
      <c r="AD557">
        <v>4.95</v>
      </c>
      <c r="AE557" t="s">
        <v>3142</v>
      </c>
      <c r="AF557" t="s">
        <v>2176</v>
      </c>
      <c r="AG557" t="s">
        <v>2070</v>
      </c>
      <c r="AH557" t="s">
        <v>3143</v>
      </c>
      <c r="AI557">
        <v>0</v>
      </c>
      <c r="AJ557">
        <v>0</v>
      </c>
      <c r="AK557">
        <v>0</v>
      </c>
      <c r="AL557">
        <v>0</v>
      </c>
    </row>
    <row r="558" spans="1:38" x14ac:dyDescent="0.25">
      <c r="A558">
        <v>557</v>
      </c>
      <c r="B558" t="str">
        <f xml:space="preserve"> "000600"</f>
        <v>000600</v>
      </c>
      <c r="C558" t="s">
        <v>3144</v>
      </c>
      <c r="D558">
        <v>11.29</v>
      </c>
      <c r="E558">
        <v>0.62</v>
      </c>
      <c r="F558">
        <v>7.0000000000000007E-2</v>
      </c>
      <c r="G558" t="s">
        <v>2470</v>
      </c>
      <c r="H558">
        <v>1893</v>
      </c>
      <c r="I558">
        <v>11.28</v>
      </c>
      <c r="J558">
        <v>11.29</v>
      </c>
      <c r="K558">
        <v>0.18</v>
      </c>
      <c r="L558">
        <v>1.53</v>
      </c>
      <c r="M558" t="s">
        <v>398</v>
      </c>
      <c r="N558">
        <v>43.18</v>
      </c>
      <c r="O558" t="s">
        <v>186</v>
      </c>
      <c r="P558">
        <v>11.36</v>
      </c>
      <c r="Q558">
        <v>11.11</v>
      </c>
      <c r="R558">
        <v>11.26</v>
      </c>
      <c r="S558">
        <v>11.22</v>
      </c>
      <c r="T558">
        <v>2.23</v>
      </c>
      <c r="U558">
        <v>1.03</v>
      </c>
      <c r="V558">
        <v>-3.56</v>
      </c>
      <c r="W558">
        <v>-171</v>
      </c>
      <c r="X558">
        <v>11.22</v>
      </c>
      <c r="Y558" t="s">
        <v>3145</v>
      </c>
      <c r="Z558" t="s">
        <v>3146</v>
      </c>
      <c r="AA558">
        <v>1</v>
      </c>
      <c r="AB558">
        <v>853</v>
      </c>
      <c r="AC558">
        <v>340</v>
      </c>
      <c r="AD558">
        <v>1.88</v>
      </c>
      <c r="AE558" t="s">
        <v>1365</v>
      </c>
      <c r="AF558" t="s">
        <v>2176</v>
      </c>
      <c r="AG558" t="s">
        <v>888</v>
      </c>
      <c r="AH558" t="s">
        <v>1741</v>
      </c>
      <c r="AI558">
        <v>-2.17</v>
      </c>
      <c r="AJ558">
        <v>0.09</v>
      </c>
      <c r="AK558">
        <v>4.3099999999999996</v>
      </c>
      <c r="AL558">
        <v>8.92</v>
      </c>
    </row>
    <row r="559" spans="1:38" x14ac:dyDescent="0.25">
      <c r="A559">
        <v>558</v>
      </c>
      <c r="B559" t="str">
        <f xml:space="preserve"> "300222"</f>
        <v>300222</v>
      </c>
      <c r="C559" t="s">
        <v>3147</v>
      </c>
      <c r="D559">
        <v>27.7</v>
      </c>
      <c r="E559">
        <v>-2.02</v>
      </c>
      <c r="F559">
        <v>-0.56999999999999995</v>
      </c>
      <c r="G559" t="s">
        <v>3148</v>
      </c>
      <c r="H559">
        <v>8824</v>
      </c>
      <c r="I559">
        <v>27.7</v>
      </c>
      <c r="J559">
        <v>27.71</v>
      </c>
      <c r="K559">
        <v>0.04</v>
      </c>
      <c r="L559">
        <v>17.059999999999999</v>
      </c>
      <c r="M559" t="s">
        <v>1147</v>
      </c>
      <c r="N559">
        <v>100.83</v>
      </c>
      <c r="O559" t="s">
        <v>680</v>
      </c>
      <c r="P559">
        <v>31.1</v>
      </c>
      <c r="Q559">
        <v>26.01</v>
      </c>
      <c r="R559">
        <v>31.1</v>
      </c>
      <c r="S559">
        <v>28.27</v>
      </c>
      <c r="T559">
        <v>18</v>
      </c>
      <c r="U559">
        <v>2.33</v>
      </c>
      <c r="V559">
        <v>75.67</v>
      </c>
      <c r="W559">
        <v>2791</v>
      </c>
      <c r="X559">
        <v>29.02</v>
      </c>
      <c r="Y559" t="s">
        <v>1170</v>
      </c>
      <c r="Z559" t="s">
        <v>1419</v>
      </c>
      <c r="AA559">
        <v>1.52</v>
      </c>
      <c r="AB559">
        <v>450</v>
      </c>
      <c r="AC559">
        <v>25</v>
      </c>
      <c r="AD559">
        <v>5.33</v>
      </c>
      <c r="AE559" t="s">
        <v>3149</v>
      </c>
      <c r="AF559" t="s">
        <v>2176</v>
      </c>
      <c r="AG559" t="s">
        <v>3150</v>
      </c>
      <c r="AH559" t="s">
        <v>3151</v>
      </c>
      <c r="AI559">
        <v>7.78</v>
      </c>
      <c r="AJ559">
        <v>7.78</v>
      </c>
      <c r="AK559">
        <v>17.43</v>
      </c>
      <c r="AL559">
        <v>17.43</v>
      </c>
    </row>
    <row r="560" spans="1:38" x14ac:dyDescent="0.25">
      <c r="A560">
        <v>559</v>
      </c>
      <c r="B560" t="str">
        <f xml:space="preserve"> "600060"</f>
        <v>600060</v>
      </c>
      <c r="C560" t="s">
        <v>3152</v>
      </c>
      <c r="D560">
        <v>15.43</v>
      </c>
      <c r="E560">
        <v>-0.06</v>
      </c>
      <c r="F560">
        <v>-0.01</v>
      </c>
      <c r="G560" t="s">
        <v>3153</v>
      </c>
      <c r="H560">
        <v>10</v>
      </c>
      <c r="I560">
        <v>15.42</v>
      </c>
      <c r="J560">
        <v>15.43</v>
      </c>
      <c r="K560">
        <v>-0.06</v>
      </c>
      <c r="L560">
        <v>0.72</v>
      </c>
      <c r="M560" t="s">
        <v>3154</v>
      </c>
      <c r="N560">
        <v>25.49</v>
      </c>
      <c r="O560" t="s">
        <v>215</v>
      </c>
      <c r="P560">
        <v>15.65</v>
      </c>
      <c r="Q560">
        <v>15.34</v>
      </c>
      <c r="R560">
        <v>15.59</v>
      </c>
      <c r="S560">
        <v>15.44</v>
      </c>
      <c r="T560">
        <v>2.0099999999999998</v>
      </c>
      <c r="U560">
        <v>0.8</v>
      </c>
      <c r="V560">
        <v>6.25</v>
      </c>
      <c r="W560">
        <v>79</v>
      </c>
      <c r="X560">
        <v>15.43</v>
      </c>
      <c r="Y560" t="s">
        <v>3155</v>
      </c>
      <c r="Z560" t="s">
        <v>2159</v>
      </c>
      <c r="AA560">
        <v>1.59</v>
      </c>
      <c r="AB560">
        <v>14</v>
      </c>
      <c r="AC560">
        <v>90</v>
      </c>
      <c r="AD560">
        <v>1.54</v>
      </c>
      <c r="AE560" t="s">
        <v>1510</v>
      </c>
      <c r="AF560" t="s">
        <v>2176</v>
      </c>
      <c r="AG560" t="s">
        <v>1510</v>
      </c>
      <c r="AH560" t="s">
        <v>2176</v>
      </c>
      <c r="AI560">
        <v>-0.19</v>
      </c>
      <c r="AJ560">
        <v>-2.09</v>
      </c>
      <c r="AK560">
        <v>2.59</v>
      </c>
      <c r="AL560">
        <v>5.2</v>
      </c>
    </row>
    <row r="561" spans="1:38" x14ac:dyDescent="0.25">
      <c r="A561">
        <v>560</v>
      </c>
      <c r="B561" t="str">
        <f xml:space="preserve"> "000040"</f>
        <v>000040</v>
      </c>
      <c r="C561" t="s">
        <v>3156</v>
      </c>
      <c r="D561">
        <v>15.08</v>
      </c>
      <c r="E561">
        <v>-0.59</v>
      </c>
      <c r="F561">
        <v>-0.09</v>
      </c>
      <c r="G561" t="s">
        <v>1307</v>
      </c>
      <c r="H561">
        <v>680</v>
      </c>
      <c r="I561">
        <v>15.08</v>
      </c>
      <c r="J561">
        <v>15.09</v>
      </c>
      <c r="K561">
        <v>-0.13</v>
      </c>
      <c r="L561">
        <v>0.37</v>
      </c>
      <c r="M561" t="s">
        <v>3157</v>
      </c>
      <c r="N561">
        <v>66.55</v>
      </c>
      <c r="O561" t="s">
        <v>1155</v>
      </c>
      <c r="P561">
        <v>15.27</v>
      </c>
      <c r="Q561">
        <v>15.05</v>
      </c>
      <c r="R561">
        <v>15.2</v>
      </c>
      <c r="S561">
        <v>15.17</v>
      </c>
      <c r="T561">
        <v>1.45</v>
      </c>
      <c r="U561">
        <v>0.72</v>
      </c>
      <c r="V561">
        <v>66.87</v>
      </c>
      <c r="W561">
        <v>1889</v>
      </c>
      <c r="X561">
        <v>15.15</v>
      </c>
      <c r="Y561" t="s">
        <v>1454</v>
      </c>
      <c r="Z561" t="s">
        <v>3158</v>
      </c>
      <c r="AA561">
        <v>1.1299999999999999</v>
      </c>
      <c r="AB561">
        <v>1308</v>
      </c>
      <c r="AC561">
        <v>6</v>
      </c>
      <c r="AD561">
        <v>1.82</v>
      </c>
      <c r="AE561" t="s">
        <v>2005</v>
      </c>
      <c r="AF561" t="s">
        <v>2176</v>
      </c>
      <c r="AG561" t="s">
        <v>1554</v>
      </c>
      <c r="AH561" t="s">
        <v>2641</v>
      </c>
      <c r="AI561">
        <v>-1.69</v>
      </c>
      <c r="AJ561">
        <v>0.8</v>
      </c>
      <c r="AK561">
        <v>1.1000000000000001</v>
      </c>
      <c r="AL561">
        <v>2.91</v>
      </c>
    </row>
    <row r="562" spans="1:38" x14ac:dyDescent="0.25">
      <c r="A562">
        <v>561</v>
      </c>
      <c r="B562" t="str">
        <f xml:space="preserve"> "300459"</f>
        <v>300459</v>
      </c>
      <c r="C562" t="s">
        <v>3159</v>
      </c>
      <c r="D562">
        <v>12.74</v>
      </c>
      <c r="E562">
        <v>-0.08</v>
      </c>
      <c r="F562">
        <v>-0.01</v>
      </c>
      <c r="G562" t="s">
        <v>1196</v>
      </c>
      <c r="H562">
        <v>2252</v>
      </c>
      <c r="I562">
        <v>12.74</v>
      </c>
      <c r="J562">
        <v>12.75</v>
      </c>
      <c r="K562">
        <v>-0.31</v>
      </c>
      <c r="L562">
        <v>1.47</v>
      </c>
      <c r="M562" t="s">
        <v>3160</v>
      </c>
      <c r="N562">
        <v>49.34</v>
      </c>
      <c r="O562" t="s">
        <v>807</v>
      </c>
      <c r="P562">
        <v>13.08</v>
      </c>
      <c r="Q562">
        <v>12.73</v>
      </c>
      <c r="R562">
        <v>12.84</v>
      </c>
      <c r="S562">
        <v>12.75</v>
      </c>
      <c r="T562">
        <v>2.75</v>
      </c>
      <c r="U562">
        <v>0.74</v>
      </c>
      <c r="V562">
        <v>59.65</v>
      </c>
      <c r="W562">
        <v>1357</v>
      </c>
      <c r="X562">
        <v>12.86</v>
      </c>
      <c r="Y562" t="s">
        <v>3161</v>
      </c>
      <c r="Z562" t="s">
        <v>1973</v>
      </c>
      <c r="AA562">
        <v>1.43</v>
      </c>
      <c r="AB562">
        <v>586</v>
      </c>
      <c r="AC562">
        <v>23</v>
      </c>
      <c r="AD562">
        <v>3.95</v>
      </c>
      <c r="AE562" t="s">
        <v>2299</v>
      </c>
      <c r="AF562" t="s">
        <v>642</v>
      </c>
      <c r="AG562" t="s">
        <v>1108</v>
      </c>
      <c r="AH562" t="s">
        <v>3162</v>
      </c>
      <c r="AI562">
        <v>-2.4500000000000002</v>
      </c>
      <c r="AJ562">
        <v>0.71</v>
      </c>
      <c r="AK562">
        <v>5.23</v>
      </c>
      <c r="AL562">
        <v>11.4</v>
      </c>
    </row>
    <row r="563" spans="1:38" x14ac:dyDescent="0.25">
      <c r="A563">
        <v>562</v>
      </c>
      <c r="B563" t="str">
        <f xml:space="preserve"> "002603"</f>
        <v>002603</v>
      </c>
      <c r="C563" t="s">
        <v>3163</v>
      </c>
      <c r="D563">
        <v>16.72</v>
      </c>
      <c r="E563">
        <v>0.42</v>
      </c>
      <c r="F563">
        <v>7.0000000000000007E-2</v>
      </c>
      <c r="G563" t="s">
        <v>2932</v>
      </c>
      <c r="H563">
        <v>243</v>
      </c>
      <c r="I563">
        <v>16.72</v>
      </c>
      <c r="J563">
        <v>16.73</v>
      </c>
      <c r="K563">
        <v>0.06</v>
      </c>
      <c r="L563">
        <v>0.25</v>
      </c>
      <c r="M563" t="s">
        <v>3164</v>
      </c>
      <c r="N563">
        <v>29.68</v>
      </c>
      <c r="O563" t="s">
        <v>392</v>
      </c>
      <c r="P563">
        <v>16.79</v>
      </c>
      <c r="Q563">
        <v>16.649999999999999</v>
      </c>
      <c r="R563">
        <v>16.66</v>
      </c>
      <c r="S563">
        <v>16.649999999999999</v>
      </c>
      <c r="T563">
        <v>0.84</v>
      </c>
      <c r="U563">
        <v>0.56000000000000005</v>
      </c>
      <c r="V563">
        <v>-10.67</v>
      </c>
      <c r="W563">
        <v>-196</v>
      </c>
      <c r="X563">
        <v>16.71</v>
      </c>
      <c r="Y563" t="s">
        <v>316</v>
      </c>
      <c r="Z563" t="s">
        <v>2241</v>
      </c>
      <c r="AA563">
        <v>1.04</v>
      </c>
      <c r="AB563">
        <v>127</v>
      </c>
      <c r="AC563">
        <v>224</v>
      </c>
      <c r="AD563">
        <v>2.95</v>
      </c>
      <c r="AE563" t="s">
        <v>177</v>
      </c>
      <c r="AF563" t="s">
        <v>642</v>
      </c>
      <c r="AG563" t="s">
        <v>3165</v>
      </c>
      <c r="AH563" t="s">
        <v>700</v>
      </c>
      <c r="AI563">
        <v>0.91</v>
      </c>
      <c r="AJ563">
        <v>3.4</v>
      </c>
      <c r="AK563">
        <v>1.61</v>
      </c>
      <c r="AL563">
        <v>2.4900000000000002</v>
      </c>
    </row>
    <row r="564" spans="1:38" x14ac:dyDescent="0.25">
      <c r="A564">
        <v>563</v>
      </c>
      <c r="B564" t="str">
        <f xml:space="preserve"> "300133"</f>
        <v>300133</v>
      </c>
      <c r="C564" t="s">
        <v>3166</v>
      </c>
      <c r="D564">
        <v>11.37</v>
      </c>
      <c r="E564">
        <v>-0.52</v>
      </c>
      <c r="F564">
        <v>-0.06</v>
      </c>
      <c r="G564" t="s">
        <v>1814</v>
      </c>
      <c r="H564">
        <v>1495</v>
      </c>
      <c r="I564">
        <v>11.37</v>
      </c>
      <c r="J564">
        <v>11.38</v>
      </c>
      <c r="K564">
        <v>0.09</v>
      </c>
      <c r="L564">
        <v>0.85</v>
      </c>
      <c r="M564" t="s">
        <v>485</v>
      </c>
      <c r="N564">
        <v>36.619999999999997</v>
      </c>
      <c r="O564" t="s">
        <v>1126</v>
      </c>
      <c r="P564">
        <v>11.48</v>
      </c>
      <c r="Q564">
        <v>11.26</v>
      </c>
      <c r="R564">
        <v>11.39</v>
      </c>
      <c r="S564">
        <v>11.43</v>
      </c>
      <c r="T564">
        <v>1.92</v>
      </c>
      <c r="U564">
        <v>0.5</v>
      </c>
      <c r="V564">
        <v>-17.52</v>
      </c>
      <c r="W564">
        <v>-784</v>
      </c>
      <c r="X564">
        <v>11.35</v>
      </c>
      <c r="Y564" t="s">
        <v>3167</v>
      </c>
      <c r="Z564" t="s">
        <v>3168</v>
      </c>
      <c r="AA564">
        <v>1.37</v>
      </c>
      <c r="AB564">
        <v>452</v>
      </c>
      <c r="AC564">
        <v>161</v>
      </c>
      <c r="AD564">
        <v>3.02</v>
      </c>
      <c r="AE564" t="s">
        <v>892</v>
      </c>
      <c r="AF564" t="s">
        <v>642</v>
      </c>
      <c r="AG564" t="s">
        <v>1011</v>
      </c>
      <c r="AH564" t="s">
        <v>3125</v>
      </c>
      <c r="AI564">
        <v>2.8</v>
      </c>
      <c r="AJ564">
        <v>4.22</v>
      </c>
      <c r="AK564">
        <v>4.8600000000000003</v>
      </c>
      <c r="AL564">
        <v>9.3699999999999992</v>
      </c>
    </row>
    <row r="565" spans="1:38" x14ac:dyDescent="0.25">
      <c r="A565">
        <v>564</v>
      </c>
      <c r="B565" t="str">
        <f xml:space="preserve"> "002280"</f>
        <v>002280</v>
      </c>
      <c r="C565" t="s">
        <v>3169</v>
      </c>
      <c r="D565">
        <v>9.2200000000000006</v>
      </c>
      <c r="E565">
        <v>-0.22</v>
      </c>
      <c r="F565">
        <v>-0.02</v>
      </c>
      <c r="G565" t="s">
        <v>844</v>
      </c>
      <c r="H565">
        <v>2238</v>
      </c>
      <c r="I565">
        <v>9.2200000000000006</v>
      </c>
      <c r="J565">
        <v>9.23</v>
      </c>
      <c r="K565">
        <v>0.11</v>
      </c>
      <c r="L565">
        <v>1.0900000000000001</v>
      </c>
      <c r="M565" t="s">
        <v>315</v>
      </c>
      <c r="N565">
        <v>319.08999999999997</v>
      </c>
      <c r="O565" t="s">
        <v>893</v>
      </c>
      <c r="P565">
        <v>9.27</v>
      </c>
      <c r="Q565">
        <v>9.1300000000000008</v>
      </c>
      <c r="R565">
        <v>9.2200000000000006</v>
      </c>
      <c r="S565">
        <v>9.24</v>
      </c>
      <c r="T565">
        <v>1.52</v>
      </c>
      <c r="U565">
        <v>0.63</v>
      </c>
      <c r="V565">
        <v>-15.75</v>
      </c>
      <c r="W565">
        <v>-1872</v>
      </c>
      <c r="X565">
        <v>9.1999999999999993</v>
      </c>
      <c r="Y565" t="s">
        <v>216</v>
      </c>
      <c r="Z565" t="s">
        <v>2045</v>
      </c>
      <c r="AA565">
        <v>1.48</v>
      </c>
      <c r="AB565">
        <v>202</v>
      </c>
      <c r="AC565">
        <v>845</v>
      </c>
      <c r="AD565">
        <v>3.29</v>
      </c>
      <c r="AE565" t="s">
        <v>2277</v>
      </c>
      <c r="AF565" t="s">
        <v>642</v>
      </c>
      <c r="AG565" t="s">
        <v>1483</v>
      </c>
      <c r="AH565" t="s">
        <v>171</v>
      </c>
      <c r="AI565">
        <v>-1.6</v>
      </c>
      <c r="AJ565">
        <v>5.73</v>
      </c>
      <c r="AK565">
        <v>4.3099999999999996</v>
      </c>
      <c r="AL565">
        <v>9.76</v>
      </c>
    </row>
    <row r="566" spans="1:38" x14ac:dyDescent="0.25">
      <c r="A566">
        <v>565</v>
      </c>
      <c r="B566" t="str">
        <f xml:space="preserve"> "000426"</f>
        <v>000426</v>
      </c>
      <c r="C566" t="s">
        <v>3170</v>
      </c>
      <c r="D566">
        <v>10.73</v>
      </c>
      <c r="E566">
        <v>-0.09</v>
      </c>
      <c r="F566">
        <v>-0.01</v>
      </c>
      <c r="G566" t="s">
        <v>3171</v>
      </c>
      <c r="H566">
        <v>189</v>
      </c>
      <c r="I566">
        <v>10.73</v>
      </c>
      <c r="J566">
        <v>10.74</v>
      </c>
      <c r="K566">
        <v>0</v>
      </c>
      <c r="L566">
        <v>0.42</v>
      </c>
      <c r="M566" t="s">
        <v>3172</v>
      </c>
      <c r="N566">
        <v>48.68</v>
      </c>
      <c r="O566" t="s">
        <v>449</v>
      </c>
      <c r="P566">
        <v>10.83</v>
      </c>
      <c r="Q566">
        <v>10.63</v>
      </c>
      <c r="R566">
        <v>10.8</v>
      </c>
      <c r="S566">
        <v>10.74</v>
      </c>
      <c r="T566">
        <v>1.86</v>
      </c>
      <c r="U566">
        <v>0.36</v>
      </c>
      <c r="V566">
        <v>24.11</v>
      </c>
      <c r="W566">
        <v>784</v>
      </c>
      <c r="X566">
        <v>10.75</v>
      </c>
      <c r="Y566" t="s">
        <v>2202</v>
      </c>
      <c r="Z566" t="s">
        <v>2695</v>
      </c>
      <c r="AA566">
        <v>0.94</v>
      </c>
      <c r="AB566">
        <v>858</v>
      </c>
      <c r="AC566">
        <v>97</v>
      </c>
      <c r="AD566">
        <v>4.01</v>
      </c>
      <c r="AE566" t="s">
        <v>1362</v>
      </c>
      <c r="AF566" t="s">
        <v>3143</v>
      </c>
      <c r="AG566" t="s">
        <v>2388</v>
      </c>
      <c r="AH566" t="s">
        <v>1741</v>
      </c>
      <c r="AI566">
        <v>-3.94</v>
      </c>
      <c r="AJ566">
        <v>-1.92</v>
      </c>
      <c r="AK566">
        <v>2.73</v>
      </c>
      <c r="AL566">
        <v>6.33</v>
      </c>
    </row>
    <row r="567" spans="1:38" x14ac:dyDescent="0.25">
      <c r="A567">
        <v>566</v>
      </c>
      <c r="B567" t="str">
        <f xml:space="preserve"> "600873"</f>
        <v>600873</v>
      </c>
      <c r="C567" t="s">
        <v>3173</v>
      </c>
      <c r="D567">
        <v>6.45</v>
      </c>
      <c r="E567">
        <v>-0.62</v>
      </c>
      <c r="F567">
        <v>-0.04</v>
      </c>
      <c r="G567" t="s">
        <v>142</v>
      </c>
      <c r="H567">
        <v>6</v>
      </c>
      <c r="I567">
        <v>6.44</v>
      </c>
      <c r="J567">
        <v>6.45</v>
      </c>
      <c r="K567">
        <v>-0.15</v>
      </c>
      <c r="L567">
        <v>0.78</v>
      </c>
      <c r="M567" t="s">
        <v>3053</v>
      </c>
      <c r="N567">
        <v>16.16</v>
      </c>
      <c r="O567" t="s">
        <v>406</v>
      </c>
      <c r="P567">
        <v>6.49</v>
      </c>
      <c r="Q567">
        <v>6.41</v>
      </c>
      <c r="R567">
        <v>6.47</v>
      </c>
      <c r="S567">
        <v>6.49</v>
      </c>
      <c r="T567">
        <v>1.23</v>
      </c>
      <c r="U567">
        <v>0.6</v>
      </c>
      <c r="V567">
        <v>25.61</v>
      </c>
      <c r="W567">
        <v>7840</v>
      </c>
      <c r="X567">
        <v>6.44</v>
      </c>
      <c r="Y567" t="s">
        <v>2564</v>
      </c>
      <c r="Z567" t="s">
        <v>3174</v>
      </c>
      <c r="AA567">
        <v>1.97</v>
      </c>
      <c r="AB567">
        <v>1395</v>
      </c>
      <c r="AC567">
        <v>256</v>
      </c>
      <c r="AD567">
        <v>2.29</v>
      </c>
      <c r="AE567" t="s">
        <v>2205</v>
      </c>
      <c r="AF567" t="s">
        <v>3143</v>
      </c>
      <c r="AG567" t="s">
        <v>2205</v>
      </c>
      <c r="AH567" t="s">
        <v>3143</v>
      </c>
      <c r="AI567">
        <v>0.78</v>
      </c>
      <c r="AJ567">
        <v>2.87</v>
      </c>
      <c r="AK567">
        <v>3.5</v>
      </c>
      <c r="AL567">
        <v>7.36</v>
      </c>
    </row>
    <row r="568" spans="1:38" x14ac:dyDescent="0.25">
      <c r="A568">
        <v>567</v>
      </c>
      <c r="B568" t="str">
        <f xml:space="preserve"> "000012"</f>
        <v>000012</v>
      </c>
      <c r="C568" t="s">
        <v>3175</v>
      </c>
      <c r="D568">
        <v>8.4</v>
      </c>
      <c r="E568">
        <v>-0.12</v>
      </c>
      <c r="F568">
        <v>-0.01</v>
      </c>
      <c r="G568" t="s">
        <v>216</v>
      </c>
      <c r="H568">
        <v>990</v>
      </c>
      <c r="I568">
        <v>8.4</v>
      </c>
      <c r="J568">
        <v>8.41</v>
      </c>
      <c r="K568">
        <v>0</v>
      </c>
      <c r="L568">
        <v>0.55000000000000004</v>
      </c>
      <c r="M568" t="s">
        <v>3176</v>
      </c>
      <c r="N568">
        <v>25.51</v>
      </c>
      <c r="O568" t="s">
        <v>1058</v>
      </c>
      <c r="P568">
        <v>8.42</v>
      </c>
      <c r="Q568">
        <v>8.3800000000000008</v>
      </c>
      <c r="R568">
        <v>8.3800000000000008</v>
      </c>
      <c r="S568">
        <v>8.41</v>
      </c>
      <c r="T568">
        <v>0.48</v>
      </c>
      <c r="U568">
        <v>0.84</v>
      </c>
      <c r="V568">
        <v>38.32</v>
      </c>
      <c r="W568">
        <v>7404</v>
      </c>
      <c r="X568">
        <v>8.4</v>
      </c>
      <c r="Y568" t="s">
        <v>3177</v>
      </c>
      <c r="Z568" t="s">
        <v>1602</v>
      </c>
      <c r="AA568">
        <v>1.68</v>
      </c>
      <c r="AB568">
        <v>1533</v>
      </c>
      <c r="AC568">
        <v>904</v>
      </c>
      <c r="AD568">
        <v>2.5499999999999998</v>
      </c>
      <c r="AE568" t="s">
        <v>1184</v>
      </c>
      <c r="AF568" t="s">
        <v>3143</v>
      </c>
      <c r="AG568" t="s">
        <v>434</v>
      </c>
      <c r="AH568" t="s">
        <v>1762</v>
      </c>
      <c r="AI568">
        <v>-0.59</v>
      </c>
      <c r="AJ568">
        <v>1.08</v>
      </c>
      <c r="AK568">
        <v>2.14</v>
      </c>
      <c r="AL568">
        <v>3.82</v>
      </c>
    </row>
    <row r="569" spans="1:38" x14ac:dyDescent="0.25">
      <c r="A569">
        <v>568</v>
      </c>
      <c r="B569" t="str">
        <f xml:space="preserve"> "600098"</f>
        <v>600098</v>
      </c>
      <c r="C569" t="s">
        <v>3178</v>
      </c>
      <c r="D569">
        <v>7.35</v>
      </c>
      <c r="E569">
        <v>0</v>
      </c>
      <c r="F569">
        <v>0</v>
      </c>
      <c r="G569" t="s">
        <v>602</v>
      </c>
      <c r="H569">
        <v>177</v>
      </c>
      <c r="I569">
        <v>7.35</v>
      </c>
      <c r="J569">
        <v>7.36</v>
      </c>
      <c r="K569">
        <v>-0.14000000000000001</v>
      </c>
      <c r="L569">
        <v>0.22</v>
      </c>
      <c r="M569" t="s">
        <v>3179</v>
      </c>
      <c r="N569">
        <v>28.02</v>
      </c>
      <c r="O569" t="s">
        <v>186</v>
      </c>
      <c r="P569">
        <v>7.36</v>
      </c>
      <c r="Q569">
        <v>7.33</v>
      </c>
      <c r="R569">
        <v>7.33</v>
      </c>
      <c r="S569">
        <v>7.35</v>
      </c>
      <c r="T569">
        <v>0.41</v>
      </c>
      <c r="U569">
        <v>0.63</v>
      </c>
      <c r="V569">
        <v>-2.08</v>
      </c>
      <c r="W569">
        <v>-486</v>
      </c>
      <c r="X569">
        <v>7.34</v>
      </c>
      <c r="Y569" t="s">
        <v>3180</v>
      </c>
      <c r="Z569" t="s">
        <v>3181</v>
      </c>
      <c r="AA569">
        <v>1.74</v>
      </c>
      <c r="AB569">
        <v>1719</v>
      </c>
      <c r="AC569">
        <v>1497</v>
      </c>
      <c r="AD569">
        <v>1.27</v>
      </c>
      <c r="AE569" t="s">
        <v>355</v>
      </c>
      <c r="AF569" t="s">
        <v>3143</v>
      </c>
      <c r="AG569" t="s">
        <v>355</v>
      </c>
      <c r="AH569" t="s">
        <v>3143</v>
      </c>
      <c r="AI569">
        <v>-0.41</v>
      </c>
      <c r="AJ569">
        <v>0.27</v>
      </c>
      <c r="AK569">
        <v>0.95</v>
      </c>
      <c r="AL569">
        <v>1.98</v>
      </c>
    </row>
    <row r="570" spans="1:38" x14ac:dyDescent="0.25">
      <c r="A570">
        <v>569</v>
      </c>
      <c r="B570" t="str">
        <f xml:space="preserve"> "002439"</f>
        <v>002439</v>
      </c>
      <c r="C570" t="s">
        <v>3182</v>
      </c>
      <c r="D570">
        <v>22.32</v>
      </c>
      <c r="E570">
        <v>-2.66</v>
      </c>
      <c r="F570">
        <v>-0.61</v>
      </c>
      <c r="G570" t="s">
        <v>3183</v>
      </c>
      <c r="H570">
        <v>1451</v>
      </c>
      <c r="I570">
        <v>22.32</v>
      </c>
      <c r="J570">
        <v>22.33</v>
      </c>
      <c r="K570">
        <v>0</v>
      </c>
      <c r="L570">
        <v>1.68</v>
      </c>
      <c r="M570" t="s">
        <v>3184</v>
      </c>
      <c r="N570">
        <v>-63562.44</v>
      </c>
      <c r="O570" t="s">
        <v>893</v>
      </c>
      <c r="P570">
        <v>23.21</v>
      </c>
      <c r="Q570">
        <v>22.15</v>
      </c>
      <c r="R570">
        <v>23</v>
      </c>
      <c r="S570">
        <v>22.93</v>
      </c>
      <c r="T570">
        <v>4.62</v>
      </c>
      <c r="U570">
        <v>0.82</v>
      </c>
      <c r="V570">
        <v>46.8</v>
      </c>
      <c r="W570">
        <v>549</v>
      </c>
      <c r="X570">
        <v>22.46</v>
      </c>
      <c r="Y570" t="s">
        <v>3185</v>
      </c>
      <c r="Z570" t="s">
        <v>2032</v>
      </c>
      <c r="AA570">
        <v>1.77</v>
      </c>
      <c r="AB570">
        <v>80</v>
      </c>
      <c r="AC570">
        <v>70</v>
      </c>
      <c r="AD570">
        <v>7.46</v>
      </c>
      <c r="AE570" t="s">
        <v>3186</v>
      </c>
      <c r="AF570" t="s">
        <v>3143</v>
      </c>
      <c r="AG570" t="s">
        <v>2236</v>
      </c>
      <c r="AH570" t="s">
        <v>632</v>
      </c>
      <c r="AI570">
        <v>0.63</v>
      </c>
      <c r="AJ570">
        <v>1.32</v>
      </c>
      <c r="AK570">
        <v>6.96</v>
      </c>
      <c r="AL570">
        <v>11.85</v>
      </c>
    </row>
    <row r="571" spans="1:38" x14ac:dyDescent="0.25">
      <c r="A571">
        <v>570</v>
      </c>
      <c r="B571" t="str">
        <f xml:space="preserve"> "600717"</f>
        <v>600717</v>
      </c>
      <c r="C571" t="s">
        <v>3187</v>
      </c>
      <c r="D571">
        <v>11.94</v>
      </c>
      <c r="E571">
        <v>0.59</v>
      </c>
      <c r="F571">
        <v>7.0000000000000007E-2</v>
      </c>
      <c r="G571" t="s">
        <v>264</v>
      </c>
      <c r="H571">
        <v>32</v>
      </c>
      <c r="I571">
        <v>11.93</v>
      </c>
      <c r="J571">
        <v>11.94</v>
      </c>
      <c r="K571">
        <v>0.08</v>
      </c>
      <c r="L571">
        <v>0.37</v>
      </c>
      <c r="M571" t="s">
        <v>3188</v>
      </c>
      <c r="N571">
        <v>17.79</v>
      </c>
      <c r="O571" t="s">
        <v>440</v>
      </c>
      <c r="P571">
        <v>11.95</v>
      </c>
      <c r="Q571">
        <v>11.85</v>
      </c>
      <c r="R571">
        <v>11.86</v>
      </c>
      <c r="S571">
        <v>11.87</v>
      </c>
      <c r="T571">
        <v>0.84</v>
      </c>
      <c r="U571">
        <v>0.66</v>
      </c>
      <c r="V571">
        <v>-63.08</v>
      </c>
      <c r="W571">
        <v>-4507</v>
      </c>
      <c r="X571">
        <v>11.91</v>
      </c>
      <c r="Y571" t="s">
        <v>3189</v>
      </c>
      <c r="Z571" t="s">
        <v>3190</v>
      </c>
      <c r="AA571">
        <v>1.0900000000000001</v>
      </c>
      <c r="AB571">
        <v>773</v>
      </c>
      <c r="AC571">
        <v>208</v>
      </c>
      <c r="AD571">
        <v>1.28</v>
      </c>
      <c r="AE571" t="s">
        <v>1375</v>
      </c>
      <c r="AF571" t="s">
        <v>3143</v>
      </c>
      <c r="AG571" t="s">
        <v>1375</v>
      </c>
      <c r="AH571" t="s">
        <v>3143</v>
      </c>
      <c r="AI571">
        <v>-0.08</v>
      </c>
      <c r="AJ571">
        <v>3.02</v>
      </c>
      <c r="AK571">
        <v>1.62</v>
      </c>
      <c r="AL571">
        <v>3.21</v>
      </c>
    </row>
    <row r="572" spans="1:38" x14ac:dyDescent="0.25">
      <c r="A572">
        <v>571</v>
      </c>
      <c r="B572" t="str">
        <f xml:space="preserve"> "300146"</f>
        <v>300146</v>
      </c>
      <c r="C572" t="s">
        <v>3191</v>
      </c>
      <c r="D572">
        <v>13.6</v>
      </c>
      <c r="E572">
        <v>0.37</v>
      </c>
      <c r="F572">
        <v>0.05</v>
      </c>
      <c r="G572" t="s">
        <v>498</v>
      </c>
      <c r="H572">
        <v>1212</v>
      </c>
      <c r="I572">
        <v>13.6</v>
      </c>
      <c r="J572">
        <v>13.61</v>
      </c>
      <c r="K572">
        <v>-7.0000000000000007E-2</v>
      </c>
      <c r="L572">
        <v>1.26</v>
      </c>
      <c r="M572" t="s">
        <v>1306</v>
      </c>
      <c r="N572">
        <v>17.170000000000002</v>
      </c>
      <c r="O572" t="s">
        <v>406</v>
      </c>
      <c r="P572">
        <v>13.63</v>
      </c>
      <c r="Q572">
        <v>13.4</v>
      </c>
      <c r="R572">
        <v>13.56</v>
      </c>
      <c r="S572">
        <v>13.55</v>
      </c>
      <c r="T572">
        <v>1.7</v>
      </c>
      <c r="U572">
        <v>0.75</v>
      </c>
      <c r="V572">
        <v>-67.95</v>
      </c>
      <c r="W572">
        <v>-3431</v>
      </c>
      <c r="X572">
        <v>13.52</v>
      </c>
      <c r="Y572" t="s">
        <v>3192</v>
      </c>
      <c r="Z572" t="s">
        <v>2962</v>
      </c>
      <c r="AA572">
        <v>1.25</v>
      </c>
      <c r="AB572">
        <v>125</v>
      </c>
      <c r="AC572">
        <v>380</v>
      </c>
      <c r="AD572">
        <v>4.09</v>
      </c>
      <c r="AE572" t="s">
        <v>3009</v>
      </c>
      <c r="AF572" t="s">
        <v>3143</v>
      </c>
      <c r="AG572" t="s">
        <v>3193</v>
      </c>
      <c r="AH572" t="s">
        <v>593</v>
      </c>
      <c r="AI572">
        <v>-1.81</v>
      </c>
      <c r="AJ572">
        <v>2.33</v>
      </c>
      <c r="AK572">
        <v>3.92</v>
      </c>
      <c r="AL572">
        <v>9.64</v>
      </c>
    </row>
    <row r="573" spans="1:38" x14ac:dyDescent="0.25">
      <c r="A573">
        <v>572</v>
      </c>
      <c r="B573" t="str">
        <f xml:space="preserve"> "600545"</f>
        <v>600545</v>
      </c>
      <c r="C573" t="s">
        <v>3194</v>
      </c>
      <c r="D573">
        <v>10.5</v>
      </c>
      <c r="E573">
        <v>0.48</v>
      </c>
      <c r="F573">
        <v>0.05</v>
      </c>
      <c r="G573" t="s">
        <v>3171</v>
      </c>
      <c r="H573">
        <v>5</v>
      </c>
      <c r="I573">
        <v>10.48</v>
      </c>
      <c r="J573">
        <v>10.49</v>
      </c>
      <c r="K573">
        <v>0.1</v>
      </c>
      <c r="L573">
        <v>0.72</v>
      </c>
      <c r="M573" t="s">
        <v>3195</v>
      </c>
      <c r="N573">
        <v>-486.12</v>
      </c>
      <c r="O573" t="s">
        <v>263</v>
      </c>
      <c r="P573">
        <v>10.51</v>
      </c>
      <c r="Q573">
        <v>10.41</v>
      </c>
      <c r="R573">
        <v>10.45</v>
      </c>
      <c r="S573">
        <v>10.45</v>
      </c>
      <c r="T573">
        <v>0.96</v>
      </c>
      <c r="U573">
        <v>0.95</v>
      </c>
      <c r="V573">
        <v>-57.16</v>
      </c>
      <c r="W573">
        <v>-4803</v>
      </c>
      <c r="X573">
        <v>10.46</v>
      </c>
      <c r="Y573" t="s">
        <v>623</v>
      </c>
      <c r="Z573" t="s">
        <v>1805</v>
      </c>
      <c r="AA573">
        <v>1.23</v>
      </c>
      <c r="AB573">
        <v>143</v>
      </c>
      <c r="AC573">
        <v>69</v>
      </c>
      <c r="AD573">
        <v>2.17</v>
      </c>
      <c r="AE573" t="s">
        <v>493</v>
      </c>
      <c r="AF573" t="s">
        <v>153</v>
      </c>
      <c r="AG573" t="s">
        <v>589</v>
      </c>
      <c r="AH573" t="s">
        <v>3196</v>
      </c>
      <c r="AI573">
        <v>-0.66</v>
      </c>
      <c r="AJ573">
        <v>0.86</v>
      </c>
      <c r="AK573">
        <v>2.31</v>
      </c>
      <c r="AL573">
        <v>4.51</v>
      </c>
    </row>
    <row r="574" spans="1:38" x14ac:dyDescent="0.25">
      <c r="A574">
        <v>573</v>
      </c>
      <c r="B574" t="str">
        <f xml:space="preserve"> "002302"</f>
        <v>002302</v>
      </c>
      <c r="C574" t="s">
        <v>3197</v>
      </c>
      <c r="D574">
        <v>19.260000000000002</v>
      </c>
      <c r="E574">
        <v>1.26</v>
      </c>
      <c r="F574">
        <v>0.24</v>
      </c>
      <c r="G574" t="s">
        <v>844</v>
      </c>
      <c r="H574">
        <v>1780</v>
      </c>
      <c r="I574">
        <v>19.25</v>
      </c>
      <c r="J574">
        <v>19.260000000000002</v>
      </c>
      <c r="K574">
        <v>0</v>
      </c>
      <c r="L574">
        <v>1.33</v>
      </c>
      <c r="M574" t="s">
        <v>3198</v>
      </c>
      <c r="N574">
        <v>-541.39</v>
      </c>
      <c r="O574" t="s">
        <v>562</v>
      </c>
      <c r="P574">
        <v>19.45</v>
      </c>
      <c r="Q574">
        <v>19.02</v>
      </c>
      <c r="R574">
        <v>19.02</v>
      </c>
      <c r="S574">
        <v>19.02</v>
      </c>
      <c r="T574">
        <v>2.2599999999999998</v>
      </c>
      <c r="U574">
        <v>0.89</v>
      </c>
      <c r="V574">
        <v>-21.76</v>
      </c>
      <c r="W574">
        <v>-1256</v>
      </c>
      <c r="X574">
        <v>19.29</v>
      </c>
      <c r="Y574" t="s">
        <v>2826</v>
      </c>
      <c r="Z574" t="s">
        <v>3199</v>
      </c>
      <c r="AA574">
        <v>0.88</v>
      </c>
      <c r="AB574">
        <v>1340</v>
      </c>
      <c r="AC574">
        <v>241</v>
      </c>
      <c r="AD574">
        <v>4.7300000000000004</v>
      </c>
      <c r="AE574" t="s">
        <v>707</v>
      </c>
      <c r="AF574" t="s">
        <v>153</v>
      </c>
      <c r="AG574" t="s">
        <v>707</v>
      </c>
      <c r="AH574" t="s">
        <v>153</v>
      </c>
      <c r="AI574">
        <v>1</v>
      </c>
      <c r="AJ574">
        <v>5.0199999999999996</v>
      </c>
      <c r="AK574">
        <v>4.66</v>
      </c>
      <c r="AL574">
        <v>8.83</v>
      </c>
    </row>
    <row r="575" spans="1:38" x14ac:dyDescent="0.25">
      <c r="A575">
        <v>574</v>
      </c>
      <c r="B575" t="str">
        <f xml:space="preserve"> "002249"</f>
        <v>002249</v>
      </c>
      <c r="C575" t="s">
        <v>3200</v>
      </c>
      <c r="D575">
        <v>8.3800000000000008</v>
      </c>
      <c r="E575">
        <v>-1.18</v>
      </c>
      <c r="F575">
        <v>-0.1</v>
      </c>
      <c r="G575" t="s">
        <v>1036</v>
      </c>
      <c r="H575">
        <v>3776</v>
      </c>
      <c r="I575">
        <v>8.3800000000000008</v>
      </c>
      <c r="J575">
        <v>8.39</v>
      </c>
      <c r="K575">
        <v>-0.12</v>
      </c>
      <c r="L575">
        <v>1.63</v>
      </c>
      <c r="M575" t="s">
        <v>3201</v>
      </c>
      <c r="N575">
        <v>68.47</v>
      </c>
      <c r="O575" t="s">
        <v>648</v>
      </c>
      <c r="P575">
        <v>8.5299999999999994</v>
      </c>
      <c r="Q575">
        <v>8.3000000000000007</v>
      </c>
      <c r="R575">
        <v>8.5299999999999994</v>
      </c>
      <c r="S575">
        <v>8.48</v>
      </c>
      <c r="T575">
        <v>2.71</v>
      </c>
      <c r="U575">
        <v>0.6</v>
      </c>
      <c r="V575">
        <v>4.71</v>
      </c>
      <c r="W575">
        <v>419</v>
      </c>
      <c r="X575">
        <v>8.3800000000000008</v>
      </c>
      <c r="Y575" t="s">
        <v>1237</v>
      </c>
      <c r="Z575" t="s">
        <v>3202</v>
      </c>
      <c r="AA575">
        <v>1.62</v>
      </c>
      <c r="AB575">
        <v>1453</v>
      </c>
      <c r="AC575">
        <v>594</v>
      </c>
      <c r="AD575">
        <v>2.2799999999999998</v>
      </c>
      <c r="AE575" t="s">
        <v>3203</v>
      </c>
      <c r="AF575" t="s">
        <v>153</v>
      </c>
      <c r="AG575" t="s">
        <v>1434</v>
      </c>
      <c r="AH575" t="s">
        <v>2842</v>
      </c>
      <c r="AI575">
        <v>-4.88</v>
      </c>
      <c r="AJ575">
        <v>-2.44</v>
      </c>
      <c r="AK575">
        <v>6.49</v>
      </c>
      <c r="AL575">
        <v>15.13</v>
      </c>
    </row>
    <row r="576" spans="1:38" x14ac:dyDescent="0.25">
      <c r="A576">
        <v>575</v>
      </c>
      <c r="B576" t="str">
        <f xml:space="preserve"> "002080"</f>
        <v>002080</v>
      </c>
      <c r="C576" t="s">
        <v>3204</v>
      </c>
      <c r="D576">
        <v>24.61</v>
      </c>
      <c r="E576">
        <v>-1.52</v>
      </c>
      <c r="F576">
        <v>-0.38</v>
      </c>
      <c r="G576" t="s">
        <v>2481</v>
      </c>
      <c r="H576">
        <v>465</v>
      </c>
      <c r="I576">
        <v>24.61</v>
      </c>
      <c r="J576">
        <v>24.62</v>
      </c>
      <c r="K576">
        <v>0.12</v>
      </c>
      <c r="L576">
        <v>1.05</v>
      </c>
      <c r="M576" t="s">
        <v>1718</v>
      </c>
      <c r="N576">
        <v>26.58</v>
      </c>
      <c r="O576" t="s">
        <v>1058</v>
      </c>
      <c r="P576">
        <v>24.85</v>
      </c>
      <c r="Q576">
        <v>24.5</v>
      </c>
      <c r="R576">
        <v>24.7</v>
      </c>
      <c r="S576">
        <v>24.99</v>
      </c>
      <c r="T576">
        <v>1.4</v>
      </c>
      <c r="U576">
        <v>0.79</v>
      </c>
      <c r="V576">
        <v>68.28</v>
      </c>
      <c r="W576">
        <v>607</v>
      </c>
      <c r="X576">
        <v>24.67</v>
      </c>
      <c r="Y576" t="s">
        <v>1285</v>
      </c>
      <c r="Z576" t="s">
        <v>1576</v>
      </c>
      <c r="AA576">
        <v>1.43</v>
      </c>
      <c r="AB576">
        <v>344</v>
      </c>
      <c r="AC576">
        <v>45</v>
      </c>
      <c r="AD576">
        <v>2.4</v>
      </c>
      <c r="AE576" t="s">
        <v>3140</v>
      </c>
      <c r="AF576" t="s">
        <v>153</v>
      </c>
      <c r="AG576" t="s">
        <v>1000</v>
      </c>
      <c r="AH576" t="s">
        <v>3205</v>
      </c>
      <c r="AI576">
        <v>6.86</v>
      </c>
      <c r="AJ576">
        <v>4.7699999999999996</v>
      </c>
      <c r="AK576">
        <v>5.25</v>
      </c>
      <c r="AL576">
        <v>7.74</v>
      </c>
    </row>
    <row r="577" spans="1:38" x14ac:dyDescent="0.25">
      <c r="A577">
        <v>576</v>
      </c>
      <c r="B577" t="str">
        <f xml:space="preserve"> "300088"</f>
        <v>300088</v>
      </c>
      <c r="C577" t="s">
        <v>3206</v>
      </c>
      <c r="D577">
        <v>8.6199999999999992</v>
      </c>
      <c r="E577">
        <v>2.99</v>
      </c>
      <c r="F577">
        <v>0.25</v>
      </c>
      <c r="G577" t="s">
        <v>3207</v>
      </c>
      <c r="H577">
        <v>8655</v>
      </c>
      <c r="I577">
        <v>8.61</v>
      </c>
      <c r="J577">
        <v>8.6199999999999992</v>
      </c>
      <c r="K577">
        <v>0</v>
      </c>
      <c r="L577">
        <v>3.24</v>
      </c>
      <c r="M577" t="s">
        <v>3208</v>
      </c>
      <c r="N577">
        <v>33.07</v>
      </c>
      <c r="O577" t="s">
        <v>380</v>
      </c>
      <c r="P577">
        <v>8.77</v>
      </c>
      <c r="Q577">
        <v>8.31</v>
      </c>
      <c r="R577">
        <v>8.31</v>
      </c>
      <c r="S577">
        <v>8.3699999999999992</v>
      </c>
      <c r="T577">
        <v>5.5</v>
      </c>
      <c r="U577">
        <v>0.87</v>
      </c>
      <c r="V577">
        <v>36.020000000000003</v>
      </c>
      <c r="W577">
        <v>5573</v>
      </c>
      <c r="X577">
        <v>8.57</v>
      </c>
      <c r="Y577" t="s">
        <v>1162</v>
      </c>
      <c r="Z577" t="s">
        <v>3209</v>
      </c>
      <c r="AA577">
        <v>0.69</v>
      </c>
      <c r="AB577">
        <v>2097</v>
      </c>
      <c r="AC577">
        <v>574</v>
      </c>
      <c r="AD577">
        <v>4.83</v>
      </c>
      <c r="AE577" t="s">
        <v>2070</v>
      </c>
      <c r="AF577" t="s">
        <v>1185</v>
      </c>
      <c r="AG577" t="s">
        <v>1733</v>
      </c>
      <c r="AH577" t="s">
        <v>3210</v>
      </c>
      <c r="AI577">
        <v>-3.79</v>
      </c>
      <c r="AJ577">
        <v>-4.43</v>
      </c>
      <c r="AK577">
        <v>11.55</v>
      </c>
      <c r="AL577">
        <v>21.8</v>
      </c>
    </row>
    <row r="578" spans="1:38" x14ac:dyDescent="0.25">
      <c r="A578">
        <v>577</v>
      </c>
      <c r="B578" t="str">
        <f xml:space="preserve"> "600737"</f>
        <v>600737</v>
      </c>
      <c r="C578" t="s">
        <v>3211</v>
      </c>
      <c r="D578">
        <v>9.65</v>
      </c>
      <c r="E578">
        <v>0.21</v>
      </c>
      <c r="F578">
        <v>0.02</v>
      </c>
      <c r="G578" t="s">
        <v>798</v>
      </c>
      <c r="H578">
        <v>2</v>
      </c>
      <c r="I578">
        <v>9.6300000000000008</v>
      </c>
      <c r="J578">
        <v>9.65</v>
      </c>
      <c r="K578">
        <v>0.1</v>
      </c>
      <c r="L578">
        <v>0.38</v>
      </c>
      <c r="M578" t="s">
        <v>3212</v>
      </c>
      <c r="N578">
        <v>28.28</v>
      </c>
      <c r="O578" t="s">
        <v>406</v>
      </c>
      <c r="P578">
        <v>9.67</v>
      </c>
      <c r="Q578">
        <v>9.58</v>
      </c>
      <c r="R578">
        <v>9.6300000000000008</v>
      </c>
      <c r="S578">
        <v>9.6300000000000008</v>
      </c>
      <c r="T578">
        <v>0.93</v>
      </c>
      <c r="U578">
        <v>0.73</v>
      </c>
      <c r="V578">
        <v>-13.65</v>
      </c>
      <c r="W578">
        <v>-908</v>
      </c>
      <c r="X578">
        <v>9.6199999999999992</v>
      </c>
      <c r="Y578" t="s">
        <v>1570</v>
      </c>
      <c r="Z578" t="s">
        <v>3213</v>
      </c>
      <c r="AA578">
        <v>1.4</v>
      </c>
      <c r="AB578">
        <v>1073</v>
      </c>
      <c r="AC578">
        <v>162</v>
      </c>
      <c r="AD578">
        <v>2.89</v>
      </c>
      <c r="AE578" t="s">
        <v>3214</v>
      </c>
      <c r="AF578" t="s">
        <v>1185</v>
      </c>
      <c r="AG578" t="s">
        <v>3214</v>
      </c>
      <c r="AH578" t="s">
        <v>1185</v>
      </c>
      <c r="AI578">
        <v>-0.1</v>
      </c>
      <c r="AJ578">
        <v>2.5499999999999998</v>
      </c>
      <c r="AK578">
        <v>1.63</v>
      </c>
      <c r="AL578">
        <v>3.02</v>
      </c>
    </row>
    <row r="579" spans="1:38" x14ac:dyDescent="0.25">
      <c r="A579">
        <v>578</v>
      </c>
      <c r="B579" t="str">
        <f xml:space="preserve"> "603899"</f>
        <v>603899</v>
      </c>
      <c r="C579" t="s">
        <v>3215</v>
      </c>
      <c r="D579">
        <v>21.51</v>
      </c>
      <c r="E579">
        <v>-1.33</v>
      </c>
      <c r="F579">
        <v>-0.28999999999999998</v>
      </c>
      <c r="G579" t="s">
        <v>42</v>
      </c>
      <c r="H579">
        <v>8</v>
      </c>
      <c r="I579">
        <v>21.5</v>
      </c>
      <c r="J579">
        <v>21.51</v>
      </c>
      <c r="K579">
        <v>-0.55000000000000004</v>
      </c>
      <c r="L579">
        <v>1.54</v>
      </c>
      <c r="M579" t="s">
        <v>3216</v>
      </c>
      <c r="N579">
        <v>34.229999999999997</v>
      </c>
      <c r="O579" t="s">
        <v>807</v>
      </c>
      <c r="P579">
        <v>21.78</v>
      </c>
      <c r="Q579">
        <v>21.3</v>
      </c>
      <c r="R579">
        <v>21.55</v>
      </c>
      <c r="S579">
        <v>21.8</v>
      </c>
      <c r="T579">
        <v>2.2000000000000002</v>
      </c>
      <c r="U579">
        <v>0.63</v>
      </c>
      <c r="V579">
        <v>11.49</v>
      </c>
      <c r="W579">
        <v>38</v>
      </c>
      <c r="X579">
        <v>21.5</v>
      </c>
      <c r="Y579" t="s">
        <v>507</v>
      </c>
      <c r="Z579" t="s">
        <v>530</v>
      </c>
      <c r="AA579">
        <v>1.31</v>
      </c>
      <c r="AB579">
        <v>99</v>
      </c>
      <c r="AC579">
        <v>66</v>
      </c>
      <c r="AD579">
        <v>7.95</v>
      </c>
      <c r="AE579" t="s">
        <v>3217</v>
      </c>
      <c r="AF579" t="s">
        <v>1185</v>
      </c>
      <c r="AG579" t="s">
        <v>3123</v>
      </c>
      <c r="AH579" t="s">
        <v>2253</v>
      </c>
      <c r="AI579">
        <v>0.47</v>
      </c>
      <c r="AJ579">
        <v>7.44</v>
      </c>
      <c r="AK579">
        <v>6.6</v>
      </c>
      <c r="AL579">
        <v>13.82</v>
      </c>
    </row>
    <row r="580" spans="1:38" x14ac:dyDescent="0.25">
      <c r="A580">
        <v>579</v>
      </c>
      <c r="B580" t="str">
        <f xml:space="preserve"> "600639"</f>
        <v>600639</v>
      </c>
      <c r="C580" t="s">
        <v>3218</v>
      </c>
      <c r="D580">
        <v>17.55</v>
      </c>
      <c r="E580">
        <v>-0.28000000000000003</v>
      </c>
      <c r="F580">
        <v>-0.05</v>
      </c>
      <c r="G580" t="s">
        <v>2616</v>
      </c>
      <c r="H580">
        <v>20</v>
      </c>
      <c r="I580">
        <v>17.52</v>
      </c>
      <c r="J580">
        <v>17.53</v>
      </c>
      <c r="K580">
        <v>-0.06</v>
      </c>
      <c r="L580">
        <v>0.19</v>
      </c>
      <c r="M580" t="s">
        <v>3219</v>
      </c>
      <c r="N580">
        <v>26.56</v>
      </c>
      <c r="O580" t="s">
        <v>244</v>
      </c>
      <c r="P580">
        <v>17.649999999999999</v>
      </c>
      <c r="Q580">
        <v>17.53</v>
      </c>
      <c r="R580">
        <v>17.600000000000001</v>
      </c>
      <c r="S580">
        <v>17.600000000000001</v>
      </c>
      <c r="T580">
        <v>0.68</v>
      </c>
      <c r="U580">
        <v>1.02</v>
      </c>
      <c r="V580">
        <v>-43.85</v>
      </c>
      <c r="W580">
        <v>-631</v>
      </c>
      <c r="X580">
        <v>17.57</v>
      </c>
      <c r="Y580">
        <v>8491</v>
      </c>
      <c r="Z580">
        <v>4590</v>
      </c>
      <c r="AA580">
        <v>1.85</v>
      </c>
      <c r="AB580">
        <v>58</v>
      </c>
      <c r="AC580">
        <v>66</v>
      </c>
      <c r="AD580">
        <v>2.33</v>
      </c>
      <c r="AE580" t="s">
        <v>2328</v>
      </c>
      <c r="AF580" t="s">
        <v>1071</v>
      </c>
      <c r="AG580" t="s">
        <v>448</v>
      </c>
      <c r="AH580" t="s">
        <v>1741</v>
      </c>
      <c r="AI580">
        <v>-0.85</v>
      </c>
      <c r="AJ580">
        <v>-0.68</v>
      </c>
      <c r="AK580">
        <v>0.55000000000000004</v>
      </c>
      <c r="AL580">
        <v>1.1000000000000001</v>
      </c>
    </row>
    <row r="581" spans="1:38" x14ac:dyDescent="0.25">
      <c r="A581">
        <v>580</v>
      </c>
      <c r="B581" t="str">
        <f xml:space="preserve"> "601588"</f>
        <v>601588</v>
      </c>
      <c r="C581" t="s">
        <v>3220</v>
      </c>
      <c r="D581">
        <v>5.85</v>
      </c>
      <c r="E581">
        <v>0</v>
      </c>
      <c r="F581">
        <v>0</v>
      </c>
      <c r="G581" t="s">
        <v>3221</v>
      </c>
      <c r="H581">
        <v>9</v>
      </c>
      <c r="I581">
        <v>5.85</v>
      </c>
      <c r="J581">
        <v>5.86</v>
      </c>
      <c r="K581">
        <v>-0.17</v>
      </c>
      <c r="L581">
        <v>0.15</v>
      </c>
      <c r="M581" t="s">
        <v>3222</v>
      </c>
      <c r="N581">
        <v>15.81</v>
      </c>
      <c r="O581" t="s">
        <v>244</v>
      </c>
      <c r="P581">
        <v>5.89</v>
      </c>
      <c r="Q581">
        <v>5.82</v>
      </c>
      <c r="R581">
        <v>5.89</v>
      </c>
      <c r="S581">
        <v>5.85</v>
      </c>
      <c r="T581">
        <v>1.2</v>
      </c>
      <c r="U581">
        <v>0.6</v>
      </c>
      <c r="V581">
        <v>-61.78</v>
      </c>
      <c r="W581">
        <v>-6120</v>
      </c>
      <c r="X581">
        <v>5.86</v>
      </c>
      <c r="Y581" t="s">
        <v>1576</v>
      </c>
      <c r="Z581" t="s">
        <v>2088</v>
      </c>
      <c r="AA581">
        <v>0.75</v>
      </c>
      <c r="AB581">
        <v>84</v>
      </c>
      <c r="AC581">
        <v>272</v>
      </c>
      <c r="AD581">
        <v>1.63</v>
      </c>
      <c r="AE581" t="s">
        <v>3223</v>
      </c>
      <c r="AF581" t="s">
        <v>1071</v>
      </c>
      <c r="AG581" t="s">
        <v>3224</v>
      </c>
      <c r="AH581" t="s">
        <v>651</v>
      </c>
      <c r="AI581">
        <v>-0.51</v>
      </c>
      <c r="AJ581">
        <v>1.21</v>
      </c>
      <c r="AK581">
        <v>0.5</v>
      </c>
      <c r="AL581">
        <v>1.41</v>
      </c>
    </row>
    <row r="582" spans="1:38" x14ac:dyDescent="0.25">
      <c r="A582">
        <v>581</v>
      </c>
      <c r="B582" t="str">
        <f xml:space="preserve"> "601163"</f>
        <v>601163</v>
      </c>
      <c r="C582" t="s">
        <v>3225</v>
      </c>
      <c r="D582">
        <v>24.59</v>
      </c>
      <c r="E582">
        <v>1.1100000000000001</v>
      </c>
      <c r="F582">
        <v>0.27</v>
      </c>
      <c r="G582" t="s">
        <v>1719</v>
      </c>
      <c r="H582">
        <v>33</v>
      </c>
      <c r="I582">
        <v>24.58</v>
      </c>
      <c r="J582">
        <v>24.59</v>
      </c>
      <c r="K582">
        <v>0.08</v>
      </c>
      <c r="L582">
        <v>1.32</v>
      </c>
      <c r="M582" t="s">
        <v>3226</v>
      </c>
      <c r="N582">
        <v>36.17</v>
      </c>
      <c r="O582" t="s">
        <v>2128</v>
      </c>
      <c r="P582">
        <v>24.59</v>
      </c>
      <c r="Q582">
        <v>24.31</v>
      </c>
      <c r="R582">
        <v>24.36</v>
      </c>
      <c r="S582">
        <v>24.32</v>
      </c>
      <c r="T582">
        <v>1.1499999999999999</v>
      </c>
      <c r="U582">
        <v>1.0900000000000001</v>
      </c>
      <c r="V582">
        <v>-62.87</v>
      </c>
      <c r="W582">
        <v>-1226</v>
      </c>
      <c r="X582">
        <v>24.51</v>
      </c>
      <c r="Y582" t="s">
        <v>1683</v>
      </c>
      <c r="Z582" t="s">
        <v>2653</v>
      </c>
      <c r="AA582">
        <v>0.76</v>
      </c>
      <c r="AB582">
        <v>54</v>
      </c>
      <c r="AC582">
        <v>125</v>
      </c>
      <c r="AD582">
        <v>2.63</v>
      </c>
      <c r="AE582" t="s">
        <v>1754</v>
      </c>
      <c r="AF582" t="s">
        <v>1071</v>
      </c>
      <c r="AG582" t="s">
        <v>3227</v>
      </c>
      <c r="AH582" t="s">
        <v>978</v>
      </c>
      <c r="AI582">
        <v>-0.16</v>
      </c>
      <c r="AJ582">
        <v>2.63</v>
      </c>
      <c r="AK582">
        <v>3.4</v>
      </c>
      <c r="AL582">
        <v>7.38</v>
      </c>
    </row>
    <row r="583" spans="1:38" x14ac:dyDescent="0.25">
      <c r="A583">
        <v>582</v>
      </c>
      <c r="B583" t="str">
        <f xml:space="preserve"> "300601"</f>
        <v>300601</v>
      </c>
      <c r="C583" t="s">
        <v>3228</v>
      </c>
      <c r="D583">
        <v>46.71</v>
      </c>
      <c r="E583">
        <v>-0.3</v>
      </c>
      <c r="F583">
        <v>-0.14000000000000001</v>
      </c>
      <c r="G583" t="s">
        <v>1711</v>
      </c>
      <c r="H583">
        <v>818</v>
      </c>
      <c r="I583">
        <v>46.71</v>
      </c>
      <c r="J583">
        <v>46.75</v>
      </c>
      <c r="K583">
        <v>-0.19</v>
      </c>
      <c r="L583">
        <v>10.210000000000001</v>
      </c>
      <c r="M583" t="s">
        <v>3229</v>
      </c>
      <c r="N583">
        <v>139.41999999999999</v>
      </c>
      <c r="O583" t="s">
        <v>392</v>
      </c>
      <c r="P583">
        <v>48.6</v>
      </c>
      <c r="Q583">
        <v>45.61</v>
      </c>
      <c r="R583">
        <v>46.84</v>
      </c>
      <c r="S583">
        <v>46.85</v>
      </c>
      <c r="T583">
        <v>6.38</v>
      </c>
      <c r="U583">
        <v>0.9</v>
      </c>
      <c r="V583">
        <v>-8.11</v>
      </c>
      <c r="W583">
        <v>-40</v>
      </c>
      <c r="X583">
        <v>46.93</v>
      </c>
      <c r="Y583" t="s">
        <v>3230</v>
      </c>
      <c r="Z583" t="s">
        <v>658</v>
      </c>
      <c r="AA583">
        <v>1.18</v>
      </c>
      <c r="AB583">
        <v>28</v>
      </c>
      <c r="AC583">
        <v>12</v>
      </c>
      <c r="AD583">
        <v>19.05</v>
      </c>
      <c r="AE583" t="s">
        <v>1470</v>
      </c>
      <c r="AF583" t="s">
        <v>1071</v>
      </c>
      <c r="AG583" t="s">
        <v>3231</v>
      </c>
      <c r="AH583" t="s">
        <v>1193</v>
      </c>
      <c r="AI583">
        <v>6.72</v>
      </c>
      <c r="AJ583">
        <v>20.420000000000002</v>
      </c>
      <c r="AK583">
        <v>38.130000000000003</v>
      </c>
      <c r="AL583">
        <v>66.959999999999994</v>
      </c>
    </row>
    <row r="584" spans="1:38" x14ac:dyDescent="0.25">
      <c r="A584">
        <v>583</v>
      </c>
      <c r="B584" t="str">
        <f xml:space="preserve"> "300324"</f>
        <v>300324</v>
      </c>
      <c r="C584" t="s">
        <v>3232</v>
      </c>
      <c r="D584">
        <v>16.75</v>
      </c>
      <c r="E584">
        <v>0.6</v>
      </c>
      <c r="F584">
        <v>0.1</v>
      </c>
      <c r="G584" t="s">
        <v>2714</v>
      </c>
      <c r="H584">
        <v>545</v>
      </c>
      <c r="I584">
        <v>16.739999999999998</v>
      </c>
      <c r="J584">
        <v>16.75</v>
      </c>
      <c r="K584">
        <v>0</v>
      </c>
      <c r="L584">
        <v>0.59</v>
      </c>
      <c r="M584" t="s">
        <v>3233</v>
      </c>
      <c r="N584">
        <v>62.85</v>
      </c>
      <c r="O584" t="s">
        <v>893</v>
      </c>
      <c r="P584">
        <v>16.829999999999998</v>
      </c>
      <c r="Q584">
        <v>16.57</v>
      </c>
      <c r="R584">
        <v>16.649999999999999</v>
      </c>
      <c r="S584">
        <v>16.649999999999999</v>
      </c>
      <c r="T584">
        <v>1.56</v>
      </c>
      <c r="U584">
        <v>0.57999999999999996</v>
      </c>
      <c r="V584">
        <v>-79.89</v>
      </c>
      <c r="W584">
        <v>-1252</v>
      </c>
      <c r="X584">
        <v>16.670000000000002</v>
      </c>
      <c r="Y584" t="s">
        <v>468</v>
      </c>
      <c r="Z584" t="s">
        <v>3234</v>
      </c>
      <c r="AA584">
        <v>1.5</v>
      </c>
      <c r="AB584">
        <v>7</v>
      </c>
      <c r="AC584">
        <v>325</v>
      </c>
      <c r="AD584">
        <v>4</v>
      </c>
      <c r="AE584" t="s">
        <v>1132</v>
      </c>
      <c r="AF584" t="s">
        <v>1555</v>
      </c>
      <c r="AG584" t="s">
        <v>3235</v>
      </c>
      <c r="AH584" t="s">
        <v>3236</v>
      </c>
      <c r="AI584">
        <v>-1.24</v>
      </c>
      <c r="AJ584">
        <v>0</v>
      </c>
      <c r="AK584">
        <v>2.29</v>
      </c>
      <c r="AL584">
        <v>5.66</v>
      </c>
    </row>
    <row r="585" spans="1:38" x14ac:dyDescent="0.25">
      <c r="A585">
        <v>584</v>
      </c>
      <c r="B585" t="str">
        <f xml:space="preserve"> "002038"</f>
        <v>002038</v>
      </c>
      <c r="C585" t="s">
        <v>3237</v>
      </c>
      <c r="D585">
        <v>28.6</v>
      </c>
      <c r="E585">
        <v>-0.35</v>
      </c>
      <c r="F585">
        <v>-0.1</v>
      </c>
      <c r="G585" t="s">
        <v>2398</v>
      </c>
      <c r="H585">
        <v>627</v>
      </c>
      <c r="I585">
        <v>28.6</v>
      </c>
      <c r="J585">
        <v>28.61</v>
      </c>
      <c r="K585">
        <v>-0.03</v>
      </c>
      <c r="L585">
        <v>0.65</v>
      </c>
      <c r="M585" t="s">
        <v>1907</v>
      </c>
      <c r="N585">
        <v>42.08</v>
      </c>
      <c r="O585" t="s">
        <v>392</v>
      </c>
      <c r="P585">
        <v>28.94</v>
      </c>
      <c r="Q585">
        <v>28.51</v>
      </c>
      <c r="R585">
        <v>28.69</v>
      </c>
      <c r="S585">
        <v>28.7</v>
      </c>
      <c r="T585">
        <v>1.5</v>
      </c>
      <c r="U585">
        <v>0.72</v>
      </c>
      <c r="V585">
        <v>70.62</v>
      </c>
      <c r="W585">
        <v>524</v>
      </c>
      <c r="X585">
        <v>28.72</v>
      </c>
      <c r="Y585" t="s">
        <v>2383</v>
      </c>
      <c r="Z585" t="s">
        <v>3238</v>
      </c>
      <c r="AA585">
        <v>1.02</v>
      </c>
      <c r="AB585">
        <v>201</v>
      </c>
      <c r="AC585">
        <v>8</v>
      </c>
      <c r="AD585">
        <v>4.9000000000000004</v>
      </c>
      <c r="AE585" t="s">
        <v>2612</v>
      </c>
      <c r="AF585" t="s">
        <v>1555</v>
      </c>
      <c r="AG585" t="s">
        <v>3239</v>
      </c>
      <c r="AH585" t="s">
        <v>284</v>
      </c>
      <c r="AI585">
        <v>0.35</v>
      </c>
      <c r="AJ585">
        <v>5.38</v>
      </c>
      <c r="AK585">
        <v>2.85</v>
      </c>
      <c r="AL585">
        <v>5.13</v>
      </c>
    </row>
    <row r="586" spans="1:38" x14ac:dyDescent="0.25">
      <c r="A586">
        <v>585</v>
      </c>
      <c r="B586" t="str">
        <f xml:space="preserve"> "601003"</f>
        <v>601003</v>
      </c>
      <c r="C586" t="s">
        <v>3240</v>
      </c>
      <c r="D586">
        <v>7.63</v>
      </c>
      <c r="E586">
        <v>0.39</v>
      </c>
      <c r="F586">
        <v>0.03</v>
      </c>
      <c r="G586" t="s">
        <v>3241</v>
      </c>
      <c r="H586">
        <v>11</v>
      </c>
      <c r="I586">
        <v>7.62</v>
      </c>
      <c r="J586">
        <v>7.63</v>
      </c>
      <c r="K586">
        <v>-0.13</v>
      </c>
      <c r="L586">
        <v>2.3199999999999998</v>
      </c>
      <c r="M586" t="s">
        <v>3242</v>
      </c>
      <c r="N586">
        <v>24.71</v>
      </c>
      <c r="O586" t="s">
        <v>416</v>
      </c>
      <c r="P586">
        <v>7.8</v>
      </c>
      <c r="Q586">
        <v>7.37</v>
      </c>
      <c r="R586">
        <v>7.62</v>
      </c>
      <c r="S586">
        <v>7.6</v>
      </c>
      <c r="T586">
        <v>5.66</v>
      </c>
      <c r="U586">
        <v>1.41</v>
      </c>
      <c r="V586">
        <v>-20.399999999999999</v>
      </c>
      <c r="W586">
        <v>-1994</v>
      </c>
      <c r="X586">
        <v>7.6</v>
      </c>
      <c r="Y586" t="s">
        <v>560</v>
      </c>
      <c r="Z586" t="s">
        <v>2563</v>
      </c>
      <c r="AA586">
        <v>0.86</v>
      </c>
      <c r="AB586">
        <v>1133</v>
      </c>
      <c r="AC586">
        <v>789</v>
      </c>
      <c r="AD586">
        <v>3.95</v>
      </c>
      <c r="AE586" t="s">
        <v>3243</v>
      </c>
      <c r="AF586" t="s">
        <v>1555</v>
      </c>
      <c r="AG586" t="s">
        <v>3243</v>
      </c>
      <c r="AH586" t="s">
        <v>1555</v>
      </c>
      <c r="AI586">
        <v>6.71</v>
      </c>
      <c r="AJ586">
        <v>3.53</v>
      </c>
      <c r="AK586">
        <v>6.1</v>
      </c>
      <c r="AL586">
        <v>10.55</v>
      </c>
    </row>
    <row r="587" spans="1:38" x14ac:dyDescent="0.25">
      <c r="A587">
        <v>586</v>
      </c>
      <c r="B587" t="str">
        <f xml:space="preserve"> "600779"</f>
        <v>600779</v>
      </c>
      <c r="C587" t="s">
        <v>3244</v>
      </c>
      <c r="D587">
        <v>39.94</v>
      </c>
      <c r="E587">
        <v>-3.13</v>
      </c>
      <c r="F587">
        <v>-1.29</v>
      </c>
      <c r="G587" t="s">
        <v>727</v>
      </c>
      <c r="H587">
        <v>14</v>
      </c>
      <c r="I587">
        <v>39.92</v>
      </c>
      <c r="J587">
        <v>39.96</v>
      </c>
      <c r="K587">
        <v>-0.15</v>
      </c>
      <c r="L587">
        <v>2.02</v>
      </c>
      <c r="M587" t="s">
        <v>3245</v>
      </c>
      <c r="N587">
        <v>85.21</v>
      </c>
      <c r="O587" t="s">
        <v>123</v>
      </c>
      <c r="P587">
        <v>41.48</v>
      </c>
      <c r="Q587">
        <v>39.479999999999997</v>
      </c>
      <c r="R587">
        <v>41.04</v>
      </c>
      <c r="S587">
        <v>41.23</v>
      </c>
      <c r="T587">
        <v>4.8499999999999996</v>
      </c>
      <c r="U587">
        <v>1.28</v>
      </c>
      <c r="V587">
        <v>-74.05</v>
      </c>
      <c r="W587">
        <v>-274</v>
      </c>
      <c r="X587">
        <v>40.26</v>
      </c>
      <c r="Y587" t="s">
        <v>1698</v>
      </c>
      <c r="Z587" t="s">
        <v>624</v>
      </c>
      <c r="AA587">
        <v>1.46</v>
      </c>
      <c r="AB587">
        <v>5</v>
      </c>
      <c r="AC587">
        <v>2</v>
      </c>
      <c r="AD587">
        <v>17.2</v>
      </c>
      <c r="AE587" t="s">
        <v>2810</v>
      </c>
      <c r="AF587" t="s">
        <v>3246</v>
      </c>
      <c r="AG587" t="s">
        <v>2810</v>
      </c>
      <c r="AH587" t="s">
        <v>3246</v>
      </c>
      <c r="AI587">
        <v>-3.67</v>
      </c>
      <c r="AJ587">
        <v>-7.78</v>
      </c>
      <c r="AK587">
        <v>5.49</v>
      </c>
      <c r="AL587">
        <v>9.93</v>
      </c>
    </row>
    <row r="588" spans="1:38" x14ac:dyDescent="0.25">
      <c r="A588">
        <v>587</v>
      </c>
      <c r="B588" t="str">
        <f xml:space="preserve"> "600687"</f>
        <v>600687</v>
      </c>
      <c r="C588" t="s">
        <v>3247</v>
      </c>
      <c r="D588">
        <v>13.1</v>
      </c>
      <c r="E588">
        <v>0</v>
      </c>
      <c r="F588">
        <v>0</v>
      </c>
      <c r="G588" t="s">
        <v>113</v>
      </c>
      <c r="H588">
        <v>50</v>
      </c>
      <c r="I588">
        <v>13.08</v>
      </c>
      <c r="J588">
        <v>13.1</v>
      </c>
      <c r="K588">
        <v>-0.15</v>
      </c>
      <c r="L588">
        <v>0.2</v>
      </c>
      <c r="M588" t="s">
        <v>3248</v>
      </c>
      <c r="N588">
        <v>38.33</v>
      </c>
      <c r="O588" t="s">
        <v>788</v>
      </c>
      <c r="P588">
        <v>13.23</v>
      </c>
      <c r="Q588">
        <v>13.05</v>
      </c>
      <c r="R588">
        <v>13.1</v>
      </c>
      <c r="S588">
        <v>13.1</v>
      </c>
      <c r="T588">
        <v>1.37</v>
      </c>
      <c r="U588">
        <v>0.41</v>
      </c>
      <c r="V588">
        <v>26.77</v>
      </c>
      <c r="W588">
        <v>394</v>
      </c>
      <c r="X588">
        <v>13.12</v>
      </c>
      <c r="Y588" t="s">
        <v>2280</v>
      </c>
      <c r="Z588">
        <v>9100</v>
      </c>
      <c r="AA588">
        <v>1.36</v>
      </c>
      <c r="AB588">
        <v>192</v>
      </c>
      <c r="AC588">
        <v>73</v>
      </c>
      <c r="AD588">
        <v>3.38</v>
      </c>
      <c r="AE588" t="s">
        <v>2945</v>
      </c>
      <c r="AF588" t="s">
        <v>3246</v>
      </c>
      <c r="AG588" t="s">
        <v>352</v>
      </c>
      <c r="AH588" t="s">
        <v>1580</v>
      </c>
      <c r="AI588">
        <v>-3.39</v>
      </c>
      <c r="AJ588">
        <v>-3.89</v>
      </c>
      <c r="AK588">
        <v>1.1399999999999999</v>
      </c>
      <c r="AL588">
        <v>2.62</v>
      </c>
    </row>
    <row r="589" spans="1:38" x14ac:dyDescent="0.25">
      <c r="A589">
        <v>588</v>
      </c>
      <c r="B589" t="str">
        <f xml:space="preserve"> "002210"</f>
        <v>002210</v>
      </c>
      <c r="C589" t="s">
        <v>3249</v>
      </c>
      <c r="D589">
        <v>11.77</v>
      </c>
      <c r="E589">
        <v>1.38</v>
      </c>
      <c r="F589">
        <v>0.16</v>
      </c>
      <c r="G589" t="s">
        <v>1730</v>
      </c>
      <c r="H589">
        <v>3189</v>
      </c>
      <c r="I589">
        <v>11.77</v>
      </c>
      <c r="J589">
        <v>11.78</v>
      </c>
      <c r="K589">
        <v>0.09</v>
      </c>
      <c r="L589">
        <v>0.41</v>
      </c>
      <c r="M589" t="s">
        <v>3250</v>
      </c>
      <c r="N589">
        <v>69.48</v>
      </c>
      <c r="O589" t="s">
        <v>274</v>
      </c>
      <c r="P589">
        <v>11.84</v>
      </c>
      <c r="Q589">
        <v>11.51</v>
      </c>
      <c r="R589">
        <v>11.58</v>
      </c>
      <c r="S589">
        <v>11.61</v>
      </c>
      <c r="T589">
        <v>2.84</v>
      </c>
      <c r="U589">
        <v>1.28</v>
      </c>
      <c r="V589">
        <v>32.94</v>
      </c>
      <c r="W589">
        <v>1017</v>
      </c>
      <c r="X589">
        <v>11.67</v>
      </c>
      <c r="Y589" t="s">
        <v>3251</v>
      </c>
      <c r="Z589" t="s">
        <v>2116</v>
      </c>
      <c r="AA589">
        <v>0.55000000000000004</v>
      </c>
      <c r="AB589">
        <v>1104</v>
      </c>
      <c r="AC589">
        <v>47</v>
      </c>
      <c r="AD589">
        <v>4.8899999999999997</v>
      </c>
      <c r="AE589" t="s">
        <v>1889</v>
      </c>
      <c r="AF589" t="s">
        <v>3246</v>
      </c>
      <c r="AG589" t="s">
        <v>2683</v>
      </c>
      <c r="AH589" t="s">
        <v>1664</v>
      </c>
      <c r="AI589">
        <v>3.7</v>
      </c>
      <c r="AJ589">
        <v>5.09</v>
      </c>
      <c r="AK589">
        <v>1.38</v>
      </c>
      <c r="AL589">
        <v>2.0299999999999998</v>
      </c>
    </row>
    <row r="590" spans="1:38" x14ac:dyDescent="0.25">
      <c r="A590">
        <v>589</v>
      </c>
      <c r="B590" t="str">
        <f xml:space="preserve"> "002152"</f>
        <v>002152</v>
      </c>
      <c r="C590" t="s">
        <v>3252</v>
      </c>
      <c r="D590">
        <v>8</v>
      </c>
      <c r="E590">
        <v>-0.12</v>
      </c>
      <c r="F590">
        <v>-0.01</v>
      </c>
      <c r="G590" t="s">
        <v>102</v>
      </c>
      <c r="H590">
        <v>1099</v>
      </c>
      <c r="I590">
        <v>7.99</v>
      </c>
      <c r="J590">
        <v>8</v>
      </c>
      <c r="K590">
        <v>0</v>
      </c>
      <c r="L590">
        <v>0.57999999999999996</v>
      </c>
      <c r="M590" t="s">
        <v>3253</v>
      </c>
      <c r="N590">
        <v>18.25</v>
      </c>
      <c r="O590" t="s">
        <v>553</v>
      </c>
      <c r="P590">
        <v>8.0299999999999994</v>
      </c>
      <c r="Q590">
        <v>7.97</v>
      </c>
      <c r="R590">
        <v>8.01</v>
      </c>
      <c r="S590">
        <v>8.01</v>
      </c>
      <c r="T590">
        <v>0.75</v>
      </c>
      <c r="U590">
        <v>0.61</v>
      </c>
      <c r="V590">
        <v>-17.07</v>
      </c>
      <c r="W590">
        <v>-3581</v>
      </c>
      <c r="X590">
        <v>8</v>
      </c>
      <c r="Y590" t="s">
        <v>2276</v>
      </c>
      <c r="Z590" t="s">
        <v>2962</v>
      </c>
      <c r="AA590">
        <v>1.32</v>
      </c>
      <c r="AB590">
        <v>1672</v>
      </c>
      <c r="AC590">
        <v>4056</v>
      </c>
      <c r="AD590">
        <v>2.2599999999999998</v>
      </c>
      <c r="AE590" t="s">
        <v>1700</v>
      </c>
      <c r="AF590" t="s">
        <v>2051</v>
      </c>
      <c r="AG590" t="s">
        <v>931</v>
      </c>
      <c r="AH590" t="s">
        <v>651</v>
      </c>
      <c r="AI590">
        <v>-0.62</v>
      </c>
      <c r="AJ590">
        <v>2.56</v>
      </c>
      <c r="AK590">
        <v>2.84</v>
      </c>
      <c r="AL590">
        <v>5.31</v>
      </c>
    </row>
    <row r="591" spans="1:38" x14ac:dyDescent="0.25">
      <c r="A591">
        <v>590</v>
      </c>
      <c r="B591" t="str">
        <f xml:space="preserve"> "002389"</f>
        <v>002389</v>
      </c>
      <c r="C591" t="s">
        <v>3254</v>
      </c>
      <c r="D591">
        <v>27.4</v>
      </c>
      <c r="E591">
        <v>10</v>
      </c>
      <c r="F591">
        <v>2.4900000000000002</v>
      </c>
      <c r="G591" t="s">
        <v>3021</v>
      </c>
      <c r="H591">
        <v>52</v>
      </c>
      <c r="I591">
        <v>27.4</v>
      </c>
      <c r="J591" t="s">
        <v>616</v>
      </c>
      <c r="K591">
        <v>0</v>
      </c>
      <c r="L591">
        <v>6.11</v>
      </c>
      <c r="M591" t="s">
        <v>2531</v>
      </c>
      <c r="N591">
        <v>177.48</v>
      </c>
      <c r="O591" t="s">
        <v>380</v>
      </c>
      <c r="P591">
        <v>27.4</v>
      </c>
      <c r="Q591">
        <v>26.72</v>
      </c>
      <c r="R591">
        <v>27.4</v>
      </c>
      <c r="S591">
        <v>24.91</v>
      </c>
      <c r="T591">
        <v>2.73</v>
      </c>
      <c r="U591">
        <v>3.33</v>
      </c>
      <c r="V591">
        <v>100</v>
      </c>
      <c r="W591" t="s">
        <v>2240</v>
      </c>
      <c r="X591">
        <v>27.26</v>
      </c>
      <c r="Y591" t="s">
        <v>459</v>
      </c>
      <c r="Z591" t="s">
        <v>1772</v>
      </c>
      <c r="AA591">
        <v>1.57</v>
      </c>
      <c r="AB591" t="s">
        <v>3042</v>
      </c>
      <c r="AC591">
        <v>0</v>
      </c>
      <c r="AD591">
        <v>5.58</v>
      </c>
      <c r="AE591" t="s">
        <v>2746</v>
      </c>
      <c r="AF591" t="s">
        <v>2051</v>
      </c>
      <c r="AG591" t="s">
        <v>2622</v>
      </c>
      <c r="AH591" t="s">
        <v>812</v>
      </c>
      <c r="AI591">
        <v>0</v>
      </c>
      <c r="AJ591">
        <v>0</v>
      </c>
      <c r="AK591">
        <v>6.11</v>
      </c>
      <c r="AL591">
        <v>6.11</v>
      </c>
    </row>
    <row r="592" spans="1:38" x14ac:dyDescent="0.25">
      <c r="A592">
        <v>591</v>
      </c>
      <c r="B592" t="str">
        <f xml:space="preserve"> "600175"</f>
        <v>600175</v>
      </c>
      <c r="C592" t="s">
        <v>3255</v>
      </c>
      <c r="D592">
        <v>5.42</v>
      </c>
      <c r="E592">
        <v>0.56000000000000005</v>
      </c>
      <c r="F592">
        <v>0.03</v>
      </c>
      <c r="G592" t="s">
        <v>3256</v>
      </c>
      <c r="H592">
        <v>66</v>
      </c>
      <c r="I592">
        <v>5.41</v>
      </c>
      <c r="J592">
        <v>5.42</v>
      </c>
      <c r="K592">
        <v>0.37</v>
      </c>
      <c r="L592">
        <v>0.86</v>
      </c>
      <c r="M592" t="s">
        <v>2869</v>
      </c>
      <c r="N592">
        <v>434.8</v>
      </c>
      <c r="O592" t="s">
        <v>61</v>
      </c>
      <c r="P592">
        <v>5.43</v>
      </c>
      <c r="Q592">
        <v>5.33</v>
      </c>
      <c r="R592">
        <v>5.36</v>
      </c>
      <c r="S592">
        <v>5.39</v>
      </c>
      <c r="T592">
        <v>1.86</v>
      </c>
      <c r="U592">
        <v>0.55000000000000004</v>
      </c>
      <c r="V592">
        <v>-24.35</v>
      </c>
      <c r="W592">
        <v>-8399</v>
      </c>
      <c r="X592">
        <v>5.38</v>
      </c>
      <c r="Y592" t="s">
        <v>2394</v>
      </c>
      <c r="Z592" t="s">
        <v>2003</v>
      </c>
      <c r="AA592">
        <v>0.89</v>
      </c>
      <c r="AB592">
        <v>125</v>
      </c>
      <c r="AC592">
        <v>500</v>
      </c>
      <c r="AD592">
        <v>1.79</v>
      </c>
      <c r="AE592" t="s">
        <v>1975</v>
      </c>
      <c r="AF592" t="s">
        <v>2051</v>
      </c>
      <c r="AG592" t="s">
        <v>3257</v>
      </c>
      <c r="AH592" t="s">
        <v>834</v>
      </c>
      <c r="AI592">
        <v>2.0699999999999998</v>
      </c>
      <c r="AJ592">
        <v>4.43</v>
      </c>
      <c r="AK592">
        <v>4.76</v>
      </c>
      <c r="AL592">
        <v>8.68</v>
      </c>
    </row>
    <row r="593" spans="1:38" x14ac:dyDescent="0.25">
      <c r="A593">
        <v>592</v>
      </c>
      <c r="B593" t="str">
        <f xml:space="preserve"> "000717"</f>
        <v>000717</v>
      </c>
      <c r="C593" t="s">
        <v>3258</v>
      </c>
      <c r="D593">
        <v>8</v>
      </c>
      <c r="E593">
        <v>0</v>
      </c>
      <c r="F593">
        <v>0</v>
      </c>
      <c r="G593" t="s">
        <v>2995</v>
      </c>
      <c r="H593" t="s">
        <v>808</v>
      </c>
      <c r="I593">
        <v>8</v>
      </c>
      <c r="J593">
        <v>8.01</v>
      </c>
      <c r="K593">
        <v>0</v>
      </c>
      <c r="L593">
        <v>2.2999999999999998</v>
      </c>
      <c r="M593" t="s">
        <v>3259</v>
      </c>
      <c r="N593">
        <v>14.9</v>
      </c>
      <c r="O593" t="s">
        <v>416</v>
      </c>
      <c r="P593">
        <v>8.1</v>
      </c>
      <c r="Q593">
        <v>7.85</v>
      </c>
      <c r="R593">
        <v>7.96</v>
      </c>
      <c r="S593">
        <v>8</v>
      </c>
      <c r="T593">
        <v>3.13</v>
      </c>
      <c r="U593">
        <v>0.7</v>
      </c>
      <c r="V593">
        <v>-0.08</v>
      </c>
      <c r="W593">
        <v>-19</v>
      </c>
      <c r="X593">
        <v>7.96</v>
      </c>
      <c r="Y593" t="s">
        <v>1020</v>
      </c>
      <c r="Z593" t="s">
        <v>3008</v>
      </c>
      <c r="AA593">
        <v>0.99</v>
      </c>
      <c r="AB593">
        <v>5399</v>
      </c>
      <c r="AC593">
        <v>1439</v>
      </c>
      <c r="AD593">
        <v>17.46</v>
      </c>
      <c r="AE593" t="s">
        <v>1104</v>
      </c>
      <c r="AF593" t="s">
        <v>2051</v>
      </c>
      <c r="AG593" t="s">
        <v>1104</v>
      </c>
      <c r="AH593" t="s">
        <v>2051</v>
      </c>
      <c r="AI593">
        <v>1.39</v>
      </c>
      <c r="AJ593">
        <v>0.13</v>
      </c>
      <c r="AK593">
        <v>7.48</v>
      </c>
      <c r="AL593">
        <v>18.760000000000002</v>
      </c>
    </row>
    <row r="594" spans="1:38" x14ac:dyDescent="0.25">
      <c r="A594">
        <v>593</v>
      </c>
      <c r="B594" t="str">
        <f xml:space="preserve"> "600120"</f>
        <v>600120</v>
      </c>
      <c r="C594" t="s">
        <v>3260</v>
      </c>
      <c r="D594">
        <v>28.71</v>
      </c>
      <c r="E594">
        <v>-2.15</v>
      </c>
      <c r="F594">
        <v>-0.63</v>
      </c>
      <c r="G594" t="s">
        <v>1668</v>
      </c>
      <c r="H594">
        <v>15</v>
      </c>
      <c r="I594">
        <v>28.7</v>
      </c>
      <c r="J594">
        <v>28.71</v>
      </c>
      <c r="K594">
        <v>-0.1</v>
      </c>
      <c r="L594">
        <v>2.31</v>
      </c>
      <c r="M594" t="s">
        <v>3261</v>
      </c>
      <c r="N594">
        <v>25.22</v>
      </c>
      <c r="O594" t="s">
        <v>2001</v>
      </c>
      <c r="P594">
        <v>29.32</v>
      </c>
      <c r="Q594">
        <v>28.66</v>
      </c>
      <c r="R594">
        <v>29.16</v>
      </c>
      <c r="S594">
        <v>29.34</v>
      </c>
      <c r="T594">
        <v>2.25</v>
      </c>
      <c r="U594">
        <v>0.74</v>
      </c>
      <c r="V594">
        <v>36.14</v>
      </c>
      <c r="W594">
        <v>796</v>
      </c>
      <c r="X594">
        <v>28.96</v>
      </c>
      <c r="Y594" t="s">
        <v>3262</v>
      </c>
      <c r="Z594" t="s">
        <v>1739</v>
      </c>
      <c r="AA594">
        <v>1.82</v>
      </c>
      <c r="AB594">
        <v>160</v>
      </c>
      <c r="AC594">
        <v>266</v>
      </c>
      <c r="AD594">
        <v>2.0699999999999998</v>
      </c>
      <c r="AE594" t="s">
        <v>2791</v>
      </c>
      <c r="AF594" t="s">
        <v>2524</v>
      </c>
      <c r="AG594" t="s">
        <v>2320</v>
      </c>
      <c r="AH594" t="s">
        <v>575</v>
      </c>
      <c r="AI594">
        <v>-0.79</v>
      </c>
      <c r="AJ594">
        <v>2.17</v>
      </c>
      <c r="AK594">
        <v>10.26</v>
      </c>
      <c r="AL594">
        <v>17.95</v>
      </c>
    </row>
    <row r="595" spans="1:38" x14ac:dyDescent="0.25">
      <c r="A595">
        <v>594</v>
      </c>
      <c r="B595" t="str">
        <f xml:space="preserve"> "002681"</f>
        <v>002681</v>
      </c>
      <c r="C595" t="s">
        <v>3263</v>
      </c>
      <c r="D595">
        <v>13.66</v>
      </c>
      <c r="E595">
        <v>1.56</v>
      </c>
      <c r="F595">
        <v>0.21</v>
      </c>
      <c r="G595" t="s">
        <v>3264</v>
      </c>
      <c r="H595">
        <v>3564</v>
      </c>
      <c r="I595">
        <v>13.65</v>
      </c>
      <c r="J595">
        <v>13.66</v>
      </c>
      <c r="K595">
        <v>-7.0000000000000007E-2</v>
      </c>
      <c r="L595">
        <v>0.82</v>
      </c>
      <c r="M595" t="s">
        <v>3265</v>
      </c>
      <c r="N595">
        <v>74.41</v>
      </c>
      <c r="O595" t="s">
        <v>215</v>
      </c>
      <c r="P595">
        <v>13.79</v>
      </c>
      <c r="Q595">
        <v>13.3</v>
      </c>
      <c r="R595">
        <v>13.32</v>
      </c>
      <c r="S595">
        <v>13.45</v>
      </c>
      <c r="T595">
        <v>3.64</v>
      </c>
      <c r="U595">
        <v>0.73</v>
      </c>
      <c r="V595">
        <v>-92.82</v>
      </c>
      <c r="W595">
        <v>-9870</v>
      </c>
      <c r="X595">
        <v>13.42</v>
      </c>
      <c r="Y595" t="s">
        <v>3266</v>
      </c>
      <c r="Z595" t="s">
        <v>2022</v>
      </c>
      <c r="AA595">
        <v>0.92</v>
      </c>
      <c r="AB595">
        <v>34</v>
      </c>
      <c r="AC595">
        <v>1214</v>
      </c>
      <c r="AD595">
        <v>6.6</v>
      </c>
      <c r="AE595" t="s">
        <v>1715</v>
      </c>
      <c r="AF595" t="s">
        <v>2524</v>
      </c>
      <c r="AG595" t="s">
        <v>3267</v>
      </c>
      <c r="AH595" t="s">
        <v>3268</v>
      </c>
      <c r="AI595">
        <v>-0.73</v>
      </c>
      <c r="AJ595">
        <v>1.41</v>
      </c>
      <c r="AK595">
        <v>2.54</v>
      </c>
      <c r="AL595">
        <v>6.41</v>
      </c>
    </row>
    <row r="596" spans="1:38" x14ac:dyDescent="0.25">
      <c r="A596">
        <v>595</v>
      </c>
      <c r="B596" t="str">
        <f xml:space="preserve"> "601258"</f>
        <v>601258</v>
      </c>
      <c r="C596" t="s">
        <v>3269</v>
      </c>
      <c r="D596">
        <v>2.89</v>
      </c>
      <c r="E596">
        <v>0</v>
      </c>
      <c r="F596">
        <v>0</v>
      </c>
      <c r="G596" t="s">
        <v>179</v>
      </c>
      <c r="H596">
        <v>50</v>
      </c>
      <c r="I596">
        <v>2.89</v>
      </c>
      <c r="J596">
        <v>2.9</v>
      </c>
      <c r="K596">
        <v>-0.34</v>
      </c>
      <c r="L596">
        <v>0.52</v>
      </c>
      <c r="M596" t="s">
        <v>3270</v>
      </c>
      <c r="N596">
        <v>32.520000000000003</v>
      </c>
      <c r="O596" t="s">
        <v>532</v>
      </c>
      <c r="P596">
        <v>2.9</v>
      </c>
      <c r="Q596">
        <v>2.88</v>
      </c>
      <c r="R596">
        <v>2.88</v>
      </c>
      <c r="S596">
        <v>2.89</v>
      </c>
      <c r="T596">
        <v>0.69</v>
      </c>
      <c r="U596">
        <v>0.43</v>
      </c>
      <c r="V596">
        <v>-6.99</v>
      </c>
      <c r="W596" t="s">
        <v>3271</v>
      </c>
      <c r="X596">
        <v>2.89</v>
      </c>
      <c r="Y596" t="s">
        <v>378</v>
      </c>
      <c r="Z596" t="s">
        <v>1211</v>
      </c>
      <c r="AA596">
        <v>0.81</v>
      </c>
      <c r="AB596" t="s">
        <v>3272</v>
      </c>
      <c r="AC596" t="s">
        <v>3273</v>
      </c>
      <c r="AD596">
        <v>1.45</v>
      </c>
      <c r="AE596" t="s">
        <v>1311</v>
      </c>
      <c r="AF596" t="s">
        <v>2524</v>
      </c>
      <c r="AG596" t="s">
        <v>1867</v>
      </c>
      <c r="AH596" t="s">
        <v>3210</v>
      </c>
      <c r="AI596">
        <v>0</v>
      </c>
      <c r="AJ596">
        <v>2.12</v>
      </c>
      <c r="AK596">
        <v>3.15</v>
      </c>
      <c r="AL596">
        <v>6.46</v>
      </c>
    </row>
    <row r="597" spans="1:38" x14ac:dyDescent="0.25">
      <c r="A597">
        <v>596</v>
      </c>
      <c r="B597" t="str">
        <f xml:space="preserve"> "600811"</f>
        <v>600811</v>
      </c>
      <c r="C597" t="s">
        <v>3274</v>
      </c>
      <c r="D597">
        <v>5.19</v>
      </c>
      <c r="E597">
        <v>0.19</v>
      </c>
      <c r="F597">
        <v>0.01</v>
      </c>
      <c r="G597" t="s">
        <v>3275</v>
      </c>
      <c r="H597">
        <v>1</v>
      </c>
      <c r="I597">
        <v>5.18</v>
      </c>
      <c r="J597">
        <v>5.19</v>
      </c>
      <c r="K597">
        <v>0.19</v>
      </c>
      <c r="L597">
        <v>0.22</v>
      </c>
      <c r="M597" t="s">
        <v>3276</v>
      </c>
      <c r="N597">
        <v>23.87</v>
      </c>
      <c r="O597" t="s">
        <v>3277</v>
      </c>
      <c r="P597">
        <v>5.2</v>
      </c>
      <c r="Q597">
        <v>5.16</v>
      </c>
      <c r="R597">
        <v>5.18</v>
      </c>
      <c r="S597">
        <v>5.18</v>
      </c>
      <c r="T597">
        <v>0.77</v>
      </c>
      <c r="U597">
        <v>0.82</v>
      </c>
      <c r="V597">
        <v>-23.87</v>
      </c>
      <c r="W597">
        <v>-6929</v>
      </c>
      <c r="X597">
        <v>5.18</v>
      </c>
      <c r="Y597" t="s">
        <v>3180</v>
      </c>
      <c r="Z597" t="s">
        <v>1571</v>
      </c>
      <c r="AA597">
        <v>1.1399999999999999</v>
      </c>
      <c r="AB597">
        <v>1027</v>
      </c>
      <c r="AC597">
        <v>3936</v>
      </c>
      <c r="AD597">
        <v>0.98</v>
      </c>
      <c r="AE597" t="s">
        <v>1817</v>
      </c>
      <c r="AF597" t="s">
        <v>2524</v>
      </c>
      <c r="AG597" t="s">
        <v>3278</v>
      </c>
      <c r="AH597" t="s">
        <v>3279</v>
      </c>
      <c r="AI597">
        <v>-0.19</v>
      </c>
      <c r="AJ597">
        <v>0.97</v>
      </c>
      <c r="AK597">
        <v>0.75</v>
      </c>
      <c r="AL597">
        <v>1.56</v>
      </c>
    </row>
    <row r="598" spans="1:38" x14ac:dyDescent="0.25">
      <c r="A598">
        <v>597</v>
      </c>
      <c r="B598" t="str">
        <f xml:space="preserve"> "601139"</f>
        <v>601139</v>
      </c>
      <c r="C598" t="s">
        <v>3280</v>
      </c>
      <c r="D598">
        <v>8.69</v>
      </c>
      <c r="E598">
        <v>0.81</v>
      </c>
      <c r="F598">
        <v>7.0000000000000007E-2</v>
      </c>
      <c r="G598" t="s">
        <v>1286</v>
      </c>
      <c r="H598">
        <v>10</v>
      </c>
      <c r="I598">
        <v>8.68</v>
      </c>
      <c r="J598">
        <v>8.6999999999999993</v>
      </c>
      <c r="K598">
        <v>0</v>
      </c>
      <c r="L598">
        <v>0.16</v>
      </c>
      <c r="M598" t="s">
        <v>3281</v>
      </c>
      <c r="N598">
        <v>16.82</v>
      </c>
      <c r="O598" t="s">
        <v>2085</v>
      </c>
      <c r="P598">
        <v>8.7200000000000006</v>
      </c>
      <c r="Q598">
        <v>8.6199999999999992</v>
      </c>
      <c r="R598">
        <v>8.6300000000000008</v>
      </c>
      <c r="S598">
        <v>8.6199999999999992</v>
      </c>
      <c r="T598">
        <v>1.1599999999999999</v>
      </c>
      <c r="U598">
        <v>1.33</v>
      </c>
      <c r="V598">
        <v>2.36</v>
      </c>
      <c r="W598">
        <v>79</v>
      </c>
      <c r="X598">
        <v>8.67</v>
      </c>
      <c r="Y598" t="s">
        <v>530</v>
      </c>
      <c r="Z598" t="s">
        <v>1986</v>
      </c>
      <c r="AA598">
        <v>0.74</v>
      </c>
      <c r="AB598">
        <v>615</v>
      </c>
      <c r="AC598">
        <v>258</v>
      </c>
      <c r="AD598">
        <v>2.38</v>
      </c>
      <c r="AE598" t="s">
        <v>1254</v>
      </c>
      <c r="AF598" t="s">
        <v>2413</v>
      </c>
      <c r="AG598" t="s">
        <v>2277</v>
      </c>
      <c r="AH598" t="s">
        <v>2593</v>
      </c>
      <c r="AI598">
        <v>0.12</v>
      </c>
      <c r="AJ598">
        <v>0.57999999999999996</v>
      </c>
      <c r="AK598">
        <v>0.43</v>
      </c>
      <c r="AL598">
        <v>0.77</v>
      </c>
    </row>
    <row r="599" spans="1:38" x14ac:dyDescent="0.25">
      <c r="A599">
        <v>598</v>
      </c>
      <c r="B599" t="str">
        <f xml:space="preserve"> "002600"</f>
        <v>002600</v>
      </c>
      <c r="C599" t="s">
        <v>3282</v>
      </c>
      <c r="D599">
        <v>8.17</v>
      </c>
      <c r="E599">
        <v>2.5099999999999998</v>
      </c>
      <c r="F599">
        <v>0.2</v>
      </c>
      <c r="G599" t="s">
        <v>1045</v>
      </c>
      <c r="H599">
        <v>3363</v>
      </c>
      <c r="I599">
        <v>8.16</v>
      </c>
      <c r="J599">
        <v>8.17</v>
      </c>
      <c r="K599">
        <v>0</v>
      </c>
      <c r="L599">
        <v>2.5099999999999998</v>
      </c>
      <c r="M599" t="s">
        <v>159</v>
      </c>
      <c r="N599">
        <v>71.89</v>
      </c>
      <c r="O599" t="s">
        <v>859</v>
      </c>
      <c r="P599">
        <v>8.24</v>
      </c>
      <c r="Q599">
        <v>7.97</v>
      </c>
      <c r="R599">
        <v>7.97</v>
      </c>
      <c r="S599">
        <v>7.97</v>
      </c>
      <c r="T599">
        <v>3.39</v>
      </c>
      <c r="U599">
        <v>1.1599999999999999</v>
      </c>
      <c r="V599">
        <v>-54.78</v>
      </c>
      <c r="W599" t="s">
        <v>3283</v>
      </c>
      <c r="X599">
        <v>8.1300000000000008</v>
      </c>
      <c r="Y599" t="s">
        <v>1627</v>
      </c>
      <c r="Z599" t="s">
        <v>158</v>
      </c>
      <c r="AA599">
        <v>0.6</v>
      </c>
      <c r="AB599">
        <v>1231</v>
      </c>
      <c r="AC599">
        <v>3144</v>
      </c>
      <c r="AD599">
        <v>3.73</v>
      </c>
      <c r="AE599" t="s">
        <v>3284</v>
      </c>
      <c r="AF599" t="s">
        <v>2413</v>
      </c>
      <c r="AG599" t="s">
        <v>3285</v>
      </c>
      <c r="AH599" t="s">
        <v>2006</v>
      </c>
      <c r="AI599">
        <v>-1.33</v>
      </c>
      <c r="AJ599">
        <v>-0.24</v>
      </c>
      <c r="AK599">
        <v>7.18</v>
      </c>
      <c r="AL599">
        <v>13.27</v>
      </c>
    </row>
    <row r="600" spans="1:38" x14ac:dyDescent="0.25">
      <c r="A600">
        <v>599</v>
      </c>
      <c r="B600" t="str">
        <f xml:space="preserve"> "601949"</f>
        <v>601949</v>
      </c>
      <c r="C600" t="s">
        <v>3286</v>
      </c>
      <c r="D600">
        <v>10.54</v>
      </c>
      <c r="E600">
        <v>0.48</v>
      </c>
      <c r="F600">
        <v>0.05</v>
      </c>
      <c r="G600" t="s">
        <v>1045</v>
      </c>
      <c r="H600">
        <v>173</v>
      </c>
      <c r="I600">
        <v>10.53</v>
      </c>
      <c r="J600">
        <v>10.54</v>
      </c>
      <c r="K600">
        <v>0</v>
      </c>
      <c r="L600">
        <v>9.1199999999999992</v>
      </c>
      <c r="M600" t="s">
        <v>3287</v>
      </c>
      <c r="N600">
        <v>248.32</v>
      </c>
      <c r="O600" t="s">
        <v>1126</v>
      </c>
      <c r="P600">
        <v>10.82</v>
      </c>
      <c r="Q600">
        <v>10.29</v>
      </c>
      <c r="R600">
        <v>10.4</v>
      </c>
      <c r="S600">
        <v>10.49</v>
      </c>
      <c r="T600">
        <v>5.05</v>
      </c>
      <c r="U600">
        <v>1.1000000000000001</v>
      </c>
      <c r="V600">
        <v>28.55</v>
      </c>
      <c r="W600">
        <v>2570</v>
      </c>
      <c r="X600">
        <v>10.59</v>
      </c>
      <c r="Y600" t="s">
        <v>3288</v>
      </c>
      <c r="Z600" t="s">
        <v>1105</v>
      </c>
      <c r="AA600">
        <v>1.04</v>
      </c>
      <c r="AB600">
        <v>557</v>
      </c>
      <c r="AC600">
        <v>228</v>
      </c>
      <c r="AD600">
        <v>3.58</v>
      </c>
      <c r="AE600" t="s">
        <v>3289</v>
      </c>
      <c r="AF600" t="s">
        <v>2413</v>
      </c>
      <c r="AG600" t="s">
        <v>2465</v>
      </c>
      <c r="AH600" t="s">
        <v>3290</v>
      </c>
      <c r="AI600">
        <v>0.86</v>
      </c>
      <c r="AJ600">
        <v>5.51</v>
      </c>
      <c r="AK600">
        <v>24.78</v>
      </c>
      <c r="AL600">
        <v>50.62</v>
      </c>
    </row>
    <row r="601" spans="1:38" x14ac:dyDescent="0.25">
      <c r="A601">
        <v>600</v>
      </c>
      <c r="B601" t="str">
        <f xml:space="preserve"> "600094"</f>
        <v>600094</v>
      </c>
      <c r="C601" t="s">
        <v>3291</v>
      </c>
      <c r="D601">
        <v>7.76</v>
      </c>
      <c r="E601">
        <v>0.52</v>
      </c>
      <c r="F601">
        <v>0.04</v>
      </c>
      <c r="G601" t="s">
        <v>2202</v>
      </c>
      <c r="H601">
        <v>33</v>
      </c>
      <c r="I601">
        <v>7.76</v>
      </c>
      <c r="J601">
        <v>7.77</v>
      </c>
      <c r="K601">
        <v>-0.13</v>
      </c>
      <c r="L601">
        <v>0.1</v>
      </c>
      <c r="M601" t="s">
        <v>3292</v>
      </c>
      <c r="N601">
        <v>29.92</v>
      </c>
      <c r="O601" t="s">
        <v>244</v>
      </c>
      <c r="P601">
        <v>7.79</v>
      </c>
      <c r="Q601">
        <v>7.71</v>
      </c>
      <c r="R601">
        <v>7.71</v>
      </c>
      <c r="S601">
        <v>7.72</v>
      </c>
      <c r="T601">
        <v>1.04</v>
      </c>
      <c r="U601">
        <v>0.46</v>
      </c>
      <c r="V601">
        <v>-59.29</v>
      </c>
      <c r="W601">
        <v>-4844</v>
      </c>
      <c r="X601">
        <v>7.76</v>
      </c>
      <c r="Y601">
        <v>9773</v>
      </c>
      <c r="Z601" t="s">
        <v>1579</v>
      </c>
      <c r="AA601">
        <v>0.71</v>
      </c>
      <c r="AB601">
        <v>3</v>
      </c>
      <c r="AC601">
        <v>596</v>
      </c>
      <c r="AD601">
        <v>1.83</v>
      </c>
      <c r="AE601" t="s">
        <v>3293</v>
      </c>
      <c r="AF601" t="s">
        <v>2413</v>
      </c>
      <c r="AG601" t="s">
        <v>1681</v>
      </c>
      <c r="AH601" t="s">
        <v>1092</v>
      </c>
      <c r="AI601">
        <v>-1.02</v>
      </c>
      <c r="AJ601">
        <v>-1.1499999999999999</v>
      </c>
      <c r="AK601">
        <v>0.56000000000000005</v>
      </c>
      <c r="AL601">
        <v>1.24</v>
      </c>
    </row>
    <row r="602" spans="1:38" x14ac:dyDescent="0.25">
      <c r="A602">
        <v>601</v>
      </c>
      <c r="B602" t="str">
        <f xml:space="preserve"> "601200"</f>
        <v>601200</v>
      </c>
      <c r="C602" t="s">
        <v>3294</v>
      </c>
      <c r="D602">
        <v>27.31</v>
      </c>
      <c r="E602">
        <v>9.99</v>
      </c>
      <c r="F602">
        <v>2.48</v>
      </c>
      <c r="G602" t="s">
        <v>3295</v>
      </c>
      <c r="H602">
        <v>50</v>
      </c>
      <c r="I602">
        <v>27.31</v>
      </c>
      <c r="J602" t="s">
        <v>616</v>
      </c>
      <c r="K602">
        <v>0</v>
      </c>
      <c r="L602">
        <v>6.13</v>
      </c>
      <c r="M602" t="s">
        <v>888</v>
      </c>
      <c r="N602">
        <v>32.03</v>
      </c>
      <c r="O602" t="s">
        <v>1155</v>
      </c>
      <c r="P602">
        <v>27.31</v>
      </c>
      <c r="Q602">
        <v>24.82</v>
      </c>
      <c r="R602">
        <v>24.88</v>
      </c>
      <c r="S602">
        <v>24.83</v>
      </c>
      <c r="T602">
        <v>10.029999999999999</v>
      </c>
      <c r="U602">
        <v>7.32</v>
      </c>
      <c r="V602">
        <v>100</v>
      </c>
      <c r="W602" t="s">
        <v>1489</v>
      </c>
      <c r="X602">
        <v>26.47</v>
      </c>
      <c r="Y602" t="s">
        <v>3296</v>
      </c>
      <c r="Z602" t="s">
        <v>115</v>
      </c>
      <c r="AA602">
        <v>0.9</v>
      </c>
      <c r="AB602" t="s">
        <v>3297</v>
      </c>
      <c r="AC602">
        <v>0</v>
      </c>
      <c r="AD602">
        <v>3.7</v>
      </c>
      <c r="AE602" t="s">
        <v>448</v>
      </c>
      <c r="AF602" t="s">
        <v>2413</v>
      </c>
      <c r="AG602" t="s">
        <v>1490</v>
      </c>
      <c r="AH602" t="s">
        <v>637</v>
      </c>
      <c r="AI602">
        <v>8.2899999999999991</v>
      </c>
      <c r="AJ602">
        <v>11.15</v>
      </c>
      <c r="AK602">
        <v>7.65</v>
      </c>
      <c r="AL602">
        <v>10.32</v>
      </c>
    </row>
    <row r="603" spans="1:38" x14ac:dyDescent="0.25">
      <c r="A603">
        <v>602</v>
      </c>
      <c r="B603" t="str">
        <f xml:space="preserve"> "600755"</f>
        <v>600755</v>
      </c>
      <c r="C603" t="s">
        <v>3298</v>
      </c>
      <c r="D603">
        <v>10.8</v>
      </c>
      <c r="E603">
        <v>-1.1000000000000001</v>
      </c>
      <c r="F603">
        <v>-0.12</v>
      </c>
      <c r="G603" t="s">
        <v>3299</v>
      </c>
      <c r="H603">
        <v>194</v>
      </c>
      <c r="I603">
        <v>10.79</v>
      </c>
      <c r="J603">
        <v>10.8</v>
      </c>
      <c r="K603">
        <v>-0.18</v>
      </c>
      <c r="L603">
        <v>2.25</v>
      </c>
      <c r="M603" t="s">
        <v>3300</v>
      </c>
      <c r="N603">
        <v>12.16</v>
      </c>
      <c r="O603" t="s">
        <v>2001</v>
      </c>
      <c r="P603">
        <v>10.98</v>
      </c>
      <c r="Q603">
        <v>10.77</v>
      </c>
      <c r="R603">
        <v>10.95</v>
      </c>
      <c r="S603">
        <v>10.92</v>
      </c>
      <c r="T603">
        <v>1.92</v>
      </c>
      <c r="U603">
        <v>0.59</v>
      </c>
      <c r="V603">
        <v>37.15</v>
      </c>
      <c r="W603">
        <v>8782</v>
      </c>
      <c r="X603">
        <v>10.84</v>
      </c>
      <c r="Y603" t="s">
        <v>142</v>
      </c>
      <c r="Z603" t="s">
        <v>1861</v>
      </c>
      <c r="AA603">
        <v>1.56</v>
      </c>
      <c r="AB603">
        <v>4057</v>
      </c>
      <c r="AC603">
        <v>1805</v>
      </c>
      <c r="AD603">
        <v>2.15</v>
      </c>
      <c r="AE603" t="s">
        <v>1713</v>
      </c>
      <c r="AF603" t="s">
        <v>2413</v>
      </c>
      <c r="AG603" t="s">
        <v>1713</v>
      </c>
      <c r="AH603" t="s">
        <v>2413</v>
      </c>
      <c r="AI603">
        <v>-1.37</v>
      </c>
      <c r="AJ603">
        <v>11.11</v>
      </c>
      <c r="AK603">
        <v>9.7799999999999994</v>
      </c>
      <c r="AL603">
        <v>21.39</v>
      </c>
    </row>
    <row r="604" spans="1:38" x14ac:dyDescent="0.25">
      <c r="A604">
        <v>603</v>
      </c>
      <c r="B604" t="str">
        <f xml:space="preserve"> "000009"</f>
        <v>000009</v>
      </c>
      <c r="C604" t="s">
        <v>3301</v>
      </c>
      <c r="D604">
        <v>8.91</v>
      </c>
      <c r="E604">
        <v>0.91</v>
      </c>
      <c r="F604">
        <v>0.08</v>
      </c>
      <c r="G604" t="s">
        <v>1105</v>
      </c>
      <c r="H604">
        <v>1009</v>
      </c>
      <c r="I604">
        <v>8.91</v>
      </c>
      <c r="J604">
        <v>8.92</v>
      </c>
      <c r="K604">
        <v>-0.11</v>
      </c>
      <c r="L604">
        <v>0.77</v>
      </c>
      <c r="M604" t="s">
        <v>1862</v>
      </c>
      <c r="N604">
        <v>119.57</v>
      </c>
      <c r="O604" t="s">
        <v>244</v>
      </c>
      <c r="P604">
        <v>9</v>
      </c>
      <c r="Q604">
        <v>8.84</v>
      </c>
      <c r="R604">
        <v>8.84</v>
      </c>
      <c r="S604">
        <v>8.83</v>
      </c>
      <c r="T604">
        <v>1.81</v>
      </c>
      <c r="U604">
        <v>0.53</v>
      </c>
      <c r="V604">
        <v>-15.87</v>
      </c>
      <c r="W604">
        <v>-2572</v>
      </c>
      <c r="X604">
        <v>8.93</v>
      </c>
      <c r="Y604" t="s">
        <v>3302</v>
      </c>
      <c r="Z604" t="s">
        <v>2340</v>
      </c>
      <c r="AA604">
        <v>1.01</v>
      </c>
      <c r="AB604">
        <v>1413</v>
      </c>
      <c r="AC604">
        <v>1238</v>
      </c>
      <c r="AD604">
        <v>4.26</v>
      </c>
      <c r="AE604" t="s">
        <v>1335</v>
      </c>
      <c r="AF604" t="s">
        <v>2413</v>
      </c>
      <c r="AG604" t="s">
        <v>1896</v>
      </c>
      <c r="AH604" t="s">
        <v>3210</v>
      </c>
      <c r="AI604">
        <v>-3.36</v>
      </c>
      <c r="AJ604">
        <v>-0.89</v>
      </c>
      <c r="AK604">
        <v>3.77</v>
      </c>
      <c r="AL604">
        <v>8.06</v>
      </c>
    </row>
    <row r="605" spans="1:38" x14ac:dyDescent="0.25">
      <c r="A605">
        <v>604</v>
      </c>
      <c r="B605" t="str">
        <f xml:space="preserve"> "600062"</f>
        <v>600062</v>
      </c>
      <c r="C605" t="s">
        <v>3303</v>
      </c>
      <c r="D605">
        <v>22</v>
      </c>
      <c r="E605">
        <v>-0.54</v>
      </c>
      <c r="F605">
        <v>-0.12</v>
      </c>
      <c r="G605" t="s">
        <v>882</v>
      </c>
      <c r="H605">
        <v>1</v>
      </c>
      <c r="I605">
        <v>21.99</v>
      </c>
      <c r="J605">
        <v>22</v>
      </c>
      <c r="K605">
        <v>0</v>
      </c>
      <c r="L605">
        <v>0.75</v>
      </c>
      <c r="M605" t="s">
        <v>2869</v>
      </c>
      <c r="N605">
        <v>18.36</v>
      </c>
      <c r="O605" t="s">
        <v>392</v>
      </c>
      <c r="P605">
        <v>22.25</v>
      </c>
      <c r="Q605">
        <v>21.86</v>
      </c>
      <c r="R605">
        <v>22.11</v>
      </c>
      <c r="S605">
        <v>22.12</v>
      </c>
      <c r="T605">
        <v>1.76</v>
      </c>
      <c r="U605">
        <v>0.66</v>
      </c>
      <c r="V605">
        <v>23.34</v>
      </c>
      <c r="W605">
        <v>168</v>
      </c>
      <c r="X605">
        <v>22.04</v>
      </c>
      <c r="Y605" t="s">
        <v>2786</v>
      </c>
      <c r="Z605" t="s">
        <v>1705</v>
      </c>
      <c r="AA605">
        <v>0.9</v>
      </c>
      <c r="AB605">
        <v>8</v>
      </c>
      <c r="AC605">
        <v>96</v>
      </c>
      <c r="AD605">
        <v>2.71</v>
      </c>
      <c r="AE605" t="s">
        <v>1535</v>
      </c>
      <c r="AF605" t="s">
        <v>181</v>
      </c>
      <c r="AG605" t="s">
        <v>3304</v>
      </c>
      <c r="AH605" t="s">
        <v>1664</v>
      </c>
      <c r="AI605">
        <v>2.09</v>
      </c>
      <c r="AJ605">
        <v>5.67</v>
      </c>
      <c r="AK605">
        <v>3.78</v>
      </c>
      <c r="AL605">
        <v>6.47</v>
      </c>
    </row>
    <row r="606" spans="1:38" x14ac:dyDescent="0.25">
      <c r="A606">
        <v>605</v>
      </c>
      <c r="B606" t="str">
        <f xml:space="preserve"> "000923"</f>
        <v>000923</v>
      </c>
      <c r="C606" t="s">
        <v>3305</v>
      </c>
      <c r="D606">
        <v>29.28</v>
      </c>
      <c r="E606">
        <v>-0.41</v>
      </c>
      <c r="F606">
        <v>-0.12</v>
      </c>
      <c r="G606" t="s">
        <v>3306</v>
      </c>
      <c r="H606">
        <v>880</v>
      </c>
      <c r="I606">
        <v>29.28</v>
      </c>
      <c r="J606">
        <v>29.29</v>
      </c>
      <c r="K606">
        <v>0</v>
      </c>
      <c r="L606">
        <v>2.39</v>
      </c>
      <c r="M606" t="s">
        <v>746</v>
      </c>
      <c r="N606">
        <v>-990.59</v>
      </c>
      <c r="O606" t="s">
        <v>648</v>
      </c>
      <c r="P606">
        <v>29.54</v>
      </c>
      <c r="Q606">
        <v>28.8</v>
      </c>
      <c r="R606">
        <v>29.08</v>
      </c>
      <c r="S606">
        <v>29.4</v>
      </c>
      <c r="T606">
        <v>2.52</v>
      </c>
      <c r="U606">
        <v>1.1299999999999999</v>
      </c>
      <c r="V606">
        <v>-26.73</v>
      </c>
      <c r="W606">
        <v>-289</v>
      </c>
      <c r="X606">
        <v>29.09</v>
      </c>
      <c r="Y606" t="s">
        <v>1341</v>
      </c>
      <c r="Z606" t="s">
        <v>1416</v>
      </c>
      <c r="AA606">
        <v>1.1599999999999999</v>
      </c>
      <c r="AB606">
        <v>85</v>
      </c>
      <c r="AC606">
        <v>423</v>
      </c>
      <c r="AD606">
        <v>47.86</v>
      </c>
      <c r="AE606" t="s">
        <v>858</v>
      </c>
      <c r="AF606" t="s">
        <v>181</v>
      </c>
      <c r="AG606" t="s">
        <v>1965</v>
      </c>
      <c r="AH606" t="s">
        <v>557</v>
      </c>
      <c r="AI606">
        <v>1.1399999999999999</v>
      </c>
      <c r="AJ606">
        <v>5.9</v>
      </c>
      <c r="AK606">
        <v>8.14</v>
      </c>
      <c r="AL606">
        <v>13.01</v>
      </c>
    </row>
    <row r="607" spans="1:38" x14ac:dyDescent="0.25">
      <c r="A607">
        <v>606</v>
      </c>
      <c r="B607" t="str">
        <f xml:space="preserve"> "002183"</f>
        <v>002183</v>
      </c>
      <c r="C607" t="s">
        <v>3307</v>
      </c>
      <c r="D607">
        <v>9</v>
      </c>
      <c r="E607">
        <v>0.67</v>
      </c>
      <c r="F607">
        <v>0.06</v>
      </c>
      <c r="G607" t="s">
        <v>2627</v>
      </c>
      <c r="H607">
        <v>6372</v>
      </c>
      <c r="I607">
        <v>9</v>
      </c>
      <c r="J607">
        <v>9.01</v>
      </c>
      <c r="K607">
        <v>0.11</v>
      </c>
      <c r="L607">
        <v>1.1000000000000001</v>
      </c>
      <c r="M607" t="s">
        <v>2519</v>
      </c>
      <c r="N607">
        <v>28.89</v>
      </c>
      <c r="O607" t="s">
        <v>2001</v>
      </c>
      <c r="P607">
        <v>9.08</v>
      </c>
      <c r="Q607">
        <v>8.9</v>
      </c>
      <c r="R607">
        <v>8.94</v>
      </c>
      <c r="S607">
        <v>8.94</v>
      </c>
      <c r="T607">
        <v>2.0099999999999998</v>
      </c>
      <c r="U607">
        <v>0.71</v>
      </c>
      <c r="V607">
        <v>7.41</v>
      </c>
      <c r="W607">
        <v>1750</v>
      </c>
      <c r="X607">
        <v>8.99</v>
      </c>
      <c r="Y607" t="s">
        <v>442</v>
      </c>
      <c r="Z607" t="s">
        <v>132</v>
      </c>
      <c r="AA607">
        <v>0.98</v>
      </c>
      <c r="AB607">
        <v>6263</v>
      </c>
      <c r="AC607">
        <v>1296</v>
      </c>
      <c r="AD607">
        <v>3.37</v>
      </c>
      <c r="AE607" t="s">
        <v>1896</v>
      </c>
      <c r="AF607" t="s">
        <v>181</v>
      </c>
      <c r="AG607" t="s">
        <v>1896</v>
      </c>
      <c r="AH607" t="s">
        <v>181</v>
      </c>
      <c r="AI607">
        <v>1.24</v>
      </c>
      <c r="AJ607">
        <v>7.27</v>
      </c>
      <c r="AK607">
        <v>5.24</v>
      </c>
      <c r="AL607">
        <v>8.8699999999999992</v>
      </c>
    </row>
    <row r="608" spans="1:38" x14ac:dyDescent="0.25">
      <c r="A608">
        <v>607</v>
      </c>
      <c r="B608" t="str">
        <f xml:space="preserve"> "002354"</f>
        <v>002354</v>
      </c>
      <c r="C608" t="s">
        <v>3308</v>
      </c>
      <c r="D608">
        <v>21.29</v>
      </c>
      <c r="E608">
        <v>0.42</v>
      </c>
      <c r="F608">
        <v>0.09</v>
      </c>
      <c r="G608" t="s">
        <v>3309</v>
      </c>
      <c r="H608">
        <v>954</v>
      </c>
      <c r="I608">
        <v>21.29</v>
      </c>
      <c r="J608">
        <v>21.3</v>
      </c>
      <c r="K608">
        <v>0.09</v>
      </c>
      <c r="L608">
        <v>1.72</v>
      </c>
      <c r="M608" t="s">
        <v>3310</v>
      </c>
      <c r="N608">
        <v>18.89</v>
      </c>
      <c r="O608" t="s">
        <v>553</v>
      </c>
      <c r="P608">
        <v>21.46</v>
      </c>
      <c r="Q608">
        <v>21.15</v>
      </c>
      <c r="R608">
        <v>21.21</v>
      </c>
      <c r="S608">
        <v>21.2</v>
      </c>
      <c r="T608">
        <v>1.46</v>
      </c>
      <c r="U608">
        <v>0.95</v>
      </c>
      <c r="V608">
        <v>46.63</v>
      </c>
      <c r="W608">
        <v>2526</v>
      </c>
      <c r="X608">
        <v>21.3</v>
      </c>
      <c r="Y608" t="s">
        <v>2458</v>
      </c>
      <c r="Z608" t="s">
        <v>1570</v>
      </c>
      <c r="AA608">
        <v>0.82</v>
      </c>
      <c r="AB608">
        <v>17</v>
      </c>
      <c r="AC608">
        <v>21</v>
      </c>
      <c r="AD608">
        <v>2.37</v>
      </c>
      <c r="AE608" t="s">
        <v>3186</v>
      </c>
      <c r="AF608" t="s">
        <v>181</v>
      </c>
      <c r="AG608" t="s">
        <v>2979</v>
      </c>
      <c r="AH608" t="s">
        <v>3311</v>
      </c>
      <c r="AI608">
        <v>1.67</v>
      </c>
      <c r="AJ608">
        <v>6.45</v>
      </c>
      <c r="AK608">
        <v>5.83</v>
      </c>
      <c r="AL608">
        <v>10.77</v>
      </c>
    </row>
    <row r="609" spans="1:38" x14ac:dyDescent="0.25">
      <c r="A609">
        <v>608</v>
      </c>
      <c r="B609" t="str">
        <f xml:space="preserve"> "600388"</f>
        <v>600388</v>
      </c>
      <c r="C609" t="s">
        <v>3312</v>
      </c>
      <c r="D609">
        <v>17.809999999999999</v>
      </c>
      <c r="E609">
        <v>6.97</v>
      </c>
      <c r="F609">
        <v>1.1599999999999999</v>
      </c>
      <c r="G609" t="s">
        <v>3313</v>
      </c>
      <c r="H609">
        <v>5</v>
      </c>
      <c r="I609">
        <v>17.82</v>
      </c>
      <c r="J609">
        <v>17.829999999999998</v>
      </c>
      <c r="K609">
        <v>-0.22</v>
      </c>
      <c r="L609">
        <v>4.05</v>
      </c>
      <c r="M609" t="s">
        <v>3314</v>
      </c>
      <c r="N609">
        <v>42.17</v>
      </c>
      <c r="O609" t="s">
        <v>648</v>
      </c>
      <c r="P609">
        <v>18.239999999999998</v>
      </c>
      <c r="Q609">
        <v>16.46</v>
      </c>
      <c r="R609">
        <v>16.71</v>
      </c>
      <c r="S609">
        <v>16.649999999999999</v>
      </c>
      <c r="T609">
        <v>10.69</v>
      </c>
      <c r="U609">
        <v>3.06</v>
      </c>
      <c r="V609">
        <v>-69.61</v>
      </c>
      <c r="W609">
        <v>-2250</v>
      </c>
      <c r="X609">
        <v>17.45</v>
      </c>
      <c r="Y609" t="s">
        <v>2470</v>
      </c>
      <c r="Z609" t="s">
        <v>3315</v>
      </c>
      <c r="AA609">
        <v>0.63</v>
      </c>
      <c r="AB609">
        <v>111</v>
      </c>
      <c r="AC609">
        <v>403</v>
      </c>
      <c r="AD609">
        <v>4.9800000000000004</v>
      </c>
      <c r="AE609" t="s">
        <v>1429</v>
      </c>
      <c r="AF609" t="s">
        <v>2593</v>
      </c>
      <c r="AG609" t="s">
        <v>1429</v>
      </c>
      <c r="AH609" t="s">
        <v>2593</v>
      </c>
      <c r="AI609">
        <v>2.2400000000000002</v>
      </c>
      <c r="AJ609">
        <v>6.97</v>
      </c>
      <c r="AK609">
        <v>6.53</v>
      </c>
      <c r="AL609">
        <v>10.66</v>
      </c>
    </row>
    <row r="610" spans="1:38" x14ac:dyDescent="0.25">
      <c r="A610">
        <v>609</v>
      </c>
      <c r="B610" t="str">
        <f xml:space="preserve"> "600007"</f>
        <v>600007</v>
      </c>
      <c r="C610" t="s">
        <v>3316</v>
      </c>
      <c r="D610">
        <v>18.89</v>
      </c>
      <c r="E610">
        <v>-0.11</v>
      </c>
      <c r="F610">
        <v>-0.02</v>
      </c>
      <c r="G610">
        <v>5874</v>
      </c>
      <c r="H610">
        <v>10</v>
      </c>
      <c r="I610">
        <v>18.86</v>
      </c>
      <c r="J610">
        <v>18.91</v>
      </c>
      <c r="K610">
        <v>-0.16</v>
      </c>
      <c r="L610">
        <v>0.06</v>
      </c>
      <c r="M610" t="s">
        <v>3317</v>
      </c>
      <c r="N610">
        <v>32.25</v>
      </c>
      <c r="O610" t="s">
        <v>244</v>
      </c>
      <c r="P610">
        <v>18.98</v>
      </c>
      <c r="Q610">
        <v>18.8</v>
      </c>
      <c r="R610">
        <v>18.91</v>
      </c>
      <c r="S610">
        <v>18.91</v>
      </c>
      <c r="T610">
        <v>0.95</v>
      </c>
      <c r="U610">
        <v>1.08</v>
      </c>
      <c r="V610">
        <v>-22.51</v>
      </c>
      <c r="W610">
        <v>-103</v>
      </c>
      <c r="X610">
        <v>18.89</v>
      </c>
      <c r="Y610">
        <v>1472</v>
      </c>
      <c r="Z610">
        <v>4402</v>
      </c>
      <c r="AA610">
        <v>0.33</v>
      </c>
      <c r="AB610">
        <v>5</v>
      </c>
      <c r="AC610">
        <v>54</v>
      </c>
      <c r="AD610">
        <v>3.11</v>
      </c>
      <c r="AE610" t="s">
        <v>262</v>
      </c>
      <c r="AF610" t="s">
        <v>2593</v>
      </c>
      <c r="AG610" t="s">
        <v>262</v>
      </c>
      <c r="AH610" t="s">
        <v>2593</v>
      </c>
      <c r="AI610">
        <v>-0.68</v>
      </c>
      <c r="AJ610">
        <v>0.16</v>
      </c>
      <c r="AK610">
        <v>0.18</v>
      </c>
      <c r="AL610">
        <v>0.33</v>
      </c>
    </row>
    <row r="611" spans="1:38" x14ac:dyDescent="0.25">
      <c r="A611">
        <v>610</v>
      </c>
      <c r="B611" t="str">
        <f xml:space="preserve"> "002131"</f>
        <v>002131</v>
      </c>
      <c r="C611" t="s">
        <v>3318</v>
      </c>
      <c r="D611">
        <v>3.39</v>
      </c>
      <c r="E611">
        <v>-2.02</v>
      </c>
      <c r="F611">
        <v>-7.0000000000000007E-2</v>
      </c>
      <c r="G611" t="s">
        <v>3319</v>
      </c>
      <c r="H611" t="s">
        <v>2240</v>
      </c>
      <c r="I611">
        <v>3.39</v>
      </c>
      <c r="J611">
        <v>3.4</v>
      </c>
      <c r="K611">
        <v>0</v>
      </c>
      <c r="L611">
        <v>3.84</v>
      </c>
      <c r="M611" t="s">
        <v>3320</v>
      </c>
      <c r="N611">
        <v>29.79</v>
      </c>
      <c r="O611" t="s">
        <v>553</v>
      </c>
      <c r="P611">
        <v>3.45</v>
      </c>
      <c r="Q611">
        <v>3.36</v>
      </c>
      <c r="R611">
        <v>3.44</v>
      </c>
      <c r="S611">
        <v>3.46</v>
      </c>
      <c r="T611">
        <v>2.6</v>
      </c>
      <c r="U611">
        <v>0.72</v>
      </c>
      <c r="V611">
        <v>14.83</v>
      </c>
      <c r="W611" t="s">
        <v>2731</v>
      </c>
      <c r="X611">
        <v>3.39</v>
      </c>
      <c r="Y611" t="s">
        <v>3321</v>
      </c>
      <c r="Z611" t="s">
        <v>3322</v>
      </c>
      <c r="AA611">
        <v>1.64</v>
      </c>
      <c r="AB611">
        <v>733</v>
      </c>
      <c r="AC611">
        <v>7972</v>
      </c>
      <c r="AD611">
        <v>2.4900000000000002</v>
      </c>
      <c r="AE611" t="s">
        <v>3323</v>
      </c>
      <c r="AF611" t="s">
        <v>2593</v>
      </c>
      <c r="AG611" t="s">
        <v>3324</v>
      </c>
      <c r="AH611" t="s">
        <v>2006</v>
      </c>
      <c r="AI611">
        <v>0.89</v>
      </c>
      <c r="AJ611">
        <v>12.62</v>
      </c>
      <c r="AK611">
        <v>22.01</v>
      </c>
      <c r="AL611">
        <v>30.4</v>
      </c>
    </row>
    <row r="612" spans="1:38" x14ac:dyDescent="0.25">
      <c r="A612">
        <v>611</v>
      </c>
      <c r="B612" t="str">
        <f xml:space="preserve"> "000062"</f>
        <v>000062</v>
      </c>
      <c r="C612" t="s">
        <v>3325</v>
      </c>
      <c r="D612">
        <v>26.3</v>
      </c>
      <c r="E612">
        <v>0.92</v>
      </c>
      <c r="F612">
        <v>0.24</v>
      </c>
      <c r="G612" t="s">
        <v>3326</v>
      </c>
      <c r="H612">
        <v>367</v>
      </c>
      <c r="I612">
        <v>26.29</v>
      </c>
      <c r="J612">
        <v>26.3</v>
      </c>
      <c r="K612">
        <v>0</v>
      </c>
      <c r="L612">
        <v>0.28000000000000003</v>
      </c>
      <c r="M612" t="s">
        <v>3327</v>
      </c>
      <c r="N612">
        <v>48.48</v>
      </c>
      <c r="O612" t="s">
        <v>380</v>
      </c>
      <c r="P612">
        <v>26.45</v>
      </c>
      <c r="Q612">
        <v>26.06</v>
      </c>
      <c r="R612">
        <v>26.25</v>
      </c>
      <c r="S612">
        <v>26.06</v>
      </c>
      <c r="T612">
        <v>1.5</v>
      </c>
      <c r="U612">
        <v>0.39</v>
      </c>
      <c r="V612">
        <v>34.04</v>
      </c>
      <c r="W612">
        <v>505</v>
      </c>
      <c r="X612">
        <v>26.26</v>
      </c>
      <c r="Y612">
        <v>8898</v>
      </c>
      <c r="Z612">
        <v>9779</v>
      </c>
      <c r="AA612">
        <v>0.91</v>
      </c>
      <c r="AB612">
        <v>226</v>
      </c>
      <c r="AC612">
        <v>209</v>
      </c>
      <c r="AD612">
        <v>4.7300000000000004</v>
      </c>
      <c r="AE612" t="s">
        <v>3328</v>
      </c>
      <c r="AF612" t="s">
        <v>2593</v>
      </c>
      <c r="AG612" t="s">
        <v>3329</v>
      </c>
      <c r="AH612" t="s">
        <v>2681</v>
      </c>
      <c r="AI612">
        <v>-1.98</v>
      </c>
      <c r="AJ612">
        <v>-3.13</v>
      </c>
      <c r="AK612">
        <v>1.33</v>
      </c>
      <c r="AL612">
        <v>3.87</v>
      </c>
    </row>
    <row r="613" spans="1:38" x14ac:dyDescent="0.25">
      <c r="A613">
        <v>612</v>
      </c>
      <c r="B613" t="str">
        <f xml:space="preserve"> "600126"</f>
        <v>600126</v>
      </c>
      <c r="C613" t="s">
        <v>3330</v>
      </c>
      <c r="D613">
        <v>7.3</v>
      </c>
      <c r="E613">
        <v>0.41</v>
      </c>
      <c r="F613">
        <v>0.03</v>
      </c>
      <c r="G613" t="s">
        <v>3331</v>
      </c>
      <c r="H613">
        <v>20</v>
      </c>
      <c r="I613">
        <v>7.3</v>
      </c>
      <c r="J613">
        <v>7.31</v>
      </c>
      <c r="K613">
        <v>0</v>
      </c>
      <c r="L613">
        <v>0.45</v>
      </c>
      <c r="M613" t="s">
        <v>3332</v>
      </c>
      <c r="N613">
        <v>26.66</v>
      </c>
      <c r="O613" t="s">
        <v>416</v>
      </c>
      <c r="P613">
        <v>7.33</v>
      </c>
      <c r="Q613">
        <v>7.2</v>
      </c>
      <c r="R613">
        <v>7.26</v>
      </c>
      <c r="S613">
        <v>7.27</v>
      </c>
      <c r="T613">
        <v>1.79</v>
      </c>
      <c r="U613">
        <v>1.0900000000000001</v>
      </c>
      <c r="V613">
        <v>-52.33</v>
      </c>
      <c r="W613">
        <v>-2879</v>
      </c>
      <c r="X613">
        <v>7.27</v>
      </c>
      <c r="Y613" t="s">
        <v>3042</v>
      </c>
      <c r="Z613" t="s">
        <v>1416</v>
      </c>
      <c r="AA613">
        <v>0.91</v>
      </c>
      <c r="AB613">
        <v>45</v>
      </c>
      <c r="AC613">
        <v>883</v>
      </c>
      <c r="AD613">
        <v>1.25</v>
      </c>
      <c r="AE613" t="s">
        <v>2597</v>
      </c>
      <c r="AF613" t="s">
        <v>2593</v>
      </c>
      <c r="AG613" t="s">
        <v>3333</v>
      </c>
      <c r="AH613" t="s">
        <v>3334</v>
      </c>
      <c r="AI613">
        <v>0.83</v>
      </c>
      <c r="AJ613">
        <v>2.2400000000000002</v>
      </c>
      <c r="AK613">
        <v>1.3</v>
      </c>
      <c r="AL613">
        <v>2.5299999999999998</v>
      </c>
    </row>
    <row r="614" spans="1:38" x14ac:dyDescent="0.25">
      <c r="A614">
        <v>613</v>
      </c>
      <c r="B614" t="str">
        <f xml:space="preserve"> "002018"</f>
        <v>002018</v>
      </c>
      <c r="C614" t="s">
        <v>3335</v>
      </c>
      <c r="D614">
        <v>8.31</v>
      </c>
      <c r="E614">
        <v>2.85</v>
      </c>
      <c r="F614">
        <v>0.23</v>
      </c>
      <c r="G614" t="s">
        <v>423</v>
      </c>
      <c r="H614">
        <v>3015</v>
      </c>
      <c r="I614">
        <v>8.3000000000000007</v>
      </c>
      <c r="J614">
        <v>8.31</v>
      </c>
      <c r="K614">
        <v>0</v>
      </c>
      <c r="L614">
        <v>0.93</v>
      </c>
      <c r="M614" t="s">
        <v>3336</v>
      </c>
      <c r="N614">
        <v>39.5</v>
      </c>
      <c r="O614" t="s">
        <v>61</v>
      </c>
      <c r="P614">
        <v>8.36</v>
      </c>
      <c r="Q614">
        <v>8.08</v>
      </c>
      <c r="R614">
        <v>8.08</v>
      </c>
      <c r="S614">
        <v>8.08</v>
      </c>
      <c r="T614">
        <v>3.47</v>
      </c>
      <c r="U614">
        <v>1.33</v>
      </c>
      <c r="V614">
        <v>-45.38</v>
      </c>
      <c r="W614">
        <v>-7996</v>
      </c>
      <c r="X614">
        <v>8.26</v>
      </c>
      <c r="Y614" t="s">
        <v>1196</v>
      </c>
      <c r="Z614" t="s">
        <v>236</v>
      </c>
      <c r="AA614">
        <v>0.56999999999999995</v>
      </c>
      <c r="AB614">
        <v>1969</v>
      </c>
      <c r="AC614">
        <v>82</v>
      </c>
      <c r="AD614">
        <v>5.68</v>
      </c>
      <c r="AE614" t="s">
        <v>1681</v>
      </c>
      <c r="AF614" t="s">
        <v>3210</v>
      </c>
      <c r="AG614" t="s">
        <v>1681</v>
      </c>
      <c r="AH614" t="s">
        <v>3210</v>
      </c>
      <c r="AI614">
        <v>1.84</v>
      </c>
      <c r="AJ614">
        <v>1.47</v>
      </c>
      <c r="AK614">
        <v>2.34</v>
      </c>
      <c r="AL614">
        <v>4.43</v>
      </c>
    </row>
    <row r="615" spans="1:38" x14ac:dyDescent="0.25">
      <c r="A615">
        <v>614</v>
      </c>
      <c r="B615" t="str">
        <f xml:space="preserve"> "601811"</f>
        <v>601811</v>
      </c>
      <c r="C615" t="s">
        <v>3337</v>
      </c>
      <c r="D615">
        <v>15.32</v>
      </c>
      <c r="E615">
        <v>0.46</v>
      </c>
      <c r="F615">
        <v>7.0000000000000007E-2</v>
      </c>
      <c r="G615" t="s">
        <v>2966</v>
      </c>
      <c r="H615">
        <v>10</v>
      </c>
      <c r="I615">
        <v>15.3</v>
      </c>
      <c r="J615">
        <v>15.31</v>
      </c>
      <c r="K615">
        <v>-7.0000000000000007E-2</v>
      </c>
      <c r="L615">
        <v>1.26</v>
      </c>
      <c r="M615" t="s">
        <v>3338</v>
      </c>
      <c r="N615">
        <v>18.98</v>
      </c>
      <c r="O615" t="s">
        <v>1126</v>
      </c>
      <c r="P615">
        <v>15.36</v>
      </c>
      <c r="Q615">
        <v>15.12</v>
      </c>
      <c r="R615">
        <v>15.29</v>
      </c>
      <c r="S615">
        <v>15.25</v>
      </c>
      <c r="T615">
        <v>1.57</v>
      </c>
      <c r="U615">
        <v>1.23</v>
      </c>
      <c r="V615">
        <v>-63.66</v>
      </c>
      <c r="W615">
        <v>-987</v>
      </c>
      <c r="X615">
        <v>15.25</v>
      </c>
      <c r="Y615" t="s">
        <v>3095</v>
      </c>
      <c r="Z615" t="s">
        <v>1821</v>
      </c>
      <c r="AA615">
        <v>0.86</v>
      </c>
      <c r="AB615">
        <v>131</v>
      </c>
      <c r="AC615">
        <v>26</v>
      </c>
      <c r="AD615">
        <v>2.36</v>
      </c>
      <c r="AE615" t="s">
        <v>2659</v>
      </c>
      <c r="AF615" t="s">
        <v>3210</v>
      </c>
      <c r="AG615" t="s">
        <v>3339</v>
      </c>
      <c r="AH615" t="s">
        <v>3340</v>
      </c>
      <c r="AI615">
        <v>2.0699999999999998</v>
      </c>
      <c r="AJ615">
        <v>5</v>
      </c>
      <c r="AK615">
        <v>4</v>
      </c>
      <c r="AL615">
        <v>6.38</v>
      </c>
    </row>
    <row r="616" spans="1:38" x14ac:dyDescent="0.25">
      <c r="A616">
        <v>615</v>
      </c>
      <c r="B616" t="str">
        <f xml:space="preserve"> "601128"</f>
        <v>601128</v>
      </c>
      <c r="C616" t="s">
        <v>3341</v>
      </c>
      <c r="D616">
        <v>8.5</v>
      </c>
      <c r="E616">
        <v>0.35</v>
      </c>
      <c r="F616">
        <v>0.03</v>
      </c>
      <c r="G616" t="s">
        <v>3342</v>
      </c>
      <c r="H616">
        <v>17</v>
      </c>
      <c r="I616">
        <v>8.5</v>
      </c>
      <c r="J616">
        <v>8.51</v>
      </c>
      <c r="K616">
        <v>0</v>
      </c>
      <c r="L616">
        <v>1.52</v>
      </c>
      <c r="M616" t="s">
        <v>315</v>
      </c>
      <c r="N616">
        <v>16.55</v>
      </c>
      <c r="O616" t="s">
        <v>41</v>
      </c>
      <c r="P616">
        <v>8.51</v>
      </c>
      <c r="Q616">
        <v>8.4600000000000009</v>
      </c>
      <c r="R616">
        <v>8.48</v>
      </c>
      <c r="S616">
        <v>8.4700000000000006</v>
      </c>
      <c r="T616">
        <v>0.59</v>
      </c>
      <c r="U616">
        <v>0.35</v>
      </c>
      <c r="V616">
        <v>-8.74</v>
      </c>
      <c r="W616">
        <v>-3016</v>
      </c>
      <c r="X616">
        <v>8.49</v>
      </c>
      <c r="Y616" t="s">
        <v>3343</v>
      </c>
      <c r="Z616" t="s">
        <v>3202</v>
      </c>
      <c r="AA616">
        <v>0.77</v>
      </c>
      <c r="AB616">
        <v>843</v>
      </c>
      <c r="AC616">
        <v>4874</v>
      </c>
      <c r="AD616">
        <v>1.91</v>
      </c>
      <c r="AE616" t="s">
        <v>2289</v>
      </c>
      <c r="AF616" t="s">
        <v>3210</v>
      </c>
      <c r="AG616" t="s">
        <v>3344</v>
      </c>
      <c r="AH616" t="s">
        <v>3345</v>
      </c>
      <c r="AI616">
        <v>-0.23</v>
      </c>
      <c r="AJ616">
        <v>-4.92</v>
      </c>
      <c r="AK616">
        <v>7.25</v>
      </c>
      <c r="AL616">
        <v>23.43</v>
      </c>
    </row>
    <row r="617" spans="1:38" x14ac:dyDescent="0.25">
      <c r="A617">
        <v>616</v>
      </c>
      <c r="B617" t="str">
        <f xml:space="preserve"> "600572"</f>
        <v>600572</v>
      </c>
      <c r="C617" t="s">
        <v>3346</v>
      </c>
      <c r="D617">
        <v>7.52</v>
      </c>
      <c r="E617">
        <v>-0.66</v>
      </c>
      <c r="F617">
        <v>-0.05</v>
      </c>
      <c r="G617" t="s">
        <v>1627</v>
      </c>
      <c r="H617">
        <v>4</v>
      </c>
      <c r="I617">
        <v>7.52</v>
      </c>
      <c r="J617">
        <v>7.53</v>
      </c>
      <c r="K617">
        <v>-0.13</v>
      </c>
      <c r="L617">
        <v>0.6</v>
      </c>
      <c r="M617" t="s">
        <v>3347</v>
      </c>
      <c r="N617">
        <v>24.55</v>
      </c>
      <c r="O617" t="s">
        <v>392</v>
      </c>
      <c r="P617">
        <v>7.62</v>
      </c>
      <c r="Q617">
        <v>7.5</v>
      </c>
      <c r="R617">
        <v>7.56</v>
      </c>
      <c r="S617">
        <v>7.57</v>
      </c>
      <c r="T617">
        <v>1.59</v>
      </c>
      <c r="U617">
        <v>0.49</v>
      </c>
      <c r="V617">
        <v>35.950000000000003</v>
      </c>
      <c r="W617">
        <v>3954</v>
      </c>
      <c r="X617">
        <v>7.55</v>
      </c>
      <c r="Y617" t="s">
        <v>2069</v>
      </c>
      <c r="Z617" t="s">
        <v>3348</v>
      </c>
      <c r="AA617">
        <v>1.29</v>
      </c>
      <c r="AB617">
        <v>1227</v>
      </c>
      <c r="AC617">
        <v>627</v>
      </c>
      <c r="AD617">
        <v>4.3</v>
      </c>
      <c r="AE617" t="s">
        <v>1061</v>
      </c>
      <c r="AF617" t="s">
        <v>3210</v>
      </c>
      <c r="AG617" t="s">
        <v>2797</v>
      </c>
      <c r="AH617" t="s">
        <v>3019</v>
      </c>
      <c r="AI617">
        <v>0.94</v>
      </c>
      <c r="AJ617">
        <v>7.28</v>
      </c>
      <c r="AK617">
        <v>3.72</v>
      </c>
      <c r="AL617">
        <v>6.82</v>
      </c>
    </row>
    <row r="618" spans="1:38" x14ac:dyDescent="0.25">
      <c r="A618">
        <v>617</v>
      </c>
      <c r="B618" t="str">
        <f xml:space="preserve"> "600348"</f>
        <v>600348</v>
      </c>
      <c r="C618" t="s">
        <v>3349</v>
      </c>
      <c r="D618">
        <v>7.84</v>
      </c>
      <c r="E618">
        <v>0.38</v>
      </c>
      <c r="F618">
        <v>0.03</v>
      </c>
      <c r="G618" t="s">
        <v>1775</v>
      </c>
      <c r="H618">
        <v>2</v>
      </c>
      <c r="I618">
        <v>7.84</v>
      </c>
      <c r="J618">
        <v>7.85</v>
      </c>
      <c r="K618">
        <v>0</v>
      </c>
      <c r="L618">
        <v>0.8</v>
      </c>
      <c r="M618" t="s">
        <v>598</v>
      </c>
      <c r="N618">
        <v>11.06</v>
      </c>
      <c r="O618" t="s">
        <v>150</v>
      </c>
      <c r="P618">
        <v>7.89</v>
      </c>
      <c r="Q618">
        <v>7.76</v>
      </c>
      <c r="R618">
        <v>7.79</v>
      </c>
      <c r="S618">
        <v>7.81</v>
      </c>
      <c r="T618">
        <v>1.66</v>
      </c>
      <c r="U618">
        <v>0.7</v>
      </c>
      <c r="V618">
        <v>-72.739999999999995</v>
      </c>
      <c r="W618" t="s">
        <v>3350</v>
      </c>
      <c r="X618">
        <v>7.82</v>
      </c>
      <c r="Y618" t="s">
        <v>3351</v>
      </c>
      <c r="Z618" t="s">
        <v>3352</v>
      </c>
      <c r="AA618">
        <v>1.05</v>
      </c>
      <c r="AB618">
        <v>859</v>
      </c>
      <c r="AC618">
        <v>4263</v>
      </c>
      <c r="AD618">
        <v>1.29</v>
      </c>
      <c r="AE618" t="s">
        <v>2317</v>
      </c>
      <c r="AF618" t="s">
        <v>3210</v>
      </c>
      <c r="AG618" t="s">
        <v>2317</v>
      </c>
      <c r="AH618" t="s">
        <v>3210</v>
      </c>
      <c r="AI618">
        <v>-0.13</v>
      </c>
      <c r="AJ618">
        <v>-4.16</v>
      </c>
      <c r="AK618">
        <v>2.85</v>
      </c>
      <c r="AL618">
        <v>6.48</v>
      </c>
    </row>
    <row r="619" spans="1:38" x14ac:dyDescent="0.25">
      <c r="A619">
        <v>618</v>
      </c>
      <c r="B619" t="str">
        <f xml:space="preserve"> "000591"</f>
        <v>000591</v>
      </c>
      <c r="C619" t="s">
        <v>3353</v>
      </c>
      <c r="D619">
        <v>6.27</v>
      </c>
      <c r="E619">
        <v>0.8</v>
      </c>
      <c r="F619">
        <v>0.05</v>
      </c>
      <c r="G619" t="s">
        <v>1861</v>
      </c>
      <c r="H619">
        <v>1420</v>
      </c>
      <c r="I619">
        <v>6.27</v>
      </c>
      <c r="J619">
        <v>6.28</v>
      </c>
      <c r="K619">
        <v>-0.16</v>
      </c>
      <c r="L619">
        <v>0.84</v>
      </c>
      <c r="M619" t="s">
        <v>3354</v>
      </c>
      <c r="N619">
        <v>23.99</v>
      </c>
      <c r="O619" t="s">
        <v>186</v>
      </c>
      <c r="P619">
        <v>6.3</v>
      </c>
      <c r="Q619">
        <v>6.16</v>
      </c>
      <c r="R619">
        <v>6.23</v>
      </c>
      <c r="S619">
        <v>6.22</v>
      </c>
      <c r="T619">
        <v>2.25</v>
      </c>
      <c r="U619">
        <v>0.7</v>
      </c>
      <c r="V619">
        <v>-34.630000000000003</v>
      </c>
      <c r="W619">
        <v>-6137</v>
      </c>
      <c r="X619">
        <v>6.23</v>
      </c>
      <c r="Y619" t="s">
        <v>690</v>
      </c>
      <c r="Z619" t="s">
        <v>3032</v>
      </c>
      <c r="AA619">
        <v>1.1000000000000001</v>
      </c>
      <c r="AB619">
        <v>1544</v>
      </c>
      <c r="AC619">
        <v>4285</v>
      </c>
      <c r="AD619">
        <v>1.62</v>
      </c>
      <c r="AE619" t="s">
        <v>3355</v>
      </c>
      <c r="AF619" t="s">
        <v>3210</v>
      </c>
      <c r="AG619" t="s">
        <v>1674</v>
      </c>
      <c r="AH619" t="s">
        <v>1513</v>
      </c>
      <c r="AI619">
        <v>1.62</v>
      </c>
      <c r="AJ619">
        <v>3.81</v>
      </c>
      <c r="AK619">
        <v>4.59</v>
      </c>
      <c r="AL619">
        <v>6.81</v>
      </c>
    </row>
    <row r="620" spans="1:38" x14ac:dyDescent="0.25">
      <c r="A620">
        <v>619</v>
      </c>
      <c r="B620" t="str">
        <f xml:space="preserve"> "600872"</f>
        <v>600872</v>
      </c>
      <c r="C620" t="s">
        <v>3356</v>
      </c>
      <c r="D620">
        <v>23.66</v>
      </c>
      <c r="E620">
        <v>-2.31</v>
      </c>
      <c r="F620">
        <v>-0.56000000000000005</v>
      </c>
      <c r="G620" t="s">
        <v>1346</v>
      </c>
      <c r="H620">
        <v>300</v>
      </c>
      <c r="I620">
        <v>23.68</v>
      </c>
      <c r="J620">
        <v>23.69</v>
      </c>
      <c r="K620">
        <v>-0.46</v>
      </c>
      <c r="L620">
        <v>0.53</v>
      </c>
      <c r="M620" t="s">
        <v>1442</v>
      </c>
      <c r="N620">
        <v>44.76</v>
      </c>
      <c r="O620" t="s">
        <v>406</v>
      </c>
      <c r="P620">
        <v>24.36</v>
      </c>
      <c r="Q620">
        <v>23.5</v>
      </c>
      <c r="R620">
        <v>24.06</v>
      </c>
      <c r="S620">
        <v>24.22</v>
      </c>
      <c r="T620">
        <v>3.55</v>
      </c>
      <c r="U620">
        <v>0.75</v>
      </c>
      <c r="V620">
        <v>74.44</v>
      </c>
      <c r="W620">
        <v>763</v>
      </c>
      <c r="X620">
        <v>23.86</v>
      </c>
      <c r="Y620" t="s">
        <v>3357</v>
      </c>
      <c r="Z620" t="s">
        <v>1576</v>
      </c>
      <c r="AA620">
        <v>1.44</v>
      </c>
      <c r="AB620">
        <v>1</v>
      </c>
      <c r="AC620">
        <v>47</v>
      </c>
      <c r="AD620">
        <v>6.76</v>
      </c>
      <c r="AE620" t="s">
        <v>3358</v>
      </c>
      <c r="AF620" t="s">
        <v>3359</v>
      </c>
      <c r="AG620" t="s">
        <v>3358</v>
      </c>
      <c r="AH620" t="s">
        <v>3359</v>
      </c>
      <c r="AI620">
        <v>-0.5</v>
      </c>
      <c r="AJ620">
        <v>4.6900000000000004</v>
      </c>
      <c r="AK620">
        <v>1.66</v>
      </c>
      <c r="AL620">
        <v>4.04</v>
      </c>
    </row>
    <row r="621" spans="1:38" x14ac:dyDescent="0.25">
      <c r="A621">
        <v>620</v>
      </c>
      <c r="B621" t="str">
        <f xml:space="preserve"> "000761"</f>
        <v>000761</v>
      </c>
      <c r="C621" t="s">
        <v>3360</v>
      </c>
      <c r="D621">
        <v>6.01</v>
      </c>
      <c r="E621">
        <v>0.5</v>
      </c>
      <c r="F621">
        <v>0.03</v>
      </c>
      <c r="G621" t="s">
        <v>3256</v>
      </c>
      <c r="H621">
        <v>3113</v>
      </c>
      <c r="I621">
        <v>6.01</v>
      </c>
      <c r="J621">
        <v>6.02</v>
      </c>
      <c r="K621">
        <v>-0.17</v>
      </c>
      <c r="L621">
        <v>0.77</v>
      </c>
      <c r="M621" t="s">
        <v>3361</v>
      </c>
      <c r="N621">
        <v>18</v>
      </c>
      <c r="O621" t="s">
        <v>416</v>
      </c>
      <c r="P621">
        <v>6.03</v>
      </c>
      <c r="Q621">
        <v>5.9</v>
      </c>
      <c r="R621">
        <v>5.97</v>
      </c>
      <c r="S621">
        <v>5.98</v>
      </c>
      <c r="T621">
        <v>2.17</v>
      </c>
      <c r="U621">
        <v>0.95</v>
      </c>
      <c r="V621">
        <v>-40.21</v>
      </c>
      <c r="W621">
        <v>-9454</v>
      </c>
      <c r="X621">
        <v>5.98</v>
      </c>
      <c r="Y621" t="s">
        <v>3362</v>
      </c>
      <c r="Z621" t="s">
        <v>194</v>
      </c>
      <c r="AA621">
        <v>0.69</v>
      </c>
      <c r="AB621">
        <v>1502</v>
      </c>
      <c r="AC621">
        <v>3821</v>
      </c>
      <c r="AD621">
        <v>1.42</v>
      </c>
      <c r="AE621" t="s">
        <v>1944</v>
      </c>
      <c r="AF621" t="s">
        <v>3359</v>
      </c>
      <c r="AG621" t="s">
        <v>2608</v>
      </c>
      <c r="AH621" t="s">
        <v>1273</v>
      </c>
      <c r="AI621">
        <v>-0.5</v>
      </c>
      <c r="AJ621">
        <v>-1.1499999999999999</v>
      </c>
      <c r="AK621">
        <v>2.4700000000000002</v>
      </c>
      <c r="AL621">
        <v>4.8499999999999996</v>
      </c>
    </row>
    <row r="622" spans="1:38" x14ac:dyDescent="0.25">
      <c r="A622">
        <v>621</v>
      </c>
      <c r="B622" t="str">
        <f xml:space="preserve"> "002542"</f>
        <v>002542</v>
      </c>
      <c r="C622" t="s">
        <v>3363</v>
      </c>
      <c r="D622">
        <v>10.44</v>
      </c>
      <c r="E622">
        <v>1.56</v>
      </c>
      <c r="F622">
        <v>0.16</v>
      </c>
      <c r="G622" t="s">
        <v>516</v>
      </c>
      <c r="H622">
        <v>1228</v>
      </c>
      <c r="I622">
        <v>10.44</v>
      </c>
      <c r="J622">
        <v>10.45</v>
      </c>
      <c r="K622">
        <v>0</v>
      </c>
      <c r="L622">
        <v>1.75</v>
      </c>
      <c r="M622" t="s">
        <v>2239</v>
      </c>
      <c r="N622">
        <v>107.52</v>
      </c>
      <c r="O622" t="s">
        <v>263</v>
      </c>
      <c r="P622">
        <v>10.49</v>
      </c>
      <c r="Q622">
        <v>10.23</v>
      </c>
      <c r="R622">
        <v>10.3</v>
      </c>
      <c r="S622">
        <v>10.28</v>
      </c>
      <c r="T622">
        <v>2.5299999999999998</v>
      </c>
      <c r="U622">
        <v>0.82</v>
      </c>
      <c r="V622">
        <v>-33.94</v>
      </c>
      <c r="W622">
        <v>-2743</v>
      </c>
      <c r="X622">
        <v>10.39</v>
      </c>
      <c r="Y622" t="s">
        <v>792</v>
      </c>
      <c r="Z622" t="s">
        <v>1760</v>
      </c>
      <c r="AA622">
        <v>0.74</v>
      </c>
      <c r="AB622">
        <v>182</v>
      </c>
      <c r="AC622">
        <v>1192</v>
      </c>
      <c r="AD622">
        <v>5.74</v>
      </c>
      <c r="AE622" t="s">
        <v>2434</v>
      </c>
      <c r="AF622" t="s">
        <v>3359</v>
      </c>
      <c r="AG622" t="s">
        <v>3364</v>
      </c>
      <c r="AH622" t="s">
        <v>3365</v>
      </c>
      <c r="AI622">
        <v>-1.79</v>
      </c>
      <c r="AJ622">
        <v>1.06</v>
      </c>
      <c r="AK622">
        <v>5.04</v>
      </c>
      <c r="AL622">
        <v>12.44</v>
      </c>
    </row>
    <row r="623" spans="1:38" x14ac:dyDescent="0.25">
      <c r="A623">
        <v>622</v>
      </c>
      <c r="B623" t="str">
        <f xml:space="preserve"> "000712"</f>
        <v>000712</v>
      </c>
      <c r="C623" t="s">
        <v>3366</v>
      </c>
      <c r="D623">
        <v>20.81</v>
      </c>
      <c r="E623">
        <v>-0.19</v>
      </c>
      <c r="F623">
        <v>-0.04</v>
      </c>
      <c r="G623" t="s">
        <v>3185</v>
      </c>
      <c r="H623">
        <v>455</v>
      </c>
      <c r="I623">
        <v>20.81</v>
      </c>
      <c r="J623">
        <v>20.83</v>
      </c>
      <c r="K623">
        <v>0</v>
      </c>
      <c r="L623">
        <v>0.69</v>
      </c>
      <c r="M623" t="s">
        <v>2239</v>
      </c>
      <c r="N623">
        <v>96.37</v>
      </c>
      <c r="O623" t="s">
        <v>482</v>
      </c>
      <c r="P623">
        <v>20.92</v>
      </c>
      <c r="Q623">
        <v>20.63</v>
      </c>
      <c r="R623">
        <v>20.76</v>
      </c>
      <c r="S623">
        <v>20.85</v>
      </c>
      <c r="T623">
        <v>1.39</v>
      </c>
      <c r="U623">
        <v>0.48</v>
      </c>
      <c r="V623">
        <v>17.899999999999999</v>
      </c>
      <c r="W623">
        <v>487</v>
      </c>
      <c r="X623">
        <v>20.78</v>
      </c>
      <c r="Y623" t="s">
        <v>2116</v>
      </c>
      <c r="Z623" t="s">
        <v>2741</v>
      </c>
      <c r="AA623">
        <v>1.25</v>
      </c>
      <c r="AB623">
        <v>1063</v>
      </c>
      <c r="AC623">
        <v>196</v>
      </c>
      <c r="AD623">
        <v>5.26</v>
      </c>
      <c r="AE623" t="s">
        <v>3367</v>
      </c>
      <c r="AF623" t="s">
        <v>3033</v>
      </c>
      <c r="AG623" t="s">
        <v>243</v>
      </c>
      <c r="AH623" t="s">
        <v>3033</v>
      </c>
      <c r="AI623">
        <v>-2.2999999999999998</v>
      </c>
      <c r="AJ623">
        <v>0</v>
      </c>
      <c r="AK623">
        <v>2.79</v>
      </c>
      <c r="AL623">
        <v>7.86</v>
      </c>
    </row>
    <row r="624" spans="1:38" x14ac:dyDescent="0.25">
      <c r="A624">
        <v>623</v>
      </c>
      <c r="B624" t="str">
        <f xml:space="preserve"> "603866"</f>
        <v>603866</v>
      </c>
      <c r="C624" t="s">
        <v>3368</v>
      </c>
      <c r="D624">
        <v>41.41</v>
      </c>
      <c r="E624">
        <v>1.69</v>
      </c>
      <c r="F624">
        <v>0.69</v>
      </c>
      <c r="G624">
        <v>5858</v>
      </c>
      <c r="H624">
        <v>40</v>
      </c>
      <c r="I624">
        <v>41.4</v>
      </c>
      <c r="J624">
        <v>41.41</v>
      </c>
      <c r="K624">
        <v>0</v>
      </c>
      <c r="L624">
        <v>1.01</v>
      </c>
      <c r="M624" t="s">
        <v>3369</v>
      </c>
      <c r="N624">
        <v>50.89</v>
      </c>
      <c r="O624" t="s">
        <v>406</v>
      </c>
      <c r="P624">
        <v>41.65</v>
      </c>
      <c r="Q624">
        <v>40.61</v>
      </c>
      <c r="R624">
        <v>40.93</v>
      </c>
      <c r="S624">
        <v>40.72</v>
      </c>
      <c r="T624">
        <v>2.5499999999999998</v>
      </c>
      <c r="U624">
        <v>0.72</v>
      </c>
      <c r="V624">
        <v>-28.29</v>
      </c>
      <c r="W624">
        <v>-71</v>
      </c>
      <c r="X624">
        <v>41.32</v>
      </c>
      <c r="Y624">
        <v>2353</v>
      </c>
      <c r="Z624">
        <v>3505</v>
      </c>
      <c r="AA624">
        <v>0.67</v>
      </c>
      <c r="AB624">
        <v>71</v>
      </c>
      <c r="AC624">
        <v>5</v>
      </c>
      <c r="AD624">
        <v>8.85</v>
      </c>
      <c r="AE624" t="s">
        <v>3370</v>
      </c>
      <c r="AF624" t="s">
        <v>3033</v>
      </c>
      <c r="AG624" t="s">
        <v>3371</v>
      </c>
      <c r="AH624" t="s">
        <v>2062</v>
      </c>
      <c r="AI624">
        <v>1.94</v>
      </c>
      <c r="AJ624">
        <v>11.53</v>
      </c>
      <c r="AK624">
        <v>3.14</v>
      </c>
      <c r="AL624">
        <v>7.97</v>
      </c>
    </row>
    <row r="625" spans="1:38" x14ac:dyDescent="0.25">
      <c r="A625">
        <v>624</v>
      </c>
      <c r="B625" t="str">
        <f xml:space="preserve"> "000729"</f>
        <v>000729</v>
      </c>
      <c r="C625" t="s">
        <v>3372</v>
      </c>
      <c r="D625">
        <v>6.6</v>
      </c>
      <c r="E625">
        <v>0.76</v>
      </c>
      <c r="F625">
        <v>0.05</v>
      </c>
      <c r="G625" t="s">
        <v>158</v>
      </c>
      <c r="H625">
        <v>679</v>
      </c>
      <c r="I625">
        <v>6.59</v>
      </c>
      <c r="J625">
        <v>6.6</v>
      </c>
      <c r="K625">
        <v>0</v>
      </c>
      <c r="L625">
        <v>0.83</v>
      </c>
      <c r="M625" t="s">
        <v>746</v>
      </c>
      <c r="N625">
        <v>18.920000000000002</v>
      </c>
      <c r="O625" t="s">
        <v>123</v>
      </c>
      <c r="P625">
        <v>6.64</v>
      </c>
      <c r="Q625">
        <v>6.55</v>
      </c>
      <c r="R625">
        <v>6.55</v>
      </c>
      <c r="S625">
        <v>6.55</v>
      </c>
      <c r="T625">
        <v>1.37</v>
      </c>
      <c r="U625">
        <v>1.57</v>
      </c>
      <c r="V625">
        <v>-16.45</v>
      </c>
      <c r="W625">
        <v>-3658</v>
      </c>
      <c r="X625">
        <v>6.6</v>
      </c>
      <c r="Y625" t="s">
        <v>2496</v>
      </c>
      <c r="Z625" t="s">
        <v>1242</v>
      </c>
      <c r="AA625">
        <v>0.81</v>
      </c>
      <c r="AB625">
        <v>749</v>
      </c>
      <c r="AC625">
        <v>776</v>
      </c>
      <c r="AD625">
        <v>1.41</v>
      </c>
      <c r="AE625" t="s">
        <v>395</v>
      </c>
      <c r="AF625" t="s">
        <v>3033</v>
      </c>
      <c r="AG625" t="s">
        <v>1061</v>
      </c>
      <c r="AH625" t="s">
        <v>2649</v>
      </c>
      <c r="AI625">
        <v>1.07</v>
      </c>
      <c r="AJ625">
        <v>3.12</v>
      </c>
      <c r="AK625">
        <v>2.2000000000000002</v>
      </c>
      <c r="AL625">
        <v>3.49</v>
      </c>
    </row>
    <row r="626" spans="1:38" x14ac:dyDescent="0.25">
      <c r="A626">
        <v>625</v>
      </c>
      <c r="B626" t="str">
        <f xml:space="preserve"> "000950"</f>
        <v>000950</v>
      </c>
      <c r="C626" t="s">
        <v>3373</v>
      </c>
      <c r="D626" t="s">
        <v>616</v>
      </c>
      <c r="E626" t="s">
        <v>616</v>
      </c>
      <c r="F626" t="s">
        <v>616</v>
      </c>
      <c r="G626" t="s">
        <v>616</v>
      </c>
      <c r="H626" t="s">
        <v>616</v>
      </c>
      <c r="I626" t="s">
        <v>616</v>
      </c>
      <c r="J626" t="s">
        <v>616</v>
      </c>
      <c r="K626" t="s">
        <v>616</v>
      </c>
      <c r="L626" t="s">
        <v>616</v>
      </c>
      <c r="M626" t="s">
        <v>616</v>
      </c>
      <c r="N626">
        <v>-114.43</v>
      </c>
      <c r="O626" t="s">
        <v>1936</v>
      </c>
      <c r="P626" t="s">
        <v>616</v>
      </c>
      <c r="Q626" t="s">
        <v>616</v>
      </c>
      <c r="R626" t="s">
        <v>616</v>
      </c>
      <c r="S626">
        <v>10.72</v>
      </c>
      <c r="T626" t="s">
        <v>616</v>
      </c>
      <c r="U626" t="s">
        <v>616</v>
      </c>
      <c r="V626" t="s">
        <v>616</v>
      </c>
      <c r="W626" t="s">
        <v>616</v>
      </c>
      <c r="X626" t="s">
        <v>616</v>
      </c>
      <c r="Y626" t="s">
        <v>616</v>
      </c>
      <c r="Z626" t="s">
        <v>616</v>
      </c>
      <c r="AA626" t="s">
        <v>616</v>
      </c>
      <c r="AB626" t="s">
        <v>616</v>
      </c>
      <c r="AC626" t="s">
        <v>616</v>
      </c>
      <c r="AD626">
        <v>1.29</v>
      </c>
      <c r="AE626" t="s">
        <v>531</v>
      </c>
      <c r="AF626" t="s">
        <v>2778</v>
      </c>
      <c r="AG626" t="s">
        <v>3374</v>
      </c>
      <c r="AH626" t="s">
        <v>3375</v>
      </c>
      <c r="AI626">
        <v>0</v>
      </c>
      <c r="AJ626">
        <v>0</v>
      </c>
      <c r="AK626">
        <v>0</v>
      </c>
      <c r="AL626">
        <v>0</v>
      </c>
    </row>
    <row r="627" spans="1:38" x14ac:dyDescent="0.25">
      <c r="A627">
        <v>626</v>
      </c>
      <c r="B627" t="str">
        <f xml:space="preserve"> "002372"</f>
        <v>002372</v>
      </c>
      <c r="C627" t="s">
        <v>3376</v>
      </c>
      <c r="D627">
        <v>18.350000000000001</v>
      </c>
      <c r="E627">
        <v>2.23</v>
      </c>
      <c r="F627">
        <v>0.4</v>
      </c>
      <c r="G627" t="s">
        <v>2417</v>
      </c>
      <c r="H627">
        <v>1008</v>
      </c>
      <c r="I627">
        <v>18.34</v>
      </c>
      <c r="J627">
        <v>18.350000000000001</v>
      </c>
      <c r="K627">
        <v>0.05</v>
      </c>
      <c r="L627">
        <v>0.56999999999999995</v>
      </c>
      <c r="M627" t="s">
        <v>3377</v>
      </c>
      <c r="N627">
        <v>29.63</v>
      </c>
      <c r="O627" t="s">
        <v>562</v>
      </c>
      <c r="P627">
        <v>18.399999999999999</v>
      </c>
      <c r="Q627">
        <v>17.88</v>
      </c>
      <c r="R627">
        <v>17.95</v>
      </c>
      <c r="S627">
        <v>17.95</v>
      </c>
      <c r="T627">
        <v>2.9</v>
      </c>
      <c r="U627">
        <v>1.21</v>
      </c>
      <c r="V627">
        <v>13.46</v>
      </c>
      <c r="W627">
        <v>335</v>
      </c>
      <c r="X627">
        <v>18.27</v>
      </c>
      <c r="Y627" t="s">
        <v>2551</v>
      </c>
      <c r="Z627" t="s">
        <v>1090</v>
      </c>
      <c r="AA627">
        <v>0.37</v>
      </c>
      <c r="AB627">
        <v>320</v>
      </c>
      <c r="AC627">
        <v>129</v>
      </c>
      <c r="AD627">
        <v>6.91</v>
      </c>
      <c r="AE627" t="s">
        <v>262</v>
      </c>
      <c r="AF627" t="s">
        <v>2778</v>
      </c>
      <c r="AG627" t="s">
        <v>3378</v>
      </c>
      <c r="AH627" t="s">
        <v>1273</v>
      </c>
      <c r="AI627">
        <v>2.46</v>
      </c>
      <c r="AJ627">
        <v>7.44</v>
      </c>
      <c r="AK627">
        <v>1.41</v>
      </c>
      <c r="AL627">
        <v>2.93</v>
      </c>
    </row>
    <row r="628" spans="1:38" x14ac:dyDescent="0.25">
      <c r="A628">
        <v>627</v>
      </c>
      <c r="B628" t="str">
        <f xml:space="preserve"> "600466"</f>
        <v>600466</v>
      </c>
      <c r="C628" t="s">
        <v>3379</v>
      </c>
      <c r="D628">
        <v>8.65</v>
      </c>
      <c r="E628">
        <v>-0.69</v>
      </c>
      <c r="F628">
        <v>-0.06</v>
      </c>
      <c r="G628" t="s">
        <v>1036</v>
      </c>
      <c r="H628">
        <v>2</v>
      </c>
      <c r="I628">
        <v>8.64</v>
      </c>
      <c r="J628">
        <v>8.65</v>
      </c>
      <c r="K628">
        <v>-0.23</v>
      </c>
      <c r="L628">
        <v>2.5099999999999998</v>
      </c>
      <c r="M628" t="s">
        <v>3084</v>
      </c>
      <c r="N628">
        <v>32.590000000000003</v>
      </c>
      <c r="O628" t="s">
        <v>244</v>
      </c>
      <c r="P628">
        <v>8.74</v>
      </c>
      <c r="Q628">
        <v>8.59</v>
      </c>
      <c r="R628">
        <v>8.73</v>
      </c>
      <c r="S628">
        <v>8.7100000000000009</v>
      </c>
      <c r="T628">
        <v>1.72</v>
      </c>
      <c r="U628">
        <v>1.37</v>
      </c>
      <c r="V628">
        <v>10.76</v>
      </c>
      <c r="W628">
        <v>666</v>
      </c>
      <c r="X628">
        <v>8.65</v>
      </c>
      <c r="Y628" t="s">
        <v>1780</v>
      </c>
      <c r="Z628" t="s">
        <v>3109</v>
      </c>
      <c r="AA628">
        <v>1.46</v>
      </c>
      <c r="AB628">
        <v>5</v>
      </c>
      <c r="AC628">
        <v>7</v>
      </c>
      <c r="AD628">
        <v>2.04</v>
      </c>
      <c r="AE628" t="s">
        <v>3046</v>
      </c>
      <c r="AF628" t="s">
        <v>2778</v>
      </c>
      <c r="AG628" t="s">
        <v>3380</v>
      </c>
      <c r="AH628" t="s">
        <v>1917</v>
      </c>
      <c r="AI628">
        <v>-4.53</v>
      </c>
      <c r="AJ628">
        <v>-2.7</v>
      </c>
      <c r="AK628">
        <v>7.29</v>
      </c>
      <c r="AL628">
        <v>11.7</v>
      </c>
    </row>
    <row r="629" spans="1:38" x14ac:dyDescent="0.25">
      <c r="A629">
        <v>628</v>
      </c>
      <c r="B629" t="str">
        <f xml:space="preserve"> "000820"</f>
        <v>000820</v>
      </c>
      <c r="C629" t="s">
        <v>3381</v>
      </c>
      <c r="D629" t="s">
        <v>616</v>
      </c>
      <c r="E629" t="s">
        <v>616</v>
      </c>
      <c r="F629" t="s">
        <v>616</v>
      </c>
      <c r="G629" t="s">
        <v>616</v>
      </c>
      <c r="H629" t="s">
        <v>616</v>
      </c>
      <c r="I629" t="s">
        <v>616</v>
      </c>
      <c r="J629" t="s">
        <v>616</v>
      </c>
      <c r="K629" t="s">
        <v>616</v>
      </c>
      <c r="L629" t="s">
        <v>616</v>
      </c>
      <c r="M629" t="s">
        <v>616</v>
      </c>
      <c r="N629">
        <v>44.42</v>
      </c>
      <c r="O629" t="s">
        <v>1155</v>
      </c>
      <c r="P629" t="s">
        <v>616</v>
      </c>
      <c r="Q629" t="s">
        <v>616</v>
      </c>
      <c r="R629" t="s">
        <v>616</v>
      </c>
      <c r="S629">
        <v>28.96</v>
      </c>
      <c r="T629" t="s">
        <v>616</v>
      </c>
      <c r="U629" t="s">
        <v>616</v>
      </c>
      <c r="V629" t="s">
        <v>616</v>
      </c>
      <c r="W629" t="s">
        <v>616</v>
      </c>
      <c r="X629" t="s">
        <v>616</v>
      </c>
      <c r="Y629" t="s">
        <v>616</v>
      </c>
      <c r="Z629" t="s">
        <v>616</v>
      </c>
      <c r="AA629" t="s">
        <v>616</v>
      </c>
      <c r="AB629" t="s">
        <v>616</v>
      </c>
      <c r="AC629" t="s">
        <v>616</v>
      </c>
      <c r="AD629">
        <v>19.64</v>
      </c>
      <c r="AE629" t="s">
        <v>3382</v>
      </c>
      <c r="AF629" t="s">
        <v>2778</v>
      </c>
      <c r="AG629" t="s">
        <v>2668</v>
      </c>
      <c r="AH629" t="s">
        <v>3383</v>
      </c>
      <c r="AI629">
        <v>0</v>
      </c>
      <c r="AJ629">
        <v>0</v>
      </c>
      <c r="AK629">
        <v>0</v>
      </c>
      <c r="AL629">
        <v>0</v>
      </c>
    </row>
    <row r="630" spans="1:38" x14ac:dyDescent="0.25">
      <c r="A630">
        <v>629</v>
      </c>
      <c r="B630" t="str">
        <f xml:space="preserve"> "002221"</f>
        <v>002221</v>
      </c>
      <c r="C630" t="s">
        <v>3384</v>
      </c>
      <c r="D630">
        <v>11.18</v>
      </c>
      <c r="E630">
        <v>0.54</v>
      </c>
      <c r="F630">
        <v>0.06</v>
      </c>
      <c r="G630" t="s">
        <v>3385</v>
      </c>
      <c r="H630">
        <v>619</v>
      </c>
      <c r="I630">
        <v>11.17</v>
      </c>
      <c r="J630">
        <v>11.18</v>
      </c>
      <c r="K630">
        <v>0.09</v>
      </c>
      <c r="L630">
        <v>0.26</v>
      </c>
      <c r="M630" t="s">
        <v>3386</v>
      </c>
      <c r="N630">
        <v>18.95</v>
      </c>
      <c r="O630" t="s">
        <v>61</v>
      </c>
      <c r="P630">
        <v>11.22</v>
      </c>
      <c r="Q630">
        <v>11.1</v>
      </c>
      <c r="R630">
        <v>11.16</v>
      </c>
      <c r="S630">
        <v>11.12</v>
      </c>
      <c r="T630">
        <v>1.08</v>
      </c>
      <c r="U630">
        <v>0.56000000000000005</v>
      </c>
      <c r="V630">
        <v>-85.78</v>
      </c>
      <c r="W630">
        <v>-6007</v>
      </c>
      <c r="X630">
        <v>11.15</v>
      </c>
      <c r="Y630" t="s">
        <v>3387</v>
      </c>
      <c r="Z630" t="s">
        <v>1153</v>
      </c>
      <c r="AA630">
        <v>1.39</v>
      </c>
      <c r="AB630">
        <v>28</v>
      </c>
      <c r="AC630">
        <v>1193</v>
      </c>
      <c r="AD630">
        <v>2.57</v>
      </c>
      <c r="AE630" t="s">
        <v>1889</v>
      </c>
      <c r="AF630" t="s">
        <v>637</v>
      </c>
      <c r="AG630" t="s">
        <v>1483</v>
      </c>
      <c r="AH630" t="s">
        <v>3388</v>
      </c>
      <c r="AI630">
        <v>0.27</v>
      </c>
      <c r="AJ630">
        <v>1.08</v>
      </c>
      <c r="AK630">
        <v>1.27</v>
      </c>
      <c r="AL630">
        <v>2.61</v>
      </c>
    </row>
    <row r="631" spans="1:38" x14ac:dyDescent="0.25">
      <c r="A631">
        <v>630</v>
      </c>
      <c r="B631" t="str">
        <f xml:space="preserve"> "000550"</f>
        <v>000550</v>
      </c>
      <c r="C631" t="s">
        <v>3389</v>
      </c>
      <c r="D631">
        <v>21.35</v>
      </c>
      <c r="E631">
        <v>-1.1599999999999999</v>
      </c>
      <c r="F631">
        <v>-0.25</v>
      </c>
      <c r="G631" t="s">
        <v>1908</v>
      </c>
      <c r="H631">
        <v>1215</v>
      </c>
      <c r="I631">
        <v>21.35</v>
      </c>
      <c r="J631">
        <v>21.36</v>
      </c>
      <c r="K631">
        <v>-0.09</v>
      </c>
      <c r="L631">
        <v>0.62</v>
      </c>
      <c r="M631" t="s">
        <v>3390</v>
      </c>
      <c r="N631">
        <v>16.670000000000002</v>
      </c>
      <c r="O631" t="s">
        <v>169</v>
      </c>
      <c r="P631">
        <v>21.54</v>
      </c>
      <c r="Q631">
        <v>21.32</v>
      </c>
      <c r="R631">
        <v>21.54</v>
      </c>
      <c r="S631">
        <v>21.6</v>
      </c>
      <c r="T631">
        <v>1.02</v>
      </c>
      <c r="U631">
        <v>0.37</v>
      </c>
      <c r="V631">
        <v>51.18</v>
      </c>
      <c r="W631">
        <v>801</v>
      </c>
      <c r="X631">
        <v>21.41</v>
      </c>
      <c r="Y631" t="s">
        <v>3062</v>
      </c>
      <c r="Z631" t="s">
        <v>1259</v>
      </c>
      <c r="AA631">
        <v>1.63</v>
      </c>
      <c r="AB631">
        <v>340</v>
      </c>
      <c r="AC631">
        <v>10</v>
      </c>
      <c r="AD631">
        <v>1.55</v>
      </c>
      <c r="AE631" t="s">
        <v>1260</v>
      </c>
      <c r="AF631" t="s">
        <v>637</v>
      </c>
      <c r="AG631" t="s">
        <v>3391</v>
      </c>
      <c r="AH631" t="s">
        <v>173</v>
      </c>
      <c r="AI631">
        <v>-3.35</v>
      </c>
      <c r="AJ631">
        <v>4.8099999999999996</v>
      </c>
      <c r="AK631">
        <v>3.14</v>
      </c>
      <c r="AL631">
        <v>8.93</v>
      </c>
    </row>
    <row r="632" spans="1:38" x14ac:dyDescent="0.25">
      <c r="A632">
        <v>631</v>
      </c>
      <c r="B632" t="str">
        <f xml:space="preserve"> "600277"</f>
        <v>600277</v>
      </c>
      <c r="C632" t="s">
        <v>3392</v>
      </c>
      <c r="D632">
        <v>6.71</v>
      </c>
      <c r="E632">
        <v>1.05</v>
      </c>
      <c r="F632">
        <v>7.0000000000000007E-2</v>
      </c>
      <c r="G632" t="s">
        <v>516</v>
      </c>
      <c r="H632">
        <v>10</v>
      </c>
      <c r="I632">
        <v>6.7</v>
      </c>
      <c r="J632">
        <v>6.71</v>
      </c>
      <c r="K632">
        <v>-0.15</v>
      </c>
      <c r="L632">
        <v>0.59</v>
      </c>
      <c r="M632" t="s">
        <v>3393</v>
      </c>
      <c r="N632">
        <v>57.11</v>
      </c>
      <c r="O632" t="s">
        <v>667</v>
      </c>
      <c r="P632">
        <v>6.73</v>
      </c>
      <c r="Q632">
        <v>6.59</v>
      </c>
      <c r="R632">
        <v>6.62</v>
      </c>
      <c r="S632">
        <v>6.64</v>
      </c>
      <c r="T632">
        <v>2.11</v>
      </c>
      <c r="U632">
        <v>0.91</v>
      </c>
      <c r="V632">
        <v>-57.85</v>
      </c>
      <c r="W632">
        <v>-8732</v>
      </c>
      <c r="X632">
        <v>6.67</v>
      </c>
      <c r="Y632" t="s">
        <v>3050</v>
      </c>
      <c r="Z632" t="s">
        <v>3394</v>
      </c>
      <c r="AA632">
        <v>0.82</v>
      </c>
      <c r="AB632">
        <v>868</v>
      </c>
      <c r="AC632">
        <v>396</v>
      </c>
      <c r="AD632">
        <v>1.31</v>
      </c>
      <c r="AE632" t="s">
        <v>2608</v>
      </c>
      <c r="AF632" t="s">
        <v>637</v>
      </c>
      <c r="AG632" t="s">
        <v>366</v>
      </c>
      <c r="AH632" t="s">
        <v>511</v>
      </c>
      <c r="AI632">
        <v>-2.04</v>
      </c>
      <c r="AJ632">
        <v>-3.17</v>
      </c>
      <c r="AK632">
        <v>2.13</v>
      </c>
      <c r="AL632">
        <v>3.84</v>
      </c>
    </row>
    <row r="633" spans="1:38" x14ac:dyDescent="0.25">
      <c r="A633">
        <v>632</v>
      </c>
      <c r="B633" t="str">
        <f xml:space="preserve"> "603888"</f>
        <v>603888</v>
      </c>
      <c r="C633" t="s">
        <v>3395</v>
      </c>
      <c r="D633">
        <v>35.31</v>
      </c>
      <c r="E633">
        <v>10</v>
      </c>
      <c r="F633">
        <v>3.21</v>
      </c>
      <c r="G633" t="s">
        <v>2725</v>
      </c>
      <c r="H633">
        <v>1</v>
      </c>
      <c r="I633">
        <v>35.31</v>
      </c>
      <c r="J633" t="s">
        <v>616</v>
      </c>
      <c r="K633">
        <v>0</v>
      </c>
      <c r="L633">
        <v>17.32</v>
      </c>
      <c r="M633" t="s">
        <v>1091</v>
      </c>
      <c r="N633">
        <v>85.59</v>
      </c>
      <c r="O633" t="s">
        <v>553</v>
      </c>
      <c r="P633">
        <v>35.31</v>
      </c>
      <c r="Q633">
        <v>33.64</v>
      </c>
      <c r="R633">
        <v>33.880000000000003</v>
      </c>
      <c r="S633">
        <v>32.1</v>
      </c>
      <c r="T633">
        <v>5.2</v>
      </c>
      <c r="U633">
        <v>7.36</v>
      </c>
      <c r="V633">
        <v>100</v>
      </c>
      <c r="W633">
        <v>5744</v>
      </c>
      <c r="X633">
        <v>34.840000000000003</v>
      </c>
      <c r="Y633" t="s">
        <v>207</v>
      </c>
      <c r="Z633" t="s">
        <v>3396</v>
      </c>
      <c r="AA633">
        <v>1.78</v>
      </c>
      <c r="AB633">
        <v>5255</v>
      </c>
      <c r="AC633">
        <v>0</v>
      </c>
      <c r="AD633">
        <v>7.34</v>
      </c>
      <c r="AE633" t="s">
        <v>3397</v>
      </c>
      <c r="AF633" t="s">
        <v>97</v>
      </c>
      <c r="AG633" t="s">
        <v>3398</v>
      </c>
      <c r="AH633" t="s">
        <v>3399</v>
      </c>
      <c r="AI633">
        <v>19.739999999999998</v>
      </c>
      <c r="AJ633">
        <v>25.17</v>
      </c>
      <c r="AK633">
        <v>24.25</v>
      </c>
      <c r="AL633">
        <v>29.08</v>
      </c>
    </row>
    <row r="634" spans="1:38" x14ac:dyDescent="0.25">
      <c r="A634">
        <v>633</v>
      </c>
      <c r="B634" t="str">
        <f xml:space="preserve"> "600864"</f>
        <v>600864</v>
      </c>
      <c r="C634" t="s">
        <v>3400</v>
      </c>
      <c r="D634">
        <v>8.69</v>
      </c>
      <c r="E634">
        <v>-0.23</v>
      </c>
      <c r="F634">
        <v>-0.02</v>
      </c>
      <c r="G634" t="s">
        <v>3401</v>
      </c>
      <c r="H634">
        <v>4</v>
      </c>
      <c r="I634">
        <v>8.69</v>
      </c>
      <c r="J634">
        <v>8.6999999999999993</v>
      </c>
      <c r="K634">
        <v>0.12</v>
      </c>
      <c r="L634">
        <v>0.28999999999999998</v>
      </c>
      <c r="M634" t="s">
        <v>3402</v>
      </c>
      <c r="N634">
        <v>35.869999999999997</v>
      </c>
      <c r="O634" t="s">
        <v>2085</v>
      </c>
      <c r="P634">
        <v>8.7200000000000006</v>
      </c>
      <c r="Q634">
        <v>8.6</v>
      </c>
      <c r="R634">
        <v>8.7200000000000006</v>
      </c>
      <c r="S634">
        <v>8.7100000000000009</v>
      </c>
      <c r="T634">
        <v>1.38</v>
      </c>
      <c r="U634">
        <v>0.87</v>
      </c>
      <c r="V634">
        <v>-63.57</v>
      </c>
      <c r="W634">
        <v>-2213</v>
      </c>
      <c r="X634">
        <v>8.65</v>
      </c>
      <c r="Y634" t="s">
        <v>2250</v>
      </c>
      <c r="Z634" t="s">
        <v>1508</v>
      </c>
      <c r="AA634">
        <v>1.98</v>
      </c>
      <c r="AB634">
        <v>29</v>
      </c>
      <c r="AC634">
        <v>1934</v>
      </c>
      <c r="AD634">
        <v>1.32</v>
      </c>
      <c r="AE634" t="s">
        <v>1734</v>
      </c>
      <c r="AF634" t="s">
        <v>97</v>
      </c>
      <c r="AG634" t="s">
        <v>2299</v>
      </c>
      <c r="AH634" t="s">
        <v>3116</v>
      </c>
      <c r="AI634">
        <v>0</v>
      </c>
      <c r="AJ634">
        <v>0.7</v>
      </c>
      <c r="AK634">
        <v>0.96</v>
      </c>
      <c r="AL634">
        <v>1.98</v>
      </c>
    </row>
    <row r="635" spans="1:38" x14ac:dyDescent="0.25">
      <c r="A635">
        <v>634</v>
      </c>
      <c r="B635" t="str">
        <f xml:space="preserve"> "300159"</f>
        <v>300159</v>
      </c>
      <c r="C635" t="s">
        <v>3403</v>
      </c>
      <c r="D635">
        <v>12.29</v>
      </c>
      <c r="E635">
        <v>0.24</v>
      </c>
      <c r="F635">
        <v>0.03</v>
      </c>
      <c r="G635" t="s">
        <v>3404</v>
      </c>
      <c r="H635">
        <v>601</v>
      </c>
      <c r="I635">
        <v>12.29</v>
      </c>
      <c r="J635">
        <v>12.3</v>
      </c>
      <c r="K635">
        <v>-0.08</v>
      </c>
      <c r="L635">
        <v>0.63</v>
      </c>
      <c r="M635" t="s">
        <v>3405</v>
      </c>
      <c r="N635">
        <v>100.16</v>
      </c>
      <c r="O635" t="s">
        <v>648</v>
      </c>
      <c r="P635">
        <v>12.36</v>
      </c>
      <c r="Q635">
        <v>12.24</v>
      </c>
      <c r="R635">
        <v>12.26</v>
      </c>
      <c r="S635">
        <v>12.26</v>
      </c>
      <c r="T635">
        <v>0.98</v>
      </c>
      <c r="U635">
        <v>0.74</v>
      </c>
      <c r="V635">
        <v>-12.88</v>
      </c>
      <c r="W635">
        <v>-993</v>
      </c>
      <c r="X635">
        <v>12.28</v>
      </c>
      <c r="Y635" t="s">
        <v>712</v>
      </c>
      <c r="Z635" t="s">
        <v>1525</v>
      </c>
      <c r="AA635">
        <v>0.89</v>
      </c>
      <c r="AB635">
        <v>674</v>
      </c>
      <c r="AC635">
        <v>356</v>
      </c>
      <c r="AD635">
        <v>3.11</v>
      </c>
      <c r="AE635" t="s">
        <v>2945</v>
      </c>
      <c r="AF635" t="s">
        <v>97</v>
      </c>
      <c r="AG635" t="s">
        <v>3406</v>
      </c>
      <c r="AH635" t="s">
        <v>171</v>
      </c>
      <c r="AI635">
        <v>0.33</v>
      </c>
      <c r="AJ635">
        <v>2.16</v>
      </c>
      <c r="AK635">
        <v>2.38</v>
      </c>
      <c r="AL635">
        <v>4.88</v>
      </c>
    </row>
    <row r="636" spans="1:38" x14ac:dyDescent="0.25">
      <c r="A636">
        <v>635</v>
      </c>
      <c r="B636" t="str">
        <f xml:space="preserve"> "603233"</f>
        <v>603233</v>
      </c>
      <c r="C636" t="s">
        <v>3407</v>
      </c>
      <c r="D636">
        <v>45.6</v>
      </c>
      <c r="E636">
        <v>-1.32</v>
      </c>
      <c r="F636">
        <v>-0.61</v>
      </c>
      <c r="G636" t="s">
        <v>2541</v>
      </c>
      <c r="H636">
        <v>2</v>
      </c>
      <c r="I636">
        <v>45.6</v>
      </c>
      <c r="J636">
        <v>45.62</v>
      </c>
      <c r="K636">
        <v>-7.0000000000000007E-2</v>
      </c>
      <c r="L636">
        <v>17.63</v>
      </c>
      <c r="M636" t="s">
        <v>1624</v>
      </c>
      <c r="N636">
        <v>36.71</v>
      </c>
      <c r="O636" t="s">
        <v>392</v>
      </c>
      <c r="P636">
        <v>49.88</v>
      </c>
      <c r="Q636">
        <v>45.11</v>
      </c>
      <c r="R636">
        <v>46.87</v>
      </c>
      <c r="S636">
        <v>46.21</v>
      </c>
      <c r="T636">
        <v>10.32</v>
      </c>
      <c r="U636">
        <v>2.96</v>
      </c>
      <c r="V636">
        <v>71.900000000000006</v>
      </c>
      <c r="W636">
        <v>491</v>
      </c>
      <c r="X636">
        <v>47.01</v>
      </c>
      <c r="Y636" t="s">
        <v>1712</v>
      </c>
      <c r="Z636" t="s">
        <v>2621</v>
      </c>
      <c r="AA636">
        <v>1.06</v>
      </c>
      <c r="AB636">
        <v>1</v>
      </c>
      <c r="AC636">
        <v>4</v>
      </c>
      <c r="AD636">
        <v>7.24</v>
      </c>
      <c r="AE636" t="s">
        <v>1000</v>
      </c>
      <c r="AF636" t="s">
        <v>518</v>
      </c>
      <c r="AG636" t="s">
        <v>2596</v>
      </c>
      <c r="AH636" t="s">
        <v>3289</v>
      </c>
      <c r="AI636">
        <v>9.43</v>
      </c>
      <c r="AJ636">
        <v>14</v>
      </c>
      <c r="AK636">
        <v>37.17</v>
      </c>
      <c r="AL636">
        <v>47.4</v>
      </c>
    </row>
    <row r="637" spans="1:38" x14ac:dyDescent="0.25">
      <c r="A637">
        <v>636</v>
      </c>
      <c r="B637" t="str">
        <f xml:space="preserve"> "600863"</f>
        <v>600863</v>
      </c>
      <c r="C637" t="s">
        <v>3408</v>
      </c>
      <c r="D637">
        <v>3.14</v>
      </c>
      <c r="E637">
        <v>0.32</v>
      </c>
      <c r="F637">
        <v>0.01</v>
      </c>
      <c r="G637" t="s">
        <v>3183</v>
      </c>
      <c r="H637">
        <v>8</v>
      </c>
      <c r="I637">
        <v>3.13</v>
      </c>
      <c r="J637">
        <v>3.14</v>
      </c>
      <c r="K637">
        <v>0.32</v>
      </c>
      <c r="L637">
        <v>0.17</v>
      </c>
      <c r="M637" t="s">
        <v>3409</v>
      </c>
      <c r="N637">
        <v>35.97</v>
      </c>
      <c r="O637" t="s">
        <v>186</v>
      </c>
      <c r="P637">
        <v>3.14</v>
      </c>
      <c r="Q637">
        <v>3.11</v>
      </c>
      <c r="R637">
        <v>3.13</v>
      </c>
      <c r="S637">
        <v>3.13</v>
      </c>
      <c r="T637">
        <v>0.96</v>
      </c>
      <c r="U637">
        <v>0.78</v>
      </c>
      <c r="V637">
        <v>-28.64</v>
      </c>
      <c r="W637" t="s">
        <v>3410</v>
      </c>
      <c r="X637">
        <v>3.12</v>
      </c>
      <c r="Y637" t="s">
        <v>1938</v>
      </c>
      <c r="Z637" t="s">
        <v>2124</v>
      </c>
      <c r="AA637">
        <v>1.45</v>
      </c>
      <c r="AB637">
        <v>3694</v>
      </c>
      <c r="AC637">
        <v>9844</v>
      </c>
      <c r="AD637">
        <v>1.77</v>
      </c>
      <c r="AE637" t="s">
        <v>3411</v>
      </c>
      <c r="AF637" t="s">
        <v>518</v>
      </c>
      <c r="AG637" t="s">
        <v>3411</v>
      </c>
      <c r="AH637" t="s">
        <v>518</v>
      </c>
      <c r="AI637">
        <v>0.64</v>
      </c>
      <c r="AJ637">
        <v>2.2799999999999998</v>
      </c>
      <c r="AK637">
        <v>0.65</v>
      </c>
      <c r="AL637">
        <v>1.24</v>
      </c>
    </row>
    <row r="638" spans="1:38" x14ac:dyDescent="0.25">
      <c r="A638">
        <v>637</v>
      </c>
      <c r="B638" t="str">
        <f xml:space="preserve"> "300055"</f>
        <v>300055</v>
      </c>
      <c r="C638" t="s">
        <v>3412</v>
      </c>
      <c r="D638">
        <v>21.02</v>
      </c>
      <c r="E638">
        <v>8.91</v>
      </c>
      <c r="F638">
        <v>1.72</v>
      </c>
      <c r="G638" t="s">
        <v>3413</v>
      </c>
      <c r="H638" t="s">
        <v>2232</v>
      </c>
      <c r="I638">
        <v>21.02</v>
      </c>
      <c r="J638">
        <v>21.03</v>
      </c>
      <c r="K638">
        <v>0.1</v>
      </c>
      <c r="L638">
        <v>7.92</v>
      </c>
      <c r="M638" t="s">
        <v>1715</v>
      </c>
      <c r="N638">
        <v>44.21</v>
      </c>
      <c r="O638" t="s">
        <v>1155</v>
      </c>
      <c r="P638">
        <v>21.23</v>
      </c>
      <c r="Q638">
        <v>19.21</v>
      </c>
      <c r="R638">
        <v>19.440000000000001</v>
      </c>
      <c r="S638">
        <v>19.3</v>
      </c>
      <c r="T638">
        <v>10.47</v>
      </c>
      <c r="U638">
        <v>2.89</v>
      </c>
      <c r="V638">
        <v>52</v>
      </c>
      <c r="W638">
        <v>5289</v>
      </c>
      <c r="X638">
        <v>20.6</v>
      </c>
      <c r="Y638" t="s">
        <v>3414</v>
      </c>
      <c r="Z638" t="s">
        <v>3415</v>
      </c>
      <c r="AA638">
        <v>0.68</v>
      </c>
      <c r="AB638">
        <v>2227</v>
      </c>
      <c r="AC638">
        <v>429</v>
      </c>
      <c r="AD638">
        <v>3.2</v>
      </c>
      <c r="AE638" t="s">
        <v>3416</v>
      </c>
      <c r="AF638" t="s">
        <v>518</v>
      </c>
      <c r="AG638" t="s">
        <v>3416</v>
      </c>
      <c r="AH638" t="s">
        <v>518</v>
      </c>
      <c r="AI638">
        <v>5.89</v>
      </c>
      <c r="AJ638">
        <v>6.7</v>
      </c>
      <c r="AK638">
        <v>12.56</v>
      </c>
      <c r="AL638">
        <v>21.63</v>
      </c>
    </row>
    <row r="639" spans="1:38" x14ac:dyDescent="0.25">
      <c r="A639">
        <v>638</v>
      </c>
      <c r="B639" t="str">
        <f xml:space="preserve"> "000970"</f>
        <v>000970</v>
      </c>
      <c r="C639" t="s">
        <v>3417</v>
      </c>
      <c r="D639">
        <v>17.05</v>
      </c>
      <c r="E639">
        <v>0.35</v>
      </c>
      <c r="F639">
        <v>0.06</v>
      </c>
      <c r="G639" t="s">
        <v>1992</v>
      </c>
      <c r="H639">
        <v>4438</v>
      </c>
      <c r="I639">
        <v>17.05</v>
      </c>
      <c r="J639">
        <v>17.059999999999999</v>
      </c>
      <c r="K639">
        <v>0</v>
      </c>
      <c r="L639">
        <v>2.23</v>
      </c>
      <c r="M639" t="s">
        <v>3418</v>
      </c>
      <c r="N639">
        <v>59.3</v>
      </c>
      <c r="O639" t="s">
        <v>380</v>
      </c>
      <c r="P639">
        <v>17.09</v>
      </c>
      <c r="Q639">
        <v>16.88</v>
      </c>
      <c r="R639">
        <v>17</v>
      </c>
      <c r="S639">
        <v>16.989999999999998</v>
      </c>
      <c r="T639">
        <v>1.24</v>
      </c>
      <c r="U639">
        <v>0.56000000000000005</v>
      </c>
      <c r="V639">
        <v>-14.1</v>
      </c>
      <c r="W639">
        <v>-2044</v>
      </c>
      <c r="X639">
        <v>17</v>
      </c>
      <c r="Y639" t="s">
        <v>160</v>
      </c>
      <c r="Z639" t="s">
        <v>912</v>
      </c>
      <c r="AA639">
        <v>1.21</v>
      </c>
      <c r="AB639">
        <v>2350</v>
      </c>
      <c r="AC639">
        <v>1708</v>
      </c>
      <c r="AD639">
        <v>4.3600000000000003</v>
      </c>
      <c r="AE639" t="s">
        <v>1429</v>
      </c>
      <c r="AF639" t="s">
        <v>518</v>
      </c>
      <c r="AG639" t="s">
        <v>1429</v>
      </c>
      <c r="AH639" t="s">
        <v>518</v>
      </c>
      <c r="AI639">
        <v>-4.7</v>
      </c>
      <c r="AJ639">
        <v>-5.8</v>
      </c>
      <c r="AK639">
        <v>11.54</v>
      </c>
      <c r="AL639">
        <v>22.34</v>
      </c>
    </row>
    <row r="640" spans="1:38" x14ac:dyDescent="0.25">
      <c r="A640">
        <v>639</v>
      </c>
      <c r="B640" t="str">
        <f xml:space="preserve"> "000429"</f>
        <v>000429</v>
      </c>
      <c r="C640" t="s">
        <v>3419</v>
      </c>
      <c r="D640">
        <v>8.67</v>
      </c>
      <c r="E640">
        <v>0.93</v>
      </c>
      <c r="F640">
        <v>0.08</v>
      </c>
      <c r="G640" t="s">
        <v>656</v>
      </c>
      <c r="H640">
        <v>998</v>
      </c>
      <c r="I640">
        <v>8.66</v>
      </c>
      <c r="J640">
        <v>8.67</v>
      </c>
      <c r="K640">
        <v>0.12</v>
      </c>
      <c r="L640">
        <v>1.06</v>
      </c>
      <c r="M640" t="s">
        <v>1684</v>
      </c>
      <c r="N640">
        <v>10.15</v>
      </c>
      <c r="O640" t="s">
        <v>1348</v>
      </c>
      <c r="P640">
        <v>8.69</v>
      </c>
      <c r="Q640">
        <v>8.57</v>
      </c>
      <c r="R640">
        <v>8.68</v>
      </c>
      <c r="S640">
        <v>8.59</v>
      </c>
      <c r="T640">
        <v>1.4</v>
      </c>
      <c r="U640">
        <v>0.77</v>
      </c>
      <c r="V640">
        <v>-66.89</v>
      </c>
      <c r="W640">
        <v>-4804</v>
      </c>
      <c r="X640">
        <v>8.64</v>
      </c>
      <c r="Y640" t="s">
        <v>2731</v>
      </c>
      <c r="Z640" t="s">
        <v>1374</v>
      </c>
      <c r="AA640">
        <v>0.91</v>
      </c>
      <c r="AB640">
        <v>212</v>
      </c>
      <c r="AC640">
        <v>767</v>
      </c>
      <c r="AD640">
        <v>2.16</v>
      </c>
      <c r="AE640" t="s">
        <v>366</v>
      </c>
      <c r="AF640" t="s">
        <v>3420</v>
      </c>
      <c r="AG640" t="s">
        <v>3421</v>
      </c>
      <c r="AH640" t="s">
        <v>3422</v>
      </c>
      <c r="AI640">
        <v>-0.12</v>
      </c>
      <c r="AJ640">
        <v>2.73</v>
      </c>
      <c r="AK640">
        <v>3.81</v>
      </c>
      <c r="AL640">
        <v>7.93</v>
      </c>
    </row>
    <row r="641" spans="1:38" x14ac:dyDescent="0.25">
      <c r="A641">
        <v>640</v>
      </c>
      <c r="B641" t="str">
        <f xml:space="preserve"> "002185"</f>
        <v>002185</v>
      </c>
      <c r="C641" t="s">
        <v>3423</v>
      </c>
      <c r="D641">
        <v>8.5</v>
      </c>
      <c r="E641">
        <v>3.28</v>
      </c>
      <c r="F641">
        <v>0.27</v>
      </c>
      <c r="G641" t="s">
        <v>3424</v>
      </c>
      <c r="H641">
        <v>6803</v>
      </c>
      <c r="I641">
        <v>8.49</v>
      </c>
      <c r="J641">
        <v>8.5</v>
      </c>
      <c r="K641">
        <v>0.12</v>
      </c>
      <c r="L641">
        <v>3.4</v>
      </c>
      <c r="M641" t="s">
        <v>3081</v>
      </c>
      <c r="N641">
        <v>35.520000000000003</v>
      </c>
      <c r="O641" t="s">
        <v>380</v>
      </c>
      <c r="P641">
        <v>8.5399999999999991</v>
      </c>
      <c r="Q641">
        <v>8.11</v>
      </c>
      <c r="R641">
        <v>8.19</v>
      </c>
      <c r="S641">
        <v>8.23</v>
      </c>
      <c r="T641">
        <v>5.22</v>
      </c>
      <c r="U641">
        <v>0.73</v>
      </c>
      <c r="V641">
        <v>-54.44</v>
      </c>
      <c r="W641" t="s">
        <v>3425</v>
      </c>
      <c r="X641">
        <v>8.3800000000000008</v>
      </c>
      <c r="Y641" t="s">
        <v>1103</v>
      </c>
      <c r="Z641" t="s">
        <v>3426</v>
      </c>
      <c r="AA641">
        <v>0.62</v>
      </c>
      <c r="AB641">
        <v>5321</v>
      </c>
      <c r="AC641" t="s">
        <v>1476</v>
      </c>
      <c r="AD641">
        <v>3.55</v>
      </c>
      <c r="AE641" t="s">
        <v>3046</v>
      </c>
      <c r="AF641" t="s">
        <v>3420</v>
      </c>
      <c r="AG641" t="s">
        <v>3046</v>
      </c>
      <c r="AH641" t="s">
        <v>3420</v>
      </c>
      <c r="AI641">
        <v>-0.82</v>
      </c>
      <c r="AJ641">
        <v>4.17</v>
      </c>
      <c r="AK641">
        <v>10.19</v>
      </c>
      <c r="AL641">
        <v>26.73</v>
      </c>
    </row>
    <row r="642" spans="1:38" x14ac:dyDescent="0.25">
      <c r="A642">
        <v>641</v>
      </c>
      <c r="B642" t="str">
        <f xml:space="preserve"> "600862"</f>
        <v>600862</v>
      </c>
      <c r="C642" t="s">
        <v>3427</v>
      </c>
      <c r="D642">
        <v>12.97</v>
      </c>
      <c r="E642">
        <v>-1.59</v>
      </c>
      <c r="F642">
        <v>-0.21</v>
      </c>
      <c r="G642" t="s">
        <v>52</v>
      </c>
      <c r="H642">
        <v>14</v>
      </c>
      <c r="I642">
        <v>12.91</v>
      </c>
      <c r="J642">
        <v>12.92</v>
      </c>
      <c r="K642">
        <v>0.15</v>
      </c>
      <c r="L642">
        <v>3.85</v>
      </c>
      <c r="M642" t="s">
        <v>3428</v>
      </c>
      <c r="N642">
        <v>42.19</v>
      </c>
      <c r="O642" t="s">
        <v>926</v>
      </c>
      <c r="P642">
        <v>13.18</v>
      </c>
      <c r="Q642">
        <v>12.76</v>
      </c>
      <c r="R642">
        <v>13.18</v>
      </c>
      <c r="S642">
        <v>13.18</v>
      </c>
      <c r="T642">
        <v>3.19</v>
      </c>
      <c r="U642">
        <v>1.28</v>
      </c>
      <c r="V642">
        <v>-70.319999999999993</v>
      </c>
      <c r="W642">
        <v>-2389</v>
      </c>
      <c r="X642">
        <v>12.91</v>
      </c>
      <c r="Y642" t="s">
        <v>766</v>
      </c>
      <c r="Z642" t="s">
        <v>630</v>
      </c>
      <c r="AA642">
        <v>1.36</v>
      </c>
      <c r="AB642">
        <v>57</v>
      </c>
      <c r="AC642">
        <v>30</v>
      </c>
      <c r="AD642">
        <v>5.01</v>
      </c>
      <c r="AE642" t="s">
        <v>895</v>
      </c>
      <c r="AF642" t="s">
        <v>3420</v>
      </c>
      <c r="AG642" t="s">
        <v>3429</v>
      </c>
      <c r="AH642" t="s">
        <v>3311</v>
      </c>
      <c r="AI642">
        <v>4.09</v>
      </c>
      <c r="AJ642">
        <v>6.4</v>
      </c>
      <c r="AK642">
        <v>11.42</v>
      </c>
      <c r="AL642">
        <v>18.91</v>
      </c>
    </row>
    <row r="643" spans="1:38" x14ac:dyDescent="0.25">
      <c r="A643">
        <v>642</v>
      </c>
      <c r="B643" t="str">
        <f xml:space="preserve"> "600881"</f>
        <v>600881</v>
      </c>
      <c r="C643" t="s">
        <v>3430</v>
      </c>
      <c r="D643">
        <v>5.55</v>
      </c>
      <c r="E643">
        <v>0</v>
      </c>
      <c r="F643">
        <v>0</v>
      </c>
      <c r="G643" t="s">
        <v>297</v>
      </c>
      <c r="H643">
        <v>16</v>
      </c>
      <c r="I643">
        <v>5.54</v>
      </c>
      <c r="J643">
        <v>5.55</v>
      </c>
      <c r="K643">
        <v>0.18</v>
      </c>
      <c r="L643">
        <v>0.85</v>
      </c>
      <c r="M643" t="s">
        <v>3431</v>
      </c>
      <c r="N643">
        <v>127.24</v>
      </c>
      <c r="O643" t="s">
        <v>562</v>
      </c>
      <c r="P643">
        <v>5.6</v>
      </c>
      <c r="Q643">
        <v>5.52</v>
      </c>
      <c r="R643">
        <v>5.57</v>
      </c>
      <c r="S643">
        <v>5.55</v>
      </c>
      <c r="T643">
        <v>1.44</v>
      </c>
      <c r="U643">
        <v>0.67</v>
      </c>
      <c r="V643">
        <v>1.43</v>
      </c>
      <c r="W643">
        <v>360</v>
      </c>
      <c r="X643">
        <v>5.56</v>
      </c>
      <c r="Y643" t="s">
        <v>3432</v>
      </c>
      <c r="Z643" t="s">
        <v>3433</v>
      </c>
      <c r="AA643">
        <v>1.07</v>
      </c>
      <c r="AB643">
        <v>2465</v>
      </c>
      <c r="AC643">
        <v>6395</v>
      </c>
      <c r="AD643">
        <v>1.25</v>
      </c>
      <c r="AE643" t="s">
        <v>1029</v>
      </c>
      <c r="AF643" t="s">
        <v>1385</v>
      </c>
      <c r="AG643" t="s">
        <v>1981</v>
      </c>
      <c r="AH643" t="s">
        <v>702</v>
      </c>
      <c r="AI643">
        <v>-1.07</v>
      </c>
      <c r="AJ643">
        <v>1.83</v>
      </c>
      <c r="AK643">
        <v>3.63</v>
      </c>
      <c r="AL643">
        <v>7.19</v>
      </c>
    </row>
    <row r="644" spans="1:38" x14ac:dyDescent="0.25">
      <c r="A644">
        <v>643</v>
      </c>
      <c r="B644" t="str">
        <f xml:space="preserve"> "000813"</f>
        <v>000813</v>
      </c>
      <c r="C644" t="s">
        <v>3434</v>
      </c>
      <c r="D644">
        <v>8.0399999999999991</v>
      </c>
      <c r="E644">
        <v>0.5</v>
      </c>
      <c r="F644">
        <v>0.04</v>
      </c>
      <c r="G644" t="s">
        <v>3238</v>
      </c>
      <c r="H644">
        <v>37</v>
      </c>
      <c r="I644">
        <v>8.0399999999999991</v>
      </c>
      <c r="J644">
        <v>8.0500000000000007</v>
      </c>
      <c r="K644">
        <v>0</v>
      </c>
      <c r="L644">
        <v>0.31</v>
      </c>
      <c r="M644" t="s">
        <v>3435</v>
      </c>
      <c r="N644">
        <v>21.09</v>
      </c>
      <c r="O644" t="s">
        <v>392</v>
      </c>
      <c r="P644">
        <v>8.08</v>
      </c>
      <c r="Q644">
        <v>7.99</v>
      </c>
      <c r="R644">
        <v>7.99</v>
      </c>
      <c r="S644">
        <v>8</v>
      </c>
      <c r="T644">
        <v>1.1299999999999999</v>
      </c>
      <c r="U644">
        <v>0.5</v>
      </c>
      <c r="V644">
        <v>-18.510000000000002</v>
      </c>
      <c r="W644">
        <v>-628</v>
      </c>
      <c r="X644">
        <v>8.0399999999999991</v>
      </c>
      <c r="Y644" t="s">
        <v>3041</v>
      </c>
      <c r="Z644">
        <v>7284</v>
      </c>
      <c r="AA644">
        <v>1.5</v>
      </c>
      <c r="AB644">
        <v>77</v>
      </c>
      <c r="AC644">
        <v>469</v>
      </c>
      <c r="AD644">
        <v>4.3099999999999996</v>
      </c>
      <c r="AE644" t="s">
        <v>3436</v>
      </c>
      <c r="AF644" t="s">
        <v>1385</v>
      </c>
      <c r="AG644" t="s">
        <v>2428</v>
      </c>
      <c r="AH644" t="s">
        <v>348</v>
      </c>
      <c r="AI644">
        <v>-2.31</v>
      </c>
      <c r="AJ644">
        <v>2.94</v>
      </c>
      <c r="AK644">
        <v>1.52</v>
      </c>
      <c r="AL644">
        <v>3.4</v>
      </c>
    </row>
    <row r="645" spans="1:38" x14ac:dyDescent="0.25">
      <c r="A645">
        <v>644</v>
      </c>
      <c r="B645" t="str">
        <f xml:space="preserve"> "600673"</f>
        <v>600673</v>
      </c>
      <c r="C645" t="s">
        <v>3437</v>
      </c>
      <c r="D645" t="s">
        <v>616</v>
      </c>
      <c r="E645" t="s">
        <v>616</v>
      </c>
      <c r="F645" t="s">
        <v>616</v>
      </c>
      <c r="G645" t="s">
        <v>616</v>
      </c>
      <c r="H645" t="s">
        <v>616</v>
      </c>
      <c r="I645" t="s">
        <v>616</v>
      </c>
      <c r="J645" t="s">
        <v>616</v>
      </c>
      <c r="K645" t="s">
        <v>616</v>
      </c>
      <c r="L645" t="s">
        <v>616</v>
      </c>
      <c r="M645" t="s">
        <v>616</v>
      </c>
      <c r="N645">
        <v>43.18</v>
      </c>
      <c r="O645" t="s">
        <v>449</v>
      </c>
      <c r="P645" t="s">
        <v>616</v>
      </c>
      <c r="Q645" t="s">
        <v>616</v>
      </c>
      <c r="R645" t="s">
        <v>616</v>
      </c>
      <c r="S645">
        <v>7.29</v>
      </c>
      <c r="T645" t="s">
        <v>616</v>
      </c>
      <c r="U645" t="s">
        <v>616</v>
      </c>
      <c r="V645" t="s">
        <v>616</v>
      </c>
      <c r="W645" t="s">
        <v>616</v>
      </c>
      <c r="X645" t="s">
        <v>616</v>
      </c>
      <c r="Y645" t="s">
        <v>616</v>
      </c>
      <c r="Z645" t="s">
        <v>616</v>
      </c>
      <c r="AA645" t="s">
        <v>616</v>
      </c>
      <c r="AB645" t="s">
        <v>616</v>
      </c>
      <c r="AC645" t="s">
        <v>616</v>
      </c>
      <c r="AD645">
        <v>4.6500000000000004</v>
      </c>
      <c r="AE645" t="s">
        <v>2716</v>
      </c>
      <c r="AF645" t="s">
        <v>1385</v>
      </c>
      <c r="AG645" t="s">
        <v>3438</v>
      </c>
      <c r="AH645" t="s">
        <v>2072</v>
      </c>
      <c r="AI645">
        <v>0</v>
      </c>
      <c r="AJ645">
        <v>0</v>
      </c>
      <c r="AK645">
        <v>0</v>
      </c>
      <c r="AL645">
        <v>0</v>
      </c>
    </row>
    <row r="646" spans="1:38" x14ac:dyDescent="0.25">
      <c r="A646">
        <v>645</v>
      </c>
      <c r="B646" t="str">
        <f xml:space="preserve"> "000078"</f>
        <v>000078</v>
      </c>
      <c r="C646" t="s">
        <v>3439</v>
      </c>
      <c r="D646">
        <v>6.8</v>
      </c>
      <c r="E646">
        <v>0.44</v>
      </c>
      <c r="F646">
        <v>0.03</v>
      </c>
      <c r="G646" t="s">
        <v>251</v>
      </c>
      <c r="H646">
        <v>3553</v>
      </c>
      <c r="I646">
        <v>6.79</v>
      </c>
      <c r="J646">
        <v>6.8</v>
      </c>
      <c r="K646">
        <v>0.15</v>
      </c>
      <c r="L646">
        <v>2.44</v>
      </c>
      <c r="M646" t="s">
        <v>3440</v>
      </c>
      <c r="N646">
        <v>38.18</v>
      </c>
      <c r="O646" t="s">
        <v>392</v>
      </c>
      <c r="P646">
        <v>6.97</v>
      </c>
      <c r="Q646">
        <v>6.74</v>
      </c>
      <c r="R646">
        <v>6.83</v>
      </c>
      <c r="S646">
        <v>6.77</v>
      </c>
      <c r="T646">
        <v>3.4</v>
      </c>
      <c r="U646">
        <v>0.83</v>
      </c>
      <c r="V646">
        <v>43.18</v>
      </c>
      <c r="W646" t="s">
        <v>2280</v>
      </c>
      <c r="X646">
        <v>6.84</v>
      </c>
      <c r="Y646" t="s">
        <v>3441</v>
      </c>
      <c r="Z646" t="s">
        <v>1852</v>
      </c>
      <c r="AA646">
        <v>1.27</v>
      </c>
      <c r="AB646">
        <v>1583</v>
      </c>
      <c r="AC646">
        <v>2131</v>
      </c>
      <c r="AD646">
        <v>3.27</v>
      </c>
      <c r="AE646" t="s">
        <v>3442</v>
      </c>
      <c r="AF646" t="s">
        <v>1385</v>
      </c>
      <c r="AG646" t="s">
        <v>1200</v>
      </c>
      <c r="AH646" t="s">
        <v>3443</v>
      </c>
      <c r="AI646">
        <v>-0.87</v>
      </c>
      <c r="AJ646">
        <v>5.26</v>
      </c>
      <c r="AK646">
        <v>7.2</v>
      </c>
      <c r="AL646">
        <v>17.11</v>
      </c>
    </row>
    <row r="647" spans="1:38" x14ac:dyDescent="0.25">
      <c r="A647">
        <v>646</v>
      </c>
      <c r="B647" t="str">
        <f xml:space="preserve"> "600782"</f>
        <v>600782</v>
      </c>
      <c r="C647" t="s">
        <v>3444</v>
      </c>
      <c r="D647">
        <v>6.45</v>
      </c>
      <c r="E647">
        <v>1.1000000000000001</v>
      </c>
      <c r="F647">
        <v>7.0000000000000007E-2</v>
      </c>
      <c r="G647" t="s">
        <v>3445</v>
      </c>
      <c r="H647">
        <v>13</v>
      </c>
      <c r="I647">
        <v>6.45</v>
      </c>
      <c r="J647">
        <v>6.46</v>
      </c>
      <c r="K647">
        <v>-0.46</v>
      </c>
      <c r="L647">
        <v>2.71</v>
      </c>
      <c r="M647" t="s">
        <v>2119</v>
      </c>
      <c r="N647">
        <v>15.72</v>
      </c>
      <c r="O647" t="s">
        <v>416</v>
      </c>
      <c r="P647">
        <v>6.57</v>
      </c>
      <c r="Q647">
        <v>6.29</v>
      </c>
      <c r="R647">
        <v>6.4</v>
      </c>
      <c r="S647">
        <v>6.38</v>
      </c>
      <c r="T647">
        <v>4.3899999999999997</v>
      </c>
      <c r="U647">
        <v>1.29</v>
      </c>
      <c r="V647">
        <v>-66.11</v>
      </c>
      <c r="W647" t="s">
        <v>3446</v>
      </c>
      <c r="X647">
        <v>6.45</v>
      </c>
      <c r="Y647" t="s">
        <v>1977</v>
      </c>
      <c r="Z647" t="s">
        <v>591</v>
      </c>
      <c r="AA647">
        <v>0.68</v>
      </c>
      <c r="AB647">
        <v>269</v>
      </c>
      <c r="AC647">
        <v>961</v>
      </c>
      <c r="AD647">
        <v>1.98</v>
      </c>
      <c r="AE647" t="s">
        <v>1479</v>
      </c>
      <c r="AF647" t="s">
        <v>1385</v>
      </c>
      <c r="AG647" t="s">
        <v>1479</v>
      </c>
      <c r="AH647" t="s">
        <v>1385</v>
      </c>
      <c r="AI647">
        <v>5.56</v>
      </c>
      <c r="AJ647">
        <v>3.37</v>
      </c>
      <c r="AK647">
        <v>6.89</v>
      </c>
      <c r="AL647">
        <v>13.21</v>
      </c>
    </row>
    <row r="648" spans="1:38" x14ac:dyDescent="0.25">
      <c r="A648">
        <v>647</v>
      </c>
      <c r="B648" t="str">
        <f xml:space="preserve"> "002273"</f>
        <v>002273</v>
      </c>
      <c r="C648" t="s">
        <v>3447</v>
      </c>
      <c r="D648">
        <v>27.11</v>
      </c>
      <c r="E648">
        <v>7.45</v>
      </c>
      <c r="F648">
        <v>1.88</v>
      </c>
      <c r="G648" t="s">
        <v>3448</v>
      </c>
      <c r="H648">
        <v>3552</v>
      </c>
      <c r="I648">
        <v>27.11</v>
      </c>
      <c r="J648">
        <v>27.12</v>
      </c>
      <c r="K648">
        <v>-7.0000000000000007E-2</v>
      </c>
      <c r="L648">
        <v>6.39</v>
      </c>
      <c r="M648" t="s">
        <v>755</v>
      </c>
      <c r="N648">
        <v>58.36</v>
      </c>
      <c r="O648" t="s">
        <v>380</v>
      </c>
      <c r="P648">
        <v>27.57</v>
      </c>
      <c r="Q648">
        <v>25.26</v>
      </c>
      <c r="R648">
        <v>25.28</v>
      </c>
      <c r="S648">
        <v>25.23</v>
      </c>
      <c r="T648">
        <v>9.16</v>
      </c>
      <c r="U648">
        <v>3.05</v>
      </c>
      <c r="V648">
        <v>2.86</v>
      </c>
      <c r="W648">
        <v>198</v>
      </c>
      <c r="X648">
        <v>26.7</v>
      </c>
      <c r="Y648" t="s">
        <v>236</v>
      </c>
      <c r="Z648" t="s">
        <v>3449</v>
      </c>
      <c r="AA648">
        <v>0.53</v>
      </c>
      <c r="AB648">
        <v>626</v>
      </c>
      <c r="AC648">
        <v>842</v>
      </c>
      <c r="AD648">
        <v>6</v>
      </c>
      <c r="AE648" t="s">
        <v>561</v>
      </c>
      <c r="AF648" t="s">
        <v>1385</v>
      </c>
      <c r="AG648" t="s">
        <v>3450</v>
      </c>
      <c r="AH648" t="s">
        <v>2649</v>
      </c>
      <c r="AI648">
        <v>3.91</v>
      </c>
      <c r="AJ648">
        <v>7.2</v>
      </c>
      <c r="AK648">
        <v>10.32</v>
      </c>
      <c r="AL648">
        <v>16.88</v>
      </c>
    </row>
    <row r="649" spans="1:38" x14ac:dyDescent="0.25">
      <c r="A649">
        <v>648</v>
      </c>
      <c r="B649" t="str">
        <f xml:space="preserve"> "600477"</f>
        <v>600477</v>
      </c>
      <c r="C649" t="s">
        <v>3451</v>
      </c>
      <c r="D649">
        <v>13</v>
      </c>
      <c r="E649">
        <v>4</v>
      </c>
      <c r="F649">
        <v>0.5</v>
      </c>
      <c r="G649" t="s">
        <v>3452</v>
      </c>
      <c r="H649">
        <v>80</v>
      </c>
      <c r="I649">
        <v>12.99</v>
      </c>
      <c r="J649">
        <v>13</v>
      </c>
      <c r="K649">
        <v>0.15</v>
      </c>
      <c r="L649">
        <v>2.96</v>
      </c>
      <c r="M649" t="s">
        <v>2873</v>
      </c>
      <c r="N649">
        <v>24.93</v>
      </c>
      <c r="O649" t="s">
        <v>562</v>
      </c>
      <c r="P649">
        <v>13.05</v>
      </c>
      <c r="Q649">
        <v>12.56</v>
      </c>
      <c r="R649">
        <v>12.59</v>
      </c>
      <c r="S649">
        <v>12.5</v>
      </c>
      <c r="T649">
        <v>3.92</v>
      </c>
      <c r="U649">
        <v>2.02</v>
      </c>
      <c r="V649">
        <v>-68.94</v>
      </c>
      <c r="W649">
        <v>-5046</v>
      </c>
      <c r="X649">
        <v>12.9</v>
      </c>
      <c r="Y649" t="s">
        <v>2743</v>
      </c>
      <c r="Z649" t="s">
        <v>3085</v>
      </c>
      <c r="AA649">
        <v>0.55000000000000004</v>
      </c>
      <c r="AB649">
        <v>115</v>
      </c>
      <c r="AC649">
        <v>510</v>
      </c>
      <c r="AD649">
        <v>7.49</v>
      </c>
      <c r="AE649" t="s">
        <v>1566</v>
      </c>
      <c r="AF649" t="s">
        <v>2072</v>
      </c>
      <c r="AG649" t="s">
        <v>126</v>
      </c>
      <c r="AH649" t="s">
        <v>1273</v>
      </c>
      <c r="AI649">
        <v>1.88</v>
      </c>
      <c r="AJ649">
        <v>3.92</v>
      </c>
      <c r="AK649">
        <v>5.71</v>
      </c>
      <c r="AL649">
        <v>10.29</v>
      </c>
    </row>
    <row r="650" spans="1:38" x14ac:dyDescent="0.25">
      <c r="A650">
        <v>649</v>
      </c>
      <c r="B650" t="str">
        <f xml:space="preserve"> "000598"</f>
        <v>000598</v>
      </c>
      <c r="C650" t="s">
        <v>3453</v>
      </c>
      <c r="D650">
        <v>5.98</v>
      </c>
      <c r="E650">
        <v>3.46</v>
      </c>
      <c r="F650">
        <v>0.2</v>
      </c>
      <c r="G650" t="s">
        <v>3454</v>
      </c>
      <c r="H650">
        <v>8292</v>
      </c>
      <c r="I650">
        <v>5.98</v>
      </c>
      <c r="J650">
        <v>5.99</v>
      </c>
      <c r="K650">
        <v>0</v>
      </c>
      <c r="L650">
        <v>3.03</v>
      </c>
      <c r="M650" t="s">
        <v>2622</v>
      </c>
      <c r="N650">
        <v>19.68</v>
      </c>
      <c r="O650" t="s">
        <v>2085</v>
      </c>
      <c r="P650">
        <v>6.03</v>
      </c>
      <c r="Q650">
        <v>5.76</v>
      </c>
      <c r="R650">
        <v>5.77</v>
      </c>
      <c r="S650">
        <v>5.78</v>
      </c>
      <c r="T650">
        <v>4.67</v>
      </c>
      <c r="U650">
        <v>4.6399999999999997</v>
      </c>
      <c r="V650">
        <v>-29.17</v>
      </c>
      <c r="W650" t="s">
        <v>3455</v>
      </c>
      <c r="X650">
        <v>5.93</v>
      </c>
      <c r="Y650" t="s">
        <v>3456</v>
      </c>
      <c r="Z650" t="s">
        <v>3457</v>
      </c>
      <c r="AA650">
        <v>0.48</v>
      </c>
      <c r="AB650">
        <v>4923</v>
      </c>
      <c r="AC650">
        <v>6669</v>
      </c>
      <c r="AD650">
        <v>1.93</v>
      </c>
      <c r="AE650" t="s">
        <v>1910</v>
      </c>
      <c r="AF650" t="s">
        <v>2072</v>
      </c>
      <c r="AG650" t="s">
        <v>1910</v>
      </c>
      <c r="AH650" t="s">
        <v>2072</v>
      </c>
      <c r="AI650">
        <v>2.75</v>
      </c>
      <c r="AJ650">
        <v>3.64</v>
      </c>
      <c r="AK650">
        <v>4.18</v>
      </c>
      <c r="AL650">
        <v>6.3</v>
      </c>
    </row>
    <row r="651" spans="1:38" x14ac:dyDescent="0.25">
      <c r="A651">
        <v>650</v>
      </c>
      <c r="B651" t="str">
        <f xml:space="preserve"> "000158"</f>
        <v>000158</v>
      </c>
      <c r="C651" t="s">
        <v>3458</v>
      </c>
      <c r="D651">
        <v>10.8</v>
      </c>
      <c r="E651">
        <v>0.65</v>
      </c>
      <c r="F651">
        <v>7.0000000000000007E-2</v>
      </c>
      <c r="G651" t="s">
        <v>3396</v>
      </c>
      <c r="H651">
        <v>1007</v>
      </c>
      <c r="I651">
        <v>10.79</v>
      </c>
      <c r="J651">
        <v>10.8</v>
      </c>
      <c r="K651">
        <v>0.09</v>
      </c>
      <c r="L651">
        <v>0.8</v>
      </c>
      <c r="M651" t="s">
        <v>3459</v>
      </c>
      <c r="N651">
        <v>174.22</v>
      </c>
      <c r="O651" t="s">
        <v>1443</v>
      </c>
      <c r="P651">
        <v>10.85</v>
      </c>
      <c r="Q651">
        <v>10.69</v>
      </c>
      <c r="R651">
        <v>10.75</v>
      </c>
      <c r="S651">
        <v>10.73</v>
      </c>
      <c r="T651">
        <v>1.49</v>
      </c>
      <c r="U651">
        <v>0.62</v>
      </c>
      <c r="V651">
        <v>-49.6</v>
      </c>
      <c r="W651">
        <v>-4991</v>
      </c>
      <c r="X651">
        <v>10.76</v>
      </c>
      <c r="Y651" t="s">
        <v>573</v>
      </c>
      <c r="Z651" t="s">
        <v>2266</v>
      </c>
      <c r="AA651">
        <v>1.3</v>
      </c>
      <c r="AB651">
        <v>780</v>
      </c>
      <c r="AC651">
        <v>1750</v>
      </c>
      <c r="AD651">
        <v>3.12</v>
      </c>
      <c r="AE651" t="s">
        <v>1889</v>
      </c>
      <c r="AF651" t="s">
        <v>2072</v>
      </c>
      <c r="AG651" t="s">
        <v>262</v>
      </c>
      <c r="AH651" t="s">
        <v>173</v>
      </c>
      <c r="AI651">
        <v>-1.1000000000000001</v>
      </c>
      <c r="AJ651">
        <v>1.41</v>
      </c>
      <c r="AK651">
        <v>2.61</v>
      </c>
      <c r="AL651">
        <v>7.24</v>
      </c>
    </row>
    <row r="652" spans="1:38" x14ac:dyDescent="0.25">
      <c r="A652">
        <v>651</v>
      </c>
      <c r="B652" t="str">
        <f xml:space="preserve"> "000088"</f>
        <v>000088</v>
      </c>
      <c r="C652" t="s">
        <v>3460</v>
      </c>
      <c r="D652">
        <v>9.18</v>
      </c>
      <c r="E652">
        <v>0.55000000000000004</v>
      </c>
      <c r="F652">
        <v>0.05</v>
      </c>
      <c r="G652" t="s">
        <v>914</v>
      </c>
      <c r="H652">
        <v>677</v>
      </c>
      <c r="I652">
        <v>9.17</v>
      </c>
      <c r="J652">
        <v>9.18</v>
      </c>
      <c r="K652">
        <v>-0.11</v>
      </c>
      <c r="L652">
        <v>0.36</v>
      </c>
      <c r="M652" t="s">
        <v>3461</v>
      </c>
      <c r="N652">
        <v>58.07</v>
      </c>
      <c r="O652" t="s">
        <v>440</v>
      </c>
      <c r="P652">
        <v>9.23</v>
      </c>
      <c r="Q652">
        <v>9.1199999999999992</v>
      </c>
      <c r="R652">
        <v>9.1300000000000008</v>
      </c>
      <c r="S652">
        <v>9.1300000000000008</v>
      </c>
      <c r="T652">
        <v>1.2</v>
      </c>
      <c r="U652">
        <v>0.69</v>
      </c>
      <c r="V652">
        <v>-65.180000000000007</v>
      </c>
      <c r="W652">
        <v>-6188</v>
      </c>
      <c r="X652">
        <v>9.19</v>
      </c>
      <c r="Y652" t="s">
        <v>3180</v>
      </c>
      <c r="Z652" t="s">
        <v>2515</v>
      </c>
      <c r="AA652">
        <v>1.23</v>
      </c>
      <c r="AB652">
        <v>589</v>
      </c>
      <c r="AC652">
        <v>224</v>
      </c>
      <c r="AD652">
        <v>2.95</v>
      </c>
      <c r="AE652" t="s">
        <v>1501</v>
      </c>
      <c r="AF652" t="s">
        <v>3462</v>
      </c>
      <c r="AG652" t="s">
        <v>1501</v>
      </c>
      <c r="AH652" t="s">
        <v>3462</v>
      </c>
      <c r="AI652">
        <v>2.34</v>
      </c>
      <c r="AJ652">
        <v>4.2</v>
      </c>
      <c r="AK652">
        <v>2.0299999999999998</v>
      </c>
      <c r="AL652">
        <v>2.96</v>
      </c>
    </row>
    <row r="653" spans="1:38" x14ac:dyDescent="0.25">
      <c r="A653">
        <v>652</v>
      </c>
      <c r="B653" t="str">
        <f xml:space="preserve"> "000566"</f>
        <v>000566</v>
      </c>
      <c r="C653" t="s">
        <v>3463</v>
      </c>
      <c r="D653">
        <v>13.34</v>
      </c>
      <c r="E653">
        <v>0.53</v>
      </c>
      <c r="F653">
        <v>7.0000000000000007E-2</v>
      </c>
      <c r="G653" t="s">
        <v>2447</v>
      </c>
      <c r="H653">
        <v>674</v>
      </c>
      <c r="I653">
        <v>13.33</v>
      </c>
      <c r="J653">
        <v>13.34</v>
      </c>
      <c r="K653">
        <v>0.08</v>
      </c>
      <c r="L653">
        <v>0.54</v>
      </c>
      <c r="M653" t="s">
        <v>3464</v>
      </c>
      <c r="N653">
        <v>78.459999999999994</v>
      </c>
      <c r="O653" t="s">
        <v>392</v>
      </c>
      <c r="P653">
        <v>13.48</v>
      </c>
      <c r="Q653">
        <v>13.22</v>
      </c>
      <c r="R653">
        <v>13.27</v>
      </c>
      <c r="S653">
        <v>13.27</v>
      </c>
      <c r="T653">
        <v>1.96</v>
      </c>
      <c r="U653">
        <v>0.78</v>
      </c>
      <c r="V653">
        <v>-16.7</v>
      </c>
      <c r="W653">
        <v>-586</v>
      </c>
      <c r="X653">
        <v>13.36</v>
      </c>
      <c r="Y653" t="s">
        <v>2298</v>
      </c>
      <c r="Z653" t="s">
        <v>1190</v>
      </c>
      <c r="AA653">
        <v>1.04</v>
      </c>
      <c r="AB653">
        <v>278</v>
      </c>
      <c r="AC653">
        <v>117</v>
      </c>
      <c r="AD653">
        <v>3.46</v>
      </c>
      <c r="AE653" t="s">
        <v>2005</v>
      </c>
      <c r="AF653" t="s">
        <v>3462</v>
      </c>
      <c r="AG653" t="s">
        <v>2501</v>
      </c>
      <c r="AH653" t="s">
        <v>812</v>
      </c>
      <c r="AI653">
        <v>1.75</v>
      </c>
      <c r="AJ653">
        <v>3.33</v>
      </c>
      <c r="AK653">
        <v>2.95</v>
      </c>
      <c r="AL653">
        <v>4.04</v>
      </c>
    </row>
    <row r="654" spans="1:38" x14ac:dyDescent="0.25">
      <c r="A654">
        <v>653</v>
      </c>
      <c r="B654" t="str">
        <f xml:space="preserve"> "600622"</f>
        <v>600622</v>
      </c>
      <c r="C654" t="s">
        <v>3465</v>
      </c>
      <c r="D654">
        <v>20.059999999999999</v>
      </c>
      <c r="E654">
        <v>-1.47</v>
      </c>
      <c r="F654">
        <v>-0.3</v>
      </c>
      <c r="G654" t="s">
        <v>1374</v>
      </c>
      <c r="H654">
        <v>4</v>
      </c>
      <c r="I654">
        <v>20.07</v>
      </c>
      <c r="J654">
        <v>20.100000000000001</v>
      </c>
      <c r="K654">
        <v>-0.05</v>
      </c>
      <c r="L654">
        <v>0.39</v>
      </c>
      <c r="M654" t="s">
        <v>3466</v>
      </c>
      <c r="N654">
        <v>32.82</v>
      </c>
      <c r="O654" t="s">
        <v>244</v>
      </c>
      <c r="P654">
        <v>20.45</v>
      </c>
      <c r="Q654">
        <v>19.96</v>
      </c>
      <c r="R654">
        <v>20.3</v>
      </c>
      <c r="S654">
        <v>20.36</v>
      </c>
      <c r="T654">
        <v>2.41</v>
      </c>
      <c r="U654">
        <v>0.55000000000000004</v>
      </c>
      <c r="V654">
        <v>-6.55</v>
      </c>
      <c r="W654">
        <v>-57</v>
      </c>
      <c r="X654">
        <v>20.12</v>
      </c>
      <c r="Y654" t="s">
        <v>1278</v>
      </c>
      <c r="Z654">
        <v>9803</v>
      </c>
      <c r="AA654">
        <v>1.66</v>
      </c>
      <c r="AB654">
        <v>11</v>
      </c>
      <c r="AC654">
        <v>29</v>
      </c>
      <c r="AD654">
        <v>3.43</v>
      </c>
      <c r="AE654" t="s">
        <v>2111</v>
      </c>
      <c r="AF654" t="s">
        <v>3462</v>
      </c>
      <c r="AG654" t="s">
        <v>3467</v>
      </c>
      <c r="AH654" t="s">
        <v>683</v>
      </c>
      <c r="AI654">
        <v>1.52</v>
      </c>
      <c r="AJ654">
        <v>6.53</v>
      </c>
      <c r="AK654">
        <v>1.69</v>
      </c>
      <c r="AL654">
        <v>3.92</v>
      </c>
    </row>
    <row r="655" spans="1:38" x14ac:dyDescent="0.25">
      <c r="A655">
        <v>654</v>
      </c>
      <c r="B655" t="str">
        <f xml:space="preserve"> "603882"</f>
        <v>603882</v>
      </c>
      <c r="C655" t="s">
        <v>3468</v>
      </c>
      <c r="D655">
        <v>38.83</v>
      </c>
      <c r="E655">
        <v>-1.55</v>
      </c>
      <c r="F655">
        <v>-0.61</v>
      </c>
      <c r="G655" t="s">
        <v>3469</v>
      </c>
      <c r="H655">
        <v>73</v>
      </c>
      <c r="I655">
        <v>38.770000000000003</v>
      </c>
      <c r="J655">
        <v>38.78</v>
      </c>
      <c r="K655">
        <v>-0.38</v>
      </c>
      <c r="L655">
        <v>22.88</v>
      </c>
      <c r="M655" t="s">
        <v>3470</v>
      </c>
      <c r="N655">
        <v>105.72</v>
      </c>
      <c r="O655" t="s">
        <v>1552</v>
      </c>
      <c r="P655">
        <v>40.549999999999997</v>
      </c>
      <c r="Q655">
        <v>38.29</v>
      </c>
      <c r="R655">
        <v>38.6</v>
      </c>
      <c r="S655">
        <v>39.44</v>
      </c>
      <c r="T655">
        <v>5.73</v>
      </c>
      <c r="U655">
        <v>0.62</v>
      </c>
      <c r="V655">
        <v>-8.3699999999999992</v>
      </c>
      <c r="W655">
        <v>-38</v>
      </c>
      <c r="X655">
        <v>39.58</v>
      </c>
      <c r="Y655" t="s">
        <v>3471</v>
      </c>
      <c r="Z655" t="s">
        <v>1179</v>
      </c>
      <c r="AA655">
        <v>1.0900000000000001</v>
      </c>
      <c r="AB655">
        <v>22</v>
      </c>
      <c r="AC655">
        <v>71</v>
      </c>
      <c r="AD655">
        <v>11.13</v>
      </c>
      <c r="AE655" t="s">
        <v>51</v>
      </c>
      <c r="AF655" t="s">
        <v>3462</v>
      </c>
      <c r="AG655" t="s">
        <v>3472</v>
      </c>
      <c r="AH655" t="s">
        <v>3473</v>
      </c>
      <c r="AI655">
        <v>-10.65</v>
      </c>
      <c r="AJ655">
        <v>2.35</v>
      </c>
      <c r="AK655">
        <v>108.92</v>
      </c>
      <c r="AL655">
        <v>208.69</v>
      </c>
    </row>
    <row r="656" spans="1:38" x14ac:dyDescent="0.25">
      <c r="A656">
        <v>655</v>
      </c>
      <c r="B656" t="str">
        <f xml:space="preserve"> "002807"</f>
        <v>002807</v>
      </c>
      <c r="C656" t="s">
        <v>3474</v>
      </c>
      <c r="D656">
        <v>10.06</v>
      </c>
      <c r="E656">
        <v>0.3</v>
      </c>
      <c r="F656">
        <v>0.03</v>
      </c>
      <c r="G656" t="s">
        <v>1901</v>
      </c>
      <c r="H656">
        <v>956</v>
      </c>
      <c r="I656">
        <v>10.06</v>
      </c>
      <c r="J656">
        <v>10.07</v>
      </c>
      <c r="K656">
        <v>-0.1</v>
      </c>
      <c r="L656">
        <v>1.18</v>
      </c>
      <c r="M656" t="s">
        <v>3475</v>
      </c>
      <c r="N656">
        <v>25.22</v>
      </c>
      <c r="O656" t="s">
        <v>41</v>
      </c>
      <c r="P656">
        <v>10.1</v>
      </c>
      <c r="Q656">
        <v>10</v>
      </c>
      <c r="R656">
        <v>10.02</v>
      </c>
      <c r="S656">
        <v>10.029999999999999</v>
      </c>
      <c r="T656">
        <v>1</v>
      </c>
      <c r="U656">
        <v>0.51</v>
      </c>
      <c r="V656">
        <v>-23.11</v>
      </c>
      <c r="W656">
        <v>-3575</v>
      </c>
      <c r="X656">
        <v>10.06</v>
      </c>
      <c r="Y656" t="s">
        <v>3476</v>
      </c>
      <c r="Z656" t="s">
        <v>3477</v>
      </c>
      <c r="AA656">
        <v>0.98</v>
      </c>
      <c r="AB656">
        <v>2117</v>
      </c>
      <c r="AC656">
        <v>434</v>
      </c>
      <c r="AD656">
        <v>2.0499999999999998</v>
      </c>
      <c r="AE656" t="s">
        <v>892</v>
      </c>
      <c r="AF656" t="s">
        <v>3462</v>
      </c>
      <c r="AG656" t="s">
        <v>3478</v>
      </c>
      <c r="AH656" t="s">
        <v>3479</v>
      </c>
      <c r="AI656">
        <v>-0.69</v>
      </c>
      <c r="AJ656">
        <v>3.18</v>
      </c>
      <c r="AK656">
        <v>5.27</v>
      </c>
      <c r="AL656">
        <v>12.65</v>
      </c>
    </row>
    <row r="657" spans="1:38" x14ac:dyDescent="0.25">
      <c r="A657">
        <v>656</v>
      </c>
      <c r="B657" t="str">
        <f xml:space="preserve"> "600751"</f>
        <v>600751</v>
      </c>
      <c r="C657" t="s">
        <v>3480</v>
      </c>
      <c r="D657">
        <v>6.12</v>
      </c>
      <c r="E657">
        <v>0.49</v>
      </c>
      <c r="F657">
        <v>0.03</v>
      </c>
      <c r="G657" t="s">
        <v>3481</v>
      </c>
      <c r="H657">
        <v>2</v>
      </c>
      <c r="I657">
        <v>6.12</v>
      </c>
      <c r="J657">
        <v>6.13</v>
      </c>
      <c r="K657">
        <v>0</v>
      </c>
      <c r="L657">
        <v>0.27</v>
      </c>
      <c r="M657" t="s">
        <v>3482</v>
      </c>
      <c r="N657">
        <v>356.82</v>
      </c>
      <c r="O657" t="s">
        <v>440</v>
      </c>
      <c r="P657">
        <v>6.13</v>
      </c>
      <c r="Q657">
        <v>6.07</v>
      </c>
      <c r="R657">
        <v>6.07</v>
      </c>
      <c r="S657">
        <v>6.09</v>
      </c>
      <c r="T657">
        <v>0.99</v>
      </c>
      <c r="U657">
        <v>0.73</v>
      </c>
      <c r="V657">
        <v>-73.349999999999994</v>
      </c>
      <c r="W657">
        <v>-9103</v>
      </c>
      <c r="X657">
        <v>6.1</v>
      </c>
      <c r="Y657" t="s">
        <v>3483</v>
      </c>
      <c r="Z657" t="s">
        <v>506</v>
      </c>
      <c r="AA657">
        <v>0.65</v>
      </c>
      <c r="AB657">
        <v>270</v>
      </c>
      <c r="AC657">
        <v>1371</v>
      </c>
      <c r="AD657">
        <v>1.39</v>
      </c>
      <c r="AE657" t="s">
        <v>93</v>
      </c>
      <c r="AF657" t="s">
        <v>1092</v>
      </c>
      <c r="AG657" t="s">
        <v>1216</v>
      </c>
      <c r="AH657" t="s">
        <v>309</v>
      </c>
      <c r="AI657">
        <v>-0.33</v>
      </c>
      <c r="AJ657">
        <v>0.66</v>
      </c>
      <c r="AK657">
        <v>0.95</v>
      </c>
      <c r="AL657">
        <v>2.11</v>
      </c>
    </row>
    <row r="658" spans="1:38" x14ac:dyDescent="0.25">
      <c r="A658">
        <v>657</v>
      </c>
      <c r="B658" t="str">
        <f xml:space="preserve"> "000089"</f>
        <v>000089</v>
      </c>
      <c r="C658" t="s">
        <v>3484</v>
      </c>
      <c r="D658">
        <v>8.64</v>
      </c>
      <c r="E658">
        <v>-0.12</v>
      </c>
      <c r="F658">
        <v>-0.01</v>
      </c>
      <c r="G658" t="s">
        <v>1641</v>
      </c>
      <c r="H658">
        <v>860</v>
      </c>
      <c r="I658">
        <v>8.6300000000000008</v>
      </c>
      <c r="J658">
        <v>8.64</v>
      </c>
      <c r="K658">
        <v>-0.12</v>
      </c>
      <c r="L658">
        <v>0.27</v>
      </c>
      <c r="M658" t="s">
        <v>3485</v>
      </c>
      <c r="N658">
        <v>27.91</v>
      </c>
      <c r="O658" t="s">
        <v>572</v>
      </c>
      <c r="P658">
        <v>8.66</v>
      </c>
      <c r="Q658">
        <v>8.6</v>
      </c>
      <c r="R658">
        <v>8.65</v>
      </c>
      <c r="S658">
        <v>8.65</v>
      </c>
      <c r="T658">
        <v>0.69</v>
      </c>
      <c r="U658">
        <v>0.54</v>
      </c>
      <c r="V658">
        <v>-12.09</v>
      </c>
      <c r="W658">
        <v>-1271</v>
      </c>
      <c r="X658">
        <v>8.6300000000000008</v>
      </c>
      <c r="Y658" t="s">
        <v>1827</v>
      </c>
      <c r="Z658" t="s">
        <v>2741</v>
      </c>
      <c r="AA658">
        <v>1.04</v>
      </c>
      <c r="AB658">
        <v>344</v>
      </c>
      <c r="AC658">
        <v>566</v>
      </c>
      <c r="AD658">
        <v>1.64</v>
      </c>
      <c r="AE658" t="s">
        <v>3214</v>
      </c>
      <c r="AF658" t="s">
        <v>1092</v>
      </c>
      <c r="AG658" t="s">
        <v>3214</v>
      </c>
      <c r="AH658" t="s">
        <v>1092</v>
      </c>
      <c r="AI658">
        <v>-0.12</v>
      </c>
      <c r="AJ658">
        <v>0.57999999999999996</v>
      </c>
      <c r="AK658">
        <v>1.25</v>
      </c>
      <c r="AL658">
        <v>2.81</v>
      </c>
    </row>
    <row r="659" spans="1:38" x14ac:dyDescent="0.25">
      <c r="A659">
        <v>658</v>
      </c>
      <c r="B659" t="str">
        <f xml:space="preserve"> "600597"</f>
        <v>600597</v>
      </c>
      <c r="C659" t="s">
        <v>3486</v>
      </c>
      <c r="D659">
        <v>14.38</v>
      </c>
      <c r="E659">
        <v>0.84</v>
      </c>
      <c r="F659">
        <v>0.12</v>
      </c>
      <c r="G659" t="s">
        <v>148</v>
      </c>
      <c r="H659">
        <v>44</v>
      </c>
      <c r="I659">
        <v>14.37</v>
      </c>
      <c r="J659">
        <v>14.38</v>
      </c>
      <c r="K659">
        <v>7.0000000000000007E-2</v>
      </c>
      <c r="L659">
        <v>1.03</v>
      </c>
      <c r="M659" t="s">
        <v>3119</v>
      </c>
      <c r="N659">
        <v>24.16</v>
      </c>
      <c r="O659" t="s">
        <v>406</v>
      </c>
      <c r="P659">
        <v>14.55</v>
      </c>
      <c r="Q659">
        <v>14.19</v>
      </c>
      <c r="R659">
        <v>14.26</v>
      </c>
      <c r="S659">
        <v>14.26</v>
      </c>
      <c r="T659">
        <v>2.52</v>
      </c>
      <c r="U659">
        <v>0.6</v>
      </c>
      <c r="V659">
        <v>18.45</v>
      </c>
      <c r="W659">
        <v>904</v>
      </c>
      <c r="X659">
        <v>14.32</v>
      </c>
      <c r="Y659" t="s">
        <v>853</v>
      </c>
      <c r="Z659" t="s">
        <v>3074</v>
      </c>
      <c r="AA659">
        <v>0.73</v>
      </c>
      <c r="AB659">
        <v>253</v>
      </c>
      <c r="AC659">
        <v>164</v>
      </c>
      <c r="AD659">
        <v>3.38</v>
      </c>
      <c r="AE659" t="s">
        <v>2659</v>
      </c>
      <c r="AF659" t="s">
        <v>1092</v>
      </c>
      <c r="AG659" t="s">
        <v>1115</v>
      </c>
      <c r="AH659" t="s">
        <v>2609</v>
      </c>
      <c r="AI659">
        <v>4.13</v>
      </c>
      <c r="AJ659">
        <v>10.62</v>
      </c>
      <c r="AK659">
        <v>4.75</v>
      </c>
      <c r="AL659">
        <v>9.5399999999999991</v>
      </c>
    </row>
    <row r="660" spans="1:38" x14ac:dyDescent="0.25">
      <c r="A660">
        <v>659</v>
      </c>
      <c r="B660" t="str">
        <f xml:space="preserve"> "601011"</f>
        <v>601011</v>
      </c>
      <c r="C660" t="s">
        <v>3487</v>
      </c>
      <c r="D660">
        <v>11.12</v>
      </c>
      <c r="E660">
        <v>4.0199999999999996</v>
      </c>
      <c r="F660">
        <v>0.43</v>
      </c>
      <c r="G660" t="s">
        <v>447</v>
      </c>
      <c r="H660">
        <v>16</v>
      </c>
      <c r="I660">
        <v>11.11</v>
      </c>
      <c r="J660">
        <v>11.12</v>
      </c>
      <c r="K660">
        <v>-0.09</v>
      </c>
      <c r="L660">
        <v>7.5</v>
      </c>
      <c r="M660" t="s">
        <v>2501</v>
      </c>
      <c r="N660">
        <v>145.24</v>
      </c>
      <c r="O660" t="s">
        <v>150</v>
      </c>
      <c r="P660">
        <v>11.6</v>
      </c>
      <c r="Q660">
        <v>10.83</v>
      </c>
      <c r="R660">
        <v>10.84</v>
      </c>
      <c r="S660">
        <v>10.69</v>
      </c>
      <c r="T660">
        <v>7.2</v>
      </c>
      <c r="U660">
        <v>0.98</v>
      </c>
      <c r="V660">
        <v>-29.36</v>
      </c>
      <c r="W660">
        <v>-3920</v>
      </c>
      <c r="X660">
        <v>11.26</v>
      </c>
      <c r="Y660" t="s">
        <v>1612</v>
      </c>
      <c r="Z660" t="s">
        <v>3488</v>
      </c>
      <c r="AA660">
        <v>0.88</v>
      </c>
      <c r="AB660">
        <v>1184</v>
      </c>
      <c r="AC660">
        <v>446</v>
      </c>
      <c r="AD660">
        <v>3.18</v>
      </c>
      <c r="AE660" t="s">
        <v>1477</v>
      </c>
      <c r="AF660" t="s">
        <v>1092</v>
      </c>
      <c r="AG660" t="s">
        <v>1510</v>
      </c>
      <c r="AH660" t="s">
        <v>1810</v>
      </c>
      <c r="AI660">
        <v>-4.47</v>
      </c>
      <c r="AJ660">
        <v>-8.33</v>
      </c>
      <c r="AK660">
        <v>21.2</v>
      </c>
      <c r="AL660">
        <v>45.74</v>
      </c>
    </row>
    <row r="661" spans="1:38" x14ac:dyDescent="0.25">
      <c r="A661">
        <v>660</v>
      </c>
      <c r="B661" t="str">
        <f xml:space="preserve"> "002491"</f>
        <v>002491</v>
      </c>
      <c r="C661" t="s">
        <v>3489</v>
      </c>
      <c r="D661">
        <v>14.02</v>
      </c>
      <c r="E661">
        <v>-0.21</v>
      </c>
      <c r="F661">
        <v>-0.03</v>
      </c>
      <c r="G661" t="s">
        <v>3111</v>
      </c>
      <c r="H661">
        <v>599</v>
      </c>
      <c r="I661">
        <v>14.02</v>
      </c>
      <c r="J661">
        <v>14.03</v>
      </c>
      <c r="K661">
        <v>7.0000000000000007E-2</v>
      </c>
      <c r="L661">
        <v>0.44</v>
      </c>
      <c r="M661" t="s">
        <v>3490</v>
      </c>
      <c r="N661">
        <v>31.45</v>
      </c>
      <c r="O661" t="s">
        <v>580</v>
      </c>
      <c r="P661">
        <v>14.12</v>
      </c>
      <c r="Q661">
        <v>13.86</v>
      </c>
      <c r="R661">
        <v>14.06</v>
      </c>
      <c r="S661">
        <v>14.05</v>
      </c>
      <c r="T661">
        <v>1.85</v>
      </c>
      <c r="U661">
        <v>0.46</v>
      </c>
      <c r="V661">
        <v>-34.86</v>
      </c>
      <c r="W661">
        <v>-1445</v>
      </c>
      <c r="X661">
        <v>13.98</v>
      </c>
      <c r="Y661" t="s">
        <v>1276</v>
      </c>
      <c r="Z661" t="s">
        <v>394</v>
      </c>
      <c r="AA661">
        <v>1.25</v>
      </c>
      <c r="AB661">
        <v>473</v>
      </c>
      <c r="AC661">
        <v>537</v>
      </c>
      <c r="AD661">
        <v>4.17</v>
      </c>
      <c r="AE661" t="s">
        <v>126</v>
      </c>
      <c r="AF661" t="s">
        <v>1092</v>
      </c>
      <c r="AG661" t="s">
        <v>1572</v>
      </c>
      <c r="AH661" t="s">
        <v>284</v>
      </c>
      <c r="AI661">
        <v>-1.48</v>
      </c>
      <c r="AJ661">
        <v>-1.2</v>
      </c>
      <c r="AK661">
        <v>1.66</v>
      </c>
      <c r="AL661">
        <v>5.22</v>
      </c>
    </row>
    <row r="662" spans="1:38" x14ac:dyDescent="0.25">
      <c r="A662">
        <v>661</v>
      </c>
      <c r="B662" t="str">
        <f xml:space="preserve"> "002268"</f>
        <v>002268</v>
      </c>
      <c r="C662" t="s">
        <v>3491</v>
      </c>
      <c r="D662">
        <v>21.1</v>
      </c>
      <c r="E662">
        <v>0.33</v>
      </c>
      <c r="F662">
        <v>7.0000000000000007E-2</v>
      </c>
      <c r="G662" t="s">
        <v>3492</v>
      </c>
      <c r="H662">
        <v>251</v>
      </c>
      <c r="I662">
        <v>21.1</v>
      </c>
      <c r="J662">
        <v>21.11</v>
      </c>
      <c r="K662">
        <v>0</v>
      </c>
      <c r="L662">
        <v>1.4</v>
      </c>
      <c r="M662" t="s">
        <v>608</v>
      </c>
      <c r="N662">
        <v>-71.08</v>
      </c>
      <c r="O662" t="s">
        <v>893</v>
      </c>
      <c r="P662">
        <v>21.48</v>
      </c>
      <c r="Q662">
        <v>20.6</v>
      </c>
      <c r="R662">
        <v>21.07</v>
      </c>
      <c r="S662">
        <v>21.03</v>
      </c>
      <c r="T662">
        <v>4.18</v>
      </c>
      <c r="U662">
        <v>0.75</v>
      </c>
      <c r="V662">
        <v>-10.35</v>
      </c>
      <c r="W662">
        <v>-233</v>
      </c>
      <c r="X662">
        <v>21.15</v>
      </c>
      <c r="Y662" t="s">
        <v>2515</v>
      </c>
      <c r="Z662" t="s">
        <v>574</v>
      </c>
      <c r="AA662">
        <v>0.67</v>
      </c>
      <c r="AB662">
        <v>824</v>
      </c>
      <c r="AC662">
        <v>154</v>
      </c>
      <c r="AD662">
        <v>4.42</v>
      </c>
      <c r="AE662" t="s">
        <v>3493</v>
      </c>
      <c r="AF662" t="s">
        <v>1092</v>
      </c>
      <c r="AG662" t="s">
        <v>3494</v>
      </c>
      <c r="AH662" t="s">
        <v>1513</v>
      </c>
      <c r="AI662">
        <v>-10.67</v>
      </c>
      <c r="AJ662">
        <v>-6.39</v>
      </c>
      <c r="AK662">
        <v>5.77</v>
      </c>
      <c r="AL662">
        <v>10.72</v>
      </c>
    </row>
    <row r="663" spans="1:38" x14ac:dyDescent="0.25">
      <c r="A663">
        <v>662</v>
      </c>
      <c r="B663" t="str">
        <f xml:space="preserve"> "600143"</f>
        <v>600143</v>
      </c>
      <c r="C663" t="s">
        <v>3495</v>
      </c>
      <c r="D663">
        <v>6.5</v>
      </c>
      <c r="E663">
        <v>2.69</v>
      </c>
      <c r="F663">
        <v>0.17</v>
      </c>
      <c r="G663" t="s">
        <v>1028</v>
      </c>
      <c r="H663">
        <v>87</v>
      </c>
      <c r="I663">
        <v>6.49</v>
      </c>
      <c r="J663">
        <v>6.5</v>
      </c>
      <c r="K663">
        <v>0</v>
      </c>
      <c r="L663">
        <v>0.65</v>
      </c>
      <c r="M663" t="s">
        <v>1314</v>
      </c>
      <c r="N663">
        <v>36.869999999999997</v>
      </c>
      <c r="O663" t="s">
        <v>2128</v>
      </c>
      <c r="P663">
        <v>6.53</v>
      </c>
      <c r="Q663">
        <v>6.3</v>
      </c>
      <c r="R663">
        <v>6.33</v>
      </c>
      <c r="S663">
        <v>6.33</v>
      </c>
      <c r="T663">
        <v>3.63</v>
      </c>
      <c r="U663">
        <v>0.81</v>
      </c>
      <c r="V663">
        <v>-18.43</v>
      </c>
      <c r="W663">
        <v>-2646</v>
      </c>
      <c r="X663">
        <v>6.45</v>
      </c>
      <c r="Y663" t="s">
        <v>1699</v>
      </c>
      <c r="Z663" t="s">
        <v>337</v>
      </c>
      <c r="AA663">
        <v>0.48</v>
      </c>
      <c r="AB663">
        <v>848</v>
      </c>
      <c r="AC663">
        <v>51</v>
      </c>
      <c r="AD663">
        <v>1.83</v>
      </c>
      <c r="AE663" t="s">
        <v>1030</v>
      </c>
      <c r="AF663" t="s">
        <v>1092</v>
      </c>
      <c r="AG663" t="s">
        <v>3243</v>
      </c>
      <c r="AH663" t="s">
        <v>2649</v>
      </c>
      <c r="AI663">
        <v>0.78</v>
      </c>
      <c r="AJ663">
        <v>5.35</v>
      </c>
      <c r="AK663">
        <v>1.72</v>
      </c>
      <c r="AL663">
        <v>4.62</v>
      </c>
    </row>
    <row r="664" spans="1:38" x14ac:dyDescent="0.25">
      <c r="A664">
        <v>663</v>
      </c>
      <c r="B664" t="str">
        <f xml:space="preserve"> "600499"</f>
        <v>600499</v>
      </c>
      <c r="C664" t="s">
        <v>3496</v>
      </c>
      <c r="D664">
        <v>12.51</v>
      </c>
      <c r="E664">
        <v>10.029999999999999</v>
      </c>
      <c r="F664">
        <v>1.1399999999999999</v>
      </c>
      <c r="G664" t="s">
        <v>3497</v>
      </c>
      <c r="H664">
        <v>40</v>
      </c>
      <c r="I664">
        <v>12.51</v>
      </c>
      <c r="J664" t="s">
        <v>616</v>
      </c>
      <c r="K664">
        <v>0</v>
      </c>
      <c r="L664">
        <v>8.35</v>
      </c>
      <c r="M664" t="s">
        <v>2100</v>
      </c>
      <c r="N664">
        <v>31.75</v>
      </c>
      <c r="O664" t="s">
        <v>648</v>
      </c>
      <c r="P664">
        <v>12.51</v>
      </c>
      <c r="Q664">
        <v>11.46</v>
      </c>
      <c r="R664">
        <v>11.46</v>
      </c>
      <c r="S664">
        <v>11.37</v>
      </c>
      <c r="T664">
        <v>9.23</v>
      </c>
      <c r="U664">
        <v>1.92</v>
      </c>
      <c r="V664">
        <v>100</v>
      </c>
      <c r="W664" t="s">
        <v>2621</v>
      </c>
      <c r="X664">
        <v>12.19</v>
      </c>
      <c r="Y664" t="s">
        <v>3498</v>
      </c>
      <c r="Z664" t="s">
        <v>3499</v>
      </c>
      <c r="AA664">
        <v>0.57999999999999996</v>
      </c>
      <c r="AB664" t="s">
        <v>1602</v>
      </c>
      <c r="AC664">
        <v>0</v>
      </c>
      <c r="AD664">
        <v>4.1900000000000004</v>
      </c>
      <c r="AE664" t="s">
        <v>1715</v>
      </c>
      <c r="AF664" t="s">
        <v>1092</v>
      </c>
      <c r="AG664" t="s">
        <v>1715</v>
      </c>
      <c r="AH664" t="s">
        <v>1092</v>
      </c>
      <c r="AI664">
        <v>4.7699999999999996</v>
      </c>
      <c r="AJ664">
        <v>3.73</v>
      </c>
      <c r="AK664">
        <v>14.6</v>
      </c>
      <c r="AL664">
        <v>30.09</v>
      </c>
    </row>
    <row r="665" spans="1:38" x14ac:dyDescent="0.25">
      <c r="A665">
        <v>664</v>
      </c>
      <c r="B665" t="str">
        <f xml:space="preserve"> "300616"</f>
        <v>300616</v>
      </c>
      <c r="C665" t="s">
        <v>3500</v>
      </c>
      <c r="D665">
        <v>159.94999999999999</v>
      </c>
      <c r="E665">
        <v>2.5299999999999998</v>
      </c>
      <c r="F665">
        <v>3.95</v>
      </c>
      <c r="G665">
        <v>7540</v>
      </c>
      <c r="H665">
        <v>101</v>
      </c>
      <c r="I665">
        <v>159.94999999999999</v>
      </c>
      <c r="J665">
        <v>159.97</v>
      </c>
      <c r="K665">
        <v>0</v>
      </c>
      <c r="L665">
        <v>2.79</v>
      </c>
      <c r="M665" t="s">
        <v>918</v>
      </c>
      <c r="N665">
        <v>134.03</v>
      </c>
      <c r="O665" t="s">
        <v>1469</v>
      </c>
      <c r="P665">
        <v>160.6</v>
      </c>
      <c r="Q665">
        <v>155.9</v>
      </c>
      <c r="R665">
        <v>155.9</v>
      </c>
      <c r="S665">
        <v>156</v>
      </c>
      <c r="T665">
        <v>3.01</v>
      </c>
      <c r="U665">
        <v>1.49</v>
      </c>
      <c r="V665">
        <v>-51.18</v>
      </c>
      <c r="W665">
        <v>-51</v>
      </c>
      <c r="X665">
        <v>158.72</v>
      </c>
      <c r="Y665">
        <v>2791</v>
      </c>
      <c r="Z665">
        <v>4749</v>
      </c>
      <c r="AA665">
        <v>0.59</v>
      </c>
      <c r="AB665">
        <v>5</v>
      </c>
      <c r="AC665">
        <v>8</v>
      </c>
      <c r="AD665">
        <v>7.23</v>
      </c>
      <c r="AE665" t="s">
        <v>679</v>
      </c>
      <c r="AF665" t="s">
        <v>1092</v>
      </c>
      <c r="AG665" t="s">
        <v>3501</v>
      </c>
      <c r="AH665" t="s">
        <v>1100</v>
      </c>
      <c r="AI665">
        <v>3.93</v>
      </c>
      <c r="AJ665">
        <v>6.61</v>
      </c>
      <c r="AK665">
        <v>8.08</v>
      </c>
      <c r="AL665">
        <v>12.19</v>
      </c>
    </row>
    <row r="666" spans="1:38" x14ac:dyDescent="0.25">
      <c r="A666">
        <v>665</v>
      </c>
      <c r="B666" t="str">
        <f xml:space="preserve"> "300038"</f>
        <v>300038</v>
      </c>
      <c r="C666" t="s">
        <v>3502</v>
      </c>
      <c r="D666">
        <v>42.17</v>
      </c>
      <c r="E666">
        <v>0.74</v>
      </c>
      <c r="F666">
        <v>0.31</v>
      </c>
      <c r="G666" t="s">
        <v>2444</v>
      </c>
      <c r="H666">
        <v>414</v>
      </c>
      <c r="I666">
        <v>42.17</v>
      </c>
      <c r="J666">
        <v>42.19</v>
      </c>
      <c r="K666">
        <v>-7.0000000000000007E-2</v>
      </c>
      <c r="L666">
        <v>1.61</v>
      </c>
      <c r="M666" t="s">
        <v>3503</v>
      </c>
      <c r="N666">
        <v>50.42</v>
      </c>
      <c r="O666" t="s">
        <v>580</v>
      </c>
      <c r="P666">
        <v>42.42</v>
      </c>
      <c r="Q666">
        <v>41.55</v>
      </c>
      <c r="R666">
        <v>41.97</v>
      </c>
      <c r="S666">
        <v>41.86</v>
      </c>
      <c r="T666">
        <v>2.08</v>
      </c>
      <c r="U666">
        <v>0.47</v>
      </c>
      <c r="V666">
        <v>4.46</v>
      </c>
      <c r="W666">
        <v>20</v>
      </c>
      <c r="X666">
        <v>42.14</v>
      </c>
      <c r="Y666">
        <v>9449</v>
      </c>
      <c r="Z666" t="s">
        <v>1153</v>
      </c>
      <c r="AA666">
        <v>0.68</v>
      </c>
      <c r="AB666">
        <v>93</v>
      </c>
      <c r="AC666">
        <v>114</v>
      </c>
      <c r="AD666">
        <v>2.84</v>
      </c>
      <c r="AE666" t="s">
        <v>3504</v>
      </c>
      <c r="AF666" t="s">
        <v>2609</v>
      </c>
      <c r="AG666" t="s">
        <v>1862</v>
      </c>
      <c r="AH666" t="s">
        <v>3505</v>
      </c>
      <c r="AI666">
        <v>-1.75</v>
      </c>
      <c r="AJ666">
        <v>-0.87</v>
      </c>
      <c r="AK666">
        <v>6.91</v>
      </c>
      <c r="AL666">
        <v>18.829999999999998</v>
      </c>
    </row>
    <row r="667" spans="1:38" x14ac:dyDescent="0.25">
      <c r="A667">
        <v>666</v>
      </c>
      <c r="B667" t="str">
        <f xml:space="preserve"> "600393"</f>
        <v>600393</v>
      </c>
      <c r="C667" t="s">
        <v>3506</v>
      </c>
      <c r="D667">
        <v>6.95</v>
      </c>
      <c r="E667">
        <v>0.14000000000000001</v>
      </c>
      <c r="F667">
        <v>0.01</v>
      </c>
      <c r="G667" t="s">
        <v>1533</v>
      </c>
      <c r="H667">
        <v>1</v>
      </c>
      <c r="I667">
        <v>6.95</v>
      </c>
      <c r="J667">
        <v>6.96</v>
      </c>
      <c r="K667">
        <v>-0.14000000000000001</v>
      </c>
      <c r="L667">
        <v>0.28000000000000003</v>
      </c>
      <c r="M667" t="s">
        <v>3507</v>
      </c>
      <c r="N667">
        <v>9.67</v>
      </c>
      <c r="O667" t="s">
        <v>244</v>
      </c>
      <c r="P667">
        <v>7.01</v>
      </c>
      <c r="Q667">
        <v>6.93</v>
      </c>
      <c r="R667">
        <v>6.95</v>
      </c>
      <c r="S667">
        <v>6.94</v>
      </c>
      <c r="T667">
        <v>1.1499999999999999</v>
      </c>
      <c r="U667">
        <v>0.67</v>
      </c>
      <c r="V667">
        <v>3.62</v>
      </c>
      <c r="W667">
        <v>311</v>
      </c>
      <c r="X667">
        <v>6.96</v>
      </c>
      <c r="Y667" t="s">
        <v>2518</v>
      </c>
      <c r="Z667" t="s">
        <v>603</v>
      </c>
      <c r="AA667">
        <v>0.95</v>
      </c>
      <c r="AB667">
        <v>598</v>
      </c>
      <c r="AC667">
        <v>223</v>
      </c>
      <c r="AD667">
        <v>3.09</v>
      </c>
      <c r="AE667" t="s">
        <v>1129</v>
      </c>
      <c r="AF667" t="s">
        <v>2609</v>
      </c>
      <c r="AG667" t="s">
        <v>3508</v>
      </c>
      <c r="AH667" t="s">
        <v>3509</v>
      </c>
      <c r="AI667">
        <v>-1.28</v>
      </c>
      <c r="AJ667">
        <v>0.87</v>
      </c>
      <c r="AK667">
        <v>1.01</v>
      </c>
      <c r="AL667">
        <v>2.36</v>
      </c>
    </row>
    <row r="668" spans="1:38" x14ac:dyDescent="0.25">
      <c r="A668">
        <v>667</v>
      </c>
      <c r="B668" t="str">
        <f xml:space="preserve"> "600575"</f>
        <v>600575</v>
      </c>
      <c r="C668" t="s">
        <v>3510</v>
      </c>
      <c r="D668">
        <v>4.53</v>
      </c>
      <c r="E668">
        <v>0.22</v>
      </c>
      <c r="F668">
        <v>0.01</v>
      </c>
      <c r="G668" t="s">
        <v>1660</v>
      </c>
      <c r="H668">
        <v>15</v>
      </c>
      <c r="I668">
        <v>4.5199999999999996</v>
      </c>
      <c r="J668">
        <v>4.53</v>
      </c>
      <c r="K668">
        <v>0.44</v>
      </c>
      <c r="L668">
        <v>0.17</v>
      </c>
      <c r="M668" t="s">
        <v>3511</v>
      </c>
      <c r="N668">
        <v>46.05</v>
      </c>
      <c r="O668" t="s">
        <v>440</v>
      </c>
      <c r="P668">
        <v>4.54</v>
      </c>
      <c r="Q668">
        <v>4.49</v>
      </c>
      <c r="R668">
        <v>4.5</v>
      </c>
      <c r="S668">
        <v>4.5199999999999996</v>
      </c>
      <c r="T668">
        <v>1.1100000000000001</v>
      </c>
      <c r="U668">
        <v>0.52</v>
      </c>
      <c r="V668">
        <v>7.46</v>
      </c>
      <c r="W668">
        <v>1231</v>
      </c>
      <c r="X668">
        <v>4.51</v>
      </c>
      <c r="Y668" t="s">
        <v>1973</v>
      </c>
      <c r="Z668" t="s">
        <v>3025</v>
      </c>
      <c r="AA668">
        <v>1.39</v>
      </c>
      <c r="AB668">
        <v>143</v>
      </c>
      <c r="AC668">
        <v>484</v>
      </c>
      <c r="AD668">
        <v>2.13</v>
      </c>
      <c r="AE668" t="s">
        <v>1671</v>
      </c>
      <c r="AF668" t="s">
        <v>2609</v>
      </c>
      <c r="AG668" t="s">
        <v>731</v>
      </c>
      <c r="AH668" t="s">
        <v>3512</v>
      </c>
      <c r="AI668">
        <v>-0.44</v>
      </c>
      <c r="AJ668">
        <v>2.95</v>
      </c>
      <c r="AK668">
        <v>0.95</v>
      </c>
      <c r="AL668">
        <v>1.82</v>
      </c>
    </row>
    <row r="669" spans="1:38" x14ac:dyDescent="0.25">
      <c r="A669">
        <v>668</v>
      </c>
      <c r="B669" t="str">
        <f xml:space="preserve"> "000881"</f>
        <v>000881</v>
      </c>
      <c r="C669" t="s">
        <v>3513</v>
      </c>
      <c r="D669">
        <v>16.670000000000002</v>
      </c>
      <c r="E669">
        <v>2.33</v>
      </c>
      <c r="F669">
        <v>0.38</v>
      </c>
      <c r="G669" t="s">
        <v>2334</v>
      </c>
      <c r="H669">
        <v>830</v>
      </c>
      <c r="I669">
        <v>16.66</v>
      </c>
      <c r="J669">
        <v>16.670000000000002</v>
      </c>
      <c r="K669">
        <v>0.06</v>
      </c>
      <c r="L669">
        <v>1.72</v>
      </c>
      <c r="M669" t="s">
        <v>3514</v>
      </c>
      <c r="N669">
        <v>60.87</v>
      </c>
      <c r="O669" t="s">
        <v>3277</v>
      </c>
      <c r="P669">
        <v>16.75</v>
      </c>
      <c r="Q669">
        <v>16.23</v>
      </c>
      <c r="R669">
        <v>16.39</v>
      </c>
      <c r="S669">
        <v>16.29</v>
      </c>
      <c r="T669">
        <v>3.19</v>
      </c>
      <c r="U669">
        <v>2.39</v>
      </c>
      <c r="V669">
        <v>-37.5</v>
      </c>
      <c r="W669">
        <v>-1386</v>
      </c>
      <c r="X669">
        <v>16.559999999999999</v>
      </c>
      <c r="Y669" t="s">
        <v>1950</v>
      </c>
      <c r="Z669" t="s">
        <v>2543</v>
      </c>
      <c r="AA669">
        <v>0.48</v>
      </c>
      <c r="AB669">
        <v>223</v>
      </c>
      <c r="AC669">
        <v>300</v>
      </c>
      <c r="AD669">
        <v>3.43</v>
      </c>
      <c r="AE669" t="s">
        <v>1554</v>
      </c>
      <c r="AF669" t="s">
        <v>2609</v>
      </c>
      <c r="AG669" t="s">
        <v>1569</v>
      </c>
      <c r="AH669" t="s">
        <v>2392</v>
      </c>
      <c r="AI669">
        <v>0.66</v>
      </c>
      <c r="AJ669">
        <v>4.45</v>
      </c>
      <c r="AK669">
        <v>2.9</v>
      </c>
      <c r="AL669">
        <v>5.33</v>
      </c>
    </row>
    <row r="670" spans="1:38" x14ac:dyDescent="0.25">
      <c r="A670">
        <v>669</v>
      </c>
      <c r="B670" t="str">
        <f xml:space="preserve"> "002299"</f>
        <v>002299</v>
      </c>
      <c r="C670" t="s">
        <v>3515</v>
      </c>
      <c r="D670">
        <v>15.72</v>
      </c>
      <c r="E670">
        <v>-0.38</v>
      </c>
      <c r="F670">
        <v>-0.06</v>
      </c>
      <c r="G670" t="s">
        <v>1739</v>
      </c>
      <c r="H670">
        <v>778</v>
      </c>
      <c r="I670">
        <v>15.72</v>
      </c>
      <c r="J670">
        <v>15.73</v>
      </c>
      <c r="K670">
        <v>0.19</v>
      </c>
      <c r="L670">
        <v>0.46</v>
      </c>
      <c r="M670" t="s">
        <v>3516</v>
      </c>
      <c r="N670">
        <v>488.47</v>
      </c>
      <c r="O670" t="s">
        <v>622</v>
      </c>
      <c r="P670">
        <v>15.82</v>
      </c>
      <c r="Q670">
        <v>15.58</v>
      </c>
      <c r="R670">
        <v>15.82</v>
      </c>
      <c r="S670">
        <v>15.78</v>
      </c>
      <c r="T670">
        <v>1.52</v>
      </c>
      <c r="U670">
        <v>0.52</v>
      </c>
      <c r="V670">
        <v>8.19</v>
      </c>
      <c r="W670">
        <v>117</v>
      </c>
      <c r="X670">
        <v>15.68</v>
      </c>
      <c r="Y670" t="s">
        <v>3042</v>
      </c>
      <c r="Z670" t="s">
        <v>113</v>
      </c>
      <c r="AA670">
        <v>0.93</v>
      </c>
      <c r="AB670">
        <v>543</v>
      </c>
      <c r="AC670">
        <v>17</v>
      </c>
      <c r="AD670">
        <v>3.25</v>
      </c>
      <c r="AE670" t="s">
        <v>204</v>
      </c>
      <c r="AF670" t="s">
        <v>2681</v>
      </c>
      <c r="AG670" t="s">
        <v>2336</v>
      </c>
      <c r="AH670" t="s">
        <v>3512</v>
      </c>
      <c r="AI670">
        <v>-1.07</v>
      </c>
      <c r="AJ670">
        <v>5.01</v>
      </c>
      <c r="AK670">
        <v>2.11</v>
      </c>
      <c r="AL670">
        <v>4.9000000000000004</v>
      </c>
    </row>
    <row r="671" spans="1:38" x14ac:dyDescent="0.25">
      <c r="A671">
        <v>670</v>
      </c>
      <c r="B671" t="str">
        <f xml:space="preserve"> "600420"</f>
        <v>600420</v>
      </c>
      <c r="C671" t="s">
        <v>3517</v>
      </c>
      <c r="D671">
        <v>15.68</v>
      </c>
      <c r="E671">
        <v>0.38</v>
      </c>
      <c r="F671">
        <v>0.06</v>
      </c>
      <c r="G671" t="s">
        <v>506</v>
      </c>
      <c r="H671">
        <v>4</v>
      </c>
      <c r="I671">
        <v>15.67</v>
      </c>
      <c r="J671">
        <v>15.68</v>
      </c>
      <c r="K671">
        <v>0.06</v>
      </c>
      <c r="L671">
        <v>0.55000000000000004</v>
      </c>
      <c r="M671" t="s">
        <v>3518</v>
      </c>
      <c r="N671">
        <v>24.37</v>
      </c>
      <c r="O671" t="s">
        <v>392</v>
      </c>
      <c r="P671">
        <v>15.72</v>
      </c>
      <c r="Q671">
        <v>15.5</v>
      </c>
      <c r="R671">
        <v>15.62</v>
      </c>
      <c r="S671">
        <v>15.62</v>
      </c>
      <c r="T671">
        <v>1.41</v>
      </c>
      <c r="U671">
        <v>0.41</v>
      </c>
      <c r="V671">
        <v>-31.53</v>
      </c>
      <c r="W671">
        <v>-572</v>
      </c>
      <c r="X671">
        <v>15.61</v>
      </c>
      <c r="Y671" t="s">
        <v>3519</v>
      </c>
      <c r="Z671" t="s">
        <v>2255</v>
      </c>
      <c r="AA671">
        <v>1.02</v>
      </c>
      <c r="AB671">
        <v>235</v>
      </c>
      <c r="AC671">
        <v>154</v>
      </c>
      <c r="AD671">
        <v>2.94</v>
      </c>
      <c r="AE671" t="s">
        <v>204</v>
      </c>
      <c r="AF671" t="s">
        <v>2736</v>
      </c>
      <c r="AG671" t="s">
        <v>2236</v>
      </c>
      <c r="AH671" t="s">
        <v>3520</v>
      </c>
      <c r="AI671">
        <v>0</v>
      </c>
      <c r="AJ671">
        <v>5.45</v>
      </c>
      <c r="AK671">
        <v>4.21</v>
      </c>
      <c r="AL671">
        <v>7.29</v>
      </c>
    </row>
    <row r="672" spans="1:38" x14ac:dyDescent="0.25">
      <c r="A672">
        <v>671</v>
      </c>
      <c r="B672" t="str">
        <f xml:space="preserve"> "600507"</f>
        <v>600507</v>
      </c>
      <c r="C672" t="s">
        <v>3521</v>
      </c>
      <c r="D672">
        <v>13.1</v>
      </c>
      <c r="E672">
        <v>0.38</v>
      </c>
      <c r="F672">
        <v>0.05</v>
      </c>
      <c r="G672" t="s">
        <v>3449</v>
      </c>
      <c r="H672">
        <v>96</v>
      </c>
      <c r="I672">
        <v>13.09</v>
      </c>
      <c r="J672">
        <v>13.1</v>
      </c>
      <c r="K672">
        <v>0.15</v>
      </c>
      <c r="L672">
        <v>1.93</v>
      </c>
      <c r="M672" t="s">
        <v>3522</v>
      </c>
      <c r="N672">
        <v>12.33</v>
      </c>
      <c r="O672" t="s">
        <v>416</v>
      </c>
      <c r="P672">
        <v>13.24</v>
      </c>
      <c r="Q672">
        <v>12.81</v>
      </c>
      <c r="R672">
        <v>13.01</v>
      </c>
      <c r="S672">
        <v>13.05</v>
      </c>
      <c r="T672">
        <v>3.3</v>
      </c>
      <c r="U672">
        <v>0.94</v>
      </c>
      <c r="V672">
        <v>-11.87</v>
      </c>
      <c r="W672">
        <v>-424</v>
      </c>
      <c r="X672">
        <v>13.06</v>
      </c>
      <c r="Y672" t="s">
        <v>2003</v>
      </c>
      <c r="Z672" t="s">
        <v>1583</v>
      </c>
      <c r="AA672">
        <v>0.77</v>
      </c>
      <c r="AB672">
        <v>84</v>
      </c>
      <c r="AC672">
        <v>439</v>
      </c>
      <c r="AD672">
        <v>5.75</v>
      </c>
      <c r="AE672" t="s">
        <v>3285</v>
      </c>
      <c r="AF672" t="s">
        <v>2736</v>
      </c>
      <c r="AG672" t="s">
        <v>1358</v>
      </c>
      <c r="AH672" t="s">
        <v>2736</v>
      </c>
      <c r="AI672">
        <v>0.69</v>
      </c>
      <c r="AJ672">
        <v>1</v>
      </c>
      <c r="AK672">
        <v>6.3</v>
      </c>
      <c r="AL672">
        <v>12.2</v>
      </c>
    </row>
    <row r="673" spans="1:38" x14ac:dyDescent="0.25">
      <c r="A673">
        <v>672</v>
      </c>
      <c r="B673" t="str">
        <f xml:space="preserve"> "603113"</f>
        <v>603113</v>
      </c>
      <c r="C673" t="s">
        <v>3523</v>
      </c>
      <c r="D673">
        <v>25.68</v>
      </c>
      <c r="E673">
        <v>1.5</v>
      </c>
      <c r="F673">
        <v>0.38</v>
      </c>
      <c r="G673" t="s">
        <v>3524</v>
      </c>
      <c r="H673">
        <v>14</v>
      </c>
      <c r="I673">
        <v>25.66</v>
      </c>
      <c r="J673">
        <v>25.68</v>
      </c>
      <c r="K673">
        <v>-0.08</v>
      </c>
      <c r="L673">
        <v>4.8899999999999997</v>
      </c>
      <c r="M673" t="s">
        <v>3525</v>
      </c>
      <c r="N673">
        <v>23.85</v>
      </c>
      <c r="O673" t="s">
        <v>150</v>
      </c>
      <c r="P673">
        <v>25.74</v>
      </c>
      <c r="Q673">
        <v>25.11</v>
      </c>
      <c r="R673">
        <v>25.35</v>
      </c>
      <c r="S673">
        <v>25.3</v>
      </c>
      <c r="T673">
        <v>2.4900000000000002</v>
      </c>
      <c r="U673">
        <v>0.75</v>
      </c>
      <c r="V673">
        <v>-36.75</v>
      </c>
      <c r="W673">
        <v>-222</v>
      </c>
      <c r="X673">
        <v>25.51</v>
      </c>
      <c r="Y673" t="s">
        <v>1113</v>
      </c>
      <c r="Z673" t="s">
        <v>1986</v>
      </c>
      <c r="AA673">
        <v>0.88</v>
      </c>
      <c r="AB673">
        <v>11</v>
      </c>
      <c r="AC673">
        <v>4</v>
      </c>
      <c r="AD673">
        <v>4.9000000000000004</v>
      </c>
      <c r="AE673" t="s">
        <v>589</v>
      </c>
      <c r="AF673" t="s">
        <v>2736</v>
      </c>
      <c r="AG673" t="s">
        <v>2863</v>
      </c>
      <c r="AH673" t="s">
        <v>2666</v>
      </c>
      <c r="AI673">
        <v>-6</v>
      </c>
      <c r="AJ673">
        <v>-4.25</v>
      </c>
      <c r="AK673">
        <v>23.48</v>
      </c>
      <c r="AL673">
        <v>37.369999999999997</v>
      </c>
    </row>
    <row r="674" spans="1:38" x14ac:dyDescent="0.25">
      <c r="A674">
        <v>673</v>
      </c>
      <c r="B674" t="str">
        <f xml:space="preserve"> "603305"</f>
        <v>603305</v>
      </c>
      <c r="C674" t="s">
        <v>3526</v>
      </c>
      <c r="D674">
        <v>43.29</v>
      </c>
      <c r="E674">
        <v>-0.02</v>
      </c>
      <c r="F674">
        <v>-0.01</v>
      </c>
      <c r="G674" t="s">
        <v>899</v>
      </c>
      <c r="H674">
        <v>2</v>
      </c>
      <c r="I674">
        <v>43.25</v>
      </c>
      <c r="J674">
        <v>43.28</v>
      </c>
      <c r="K674">
        <v>-0.05</v>
      </c>
      <c r="L674">
        <v>4.47</v>
      </c>
      <c r="M674" t="s">
        <v>3527</v>
      </c>
      <c r="N674">
        <v>78.52</v>
      </c>
      <c r="O674" t="s">
        <v>169</v>
      </c>
      <c r="P674">
        <v>43.93</v>
      </c>
      <c r="Q674">
        <v>42.8</v>
      </c>
      <c r="R674">
        <v>43.5</v>
      </c>
      <c r="S674">
        <v>43.3</v>
      </c>
      <c r="T674">
        <v>2.61</v>
      </c>
      <c r="U674">
        <v>0.65</v>
      </c>
      <c r="V674">
        <v>-22.98</v>
      </c>
      <c r="W674">
        <v>-78</v>
      </c>
      <c r="X674">
        <v>43.35</v>
      </c>
      <c r="Y674" t="s">
        <v>1685</v>
      </c>
      <c r="Z674">
        <v>8532</v>
      </c>
      <c r="AA674">
        <v>1.18</v>
      </c>
      <c r="AB674">
        <v>13</v>
      </c>
      <c r="AC674">
        <v>6</v>
      </c>
      <c r="AD674">
        <v>16.75</v>
      </c>
      <c r="AE674" t="s">
        <v>1922</v>
      </c>
      <c r="AF674" t="s">
        <v>3528</v>
      </c>
      <c r="AG674" t="s">
        <v>3529</v>
      </c>
      <c r="AH674" t="s">
        <v>2434</v>
      </c>
      <c r="AI674">
        <v>-7.36</v>
      </c>
      <c r="AJ674">
        <v>-7.97</v>
      </c>
      <c r="AK674">
        <v>20.16</v>
      </c>
      <c r="AL674">
        <v>38.65</v>
      </c>
    </row>
    <row r="675" spans="1:38" x14ac:dyDescent="0.25">
      <c r="A675">
        <v>674</v>
      </c>
      <c r="B675" t="str">
        <f xml:space="preserve"> "601619"</f>
        <v>601619</v>
      </c>
      <c r="C675" t="s">
        <v>3530</v>
      </c>
      <c r="D675">
        <v>8.9700000000000006</v>
      </c>
      <c r="E675">
        <v>0.22</v>
      </c>
      <c r="F675">
        <v>0.02</v>
      </c>
      <c r="G675" t="s">
        <v>2583</v>
      </c>
      <c r="H675">
        <v>20</v>
      </c>
      <c r="I675">
        <v>8.9700000000000006</v>
      </c>
      <c r="J675">
        <v>8.98</v>
      </c>
      <c r="K675">
        <v>0.11</v>
      </c>
      <c r="L675">
        <v>3.51</v>
      </c>
      <c r="M675" t="s">
        <v>3531</v>
      </c>
      <c r="N675">
        <v>96.17</v>
      </c>
      <c r="O675" t="s">
        <v>186</v>
      </c>
      <c r="P675">
        <v>9.08</v>
      </c>
      <c r="Q675">
        <v>8.8800000000000008</v>
      </c>
      <c r="R675">
        <v>8.92</v>
      </c>
      <c r="S675">
        <v>8.9499999999999993</v>
      </c>
      <c r="T675">
        <v>2.23</v>
      </c>
      <c r="U675">
        <v>0.61</v>
      </c>
      <c r="V675">
        <v>9.2200000000000006</v>
      </c>
      <c r="W675">
        <v>593</v>
      </c>
      <c r="X675">
        <v>8.99</v>
      </c>
      <c r="Y675" t="s">
        <v>1286</v>
      </c>
      <c r="Z675" t="s">
        <v>3039</v>
      </c>
      <c r="AA675">
        <v>1.07</v>
      </c>
      <c r="AB675">
        <v>571</v>
      </c>
      <c r="AC675">
        <v>289</v>
      </c>
      <c r="AD675">
        <v>7.36</v>
      </c>
      <c r="AE675" t="s">
        <v>886</v>
      </c>
      <c r="AF675" t="s">
        <v>3528</v>
      </c>
      <c r="AG675" t="s">
        <v>629</v>
      </c>
      <c r="AH675" t="s">
        <v>1540</v>
      </c>
      <c r="AI675">
        <v>-3.44</v>
      </c>
      <c r="AJ675">
        <v>0.45</v>
      </c>
      <c r="AK675">
        <v>13.7</v>
      </c>
      <c r="AL675">
        <v>32.43</v>
      </c>
    </row>
    <row r="676" spans="1:38" x14ac:dyDescent="0.25">
      <c r="A676">
        <v>675</v>
      </c>
      <c r="B676" t="str">
        <f xml:space="preserve"> "002444"</f>
        <v>002444</v>
      </c>
      <c r="C676" t="s">
        <v>3532</v>
      </c>
      <c r="D676">
        <v>16.079999999999998</v>
      </c>
      <c r="E676">
        <v>-0.5</v>
      </c>
      <c r="F676">
        <v>-0.08</v>
      </c>
      <c r="G676" t="s">
        <v>2008</v>
      </c>
      <c r="H676">
        <v>3083</v>
      </c>
      <c r="I676">
        <v>16.07</v>
      </c>
      <c r="J676">
        <v>16.079999999999998</v>
      </c>
      <c r="K676">
        <v>-0.06</v>
      </c>
      <c r="L676">
        <v>1.77</v>
      </c>
      <c r="M676" t="s">
        <v>2668</v>
      </c>
      <c r="N676">
        <v>34.42</v>
      </c>
      <c r="O676" t="s">
        <v>1229</v>
      </c>
      <c r="P676">
        <v>16.25</v>
      </c>
      <c r="Q676">
        <v>15.94</v>
      </c>
      <c r="R676">
        <v>16.04</v>
      </c>
      <c r="S676">
        <v>16.16</v>
      </c>
      <c r="T676">
        <v>1.92</v>
      </c>
      <c r="U676">
        <v>0.93</v>
      </c>
      <c r="V676">
        <v>-2.64</v>
      </c>
      <c r="W676">
        <v>-121</v>
      </c>
      <c r="X676">
        <v>16.07</v>
      </c>
      <c r="Y676" t="s">
        <v>1448</v>
      </c>
      <c r="Z676" t="s">
        <v>1522</v>
      </c>
      <c r="AA676">
        <v>1.34</v>
      </c>
      <c r="AB676">
        <v>550</v>
      </c>
      <c r="AC676">
        <v>523</v>
      </c>
      <c r="AD676">
        <v>3.05</v>
      </c>
      <c r="AE676" t="s">
        <v>352</v>
      </c>
      <c r="AF676" t="s">
        <v>3528</v>
      </c>
      <c r="AG676" t="s">
        <v>262</v>
      </c>
      <c r="AH676" t="s">
        <v>3137</v>
      </c>
      <c r="AI676">
        <v>1.71</v>
      </c>
      <c r="AJ676">
        <v>8.06</v>
      </c>
      <c r="AK676">
        <v>7.64</v>
      </c>
      <c r="AL676">
        <v>11.24</v>
      </c>
    </row>
    <row r="677" spans="1:38" x14ac:dyDescent="0.25">
      <c r="A677">
        <v>676</v>
      </c>
      <c r="B677" t="str">
        <f xml:space="preserve"> "000059"</f>
        <v>000059</v>
      </c>
      <c r="C677" t="s">
        <v>3533</v>
      </c>
      <c r="D677">
        <v>10.81</v>
      </c>
      <c r="E677">
        <v>-0.37</v>
      </c>
      <c r="F677">
        <v>-0.04</v>
      </c>
      <c r="G677" t="s">
        <v>378</v>
      </c>
      <c r="H677">
        <v>3382</v>
      </c>
      <c r="I677">
        <v>10.8</v>
      </c>
      <c r="J677">
        <v>10.81</v>
      </c>
      <c r="K677">
        <v>-0.09</v>
      </c>
      <c r="L677">
        <v>1.08</v>
      </c>
      <c r="M677" t="s">
        <v>608</v>
      </c>
      <c r="N677">
        <v>10.43</v>
      </c>
      <c r="O677" t="s">
        <v>61</v>
      </c>
      <c r="P677">
        <v>10.9</v>
      </c>
      <c r="Q677">
        <v>10.78</v>
      </c>
      <c r="R677">
        <v>10.84</v>
      </c>
      <c r="S677">
        <v>10.85</v>
      </c>
      <c r="T677">
        <v>1.1100000000000001</v>
      </c>
      <c r="U677">
        <v>1.08</v>
      </c>
      <c r="V677">
        <v>33.43</v>
      </c>
      <c r="W677">
        <v>4061</v>
      </c>
      <c r="X677">
        <v>10.82</v>
      </c>
      <c r="Y677" t="s">
        <v>3534</v>
      </c>
      <c r="Z677" t="s">
        <v>1052</v>
      </c>
      <c r="AA677">
        <v>1.54</v>
      </c>
      <c r="AB677">
        <v>1670</v>
      </c>
      <c r="AC677">
        <v>313</v>
      </c>
      <c r="AD677">
        <v>1.55</v>
      </c>
      <c r="AE677" t="s">
        <v>1147</v>
      </c>
      <c r="AF677" t="s">
        <v>3528</v>
      </c>
      <c r="AG677" t="s">
        <v>803</v>
      </c>
      <c r="AH677" t="s">
        <v>1664</v>
      </c>
      <c r="AI677">
        <v>-2.61</v>
      </c>
      <c r="AJ677">
        <v>-1.37</v>
      </c>
      <c r="AK677">
        <v>3.56</v>
      </c>
      <c r="AL677">
        <v>6.08</v>
      </c>
    </row>
    <row r="678" spans="1:38" x14ac:dyDescent="0.25">
      <c r="A678">
        <v>677</v>
      </c>
      <c r="B678" t="str">
        <f xml:space="preserve"> "002901"</f>
        <v>002901</v>
      </c>
      <c r="C678" t="s">
        <v>3535</v>
      </c>
      <c r="D678">
        <v>43.21</v>
      </c>
      <c r="E678">
        <v>10.01</v>
      </c>
      <c r="F678">
        <v>3.93</v>
      </c>
      <c r="G678">
        <v>2180</v>
      </c>
      <c r="H678">
        <v>8</v>
      </c>
      <c r="I678">
        <v>43.21</v>
      </c>
      <c r="J678" t="s">
        <v>616</v>
      </c>
      <c r="K678">
        <v>0</v>
      </c>
      <c r="L678">
        <v>0.54</v>
      </c>
      <c r="M678" t="s">
        <v>3536</v>
      </c>
      <c r="N678">
        <v>65.650000000000006</v>
      </c>
      <c r="O678" t="s">
        <v>1552</v>
      </c>
      <c r="P678">
        <v>43.21</v>
      </c>
      <c r="Q678">
        <v>43.21</v>
      </c>
      <c r="R678">
        <v>43.21</v>
      </c>
      <c r="S678">
        <v>39.28</v>
      </c>
      <c r="T678">
        <v>0</v>
      </c>
      <c r="U678">
        <v>1.47</v>
      </c>
      <c r="V678">
        <v>100</v>
      </c>
      <c r="W678" t="s">
        <v>1278</v>
      </c>
      <c r="X678">
        <v>43.21</v>
      </c>
      <c r="Y678">
        <v>2180</v>
      </c>
      <c r="Z678">
        <v>0</v>
      </c>
      <c r="AA678">
        <v>1</v>
      </c>
      <c r="AB678" t="s">
        <v>3519</v>
      </c>
      <c r="AC678">
        <v>0</v>
      </c>
      <c r="AD678">
        <v>16.260000000000002</v>
      </c>
      <c r="AE678" t="s">
        <v>1000</v>
      </c>
      <c r="AF678" t="s">
        <v>3528</v>
      </c>
      <c r="AG678" t="s">
        <v>1001</v>
      </c>
      <c r="AH678" t="s">
        <v>531</v>
      </c>
      <c r="AI678">
        <v>33.119999999999997</v>
      </c>
      <c r="AJ678">
        <v>77.16</v>
      </c>
      <c r="AK678">
        <v>1.36</v>
      </c>
      <c r="AL678">
        <v>2.39</v>
      </c>
    </row>
    <row r="679" spans="1:38" x14ac:dyDescent="0.25">
      <c r="A679">
        <v>678</v>
      </c>
      <c r="B679" t="str">
        <f xml:space="preserve"> "002505"</f>
        <v>002505</v>
      </c>
      <c r="C679" t="s">
        <v>3537</v>
      </c>
      <c r="D679">
        <v>3.15</v>
      </c>
      <c r="E679">
        <v>0</v>
      </c>
      <c r="F679">
        <v>0</v>
      </c>
      <c r="G679" t="s">
        <v>1901</v>
      </c>
      <c r="H679">
        <v>596</v>
      </c>
      <c r="I679">
        <v>3.14</v>
      </c>
      <c r="J679">
        <v>3.15</v>
      </c>
      <c r="K679">
        <v>0</v>
      </c>
      <c r="L679">
        <v>0.15</v>
      </c>
      <c r="M679" t="s">
        <v>3538</v>
      </c>
      <c r="N679">
        <v>713.36</v>
      </c>
      <c r="O679" t="s">
        <v>622</v>
      </c>
      <c r="P679">
        <v>3.15</v>
      </c>
      <c r="Q679">
        <v>3.13</v>
      </c>
      <c r="R679">
        <v>3.14</v>
      </c>
      <c r="S679">
        <v>3.15</v>
      </c>
      <c r="T679">
        <v>0.63</v>
      </c>
      <c r="U679">
        <v>0.72</v>
      </c>
      <c r="V679">
        <v>13.67</v>
      </c>
      <c r="W679">
        <v>8199</v>
      </c>
      <c r="X679">
        <v>3.14</v>
      </c>
      <c r="Y679" t="s">
        <v>2220</v>
      </c>
      <c r="Z679" t="s">
        <v>1843</v>
      </c>
      <c r="AA679">
        <v>1.49</v>
      </c>
      <c r="AB679">
        <v>7269</v>
      </c>
      <c r="AC679" t="s">
        <v>2002</v>
      </c>
      <c r="AD679">
        <v>3.09</v>
      </c>
      <c r="AE679" t="s">
        <v>3539</v>
      </c>
      <c r="AF679" t="s">
        <v>3528</v>
      </c>
      <c r="AG679" t="s">
        <v>3540</v>
      </c>
      <c r="AH679" t="s">
        <v>3528</v>
      </c>
      <c r="AI679">
        <v>-1.25</v>
      </c>
      <c r="AJ679">
        <v>2.27</v>
      </c>
      <c r="AK679">
        <v>0.53</v>
      </c>
      <c r="AL679">
        <v>1.22</v>
      </c>
    </row>
    <row r="680" spans="1:38" x14ac:dyDescent="0.25">
      <c r="A680">
        <v>679</v>
      </c>
      <c r="B680" t="str">
        <f xml:space="preserve"> "002056"</f>
        <v>002056</v>
      </c>
      <c r="C680" t="s">
        <v>3541</v>
      </c>
      <c r="D680">
        <v>10.49</v>
      </c>
      <c r="E680">
        <v>0.19</v>
      </c>
      <c r="F680">
        <v>0.02</v>
      </c>
      <c r="G680" t="s">
        <v>1036</v>
      </c>
      <c r="H680">
        <v>4778</v>
      </c>
      <c r="I680">
        <v>10.48</v>
      </c>
      <c r="J680">
        <v>10.49</v>
      </c>
      <c r="K680">
        <v>0.1</v>
      </c>
      <c r="L680">
        <v>1.35</v>
      </c>
      <c r="M680" t="s">
        <v>1640</v>
      </c>
      <c r="N680">
        <v>38.869999999999997</v>
      </c>
      <c r="O680" t="s">
        <v>380</v>
      </c>
      <c r="P680">
        <v>10.59</v>
      </c>
      <c r="Q680">
        <v>10.41</v>
      </c>
      <c r="R680">
        <v>10.45</v>
      </c>
      <c r="S680">
        <v>10.47</v>
      </c>
      <c r="T680">
        <v>1.72</v>
      </c>
      <c r="U680">
        <v>0.5</v>
      </c>
      <c r="V680">
        <v>25.25</v>
      </c>
      <c r="W680">
        <v>3334</v>
      </c>
      <c r="X680">
        <v>10.51</v>
      </c>
      <c r="Y680" t="s">
        <v>102</v>
      </c>
      <c r="Z680" t="s">
        <v>912</v>
      </c>
      <c r="AA680">
        <v>1.07</v>
      </c>
      <c r="AB680">
        <v>2508</v>
      </c>
      <c r="AC680">
        <v>784</v>
      </c>
      <c r="AD680">
        <v>4.1399999999999997</v>
      </c>
      <c r="AE680" t="s">
        <v>1778</v>
      </c>
      <c r="AF680" t="s">
        <v>327</v>
      </c>
      <c r="AG680" t="s">
        <v>1778</v>
      </c>
      <c r="AH680" t="s">
        <v>327</v>
      </c>
      <c r="AI680">
        <v>-2.2400000000000002</v>
      </c>
      <c r="AJ680">
        <v>-6.17</v>
      </c>
      <c r="AK680">
        <v>6.74</v>
      </c>
      <c r="AL680">
        <v>14.7</v>
      </c>
    </row>
    <row r="681" spans="1:38" x14ac:dyDescent="0.25">
      <c r="A681">
        <v>680</v>
      </c>
      <c r="B681" t="str">
        <f xml:space="preserve"> "000022"</f>
        <v>000022</v>
      </c>
      <c r="C681" t="s">
        <v>3542</v>
      </c>
      <c r="D681">
        <v>26.71</v>
      </c>
      <c r="E681">
        <v>0.19</v>
      </c>
      <c r="F681">
        <v>0.05</v>
      </c>
      <c r="G681" t="s">
        <v>712</v>
      </c>
      <c r="H681">
        <v>815</v>
      </c>
      <c r="I681">
        <v>26.71</v>
      </c>
      <c r="J681">
        <v>26.73</v>
      </c>
      <c r="K681">
        <v>-0.11</v>
      </c>
      <c r="L681">
        <v>0.61</v>
      </c>
      <c r="M681" t="s">
        <v>3543</v>
      </c>
      <c r="N681">
        <v>31.15</v>
      </c>
      <c r="O681" t="s">
        <v>440</v>
      </c>
      <c r="P681">
        <v>26.98</v>
      </c>
      <c r="Q681">
        <v>26.4</v>
      </c>
      <c r="R681">
        <v>26.61</v>
      </c>
      <c r="S681">
        <v>26.66</v>
      </c>
      <c r="T681">
        <v>2.1800000000000002</v>
      </c>
      <c r="U681">
        <v>1.02</v>
      </c>
      <c r="V681">
        <v>-29.09</v>
      </c>
      <c r="W681">
        <v>-560</v>
      </c>
      <c r="X681">
        <v>26.78</v>
      </c>
      <c r="Y681" t="s">
        <v>3130</v>
      </c>
      <c r="Z681" t="s">
        <v>2002</v>
      </c>
      <c r="AA681">
        <v>1.51</v>
      </c>
      <c r="AB681">
        <v>195</v>
      </c>
      <c r="AC681">
        <v>13</v>
      </c>
      <c r="AD681">
        <v>3.96</v>
      </c>
      <c r="AE681" t="s">
        <v>3544</v>
      </c>
      <c r="AF681" t="s">
        <v>327</v>
      </c>
      <c r="AG681" t="s">
        <v>3545</v>
      </c>
      <c r="AH681" t="s">
        <v>1561</v>
      </c>
      <c r="AI681">
        <v>3.05</v>
      </c>
      <c r="AJ681">
        <v>7.01</v>
      </c>
      <c r="AK681">
        <v>2.41</v>
      </c>
      <c r="AL681">
        <v>3.57</v>
      </c>
    </row>
    <row r="682" spans="1:38" x14ac:dyDescent="0.25">
      <c r="A682">
        <v>681</v>
      </c>
      <c r="B682" t="str">
        <f xml:space="preserve"> "000968"</f>
        <v>000968</v>
      </c>
      <c r="C682" t="s">
        <v>3546</v>
      </c>
      <c r="D682">
        <v>17.8</v>
      </c>
      <c r="E682">
        <v>5.83</v>
      </c>
      <c r="F682">
        <v>0.98</v>
      </c>
      <c r="G682" t="s">
        <v>517</v>
      </c>
      <c r="H682">
        <v>3669</v>
      </c>
      <c r="I682">
        <v>17.79</v>
      </c>
      <c r="J682">
        <v>17.8</v>
      </c>
      <c r="K682">
        <v>0.06</v>
      </c>
      <c r="L682">
        <v>3.59</v>
      </c>
      <c r="M682" t="s">
        <v>514</v>
      </c>
      <c r="N682">
        <v>34.49</v>
      </c>
      <c r="O682" t="s">
        <v>61</v>
      </c>
      <c r="P682">
        <v>17.8</v>
      </c>
      <c r="Q682">
        <v>16.72</v>
      </c>
      <c r="R682">
        <v>16.82</v>
      </c>
      <c r="S682">
        <v>16.82</v>
      </c>
      <c r="T682">
        <v>6.42</v>
      </c>
      <c r="U682">
        <v>1.31</v>
      </c>
      <c r="V682">
        <v>-18.45</v>
      </c>
      <c r="W682">
        <v>-621</v>
      </c>
      <c r="X682">
        <v>17.350000000000001</v>
      </c>
      <c r="Y682" t="s">
        <v>2485</v>
      </c>
      <c r="Z682" t="s">
        <v>489</v>
      </c>
      <c r="AA682">
        <v>0.4</v>
      </c>
      <c r="AB682">
        <v>884</v>
      </c>
      <c r="AC682">
        <v>333</v>
      </c>
      <c r="AD682">
        <v>5.9</v>
      </c>
      <c r="AE682" t="s">
        <v>2707</v>
      </c>
      <c r="AF682" t="s">
        <v>327</v>
      </c>
      <c r="AG682" t="s">
        <v>2807</v>
      </c>
      <c r="AH682" t="s">
        <v>2412</v>
      </c>
      <c r="AI682">
        <v>5.01</v>
      </c>
      <c r="AJ682">
        <v>11.6</v>
      </c>
      <c r="AK682">
        <v>7.3</v>
      </c>
      <c r="AL682">
        <v>17.27</v>
      </c>
    </row>
    <row r="683" spans="1:38" x14ac:dyDescent="0.25">
      <c r="A683">
        <v>682</v>
      </c>
      <c r="B683" t="str">
        <f xml:space="preserve"> "600604"</f>
        <v>600604</v>
      </c>
      <c r="C683" t="s">
        <v>3547</v>
      </c>
      <c r="D683">
        <v>9.19</v>
      </c>
      <c r="E683">
        <v>1.32</v>
      </c>
      <c r="F683">
        <v>0.12</v>
      </c>
      <c r="G683" t="s">
        <v>1170</v>
      </c>
      <c r="H683">
        <v>426</v>
      </c>
      <c r="I683">
        <v>9.18</v>
      </c>
      <c r="J683">
        <v>9.19</v>
      </c>
      <c r="K683">
        <v>0.11</v>
      </c>
      <c r="L683">
        <v>3.19</v>
      </c>
      <c r="M683" t="s">
        <v>3548</v>
      </c>
      <c r="N683">
        <v>125.23</v>
      </c>
      <c r="O683" t="s">
        <v>244</v>
      </c>
      <c r="P683">
        <v>9.35</v>
      </c>
      <c r="Q683">
        <v>9.0500000000000007</v>
      </c>
      <c r="R683">
        <v>9.23</v>
      </c>
      <c r="S683">
        <v>9.07</v>
      </c>
      <c r="T683">
        <v>3.31</v>
      </c>
      <c r="U683">
        <v>1.25</v>
      </c>
      <c r="V683">
        <v>-50.41</v>
      </c>
      <c r="W683">
        <v>-6173</v>
      </c>
      <c r="X683">
        <v>9.2100000000000009</v>
      </c>
      <c r="Y683" t="s">
        <v>297</v>
      </c>
      <c r="Z683" t="s">
        <v>3288</v>
      </c>
      <c r="AA683">
        <v>0.96</v>
      </c>
      <c r="AB683">
        <v>438</v>
      </c>
      <c r="AC683">
        <v>532</v>
      </c>
      <c r="AD683">
        <v>3</v>
      </c>
      <c r="AE683" t="s">
        <v>1362</v>
      </c>
      <c r="AF683" t="s">
        <v>327</v>
      </c>
      <c r="AG683" t="s">
        <v>755</v>
      </c>
      <c r="AH683" t="s">
        <v>3549</v>
      </c>
      <c r="AI683">
        <v>5.63</v>
      </c>
      <c r="AJ683">
        <v>12.76</v>
      </c>
      <c r="AK683">
        <v>9.77</v>
      </c>
      <c r="AL683">
        <v>15.99</v>
      </c>
    </row>
    <row r="684" spans="1:38" x14ac:dyDescent="0.25">
      <c r="A684">
        <v>683</v>
      </c>
      <c r="B684" t="str">
        <f xml:space="preserve"> "600226"</f>
        <v>600226</v>
      </c>
      <c r="C684" t="s">
        <v>3550</v>
      </c>
      <c r="D684">
        <v>7.13</v>
      </c>
      <c r="E684">
        <v>-0.97</v>
      </c>
      <c r="F684">
        <v>-7.0000000000000007E-2</v>
      </c>
      <c r="G684" t="s">
        <v>2505</v>
      </c>
      <c r="H684">
        <v>42</v>
      </c>
      <c r="I684">
        <v>7.12</v>
      </c>
      <c r="J684">
        <v>7.13</v>
      </c>
      <c r="K684">
        <v>-0.28000000000000003</v>
      </c>
      <c r="L684">
        <v>0.78</v>
      </c>
      <c r="M684" t="s">
        <v>3551</v>
      </c>
      <c r="N684">
        <v>45.39</v>
      </c>
      <c r="O684" t="s">
        <v>2060</v>
      </c>
      <c r="P684">
        <v>7.28</v>
      </c>
      <c r="Q684">
        <v>7.08</v>
      </c>
      <c r="R684">
        <v>7.2</v>
      </c>
      <c r="S684">
        <v>7.2</v>
      </c>
      <c r="T684">
        <v>2.78</v>
      </c>
      <c r="U684">
        <v>0.87</v>
      </c>
      <c r="V684">
        <v>37.43</v>
      </c>
      <c r="W684">
        <v>2695</v>
      </c>
      <c r="X684">
        <v>7.15</v>
      </c>
      <c r="Y684" t="s">
        <v>1294</v>
      </c>
      <c r="Z684" t="s">
        <v>3552</v>
      </c>
      <c r="AA684">
        <v>1.22</v>
      </c>
      <c r="AB684">
        <v>222</v>
      </c>
      <c r="AC684">
        <v>309</v>
      </c>
      <c r="AD684">
        <v>4.13</v>
      </c>
      <c r="AE684" t="s">
        <v>2317</v>
      </c>
      <c r="AF684" t="s">
        <v>327</v>
      </c>
      <c r="AG684" t="s">
        <v>122</v>
      </c>
      <c r="AH684" t="s">
        <v>2006</v>
      </c>
      <c r="AI684">
        <v>4.09</v>
      </c>
      <c r="AJ684">
        <v>6.42</v>
      </c>
      <c r="AK684">
        <v>3.29</v>
      </c>
      <c r="AL684">
        <v>5.25</v>
      </c>
    </row>
    <row r="685" spans="1:38" x14ac:dyDescent="0.25">
      <c r="A685">
        <v>684</v>
      </c>
      <c r="B685" t="str">
        <f xml:space="preserve"> "000690"</f>
        <v>000690</v>
      </c>
      <c r="C685" t="s">
        <v>3553</v>
      </c>
      <c r="D685">
        <v>7.91</v>
      </c>
      <c r="E685">
        <v>0.76</v>
      </c>
      <c r="F685">
        <v>0.06</v>
      </c>
      <c r="G685" t="s">
        <v>570</v>
      </c>
      <c r="H685">
        <v>2701</v>
      </c>
      <c r="I685">
        <v>7.9</v>
      </c>
      <c r="J685">
        <v>7.91</v>
      </c>
      <c r="K685">
        <v>-0.13</v>
      </c>
      <c r="L685">
        <v>0.45</v>
      </c>
      <c r="M685" t="s">
        <v>3554</v>
      </c>
      <c r="N685">
        <v>32.21</v>
      </c>
      <c r="O685" t="s">
        <v>186</v>
      </c>
      <c r="P685">
        <v>7.99</v>
      </c>
      <c r="Q685">
        <v>7.82</v>
      </c>
      <c r="R685">
        <v>7.83</v>
      </c>
      <c r="S685">
        <v>7.85</v>
      </c>
      <c r="T685">
        <v>2.17</v>
      </c>
      <c r="U685">
        <v>0.89</v>
      </c>
      <c r="V685">
        <v>-31.57</v>
      </c>
      <c r="W685">
        <v>-1623</v>
      </c>
      <c r="X685">
        <v>7.94</v>
      </c>
      <c r="Y685" t="s">
        <v>1601</v>
      </c>
      <c r="Z685" t="s">
        <v>3555</v>
      </c>
      <c r="AA685">
        <v>0.94</v>
      </c>
      <c r="AB685">
        <v>70</v>
      </c>
      <c r="AC685">
        <v>1920</v>
      </c>
      <c r="AD685">
        <v>2.0499999999999998</v>
      </c>
      <c r="AE685" t="s">
        <v>2277</v>
      </c>
      <c r="AF685" t="s">
        <v>327</v>
      </c>
      <c r="AG685" t="s">
        <v>740</v>
      </c>
      <c r="AH685" t="s">
        <v>2212</v>
      </c>
      <c r="AI685">
        <v>-3.06</v>
      </c>
      <c r="AJ685">
        <v>0.25</v>
      </c>
      <c r="AK685">
        <v>1.52</v>
      </c>
      <c r="AL685">
        <v>2.97</v>
      </c>
    </row>
    <row r="686" spans="1:38" x14ac:dyDescent="0.25">
      <c r="A686">
        <v>685</v>
      </c>
      <c r="B686" t="str">
        <f xml:space="preserve"> "300058"</f>
        <v>300058</v>
      </c>
      <c r="C686" t="s">
        <v>3556</v>
      </c>
      <c r="D686">
        <v>7.77</v>
      </c>
      <c r="E686">
        <v>0.39</v>
      </c>
      <c r="F686">
        <v>0.03</v>
      </c>
      <c r="G686" t="s">
        <v>3557</v>
      </c>
      <c r="H686">
        <v>729</v>
      </c>
      <c r="I686">
        <v>7.76</v>
      </c>
      <c r="J686">
        <v>7.77</v>
      </c>
      <c r="K686">
        <v>0</v>
      </c>
      <c r="L686">
        <v>0.61</v>
      </c>
      <c r="M686" t="s">
        <v>3558</v>
      </c>
      <c r="N686">
        <v>28.62</v>
      </c>
      <c r="O686" t="s">
        <v>1126</v>
      </c>
      <c r="P686">
        <v>7.82</v>
      </c>
      <c r="Q686">
        <v>7.74</v>
      </c>
      <c r="R686">
        <v>7.74</v>
      </c>
      <c r="S686">
        <v>7.74</v>
      </c>
      <c r="T686">
        <v>1.03</v>
      </c>
      <c r="U686">
        <v>0.62</v>
      </c>
      <c r="V686">
        <v>9.4600000000000009</v>
      </c>
      <c r="W686">
        <v>768</v>
      </c>
      <c r="X686">
        <v>7.79</v>
      </c>
      <c r="Y686" t="s">
        <v>3559</v>
      </c>
      <c r="Z686" t="s">
        <v>792</v>
      </c>
      <c r="AA686">
        <v>0.83</v>
      </c>
      <c r="AB686">
        <v>1314</v>
      </c>
      <c r="AC686">
        <v>810</v>
      </c>
      <c r="AD686">
        <v>2.2599999999999998</v>
      </c>
      <c r="AE686" t="s">
        <v>1254</v>
      </c>
      <c r="AF686" t="s">
        <v>327</v>
      </c>
      <c r="AG686" t="s">
        <v>2760</v>
      </c>
      <c r="AH686" t="s">
        <v>555</v>
      </c>
      <c r="AI686">
        <v>-1.4</v>
      </c>
      <c r="AJ686">
        <v>5.71</v>
      </c>
      <c r="AK686">
        <v>2.4500000000000002</v>
      </c>
      <c r="AL686">
        <v>5.5</v>
      </c>
    </row>
    <row r="687" spans="1:38" x14ac:dyDescent="0.25">
      <c r="A687">
        <v>686</v>
      </c>
      <c r="B687" t="str">
        <f xml:space="preserve"> "000935"</f>
        <v>000935</v>
      </c>
      <c r="C687" t="s">
        <v>3560</v>
      </c>
      <c r="D687">
        <v>22.5</v>
      </c>
      <c r="E687">
        <v>-0.79</v>
      </c>
      <c r="F687">
        <v>-0.18</v>
      </c>
      <c r="G687" t="s">
        <v>371</v>
      </c>
      <c r="H687">
        <v>2385</v>
      </c>
      <c r="I687">
        <v>22.49</v>
      </c>
      <c r="J687">
        <v>22.5</v>
      </c>
      <c r="K687">
        <v>0.09</v>
      </c>
      <c r="L687">
        <v>1.79</v>
      </c>
      <c r="M687" t="s">
        <v>3561</v>
      </c>
      <c r="N687">
        <v>171.67</v>
      </c>
      <c r="O687" t="s">
        <v>562</v>
      </c>
      <c r="P687">
        <v>22.95</v>
      </c>
      <c r="Q687">
        <v>22.2</v>
      </c>
      <c r="R687">
        <v>22.55</v>
      </c>
      <c r="S687">
        <v>22.68</v>
      </c>
      <c r="T687">
        <v>3.31</v>
      </c>
      <c r="U687">
        <v>0.64</v>
      </c>
      <c r="V687">
        <v>70.400000000000006</v>
      </c>
      <c r="W687">
        <v>3074</v>
      </c>
      <c r="X687">
        <v>22.52</v>
      </c>
      <c r="Y687" t="s">
        <v>3562</v>
      </c>
      <c r="Z687" t="s">
        <v>1570</v>
      </c>
      <c r="AA687">
        <v>1.47</v>
      </c>
      <c r="AB687">
        <v>269</v>
      </c>
      <c r="AC687">
        <v>432</v>
      </c>
      <c r="AD687">
        <v>6.21</v>
      </c>
      <c r="AE687" t="s">
        <v>3563</v>
      </c>
      <c r="AF687" t="s">
        <v>327</v>
      </c>
      <c r="AG687" t="s">
        <v>3564</v>
      </c>
      <c r="AH687" t="s">
        <v>3512</v>
      </c>
      <c r="AI687">
        <v>2.27</v>
      </c>
      <c r="AJ687">
        <v>5.78</v>
      </c>
      <c r="AK687">
        <v>8.08</v>
      </c>
      <c r="AL687">
        <v>15.74</v>
      </c>
    </row>
    <row r="688" spans="1:38" x14ac:dyDescent="0.25">
      <c r="A688">
        <v>687</v>
      </c>
      <c r="B688" t="str">
        <f xml:space="preserve"> "002818"</f>
        <v>002818</v>
      </c>
      <c r="C688" t="s">
        <v>3565</v>
      </c>
      <c r="D688">
        <v>39.020000000000003</v>
      </c>
      <c r="E688">
        <v>-0.71</v>
      </c>
      <c r="F688">
        <v>-0.28000000000000003</v>
      </c>
      <c r="G688" t="s">
        <v>2088</v>
      </c>
      <c r="H688">
        <v>367</v>
      </c>
      <c r="I688">
        <v>39.020000000000003</v>
      </c>
      <c r="J688">
        <v>39.03</v>
      </c>
      <c r="K688">
        <v>-0.03</v>
      </c>
      <c r="L688">
        <v>5.23</v>
      </c>
      <c r="M688" t="s">
        <v>3566</v>
      </c>
      <c r="N688">
        <v>25.43</v>
      </c>
      <c r="O688" t="s">
        <v>532</v>
      </c>
      <c r="P688">
        <v>39.32</v>
      </c>
      <c r="Q688">
        <v>38.68</v>
      </c>
      <c r="R688">
        <v>38.9</v>
      </c>
      <c r="S688">
        <v>39.299999999999997</v>
      </c>
      <c r="T688">
        <v>1.63</v>
      </c>
      <c r="U688">
        <v>1.46</v>
      </c>
      <c r="V688">
        <v>-13.91</v>
      </c>
      <c r="W688">
        <v>-74</v>
      </c>
      <c r="X688">
        <v>39.020000000000003</v>
      </c>
      <c r="Y688" t="s">
        <v>1799</v>
      </c>
      <c r="Z688" t="s">
        <v>2522</v>
      </c>
      <c r="AA688">
        <v>1.23</v>
      </c>
      <c r="AB688">
        <v>46</v>
      </c>
      <c r="AC688">
        <v>37</v>
      </c>
      <c r="AD688">
        <v>4.1900000000000004</v>
      </c>
      <c r="AE688" t="s">
        <v>3567</v>
      </c>
      <c r="AF688" t="s">
        <v>327</v>
      </c>
      <c r="AG688" t="s">
        <v>3568</v>
      </c>
      <c r="AH688" t="s">
        <v>1367</v>
      </c>
      <c r="AI688">
        <v>0.52</v>
      </c>
      <c r="AJ688">
        <v>5.12</v>
      </c>
      <c r="AK688">
        <v>13.52</v>
      </c>
      <c r="AL688">
        <v>23.16</v>
      </c>
    </row>
    <row r="689" spans="1:38" x14ac:dyDescent="0.25">
      <c r="A689">
        <v>688</v>
      </c>
      <c r="B689" t="str">
        <f xml:space="preserve"> "600839"</f>
        <v>600839</v>
      </c>
      <c r="C689" t="s">
        <v>3569</v>
      </c>
      <c r="D689">
        <v>3.71</v>
      </c>
      <c r="E689">
        <v>2.4900000000000002</v>
      </c>
      <c r="F689">
        <v>0.09</v>
      </c>
      <c r="G689" t="s">
        <v>3570</v>
      </c>
      <c r="H689">
        <v>1704</v>
      </c>
      <c r="I689">
        <v>3.71</v>
      </c>
      <c r="J689">
        <v>3.72</v>
      </c>
      <c r="K689">
        <v>-0.27</v>
      </c>
      <c r="L689">
        <v>2.27</v>
      </c>
      <c r="M689" t="s">
        <v>787</v>
      </c>
      <c r="N689">
        <v>55.42</v>
      </c>
      <c r="O689" t="s">
        <v>215</v>
      </c>
      <c r="P689">
        <v>3.75</v>
      </c>
      <c r="Q689">
        <v>3.62</v>
      </c>
      <c r="R689">
        <v>3.62</v>
      </c>
      <c r="S689">
        <v>3.62</v>
      </c>
      <c r="T689">
        <v>3.59</v>
      </c>
      <c r="U689">
        <v>2.5299999999999998</v>
      </c>
      <c r="V689">
        <v>-42.38</v>
      </c>
      <c r="W689" t="s">
        <v>3571</v>
      </c>
      <c r="X689">
        <v>3.69</v>
      </c>
      <c r="Y689" t="s">
        <v>581</v>
      </c>
      <c r="Z689" t="s">
        <v>3572</v>
      </c>
      <c r="AA689">
        <v>0.49</v>
      </c>
      <c r="AB689">
        <v>4195</v>
      </c>
      <c r="AC689">
        <v>3735</v>
      </c>
      <c r="AD689">
        <v>1.35</v>
      </c>
      <c r="AE689" t="s">
        <v>2412</v>
      </c>
      <c r="AF689" t="s">
        <v>2026</v>
      </c>
      <c r="AG689" t="s">
        <v>945</v>
      </c>
      <c r="AH689" t="s">
        <v>2026</v>
      </c>
      <c r="AI689">
        <v>3.06</v>
      </c>
      <c r="AJ689">
        <v>4.8</v>
      </c>
      <c r="AK689">
        <v>4.01</v>
      </c>
      <c r="AL689">
        <v>6.75</v>
      </c>
    </row>
    <row r="690" spans="1:38" x14ac:dyDescent="0.25">
      <c r="A690">
        <v>689</v>
      </c>
      <c r="B690" t="str">
        <f xml:space="preserve"> "600908"</f>
        <v>600908</v>
      </c>
      <c r="C690" t="s">
        <v>3573</v>
      </c>
      <c r="D690">
        <v>9.26</v>
      </c>
      <c r="E690">
        <v>0.11</v>
      </c>
      <c r="F690">
        <v>0.01</v>
      </c>
      <c r="G690" t="s">
        <v>1780</v>
      </c>
      <c r="H690">
        <v>28</v>
      </c>
      <c r="I690">
        <v>9.25</v>
      </c>
      <c r="J690">
        <v>9.26</v>
      </c>
      <c r="K690">
        <v>0.11</v>
      </c>
      <c r="L690">
        <v>1.66</v>
      </c>
      <c r="M690" t="s">
        <v>3574</v>
      </c>
      <c r="N690">
        <v>16.399999999999999</v>
      </c>
      <c r="O690" t="s">
        <v>41</v>
      </c>
      <c r="P690">
        <v>9.3000000000000007</v>
      </c>
      <c r="Q690">
        <v>9.1999999999999993</v>
      </c>
      <c r="R690">
        <v>9.24</v>
      </c>
      <c r="S690">
        <v>9.25</v>
      </c>
      <c r="T690">
        <v>1.08</v>
      </c>
      <c r="U690">
        <v>0.72</v>
      </c>
      <c r="V690">
        <v>-0.46</v>
      </c>
      <c r="W690">
        <v>-62</v>
      </c>
      <c r="X690">
        <v>9.24</v>
      </c>
      <c r="Y690" t="s">
        <v>3202</v>
      </c>
      <c r="Z690" t="s">
        <v>2143</v>
      </c>
      <c r="AA690">
        <v>1.81</v>
      </c>
      <c r="AB690">
        <v>86</v>
      </c>
      <c r="AC690">
        <v>615</v>
      </c>
      <c r="AD690">
        <v>1.93</v>
      </c>
      <c r="AE690" t="s">
        <v>1674</v>
      </c>
      <c r="AF690" t="s">
        <v>2026</v>
      </c>
      <c r="AG690" t="s">
        <v>3575</v>
      </c>
      <c r="AH690" t="s">
        <v>3576</v>
      </c>
      <c r="AI690">
        <v>-1.28</v>
      </c>
      <c r="AJ690">
        <v>1.2</v>
      </c>
      <c r="AK690">
        <v>5.45</v>
      </c>
      <c r="AL690">
        <v>13.2</v>
      </c>
    </row>
    <row r="691" spans="1:38" x14ac:dyDescent="0.25">
      <c r="A691">
        <v>690</v>
      </c>
      <c r="B691" t="str">
        <f xml:space="preserve"> "002648"</f>
        <v>002648</v>
      </c>
      <c r="C691" t="s">
        <v>3577</v>
      </c>
      <c r="D691">
        <v>16.059999999999999</v>
      </c>
      <c r="E691">
        <v>1.01</v>
      </c>
      <c r="F691">
        <v>0.16</v>
      </c>
      <c r="G691" t="s">
        <v>944</v>
      </c>
      <c r="H691">
        <v>595</v>
      </c>
      <c r="I691">
        <v>16.059999999999999</v>
      </c>
      <c r="J691">
        <v>16.07</v>
      </c>
      <c r="K691">
        <v>0</v>
      </c>
      <c r="L691">
        <v>0.5</v>
      </c>
      <c r="M691" t="s">
        <v>3578</v>
      </c>
      <c r="N691">
        <v>17.64</v>
      </c>
      <c r="O691" t="s">
        <v>667</v>
      </c>
      <c r="P691">
        <v>16.14</v>
      </c>
      <c r="Q691">
        <v>15.83</v>
      </c>
      <c r="R691">
        <v>15.9</v>
      </c>
      <c r="S691">
        <v>15.9</v>
      </c>
      <c r="T691">
        <v>1.95</v>
      </c>
      <c r="U691">
        <v>0.61</v>
      </c>
      <c r="V691">
        <v>4.3600000000000003</v>
      </c>
      <c r="W691">
        <v>156</v>
      </c>
      <c r="X691">
        <v>16.04</v>
      </c>
      <c r="Y691" t="s">
        <v>2126</v>
      </c>
      <c r="Z691" t="s">
        <v>3579</v>
      </c>
      <c r="AA691">
        <v>0.84</v>
      </c>
      <c r="AB691">
        <v>520</v>
      </c>
      <c r="AC691">
        <v>344</v>
      </c>
      <c r="AD691">
        <v>4.53</v>
      </c>
      <c r="AE691" t="s">
        <v>1554</v>
      </c>
      <c r="AF691" t="s">
        <v>2026</v>
      </c>
      <c r="AG691" t="s">
        <v>1754</v>
      </c>
      <c r="AH691" t="s">
        <v>632</v>
      </c>
      <c r="AI691">
        <v>-1.77</v>
      </c>
      <c r="AJ691">
        <v>-0.06</v>
      </c>
      <c r="AK691">
        <v>2.23</v>
      </c>
      <c r="AL691">
        <v>4.58</v>
      </c>
    </row>
    <row r="692" spans="1:38" x14ac:dyDescent="0.25">
      <c r="A692">
        <v>691</v>
      </c>
      <c r="B692" t="str">
        <f xml:space="preserve"> "002497"</f>
        <v>002497</v>
      </c>
      <c r="C692" t="s">
        <v>3580</v>
      </c>
      <c r="D692">
        <v>17.78</v>
      </c>
      <c r="E692">
        <v>0.85</v>
      </c>
      <c r="F692">
        <v>0.15</v>
      </c>
      <c r="G692" t="s">
        <v>3581</v>
      </c>
      <c r="H692">
        <v>5804</v>
      </c>
      <c r="I692">
        <v>17.77</v>
      </c>
      <c r="J692">
        <v>17.78</v>
      </c>
      <c r="K692">
        <v>0</v>
      </c>
      <c r="L692">
        <v>4.5</v>
      </c>
      <c r="M692" t="s">
        <v>3582</v>
      </c>
      <c r="N692">
        <v>67.45</v>
      </c>
      <c r="O692" t="s">
        <v>667</v>
      </c>
      <c r="P692">
        <v>18.11</v>
      </c>
      <c r="Q692">
        <v>17.670000000000002</v>
      </c>
      <c r="R692">
        <v>17.68</v>
      </c>
      <c r="S692">
        <v>17.63</v>
      </c>
      <c r="T692">
        <v>2.5</v>
      </c>
      <c r="U692">
        <v>0.62</v>
      </c>
      <c r="V692">
        <v>22.76</v>
      </c>
      <c r="W692">
        <v>1490</v>
      </c>
      <c r="X692">
        <v>17.89</v>
      </c>
      <c r="Y692" t="s">
        <v>2055</v>
      </c>
      <c r="Z692" t="s">
        <v>3296</v>
      </c>
      <c r="AA692">
        <v>0.87</v>
      </c>
      <c r="AB692">
        <v>640</v>
      </c>
      <c r="AC692">
        <v>269</v>
      </c>
      <c r="AD692">
        <v>6.94</v>
      </c>
      <c r="AE692" t="s">
        <v>3583</v>
      </c>
      <c r="AF692" t="s">
        <v>2026</v>
      </c>
      <c r="AG692" t="s">
        <v>2245</v>
      </c>
      <c r="AH692" t="s">
        <v>575</v>
      </c>
      <c r="AI692">
        <v>-1.17</v>
      </c>
      <c r="AJ692">
        <v>-7.44</v>
      </c>
      <c r="AK692">
        <v>18.77</v>
      </c>
      <c r="AL692">
        <v>40.78</v>
      </c>
    </row>
    <row r="693" spans="1:38" x14ac:dyDescent="0.25">
      <c r="A693">
        <v>692</v>
      </c>
      <c r="B693" t="str">
        <f xml:space="preserve"> "603766"</f>
        <v>603766</v>
      </c>
      <c r="C693" t="s">
        <v>3584</v>
      </c>
      <c r="D693">
        <v>8.06</v>
      </c>
      <c r="E693">
        <v>-0.86</v>
      </c>
      <c r="F693">
        <v>-7.0000000000000007E-2</v>
      </c>
      <c r="G693" t="s">
        <v>1895</v>
      </c>
      <c r="H693">
        <v>112</v>
      </c>
      <c r="I693">
        <v>8.06</v>
      </c>
      <c r="J693">
        <v>8.07</v>
      </c>
      <c r="K693">
        <v>0.25</v>
      </c>
      <c r="L693">
        <v>0.77</v>
      </c>
      <c r="M693" t="s">
        <v>2239</v>
      </c>
      <c r="N693">
        <v>16.989999999999998</v>
      </c>
      <c r="O693" t="s">
        <v>648</v>
      </c>
      <c r="P693">
        <v>8.15</v>
      </c>
      <c r="Q693">
        <v>8.01</v>
      </c>
      <c r="R693">
        <v>8.15</v>
      </c>
      <c r="S693">
        <v>8.1300000000000008</v>
      </c>
      <c r="T693">
        <v>1.72</v>
      </c>
      <c r="U693">
        <v>1.01</v>
      </c>
      <c r="V693">
        <v>33.19</v>
      </c>
      <c r="W693">
        <v>2638</v>
      </c>
      <c r="X693">
        <v>8.06</v>
      </c>
      <c r="Y693" t="s">
        <v>516</v>
      </c>
      <c r="Z693" t="s">
        <v>3585</v>
      </c>
      <c r="AA693">
        <v>3.35</v>
      </c>
      <c r="AB693">
        <v>290</v>
      </c>
      <c r="AC693">
        <v>362</v>
      </c>
      <c r="AD693">
        <v>2.76</v>
      </c>
      <c r="AE693" t="s">
        <v>1734</v>
      </c>
      <c r="AF693" t="s">
        <v>3279</v>
      </c>
      <c r="AG693" t="s">
        <v>1085</v>
      </c>
      <c r="AH693" t="s">
        <v>3133</v>
      </c>
      <c r="AI693">
        <v>-3.12</v>
      </c>
      <c r="AJ693">
        <v>-0.62</v>
      </c>
      <c r="AK693">
        <v>2.39</v>
      </c>
      <c r="AL693">
        <v>4.58</v>
      </c>
    </row>
    <row r="694" spans="1:38" x14ac:dyDescent="0.25">
      <c r="A694">
        <v>693</v>
      </c>
      <c r="B694" t="str">
        <f xml:space="preserve"> "002699"</f>
        <v>002699</v>
      </c>
      <c r="C694" t="s">
        <v>3586</v>
      </c>
      <c r="D694">
        <v>18.72</v>
      </c>
      <c r="E694">
        <v>0.92</v>
      </c>
      <c r="F694">
        <v>0.17</v>
      </c>
      <c r="G694" t="s">
        <v>3213</v>
      </c>
      <c r="H694">
        <v>698</v>
      </c>
      <c r="I694">
        <v>18.7</v>
      </c>
      <c r="J694">
        <v>18.72</v>
      </c>
      <c r="K694">
        <v>0</v>
      </c>
      <c r="L694">
        <v>0.47</v>
      </c>
      <c r="M694" t="s">
        <v>3587</v>
      </c>
      <c r="N694">
        <v>89.99</v>
      </c>
      <c r="O694" t="s">
        <v>807</v>
      </c>
      <c r="P694">
        <v>18.850000000000001</v>
      </c>
      <c r="Q694">
        <v>18.13</v>
      </c>
      <c r="R694">
        <v>18.48</v>
      </c>
      <c r="S694">
        <v>18.55</v>
      </c>
      <c r="T694">
        <v>3.88</v>
      </c>
      <c r="U694">
        <v>1.08</v>
      </c>
      <c r="V694">
        <v>-56.98</v>
      </c>
      <c r="W694">
        <v>-834</v>
      </c>
      <c r="X694">
        <v>18.48</v>
      </c>
      <c r="Y694" t="s">
        <v>2616</v>
      </c>
      <c r="Z694" t="s">
        <v>658</v>
      </c>
      <c r="AA694">
        <v>0.66</v>
      </c>
      <c r="AB694">
        <v>44</v>
      </c>
      <c r="AC694">
        <v>769</v>
      </c>
      <c r="AD694">
        <v>5</v>
      </c>
      <c r="AE694" t="s">
        <v>2036</v>
      </c>
      <c r="AF694" t="s">
        <v>3279</v>
      </c>
      <c r="AG694" t="s">
        <v>3588</v>
      </c>
      <c r="AH694" t="s">
        <v>1080</v>
      </c>
      <c r="AI694">
        <v>0</v>
      </c>
      <c r="AJ694">
        <v>1.03</v>
      </c>
      <c r="AK694">
        <v>1.22</v>
      </c>
      <c r="AL694">
        <v>2.66</v>
      </c>
    </row>
    <row r="695" spans="1:38" x14ac:dyDescent="0.25">
      <c r="A695">
        <v>694</v>
      </c>
      <c r="B695" t="str">
        <f xml:space="preserve"> "002287"</f>
        <v>002287</v>
      </c>
      <c r="C695" t="s">
        <v>3589</v>
      </c>
      <c r="D695">
        <v>41.89</v>
      </c>
      <c r="E695">
        <v>1.18</v>
      </c>
      <c r="F695">
        <v>0.49</v>
      </c>
      <c r="G695" t="s">
        <v>2808</v>
      </c>
      <c r="H695">
        <v>213</v>
      </c>
      <c r="I695">
        <v>41.89</v>
      </c>
      <c r="J695">
        <v>41.9</v>
      </c>
      <c r="K695">
        <v>0</v>
      </c>
      <c r="L695">
        <v>0.89</v>
      </c>
      <c r="M695" t="s">
        <v>2231</v>
      </c>
      <c r="N695">
        <v>50.13</v>
      </c>
      <c r="O695" t="s">
        <v>392</v>
      </c>
      <c r="P695">
        <v>42.77</v>
      </c>
      <c r="Q695">
        <v>41.41</v>
      </c>
      <c r="R695">
        <v>41.46</v>
      </c>
      <c r="S695">
        <v>41.4</v>
      </c>
      <c r="T695">
        <v>3.29</v>
      </c>
      <c r="U695">
        <v>1.58</v>
      </c>
      <c r="V695">
        <v>20.96</v>
      </c>
      <c r="W695">
        <v>203</v>
      </c>
      <c r="X695">
        <v>42.18</v>
      </c>
      <c r="Y695" t="s">
        <v>3590</v>
      </c>
      <c r="Z695" t="s">
        <v>658</v>
      </c>
      <c r="AA695">
        <v>0.84</v>
      </c>
      <c r="AB695">
        <v>213</v>
      </c>
      <c r="AC695">
        <v>338</v>
      </c>
      <c r="AD695">
        <v>10.71</v>
      </c>
      <c r="AE695" t="s">
        <v>2215</v>
      </c>
      <c r="AF695" t="s">
        <v>3279</v>
      </c>
      <c r="AG695" t="s">
        <v>2215</v>
      </c>
      <c r="AH695" t="s">
        <v>3279</v>
      </c>
      <c r="AI695">
        <v>0.02</v>
      </c>
      <c r="AJ695">
        <v>6.83</v>
      </c>
      <c r="AK695">
        <v>2.02</v>
      </c>
      <c r="AL695">
        <v>3.71</v>
      </c>
    </row>
    <row r="696" spans="1:38" x14ac:dyDescent="0.25">
      <c r="A696">
        <v>695</v>
      </c>
      <c r="B696" t="str">
        <f xml:space="preserve"> "600231"</f>
        <v>600231</v>
      </c>
      <c r="C696" t="s">
        <v>3591</v>
      </c>
      <c r="D696">
        <v>6.75</v>
      </c>
      <c r="E696">
        <v>-1.03</v>
      </c>
      <c r="F696">
        <v>-7.0000000000000007E-2</v>
      </c>
      <c r="G696" t="s">
        <v>3592</v>
      </c>
      <c r="H696">
        <v>71</v>
      </c>
      <c r="I696">
        <v>6.74</v>
      </c>
      <c r="J696">
        <v>6.75</v>
      </c>
      <c r="K696">
        <v>-0.3</v>
      </c>
      <c r="L696">
        <v>8.2200000000000006</v>
      </c>
      <c r="M696" t="s">
        <v>3593</v>
      </c>
      <c r="N696">
        <v>12.8</v>
      </c>
      <c r="O696" t="s">
        <v>416</v>
      </c>
      <c r="P696">
        <v>7.08</v>
      </c>
      <c r="Q696">
        <v>6.54</v>
      </c>
      <c r="R696">
        <v>6.85</v>
      </c>
      <c r="S696">
        <v>6.82</v>
      </c>
      <c r="T696">
        <v>7.92</v>
      </c>
      <c r="U696">
        <v>1.36</v>
      </c>
      <c r="V696">
        <v>-25.65</v>
      </c>
      <c r="W696">
        <v>-1895</v>
      </c>
      <c r="X696">
        <v>6.74</v>
      </c>
      <c r="Y696" t="s">
        <v>3594</v>
      </c>
      <c r="Z696" t="s">
        <v>3595</v>
      </c>
      <c r="AA696">
        <v>1.06</v>
      </c>
      <c r="AB696">
        <v>143</v>
      </c>
      <c r="AC696">
        <v>662</v>
      </c>
      <c r="AD696">
        <v>2.76</v>
      </c>
      <c r="AE696" t="s">
        <v>2920</v>
      </c>
      <c r="AF696" t="s">
        <v>3279</v>
      </c>
      <c r="AG696" t="s">
        <v>3071</v>
      </c>
      <c r="AH696" t="s">
        <v>2006</v>
      </c>
      <c r="AI696">
        <v>9.58</v>
      </c>
      <c r="AJ696">
        <v>11.2</v>
      </c>
      <c r="AK696">
        <v>21.3</v>
      </c>
      <c r="AL696">
        <v>38.549999999999997</v>
      </c>
    </row>
    <row r="697" spans="1:38" x14ac:dyDescent="0.25">
      <c r="A697">
        <v>696</v>
      </c>
      <c r="B697" t="str">
        <f xml:space="preserve"> "601952"</f>
        <v>601952</v>
      </c>
      <c r="C697" t="s">
        <v>3596</v>
      </c>
      <c r="D697">
        <v>16.04</v>
      </c>
      <c r="E697">
        <v>2.17</v>
      </c>
      <c r="F697">
        <v>0.34</v>
      </c>
      <c r="G697" t="s">
        <v>1237</v>
      </c>
      <c r="H697">
        <v>347</v>
      </c>
      <c r="I697">
        <v>16.02</v>
      </c>
      <c r="J697">
        <v>16.05</v>
      </c>
      <c r="K697">
        <v>0.12</v>
      </c>
      <c r="L697">
        <v>5.28</v>
      </c>
      <c r="M697" t="s">
        <v>3597</v>
      </c>
      <c r="N697">
        <v>31.83</v>
      </c>
      <c r="O697" t="s">
        <v>622</v>
      </c>
      <c r="P697">
        <v>16.079999999999998</v>
      </c>
      <c r="Q697">
        <v>15.56</v>
      </c>
      <c r="R697">
        <v>15.61</v>
      </c>
      <c r="S697">
        <v>15.7</v>
      </c>
      <c r="T697">
        <v>3.31</v>
      </c>
      <c r="U697">
        <v>0.75</v>
      </c>
      <c r="V697">
        <v>-40.909999999999997</v>
      </c>
      <c r="W697">
        <v>-1278</v>
      </c>
      <c r="X697">
        <v>15.89</v>
      </c>
      <c r="Y697" t="s">
        <v>1717</v>
      </c>
      <c r="Z697" t="s">
        <v>631</v>
      </c>
      <c r="AA697">
        <v>0.75</v>
      </c>
      <c r="AB697">
        <v>492</v>
      </c>
      <c r="AC697">
        <v>150</v>
      </c>
      <c r="AD697">
        <v>3.46</v>
      </c>
      <c r="AE697" t="s">
        <v>1554</v>
      </c>
      <c r="AF697" t="s">
        <v>3279</v>
      </c>
      <c r="AG697" t="s">
        <v>2807</v>
      </c>
      <c r="AH697" t="s">
        <v>2228</v>
      </c>
      <c r="AI697">
        <v>1.71</v>
      </c>
      <c r="AJ697">
        <v>8.4499999999999993</v>
      </c>
      <c r="AK697">
        <v>21.16</v>
      </c>
      <c r="AL697">
        <v>40.65</v>
      </c>
    </row>
    <row r="698" spans="1:38" x14ac:dyDescent="0.25">
      <c r="A698">
        <v>697</v>
      </c>
      <c r="B698" t="str">
        <f xml:space="preserve"> "300496"</f>
        <v>300496</v>
      </c>
      <c r="C698" t="s">
        <v>3598</v>
      </c>
      <c r="D698">
        <v>42.25</v>
      </c>
      <c r="E698">
        <v>2.1800000000000002</v>
      </c>
      <c r="F698">
        <v>0.9</v>
      </c>
      <c r="G698" t="s">
        <v>1921</v>
      </c>
      <c r="H698">
        <v>1294</v>
      </c>
      <c r="I698">
        <v>42.25</v>
      </c>
      <c r="J698">
        <v>42.26</v>
      </c>
      <c r="K698">
        <v>-0.02</v>
      </c>
      <c r="L698">
        <v>8.33</v>
      </c>
      <c r="M698" t="s">
        <v>3599</v>
      </c>
      <c r="N698">
        <v>147.04</v>
      </c>
      <c r="O698" t="s">
        <v>553</v>
      </c>
      <c r="P698">
        <v>43.15</v>
      </c>
      <c r="Q698">
        <v>41.47</v>
      </c>
      <c r="R698">
        <v>42.46</v>
      </c>
      <c r="S698">
        <v>41.35</v>
      </c>
      <c r="T698">
        <v>4.0599999999999996</v>
      </c>
      <c r="U698">
        <v>1.21</v>
      </c>
      <c r="V698">
        <v>67.39</v>
      </c>
      <c r="W698">
        <v>1211</v>
      </c>
      <c r="X698">
        <v>42.45</v>
      </c>
      <c r="Y698" t="s">
        <v>3362</v>
      </c>
      <c r="Z698" t="s">
        <v>1013</v>
      </c>
      <c r="AA698">
        <v>0.91</v>
      </c>
      <c r="AB698">
        <v>573</v>
      </c>
      <c r="AC698">
        <v>42</v>
      </c>
      <c r="AD698">
        <v>13.82</v>
      </c>
      <c r="AE698" t="s">
        <v>2640</v>
      </c>
      <c r="AF698" t="s">
        <v>3279</v>
      </c>
      <c r="AG698" t="s">
        <v>3597</v>
      </c>
      <c r="AH698" t="s">
        <v>3600</v>
      </c>
      <c r="AI698">
        <v>1.66</v>
      </c>
      <c r="AJ698">
        <v>7.97</v>
      </c>
      <c r="AK698">
        <v>24.11</v>
      </c>
      <c r="AL698">
        <v>42.69</v>
      </c>
    </row>
    <row r="699" spans="1:38" x14ac:dyDescent="0.25">
      <c r="A699">
        <v>698</v>
      </c>
      <c r="B699" t="str">
        <f xml:space="preserve"> "600939"</f>
        <v>600939</v>
      </c>
      <c r="C699" t="s">
        <v>3601</v>
      </c>
      <c r="D699">
        <v>9.33</v>
      </c>
      <c r="E699">
        <v>0.54</v>
      </c>
      <c r="F699">
        <v>0.05</v>
      </c>
      <c r="G699" t="s">
        <v>1525</v>
      </c>
      <c r="H699">
        <v>11</v>
      </c>
      <c r="I699">
        <v>9.33</v>
      </c>
      <c r="J699">
        <v>9.34</v>
      </c>
      <c r="K699">
        <v>0</v>
      </c>
      <c r="L699">
        <v>1.74</v>
      </c>
      <c r="M699" t="s">
        <v>3602</v>
      </c>
      <c r="N699">
        <v>60.46</v>
      </c>
      <c r="O699" t="s">
        <v>263</v>
      </c>
      <c r="P699">
        <v>9.3699999999999992</v>
      </c>
      <c r="Q699">
        <v>9.2100000000000009</v>
      </c>
      <c r="R699">
        <v>9.2799999999999994</v>
      </c>
      <c r="S699">
        <v>9.2799999999999994</v>
      </c>
      <c r="T699">
        <v>1.72</v>
      </c>
      <c r="U699">
        <v>0.83</v>
      </c>
      <c r="V699">
        <v>-28.51</v>
      </c>
      <c r="W699">
        <v>-1036</v>
      </c>
      <c r="X699">
        <v>9.31</v>
      </c>
      <c r="Y699" t="s">
        <v>3234</v>
      </c>
      <c r="Z699" t="s">
        <v>3603</v>
      </c>
      <c r="AA699">
        <v>0.81</v>
      </c>
      <c r="AB699">
        <v>121</v>
      </c>
      <c r="AC699">
        <v>324</v>
      </c>
      <c r="AD699">
        <v>3.42</v>
      </c>
      <c r="AE699" t="s">
        <v>1046</v>
      </c>
      <c r="AF699" t="s">
        <v>329</v>
      </c>
      <c r="AG699" t="s">
        <v>2715</v>
      </c>
      <c r="AH699" t="s">
        <v>2840</v>
      </c>
      <c r="AI699">
        <v>-1.27</v>
      </c>
      <c r="AJ699">
        <v>2.19</v>
      </c>
      <c r="AK699">
        <v>6.04</v>
      </c>
      <c r="AL699">
        <v>12.26</v>
      </c>
    </row>
    <row r="700" spans="1:38" x14ac:dyDescent="0.25">
      <c r="A700">
        <v>699</v>
      </c>
      <c r="B700" t="str">
        <f xml:space="preserve"> "600446"</f>
        <v>600446</v>
      </c>
      <c r="C700" t="s">
        <v>3604</v>
      </c>
      <c r="D700">
        <v>20.21</v>
      </c>
      <c r="E700">
        <v>0.05</v>
      </c>
      <c r="F700">
        <v>0.01</v>
      </c>
      <c r="G700" t="s">
        <v>3605</v>
      </c>
      <c r="H700">
        <v>11</v>
      </c>
      <c r="I700">
        <v>20.21</v>
      </c>
      <c r="J700">
        <v>20.22</v>
      </c>
      <c r="K700">
        <v>0.1</v>
      </c>
      <c r="L700">
        <v>1.1599999999999999</v>
      </c>
      <c r="M700" t="s">
        <v>3336</v>
      </c>
      <c r="N700">
        <v>415.32</v>
      </c>
      <c r="O700" t="s">
        <v>893</v>
      </c>
      <c r="P700">
        <v>20.350000000000001</v>
      </c>
      <c r="Q700">
        <v>20</v>
      </c>
      <c r="R700">
        <v>20.14</v>
      </c>
      <c r="S700">
        <v>20.2</v>
      </c>
      <c r="T700">
        <v>1.73</v>
      </c>
      <c r="U700">
        <v>0.54</v>
      </c>
      <c r="V700">
        <v>-55.31</v>
      </c>
      <c r="W700">
        <v>-849</v>
      </c>
      <c r="X700">
        <v>20.14</v>
      </c>
      <c r="Y700" t="s">
        <v>3606</v>
      </c>
      <c r="Z700" t="s">
        <v>3607</v>
      </c>
      <c r="AA700">
        <v>0.99</v>
      </c>
      <c r="AB700">
        <v>25</v>
      </c>
      <c r="AC700">
        <v>533</v>
      </c>
      <c r="AD700">
        <v>11.99</v>
      </c>
      <c r="AE700" t="s">
        <v>3608</v>
      </c>
      <c r="AF700" t="s">
        <v>329</v>
      </c>
      <c r="AG700" t="s">
        <v>2262</v>
      </c>
      <c r="AH700" t="s">
        <v>700</v>
      </c>
      <c r="AI700">
        <v>-3.53</v>
      </c>
      <c r="AJ700">
        <v>1.66</v>
      </c>
      <c r="AK700">
        <v>4.57</v>
      </c>
      <c r="AL700">
        <v>11.88</v>
      </c>
    </row>
    <row r="701" spans="1:38" x14ac:dyDescent="0.25">
      <c r="A701">
        <v>700</v>
      </c>
      <c r="B701" t="str">
        <f xml:space="preserve"> "603000"</f>
        <v>603000</v>
      </c>
      <c r="C701" t="s">
        <v>3609</v>
      </c>
      <c r="D701">
        <v>15.25</v>
      </c>
      <c r="E701">
        <v>1.06</v>
      </c>
      <c r="F701">
        <v>0.16</v>
      </c>
      <c r="G701" t="s">
        <v>3610</v>
      </c>
      <c r="H701">
        <v>19</v>
      </c>
      <c r="I701">
        <v>15.25</v>
      </c>
      <c r="J701">
        <v>15.26</v>
      </c>
      <c r="K701">
        <v>7.0000000000000007E-2</v>
      </c>
      <c r="L701">
        <v>3.82</v>
      </c>
      <c r="M701" t="s">
        <v>3611</v>
      </c>
      <c r="N701">
        <v>-294.68</v>
      </c>
      <c r="O701" t="s">
        <v>553</v>
      </c>
      <c r="P701">
        <v>15.68</v>
      </c>
      <c r="Q701">
        <v>14.8</v>
      </c>
      <c r="R701">
        <v>14.92</v>
      </c>
      <c r="S701">
        <v>15.09</v>
      </c>
      <c r="T701">
        <v>5.83</v>
      </c>
      <c r="U701">
        <v>2.93</v>
      </c>
      <c r="V701">
        <v>47.77</v>
      </c>
      <c r="W701">
        <v>1892</v>
      </c>
      <c r="X701">
        <v>15.28</v>
      </c>
      <c r="Y701" t="s">
        <v>1044</v>
      </c>
      <c r="Z701" t="s">
        <v>2685</v>
      </c>
      <c r="AA701">
        <v>0.92</v>
      </c>
      <c r="AB701">
        <v>1822</v>
      </c>
      <c r="AC701">
        <v>121</v>
      </c>
      <c r="AD701">
        <v>6.31</v>
      </c>
      <c r="AE701" t="s">
        <v>204</v>
      </c>
      <c r="AF701" t="s">
        <v>329</v>
      </c>
      <c r="AG701" t="s">
        <v>204</v>
      </c>
      <c r="AH701" t="s">
        <v>329</v>
      </c>
      <c r="AI701">
        <v>6.35</v>
      </c>
      <c r="AJ701">
        <v>10.43</v>
      </c>
      <c r="AK701">
        <v>8.1999999999999993</v>
      </c>
      <c r="AL701">
        <v>10.35</v>
      </c>
    </row>
    <row r="702" spans="1:38" x14ac:dyDescent="0.25">
      <c r="A702">
        <v>701</v>
      </c>
      <c r="B702" t="str">
        <f xml:space="preserve"> "000718"</f>
        <v>000718</v>
      </c>
      <c r="C702" t="s">
        <v>3612</v>
      </c>
      <c r="D702">
        <v>5.55</v>
      </c>
      <c r="E702">
        <v>0</v>
      </c>
      <c r="F702">
        <v>0</v>
      </c>
      <c r="G702" t="s">
        <v>3613</v>
      </c>
      <c r="H702">
        <v>400</v>
      </c>
      <c r="I702">
        <v>5.55</v>
      </c>
      <c r="J702">
        <v>5.56</v>
      </c>
      <c r="K702">
        <v>0</v>
      </c>
      <c r="L702">
        <v>0.35</v>
      </c>
      <c r="M702" t="s">
        <v>3614</v>
      </c>
      <c r="N702">
        <v>47.36</v>
      </c>
      <c r="O702" t="s">
        <v>244</v>
      </c>
      <c r="P702">
        <v>5.57</v>
      </c>
      <c r="Q702">
        <v>5.5</v>
      </c>
      <c r="R702">
        <v>5.54</v>
      </c>
      <c r="S702">
        <v>5.55</v>
      </c>
      <c r="T702">
        <v>1.26</v>
      </c>
      <c r="U702">
        <v>0.74</v>
      </c>
      <c r="V702">
        <v>-24.43</v>
      </c>
      <c r="W702">
        <v>-5572</v>
      </c>
      <c r="X702">
        <v>5.53</v>
      </c>
      <c r="Y702" t="s">
        <v>574</v>
      </c>
      <c r="Z702" t="s">
        <v>1571</v>
      </c>
      <c r="AA702">
        <v>1.37</v>
      </c>
      <c r="AB702">
        <v>1207</v>
      </c>
      <c r="AC702">
        <v>1228</v>
      </c>
      <c r="AD702">
        <v>2.37</v>
      </c>
      <c r="AE702" t="s">
        <v>3615</v>
      </c>
      <c r="AF702" t="s">
        <v>1272</v>
      </c>
      <c r="AG702" t="s">
        <v>3616</v>
      </c>
      <c r="AH702" t="s">
        <v>1762</v>
      </c>
      <c r="AI702">
        <v>-1.25</v>
      </c>
      <c r="AJ702">
        <v>1.46</v>
      </c>
      <c r="AK702">
        <v>1.1200000000000001</v>
      </c>
      <c r="AL702">
        <v>2.71</v>
      </c>
    </row>
    <row r="703" spans="1:38" x14ac:dyDescent="0.25">
      <c r="A703">
        <v>702</v>
      </c>
      <c r="B703" t="str">
        <f xml:space="preserve"> "002091"</f>
        <v>002091</v>
      </c>
      <c r="C703" t="s">
        <v>3617</v>
      </c>
      <c r="D703">
        <v>10.7</v>
      </c>
      <c r="E703">
        <v>0.66</v>
      </c>
      <c r="F703">
        <v>7.0000000000000007E-2</v>
      </c>
      <c r="G703" t="s">
        <v>3618</v>
      </c>
      <c r="H703">
        <v>1449</v>
      </c>
      <c r="I703">
        <v>10.7</v>
      </c>
      <c r="J703">
        <v>10.71</v>
      </c>
      <c r="K703">
        <v>0</v>
      </c>
      <c r="L703">
        <v>1.34</v>
      </c>
      <c r="M703" t="s">
        <v>3619</v>
      </c>
      <c r="N703">
        <v>22.83</v>
      </c>
      <c r="O703" t="s">
        <v>2001</v>
      </c>
      <c r="P703">
        <v>10.76</v>
      </c>
      <c r="Q703">
        <v>10.6</v>
      </c>
      <c r="R703">
        <v>10.65</v>
      </c>
      <c r="S703">
        <v>10.63</v>
      </c>
      <c r="T703">
        <v>1.51</v>
      </c>
      <c r="U703">
        <v>0.57999999999999996</v>
      </c>
      <c r="V703">
        <v>-9.86</v>
      </c>
      <c r="W703">
        <v>-637</v>
      </c>
      <c r="X703">
        <v>10.68</v>
      </c>
      <c r="Y703" t="s">
        <v>2790</v>
      </c>
      <c r="Z703" t="s">
        <v>1974</v>
      </c>
      <c r="AA703">
        <v>1.0900000000000001</v>
      </c>
      <c r="AB703">
        <v>727</v>
      </c>
      <c r="AC703">
        <v>644</v>
      </c>
      <c r="AD703">
        <v>2.5499999999999998</v>
      </c>
      <c r="AE703" t="s">
        <v>2760</v>
      </c>
      <c r="AF703" t="s">
        <v>1272</v>
      </c>
      <c r="AG703" t="s">
        <v>1588</v>
      </c>
      <c r="AH703" t="s">
        <v>3620</v>
      </c>
      <c r="AI703">
        <v>-3.6</v>
      </c>
      <c r="AJ703">
        <v>-1.56</v>
      </c>
      <c r="AK703">
        <v>6.52</v>
      </c>
      <c r="AL703">
        <v>12.75</v>
      </c>
    </row>
    <row r="704" spans="1:38" x14ac:dyDescent="0.25">
      <c r="A704">
        <v>703</v>
      </c>
      <c r="B704" t="str">
        <f xml:space="preserve"> "600797"</f>
        <v>600797</v>
      </c>
      <c r="C704" t="s">
        <v>3621</v>
      </c>
      <c r="D704">
        <v>15.93</v>
      </c>
      <c r="E704">
        <v>-2.57</v>
      </c>
      <c r="F704">
        <v>-0.42</v>
      </c>
      <c r="G704" t="s">
        <v>3622</v>
      </c>
      <c r="H704">
        <v>71</v>
      </c>
      <c r="I704">
        <v>15.93</v>
      </c>
      <c r="J704">
        <v>15.94</v>
      </c>
      <c r="K704">
        <v>0.13</v>
      </c>
      <c r="L704">
        <v>7.03</v>
      </c>
      <c r="M704" t="s">
        <v>3623</v>
      </c>
      <c r="N704">
        <v>49.88</v>
      </c>
      <c r="O704" t="s">
        <v>553</v>
      </c>
      <c r="P704">
        <v>16.2</v>
      </c>
      <c r="Q704">
        <v>15.8</v>
      </c>
      <c r="R704">
        <v>16.100000000000001</v>
      </c>
      <c r="S704">
        <v>16.350000000000001</v>
      </c>
      <c r="T704">
        <v>2.4500000000000002</v>
      </c>
      <c r="U704">
        <v>0.91</v>
      </c>
      <c r="V704">
        <v>10.029999999999999</v>
      </c>
      <c r="W704">
        <v>800</v>
      </c>
      <c r="X704">
        <v>15.92</v>
      </c>
      <c r="Y704" t="s">
        <v>3624</v>
      </c>
      <c r="Z704" t="s">
        <v>3625</v>
      </c>
      <c r="AA704">
        <v>1.47</v>
      </c>
      <c r="AB704">
        <v>97</v>
      </c>
      <c r="AC704">
        <v>127</v>
      </c>
      <c r="AD704">
        <v>3.92</v>
      </c>
      <c r="AE704" t="s">
        <v>1554</v>
      </c>
      <c r="AF704" t="s">
        <v>1272</v>
      </c>
      <c r="AG704" t="s">
        <v>3626</v>
      </c>
      <c r="AH704" t="s">
        <v>869</v>
      </c>
      <c r="AI704">
        <v>-1.79</v>
      </c>
      <c r="AJ704">
        <v>2.84</v>
      </c>
      <c r="AK704">
        <v>31.17</v>
      </c>
      <c r="AL704">
        <v>45.51</v>
      </c>
    </row>
    <row r="705" spans="1:38" x14ac:dyDescent="0.25">
      <c r="A705">
        <v>704</v>
      </c>
      <c r="B705" t="str">
        <f xml:space="preserve"> "000989"</f>
        <v>000989</v>
      </c>
      <c r="C705" t="s">
        <v>3627</v>
      </c>
      <c r="D705">
        <v>19.3</v>
      </c>
      <c r="E705">
        <v>-0.41</v>
      </c>
      <c r="F705">
        <v>-0.08</v>
      </c>
      <c r="G705" t="s">
        <v>1712</v>
      </c>
      <c r="H705">
        <v>1310</v>
      </c>
      <c r="I705">
        <v>19.28</v>
      </c>
      <c r="J705">
        <v>19.3</v>
      </c>
      <c r="K705">
        <v>0.52</v>
      </c>
      <c r="L705">
        <v>0.88</v>
      </c>
      <c r="M705" t="s">
        <v>3628</v>
      </c>
      <c r="N705">
        <v>23.17</v>
      </c>
      <c r="O705" t="s">
        <v>392</v>
      </c>
      <c r="P705">
        <v>19.39</v>
      </c>
      <c r="Q705">
        <v>19.13</v>
      </c>
      <c r="R705">
        <v>19.39</v>
      </c>
      <c r="S705">
        <v>19.38</v>
      </c>
      <c r="T705">
        <v>1.34</v>
      </c>
      <c r="U705">
        <v>0.86</v>
      </c>
      <c r="V705">
        <v>-26.48</v>
      </c>
      <c r="W705">
        <v>-166</v>
      </c>
      <c r="X705">
        <v>19.239999999999998</v>
      </c>
      <c r="Y705" t="s">
        <v>3251</v>
      </c>
      <c r="Z705" t="s">
        <v>2580</v>
      </c>
      <c r="AA705">
        <v>1.08</v>
      </c>
      <c r="AB705">
        <v>83</v>
      </c>
      <c r="AC705">
        <v>191</v>
      </c>
      <c r="AD705">
        <v>4.04</v>
      </c>
      <c r="AE705" t="s">
        <v>1535</v>
      </c>
      <c r="AF705" t="s">
        <v>1272</v>
      </c>
      <c r="AG705" t="s">
        <v>3080</v>
      </c>
      <c r="AH705" t="s">
        <v>1099</v>
      </c>
      <c r="AI705">
        <v>1.58</v>
      </c>
      <c r="AJ705">
        <v>4.4400000000000004</v>
      </c>
      <c r="AK705">
        <v>3.24</v>
      </c>
      <c r="AL705">
        <v>5.98</v>
      </c>
    </row>
    <row r="706" spans="1:38" x14ac:dyDescent="0.25">
      <c r="A706">
        <v>705</v>
      </c>
      <c r="B706" t="str">
        <f xml:space="preserve"> "000547"</f>
        <v>000547</v>
      </c>
      <c r="C706" t="s">
        <v>3629</v>
      </c>
      <c r="D706">
        <v>11.73</v>
      </c>
      <c r="E706">
        <v>-0.93</v>
      </c>
      <c r="F706">
        <v>-0.11</v>
      </c>
      <c r="G706" t="s">
        <v>1242</v>
      </c>
      <c r="H706">
        <v>1689</v>
      </c>
      <c r="I706">
        <v>11.72</v>
      </c>
      <c r="J706">
        <v>11.73</v>
      </c>
      <c r="K706">
        <v>-0.09</v>
      </c>
      <c r="L706">
        <v>1.2</v>
      </c>
      <c r="M706" t="s">
        <v>1757</v>
      </c>
      <c r="N706">
        <v>72.38</v>
      </c>
      <c r="O706" t="s">
        <v>580</v>
      </c>
      <c r="P706">
        <v>11.82</v>
      </c>
      <c r="Q706">
        <v>11.65</v>
      </c>
      <c r="R706">
        <v>11.8</v>
      </c>
      <c r="S706">
        <v>11.84</v>
      </c>
      <c r="T706">
        <v>1.44</v>
      </c>
      <c r="U706">
        <v>0.53</v>
      </c>
      <c r="V706">
        <v>48.59</v>
      </c>
      <c r="W706">
        <v>3432</v>
      </c>
      <c r="X706">
        <v>11.73</v>
      </c>
      <c r="Y706" t="s">
        <v>1586</v>
      </c>
      <c r="Z706" t="s">
        <v>2481</v>
      </c>
      <c r="AA706">
        <v>1.75</v>
      </c>
      <c r="AB706">
        <v>1112</v>
      </c>
      <c r="AC706">
        <v>489</v>
      </c>
      <c r="AD706">
        <v>3.2</v>
      </c>
      <c r="AE706" t="s">
        <v>2246</v>
      </c>
      <c r="AF706" t="s">
        <v>1272</v>
      </c>
      <c r="AG706" t="s">
        <v>3630</v>
      </c>
      <c r="AH706" t="s">
        <v>3631</v>
      </c>
      <c r="AI706">
        <v>-0.93</v>
      </c>
      <c r="AJ706">
        <v>-2.41</v>
      </c>
      <c r="AK706">
        <v>5.85</v>
      </c>
      <c r="AL706">
        <v>12.6</v>
      </c>
    </row>
    <row r="707" spans="1:38" x14ac:dyDescent="0.25">
      <c r="A707">
        <v>706</v>
      </c>
      <c r="B707" t="str">
        <f xml:space="preserve"> "002138"</f>
        <v>002138</v>
      </c>
      <c r="C707" t="s">
        <v>3632</v>
      </c>
      <c r="D707">
        <v>20.51</v>
      </c>
      <c r="E707">
        <v>0.28999999999999998</v>
      </c>
      <c r="F707">
        <v>0.06</v>
      </c>
      <c r="G707" t="s">
        <v>2058</v>
      </c>
      <c r="H707">
        <v>312</v>
      </c>
      <c r="I707">
        <v>20.5</v>
      </c>
      <c r="J707">
        <v>20.51</v>
      </c>
      <c r="K707">
        <v>0.05</v>
      </c>
      <c r="L707">
        <v>0.62</v>
      </c>
      <c r="M707" t="s">
        <v>3633</v>
      </c>
      <c r="N707">
        <v>48.18</v>
      </c>
      <c r="O707" t="s">
        <v>380</v>
      </c>
      <c r="P707">
        <v>20.6</v>
      </c>
      <c r="Q707">
        <v>20.29</v>
      </c>
      <c r="R707">
        <v>20.45</v>
      </c>
      <c r="S707">
        <v>20.45</v>
      </c>
      <c r="T707">
        <v>1.52</v>
      </c>
      <c r="U707">
        <v>0.68</v>
      </c>
      <c r="V707">
        <v>-73.23</v>
      </c>
      <c r="W707">
        <v>-1357</v>
      </c>
      <c r="X707">
        <v>20.420000000000002</v>
      </c>
      <c r="Y707" t="s">
        <v>2786</v>
      </c>
      <c r="Z707" t="s">
        <v>713</v>
      </c>
      <c r="AA707">
        <v>1.43</v>
      </c>
      <c r="AB707">
        <v>78</v>
      </c>
      <c r="AC707">
        <v>1058</v>
      </c>
      <c r="AD707">
        <v>4.4000000000000004</v>
      </c>
      <c r="AE707" t="s">
        <v>458</v>
      </c>
      <c r="AF707" t="s">
        <v>3133</v>
      </c>
      <c r="AG707" t="s">
        <v>3634</v>
      </c>
      <c r="AH707" t="s">
        <v>3116</v>
      </c>
      <c r="AI707">
        <v>-2.4300000000000002</v>
      </c>
      <c r="AJ707">
        <v>-0.82</v>
      </c>
      <c r="AK707">
        <v>2.36</v>
      </c>
      <c r="AL707">
        <v>5.2</v>
      </c>
    </row>
    <row r="708" spans="1:38" x14ac:dyDescent="0.25">
      <c r="A708">
        <v>707</v>
      </c>
      <c r="B708" t="str">
        <f xml:space="preserve"> "002709"</f>
        <v>002709</v>
      </c>
      <c r="C708" t="s">
        <v>3635</v>
      </c>
      <c r="D708">
        <v>49.19</v>
      </c>
      <c r="E708">
        <v>0.99</v>
      </c>
      <c r="F708">
        <v>0.48</v>
      </c>
      <c r="G708" t="s">
        <v>2790</v>
      </c>
      <c r="H708">
        <v>336</v>
      </c>
      <c r="I708">
        <v>49.19</v>
      </c>
      <c r="J708">
        <v>49.2</v>
      </c>
      <c r="K708">
        <v>0</v>
      </c>
      <c r="L708">
        <v>2.58</v>
      </c>
      <c r="M708" t="s">
        <v>2521</v>
      </c>
      <c r="N708">
        <v>47.3</v>
      </c>
      <c r="O708" t="s">
        <v>667</v>
      </c>
      <c r="P708">
        <v>49.88</v>
      </c>
      <c r="Q708">
        <v>49.05</v>
      </c>
      <c r="R708">
        <v>49.07</v>
      </c>
      <c r="S708">
        <v>48.71</v>
      </c>
      <c r="T708">
        <v>1.7</v>
      </c>
      <c r="U708">
        <v>0.8</v>
      </c>
      <c r="V708">
        <v>41.97</v>
      </c>
      <c r="W708">
        <v>444</v>
      </c>
      <c r="X708">
        <v>49.45</v>
      </c>
      <c r="Y708" t="s">
        <v>623</v>
      </c>
      <c r="Z708" t="s">
        <v>432</v>
      </c>
      <c r="AA708">
        <v>1.24</v>
      </c>
      <c r="AB708">
        <v>361</v>
      </c>
      <c r="AC708">
        <v>223</v>
      </c>
      <c r="AD708">
        <v>9.59</v>
      </c>
      <c r="AE708" t="s">
        <v>2603</v>
      </c>
      <c r="AF708" t="s">
        <v>3133</v>
      </c>
      <c r="AG708" t="s">
        <v>957</v>
      </c>
      <c r="AH708" t="s">
        <v>3636</v>
      </c>
      <c r="AI708">
        <v>-5.29</v>
      </c>
      <c r="AJ708">
        <v>-7.95</v>
      </c>
      <c r="AK708">
        <v>10.130000000000001</v>
      </c>
      <c r="AL708">
        <v>18.72</v>
      </c>
    </row>
    <row r="709" spans="1:38" x14ac:dyDescent="0.25">
      <c r="A709">
        <v>708</v>
      </c>
      <c r="B709" t="str">
        <f xml:space="preserve"> "600380"</f>
        <v>600380</v>
      </c>
      <c r="C709" t="s">
        <v>3637</v>
      </c>
      <c r="D709">
        <v>10.62</v>
      </c>
      <c r="E709">
        <v>1.53</v>
      </c>
      <c r="F709">
        <v>0.16</v>
      </c>
      <c r="G709" t="s">
        <v>417</v>
      </c>
      <c r="H709">
        <v>1</v>
      </c>
      <c r="I709">
        <v>10.61</v>
      </c>
      <c r="J709">
        <v>10.62</v>
      </c>
      <c r="K709">
        <v>0.09</v>
      </c>
      <c r="L709">
        <v>2.48</v>
      </c>
      <c r="M709" t="s">
        <v>2912</v>
      </c>
      <c r="N709">
        <v>25.55</v>
      </c>
      <c r="O709" t="s">
        <v>392</v>
      </c>
      <c r="P709">
        <v>10.69</v>
      </c>
      <c r="Q709">
        <v>10.34</v>
      </c>
      <c r="R709">
        <v>10.38</v>
      </c>
      <c r="S709">
        <v>10.46</v>
      </c>
      <c r="T709">
        <v>3.35</v>
      </c>
      <c r="U709">
        <v>1.1299999999999999</v>
      </c>
      <c r="V709">
        <v>-0.9</v>
      </c>
      <c r="W709">
        <v>-190</v>
      </c>
      <c r="X709">
        <v>10.56</v>
      </c>
      <c r="Y709" t="s">
        <v>1028</v>
      </c>
      <c r="Z709" t="s">
        <v>1036</v>
      </c>
      <c r="AA709">
        <v>0.75</v>
      </c>
      <c r="AB709">
        <v>57</v>
      </c>
      <c r="AC709">
        <v>1057</v>
      </c>
      <c r="AD709">
        <v>3.11</v>
      </c>
      <c r="AE709" t="s">
        <v>2760</v>
      </c>
      <c r="AF709" t="s">
        <v>3133</v>
      </c>
      <c r="AG709" t="s">
        <v>1897</v>
      </c>
      <c r="AH709" t="s">
        <v>2649</v>
      </c>
      <c r="AI709">
        <v>1.63</v>
      </c>
      <c r="AJ709">
        <v>9.82</v>
      </c>
      <c r="AK709">
        <v>6.41</v>
      </c>
      <c r="AL709">
        <v>13.46</v>
      </c>
    </row>
    <row r="710" spans="1:38" x14ac:dyDescent="0.25">
      <c r="A710">
        <v>709</v>
      </c>
      <c r="B710" t="str">
        <f xml:space="preserve"> "002035"</f>
        <v>002035</v>
      </c>
      <c r="C710" t="s">
        <v>3638</v>
      </c>
      <c r="D710">
        <v>28.7</v>
      </c>
      <c r="E710">
        <v>2.2799999999999998</v>
      </c>
      <c r="F710">
        <v>0.64</v>
      </c>
      <c r="G710" t="s">
        <v>3639</v>
      </c>
      <c r="H710">
        <v>324</v>
      </c>
      <c r="I710">
        <v>28.68</v>
      </c>
      <c r="J710">
        <v>28.7</v>
      </c>
      <c r="K710">
        <v>7.0000000000000007E-2</v>
      </c>
      <c r="L710">
        <v>0.86</v>
      </c>
      <c r="M710" t="s">
        <v>315</v>
      </c>
      <c r="N710">
        <v>35.4</v>
      </c>
      <c r="O710" t="s">
        <v>215</v>
      </c>
      <c r="P710">
        <v>28.96</v>
      </c>
      <c r="Q710">
        <v>27.93</v>
      </c>
      <c r="R710">
        <v>28.06</v>
      </c>
      <c r="S710">
        <v>28.06</v>
      </c>
      <c r="T710">
        <v>3.67</v>
      </c>
      <c r="U710">
        <v>0.91</v>
      </c>
      <c r="V710">
        <v>16.86</v>
      </c>
      <c r="W710">
        <v>73</v>
      </c>
      <c r="X710">
        <v>28.35</v>
      </c>
      <c r="Y710" t="s">
        <v>1420</v>
      </c>
      <c r="Z710" t="s">
        <v>2444</v>
      </c>
      <c r="AA710">
        <v>0.91</v>
      </c>
      <c r="AB710">
        <v>182</v>
      </c>
      <c r="AC710">
        <v>36</v>
      </c>
      <c r="AD710">
        <v>8.9499999999999993</v>
      </c>
      <c r="AE710" t="s">
        <v>3640</v>
      </c>
      <c r="AF710" t="s">
        <v>3133</v>
      </c>
      <c r="AG710" t="s">
        <v>3641</v>
      </c>
      <c r="AH710" t="s">
        <v>542</v>
      </c>
      <c r="AI710">
        <v>0.7</v>
      </c>
      <c r="AJ710">
        <v>11.85</v>
      </c>
      <c r="AK710">
        <v>2.54</v>
      </c>
      <c r="AL710">
        <v>5.59</v>
      </c>
    </row>
    <row r="711" spans="1:38" x14ac:dyDescent="0.25">
      <c r="A711">
        <v>710</v>
      </c>
      <c r="B711" t="str">
        <f xml:space="preserve"> "000400"</f>
        <v>000400</v>
      </c>
      <c r="C711" t="s">
        <v>3642</v>
      </c>
      <c r="D711">
        <v>16.55</v>
      </c>
      <c r="E711">
        <v>0.55000000000000004</v>
      </c>
      <c r="F711">
        <v>0.09</v>
      </c>
      <c r="G711" t="s">
        <v>1593</v>
      </c>
      <c r="H711">
        <v>932</v>
      </c>
      <c r="I711">
        <v>16.54</v>
      </c>
      <c r="J711">
        <v>16.55</v>
      </c>
      <c r="K711">
        <v>0</v>
      </c>
      <c r="L711">
        <v>0.54</v>
      </c>
      <c r="M711" t="s">
        <v>3643</v>
      </c>
      <c r="N711">
        <v>52</v>
      </c>
      <c r="O711" t="s">
        <v>680</v>
      </c>
      <c r="P711">
        <v>16.600000000000001</v>
      </c>
      <c r="Q711">
        <v>16.38</v>
      </c>
      <c r="R711">
        <v>16.45</v>
      </c>
      <c r="S711">
        <v>16.46</v>
      </c>
      <c r="T711">
        <v>1.34</v>
      </c>
      <c r="U711">
        <v>0.79</v>
      </c>
      <c r="V711">
        <v>12.29</v>
      </c>
      <c r="W711">
        <v>217</v>
      </c>
      <c r="X711">
        <v>16.5</v>
      </c>
      <c r="Y711" t="s">
        <v>1961</v>
      </c>
      <c r="Z711" t="s">
        <v>3644</v>
      </c>
      <c r="AA711">
        <v>0.79</v>
      </c>
      <c r="AB711">
        <v>104</v>
      </c>
      <c r="AC711">
        <v>129</v>
      </c>
      <c r="AD711">
        <v>2.38</v>
      </c>
      <c r="AE711" t="s">
        <v>262</v>
      </c>
      <c r="AF711" t="s">
        <v>3133</v>
      </c>
      <c r="AG711" t="s">
        <v>262</v>
      </c>
      <c r="AH711" t="s">
        <v>3133</v>
      </c>
      <c r="AI711">
        <v>-0.36</v>
      </c>
      <c r="AJ711">
        <v>2.0299999999999998</v>
      </c>
      <c r="AK711">
        <v>1.76</v>
      </c>
      <c r="AL711">
        <v>3.95</v>
      </c>
    </row>
    <row r="712" spans="1:38" x14ac:dyDescent="0.25">
      <c r="A712">
        <v>711</v>
      </c>
      <c r="B712" t="str">
        <f xml:space="preserve"> "600745"</f>
        <v>600745</v>
      </c>
      <c r="C712" t="s">
        <v>3645</v>
      </c>
      <c r="D712">
        <v>26.17</v>
      </c>
      <c r="E712">
        <v>-1.76</v>
      </c>
      <c r="F712">
        <v>-0.47</v>
      </c>
      <c r="G712" t="s">
        <v>953</v>
      </c>
      <c r="H712">
        <v>100</v>
      </c>
      <c r="I712">
        <v>26.18</v>
      </c>
      <c r="J712">
        <v>26.19</v>
      </c>
      <c r="K712">
        <v>-0.15</v>
      </c>
      <c r="L712">
        <v>0.95</v>
      </c>
      <c r="M712" t="s">
        <v>918</v>
      </c>
      <c r="N712">
        <v>47.72</v>
      </c>
      <c r="O712" t="s">
        <v>580</v>
      </c>
      <c r="P712">
        <v>26.65</v>
      </c>
      <c r="Q712">
        <v>25.7</v>
      </c>
      <c r="R712">
        <v>26.6</v>
      </c>
      <c r="S712">
        <v>26.64</v>
      </c>
      <c r="T712">
        <v>3.57</v>
      </c>
      <c r="U712">
        <v>1.3</v>
      </c>
      <c r="V712">
        <v>2.15</v>
      </c>
      <c r="W712">
        <v>12</v>
      </c>
      <c r="X712">
        <v>26.12</v>
      </c>
      <c r="Y712" t="s">
        <v>3086</v>
      </c>
      <c r="Z712" t="s">
        <v>2383</v>
      </c>
      <c r="AA712">
        <v>1.47</v>
      </c>
      <c r="AB712">
        <v>95</v>
      </c>
      <c r="AC712">
        <v>19</v>
      </c>
      <c r="AD712">
        <v>4.93</v>
      </c>
      <c r="AE712" t="s">
        <v>3382</v>
      </c>
      <c r="AF712" t="s">
        <v>3133</v>
      </c>
      <c r="AG712" t="s">
        <v>2979</v>
      </c>
      <c r="AH712" t="s">
        <v>3443</v>
      </c>
      <c r="AI712">
        <v>-2.46</v>
      </c>
      <c r="AJ712">
        <v>-0.27</v>
      </c>
      <c r="AK712">
        <v>2.33</v>
      </c>
      <c r="AL712">
        <v>4.5999999999999996</v>
      </c>
    </row>
    <row r="713" spans="1:38" x14ac:dyDescent="0.25">
      <c r="A713">
        <v>712</v>
      </c>
      <c r="B713" t="str">
        <f xml:space="preserve"> "600728"</f>
        <v>600728</v>
      </c>
      <c r="C713" t="s">
        <v>3646</v>
      </c>
      <c r="D713">
        <v>10.27</v>
      </c>
      <c r="E713">
        <v>-1.25</v>
      </c>
      <c r="F713">
        <v>-0.13</v>
      </c>
      <c r="G713" t="s">
        <v>3647</v>
      </c>
      <c r="H713">
        <v>220</v>
      </c>
      <c r="I713">
        <v>10.25</v>
      </c>
      <c r="J713">
        <v>10.26</v>
      </c>
      <c r="K713">
        <v>0.28999999999999998</v>
      </c>
      <c r="L713">
        <v>1.89</v>
      </c>
      <c r="M713" t="s">
        <v>2208</v>
      </c>
      <c r="N713">
        <v>250.37</v>
      </c>
      <c r="O713" t="s">
        <v>893</v>
      </c>
      <c r="P713">
        <v>10.57</v>
      </c>
      <c r="Q713">
        <v>10.14</v>
      </c>
      <c r="R713">
        <v>10.5</v>
      </c>
      <c r="S713">
        <v>10.4</v>
      </c>
      <c r="T713">
        <v>4.13</v>
      </c>
      <c r="U713">
        <v>1.51</v>
      </c>
      <c r="V713">
        <v>4.43</v>
      </c>
      <c r="W713">
        <v>152</v>
      </c>
      <c r="X713">
        <v>10.28</v>
      </c>
      <c r="Y713" t="s">
        <v>982</v>
      </c>
      <c r="Z713" t="s">
        <v>498</v>
      </c>
      <c r="AA713">
        <v>1.28</v>
      </c>
      <c r="AB713">
        <v>212</v>
      </c>
      <c r="AC713">
        <v>273</v>
      </c>
      <c r="AD713">
        <v>5.37</v>
      </c>
      <c r="AE713" t="s">
        <v>2648</v>
      </c>
      <c r="AF713" t="s">
        <v>2649</v>
      </c>
      <c r="AG713" t="s">
        <v>3285</v>
      </c>
      <c r="AH713" t="s">
        <v>426</v>
      </c>
      <c r="AI713">
        <v>-5.87</v>
      </c>
      <c r="AJ713">
        <v>-5.26</v>
      </c>
      <c r="AK713">
        <v>4.7</v>
      </c>
      <c r="AL713">
        <v>8.16</v>
      </c>
    </row>
    <row r="714" spans="1:38" x14ac:dyDescent="0.25">
      <c r="A714">
        <v>713</v>
      </c>
      <c r="B714" t="str">
        <f xml:space="preserve"> "600039"</f>
        <v>600039</v>
      </c>
      <c r="C714" t="s">
        <v>3648</v>
      </c>
      <c r="D714">
        <v>4.5999999999999996</v>
      </c>
      <c r="E714">
        <v>-1.5</v>
      </c>
      <c r="F714">
        <v>-7.0000000000000007E-2</v>
      </c>
      <c r="G714" t="s">
        <v>266</v>
      </c>
      <c r="H714">
        <v>5</v>
      </c>
      <c r="I714">
        <v>4.59</v>
      </c>
      <c r="J714">
        <v>4.5999999999999996</v>
      </c>
      <c r="K714">
        <v>0</v>
      </c>
      <c r="L714">
        <v>1.23</v>
      </c>
      <c r="M714" t="s">
        <v>1228</v>
      </c>
      <c r="N714">
        <v>22.15</v>
      </c>
      <c r="O714" t="s">
        <v>263</v>
      </c>
      <c r="P714">
        <v>4.67</v>
      </c>
      <c r="Q714">
        <v>4.57</v>
      </c>
      <c r="R714">
        <v>4.66</v>
      </c>
      <c r="S714">
        <v>4.67</v>
      </c>
      <c r="T714">
        <v>2.14</v>
      </c>
      <c r="U714">
        <v>2.02</v>
      </c>
      <c r="V714">
        <v>50.44</v>
      </c>
      <c r="W714" t="s">
        <v>1949</v>
      </c>
      <c r="X714">
        <v>4.5999999999999996</v>
      </c>
      <c r="Y714" t="s">
        <v>496</v>
      </c>
      <c r="Z714" t="s">
        <v>1964</v>
      </c>
      <c r="AA714">
        <v>1.2</v>
      </c>
      <c r="AB714">
        <v>1728</v>
      </c>
      <c r="AC714">
        <v>1584</v>
      </c>
      <c r="AD714">
        <v>1.67</v>
      </c>
      <c r="AE714" t="s">
        <v>3649</v>
      </c>
      <c r="AF714" t="s">
        <v>2649</v>
      </c>
      <c r="AG714" t="s">
        <v>1968</v>
      </c>
      <c r="AH714" t="s">
        <v>2859</v>
      </c>
      <c r="AI714">
        <v>-2.13</v>
      </c>
      <c r="AJ714">
        <v>1.1000000000000001</v>
      </c>
      <c r="AK714">
        <v>2.46</v>
      </c>
      <c r="AL714">
        <v>4.29</v>
      </c>
    </row>
    <row r="715" spans="1:38" x14ac:dyDescent="0.25">
      <c r="A715">
        <v>714</v>
      </c>
      <c r="B715" t="str">
        <f xml:space="preserve"> "300001"</f>
        <v>300001</v>
      </c>
      <c r="C715" t="s">
        <v>3650</v>
      </c>
      <c r="D715">
        <v>16.600000000000001</v>
      </c>
      <c r="E715">
        <v>0.24</v>
      </c>
      <c r="F715">
        <v>0.04</v>
      </c>
      <c r="G715" t="s">
        <v>1070</v>
      </c>
      <c r="H715">
        <v>1302</v>
      </c>
      <c r="I715">
        <v>16.600000000000001</v>
      </c>
      <c r="J715">
        <v>16.61</v>
      </c>
      <c r="K715">
        <v>0</v>
      </c>
      <c r="L715">
        <v>0.46</v>
      </c>
      <c r="M715" t="s">
        <v>3651</v>
      </c>
      <c r="N715">
        <v>80.959999999999994</v>
      </c>
      <c r="O715" t="s">
        <v>680</v>
      </c>
      <c r="P715">
        <v>16.670000000000002</v>
      </c>
      <c r="Q715">
        <v>16.420000000000002</v>
      </c>
      <c r="R715">
        <v>16.559999999999999</v>
      </c>
      <c r="S715">
        <v>16.559999999999999</v>
      </c>
      <c r="T715">
        <v>1.51</v>
      </c>
      <c r="U715">
        <v>0.52</v>
      </c>
      <c r="V715">
        <v>-22.47</v>
      </c>
      <c r="W715">
        <v>-393</v>
      </c>
      <c r="X715">
        <v>16.54</v>
      </c>
      <c r="Y715" t="s">
        <v>432</v>
      </c>
      <c r="Z715" t="s">
        <v>2383</v>
      </c>
      <c r="AA715">
        <v>1.17</v>
      </c>
      <c r="AB715">
        <v>199</v>
      </c>
      <c r="AC715">
        <v>367</v>
      </c>
      <c r="AD715">
        <v>5.93</v>
      </c>
      <c r="AE715" t="s">
        <v>3652</v>
      </c>
      <c r="AF715" t="s">
        <v>2649</v>
      </c>
      <c r="AG715" t="s">
        <v>305</v>
      </c>
      <c r="AH715" t="s">
        <v>2634</v>
      </c>
      <c r="AI715">
        <v>-2.2999999999999998</v>
      </c>
      <c r="AJ715">
        <v>-0.3</v>
      </c>
      <c r="AK715">
        <v>2.1</v>
      </c>
      <c r="AL715">
        <v>4.9400000000000004</v>
      </c>
    </row>
    <row r="716" spans="1:38" x14ac:dyDescent="0.25">
      <c r="A716">
        <v>715</v>
      </c>
      <c r="B716" t="str">
        <f xml:space="preserve"> "000748"</f>
        <v>000748</v>
      </c>
      <c r="C716" t="s">
        <v>3653</v>
      </c>
      <c r="D716" t="s">
        <v>616</v>
      </c>
      <c r="E716" t="s">
        <v>616</v>
      </c>
      <c r="F716" t="s">
        <v>616</v>
      </c>
      <c r="G716" t="s">
        <v>616</v>
      </c>
      <c r="H716" t="s">
        <v>616</v>
      </c>
      <c r="I716" t="s">
        <v>616</v>
      </c>
      <c r="J716" t="s">
        <v>616</v>
      </c>
      <c r="K716" t="s">
        <v>616</v>
      </c>
      <c r="L716" t="s">
        <v>616</v>
      </c>
      <c r="M716" t="s">
        <v>616</v>
      </c>
      <c r="N716">
        <v>135.1</v>
      </c>
      <c r="O716" t="s">
        <v>553</v>
      </c>
      <c r="P716" t="s">
        <v>616</v>
      </c>
      <c r="Q716" t="s">
        <v>616</v>
      </c>
      <c r="R716" t="s">
        <v>616</v>
      </c>
      <c r="S716">
        <v>20.309999999999999</v>
      </c>
      <c r="T716" t="s">
        <v>616</v>
      </c>
      <c r="U716" t="s">
        <v>616</v>
      </c>
      <c r="V716" t="s">
        <v>616</v>
      </c>
      <c r="W716" t="s">
        <v>616</v>
      </c>
      <c r="X716" t="s">
        <v>616</v>
      </c>
      <c r="Y716" t="s">
        <v>616</v>
      </c>
      <c r="Z716" t="s">
        <v>616</v>
      </c>
      <c r="AA716" t="s">
        <v>616</v>
      </c>
      <c r="AB716" t="s">
        <v>616</v>
      </c>
      <c r="AC716" t="s">
        <v>616</v>
      </c>
      <c r="AD716">
        <v>3.95</v>
      </c>
      <c r="AE716" t="s">
        <v>2245</v>
      </c>
      <c r="AF716" t="s">
        <v>155</v>
      </c>
      <c r="AG716" t="s">
        <v>3015</v>
      </c>
      <c r="AH716" t="s">
        <v>3137</v>
      </c>
      <c r="AI716">
        <v>0</v>
      </c>
      <c r="AJ716">
        <v>0</v>
      </c>
      <c r="AK716">
        <v>0</v>
      </c>
      <c r="AL716">
        <v>0</v>
      </c>
    </row>
    <row r="717" spans="1:38" x14ac:dyDescent="0.25">
      <c r="A717">
        <v>716</v>
      </c>
      <c r="B717" t="str">
        <f xml:space="preserve"> "002434"</f>
        <v>002434</v>
      </c>
      <c r="C717" t="s">
        <v>3654</v>
      </c>
      <c r="D717">
        <v>12.25</v>
      </c>
      <c r="E717">
        <v>0.56999999999999995</v>
      </c>
      <c r="F717">
        <v>7.0000000000000007E-2</v>
      </c>
      <c r="G717" t="s">
        <v>2023</v>
      </c>
      <c r="H717">
        <v>344</v>
      </c>
      <c r="I717">
        <v>12.25</v>
      </c>
      <c r="J717">
        <v>12.26</v>
      </c>
      <c r="K717">
        <v>0</v>
      </c>
      <c r="L717">
        <v>0.46</v>
      </c>
      <c r="M717" t="s">
        <v>3655</v>
      </c>
      <c r="N717">
        <v>19.62</v>
      </c>
      <c r="O717" t="s">
        <v>169</v>
      </c>
      <c r="P717">
        <v>12.33</v>
      </c>
      <c r="Q717">
        <v>12.16</v>
      </c>
      <c r="R717">
        <v>12.19</v>
      </c>
      <c r="S717">
        <v>12.18</v>
      </c>
      <c r="T717">
        <v>1.4</v>
      </c>
      <c r="U717">
        <v>0.48</v>
      </c>
      <c r="V717">
        <v>-23.78</v>
      </c>
      <c r="W717">
        <v>-877</v>
      </c>
      <c r="X717">
        <v>12.26</v>
      </c>
      <c r="Y717" t="s">
        <v>86</v>
      </c>
      <c r="Z717" t="s">
        <v>3656</v>
      </c>
      <c r="AA717">
        <v>1.02</v>
      </c>
      <c r="AB717">
        <v>209</v>
      </c>
      <c r="AC717">
        <v>136</v>
      </c>
      <c r="AD717">
        <v>2.82</v>
      </c>
      <c r="AE717" t="s">
        <v>1587</v>
      </c>
      <c r="AF717" t="s">
        <v>155</v>
      </c>
      <c r="AG717" t="s">
        <v>1766</v>
      </c>
      <c r="AH717" t="s">
        <v>3121</v>
      </c>
      <c r="AI717">
        <v>-1.69</v>
      </c>
      <c r="AJ717">
        <v>2.17</v>
      </c>
      <c r="AK717">
        <v>2.54</v>
      </c>
      <c r="AL717">
        <v>5.27</v>
      </c>
    </row>
    <row r="718" spans="1:38" x14ac:dyDescent="0.25">
      <c r="A718">
        <v>717</v>
      </c>
      <c r="B718" t="str">
        <f xml:space="preserve"> "600325"</f>
        <v>600325</v>
      </c>
      <c r="C718" t="s">
        <v>3657</v>
      </c>
      <c r="D718">
        <v>7.77</v>
      </c>
      <c r="E718">
        <v>0.13</v>
      </c>
      <c r="F718">
        <v>0.01</v>
      </c>
      <c r="G718" t="s">
        <v>2943</v>
      </c>
      <c r="H718">
        <v>5</v>
      </c>
      <c r="I718">
        <v>7.76</v>
      </c>
      <c r="J718">
        <v>7.77</v>
      </c>
      <c r="K718">
        <v>0.13</v>
      </c>
      <c r="L718">
        <v>0.52</v>
      </c>
      <c r="M718" t="s">
        <v>3658</v>
      </c>
      <c r="N718">
        <v>14.47</v>
      </c>
      <c r="O718" t="s">
        <v>244</v>
      </c>
      <c r="P718">
        <v>7.78</v>
      </c>
      <c r="Q718">
        <v>7.73</v>
      </c>
      <c r="R718">
        <v>7.76</v>
      </c>
      <c r="S718">
        <v>7.76</v>
      </c>
      <c r="T718">
        <v>0.64</v>
      </c>
      <c r="U718">
        <v>0.65</v>
      </c>
      <c r="V718">
        <v>-8.82</v>
      </c>
      <c r="W718">
        <v>-1797</v>
      </c>
      <c r="X718">
        <v>7.75</v>
      </c>
      <c r="Y718" t="s">
        <v>2441</v>
      </c>
      <c r="Z718" t="s">
        <v>3189</v>
      </c>
      <c r="AA718">
        <v>2.06</v>
      </c>
      <c r="AB718">
        <v>577</v>
      </c>
      <c r="AC718">
        <v>2898</v>
      </c>
      <c r="AD718">
        <v>1.34</v>
      </c>
      <c r="AE718" t="s">
        <v>1896</v>
      </c>
      <c r="AF718" t="s">
        <v>155</v>
      </c>
      <c r="AG718" t="s">
        <v>784</v>
      </c>
      <c r="AH718" t="s">
        <v>542</v>
      </c>
      <c r="AI718">
        <v>-0.13</v>
      </c>
      <c r="AJ718">
        <v>1.04</v>
      </c>
      <c r="AK718">
        <v>2.14</v>
      </c>
      <c r="AL718">
        <v>4.55</v>
      </c>
    </row>
    <row r="719" spans="1:38" x14ac:dyDescent="0.25">
      <c r="A719">
        <v>718</v>
      </c>
      <c r="B719" t="str">
        <f xml:space="preserve"> "000587"</f>
        <v>000587</v>
      </c>
      <c r="C719" t="s">
        <v>3659</v>
      </c>
      <c r="D719">
        <v>7.75</v>
      </c>
      <c r="E719">
        <v>0.65</v>
      </c>
      <c r="F719">
        <v>0.05</v>
      </c>
      <c r="G719" t="s">
        <v>3660</v>
      </c>
      <c r="H719" t="s">
        <v>2518</v>
      </c>
      <c r="I719">
        <v>7.74</v>
      </c>
      <c r="J719">
        <v>7.75</v>
      </c>
      <c r="K719">
        <v>0.39</v>
      </c>
      <c r="L719">
        <v>1.62</v>
      </c>
      <c r="M719" t="s">
        <v>2106</v>
      </c>
      <c r="N719">
        <v>22.35</v>
      </c>
      <c r="O719" t="s">
        <v>2984</v>
      </c>
      <c r="P719">
        <v>7.75</v>
      </c>
      <c r="Q719">
        <v>7.65</v>
      </c>
      <c r="R719">
        <v>7.67</v>
      </c>
      <c r="S719">
        <v>7.7</v>
      </c>
      <c r="T719">
        <v>1.3</v>
      </c>
      <c r="U719">
        <v>1.1499999999999999</v>
      </c>
      <c r="V719">
        <v>-76.739999999999995</v>
      </c>
      <c r="W719" t="s">
        <v>1327</v>
      </c>
      <c r="X719">
        <v>7.71</v>
      </c>
      <c r="Y719" t="s">
        <v>2433</v>
      </c>
      <c r="Z719" t="s">
        <v>1861</v>
      </c>
      <c r="AA719">
        <v>0.2</v>
      </c>
      <c r="AB719">
        <v>198</v>
      </c>
      <c r="AC719" t="s">
        <v>3238</v>
      </c>
      <c r="AD719">
        <v>1.9</v>
      </c>
      <c r="AE719" t="s">
        <v>1896</v>
      </c>
      <c r="AF719" t="s">
        <v>155</v>
      </c>
      <c r="AG719" t="s">
        <v>2388</v>
      </c>
      <c r="AH719" t="s">
        <v>3661</v>
      </c>
      <c r="AI719">
        <v>0</v>
      </c>
      <c r="AJ719">
        <v>1.31</v>
      </c>
      <c r="AK719">
        <v>4.59</v>
      </c>
      <c r="AL719">
        <v>8.66</v>
      </c>
    </row>
    <row r="720" spans="1:38" x14ac:dyDescent="0.25">
      <c r="A720">
        <v>719</v>
      </c>
      <c r="B720" t="str">
        <f xml:space="preserve"> "600270"</f>
        <v>600270</v>
      </c>
      <c r="C720" t="s">
        <v>3662</v>
      </c>
      <c r="D720">
        <v>18.170000000000002</v>
      </c>
      <c r="E720">
        <v>-0.55000000000000004</v>
      </c>
      <c r="F720">
        <v>-0.1</v>
      </c>
      <c r="G720" t="s">
        <v>2340</v>
      </c>
      <c r="H720">
        <v>5</v>
      </c>
      <c r="I720">
        <v>18.149999999999999</v>
      </c>
      <c r="J720">
        <v>18.170000000000002</v>
      </c>
      <c r="K720">
        <v>0.33</v>
      </c>
      <c r="L720">
        <v>0.9</v>
      </c>
      <c r="M720" t="s">
        <v>2523</v>
      </c>
      <c r="N720">
        <v>12.97</v>
      </c>
      <c r="O720" t="s">
        <v>274</v>
      </c>
      <c r="P720">
        <v>18.329999999999998</v>
      </c>
      <c r="Q720">
        <v>18.07</v>
      </c>
      <c r="R720">
        <v>18.28</v>
      </c>
      <c r="S720">
        <v>18.27</v>
      </c>
      <c r="T720">
        <v>1.42</v>
      </c>
      <c r="U720">
        <v>1.31</v>
      </c>
      <c r="V720">
        <v>2.95</v>
      </c>
      <c r="W720">
        <v>51</v>
      </c>
      <c r="X720">
        <v>18.16</v>
      </c>
      <c r="Y720" t="s">
        <v>868</v>
      </c>
      <c r="Z720" t="s">
        <v>1954</v>
      </c>
      <c r="AA720">
        <v>1.6</v>
      </c>
      <c r="AB720">
        <v>158</v>
      </c>
      <c r="AC720">
        <v>116</v>
      </c>
      <c r="AD720">
        <v>2.29</v>
      </c>
      <c r="AE720" t="s">
        <v>3663</v>
      </c>
      <c r="AF720" t="s">
        <v>155</v>
      </c>
      <c r="AG720" t="s">
        <v>3663</v>
      </c>
      <c r="AH720" t="s">
        <v>155</v>
      </c>
      <c r="AI720">
        <v>-0.71</v>
      </c>
      <c r="AJ720">
        <v>2.71</v>
      </c>
      <c r="AK720">
        <v>2.7</v>
      </c>
      <c r="AL720">
        <v>4.33</v>
      </c>
    </row>
    <row r="721" spans="1:38" x14ac:dyDescent="0.25">
      <c r="A721">
        <v>720</v>
      </c>
      <c r="B721" t="str">
        <f xml:space="preserve"> "000563"</f>
        <v>000563</v>
      </c>
      <c r="C721" t="s">
        <v>3664</v>
      </c>
      <c r="D721">
        <v>5.32</v>
      </c>
      <c r="E721">
        <v>-0.19</v>
      </c>
      <c r="F721">
        <v>-0.01</v>
      </c>
      <c r="G721" t="s">
        <v>609</v>
      </c>
      <c r="H721">
        <v>1419</v>
      </c>
      <c r="I721">
        <v>5.32</v>
      </c>
      <c r="J721">
        <v>5.33</v>
      </c>
      <c r="K721">
        <v>0</v>
      </c>
      <c r="L721">
        <v>0.44</v>
      </c>
      <c r="M721" t="s">
        <v>3665</v>
      </c>
      <c r="N721">
        <v>30.73</v>
      </c>
      <c r="O721" t="s">
        <v>482</v>
      </c>
      <c r="P721">
        <v>5.34</v>
      </c>
      <c r="Q721">
        <v>5.29</v>
      </c>
      <c r="R721">
        <v>5.31</v>
      </c>
      <c r="S721">
        <v>5.33</v>
      </c>
      <c r="T721">
        <v>0.94</v>
      </c>
      <c r="U721">
        <v>0.84</v>
      </c>
      <c r="V721">
        <v>-43.54</v>
      </c>
      <c r="W721" t="s">
        <v>1559</v>
      </c>
      <c r="X721">
        <v>5.32</v>
      </c>
      <c r="Y721" t="s">
        <v>1760</v>
      </c>
      <c r="Z721" t="s">
        <v>3666</v>
      </c>
      <c r="AA721">
        <v>1.26</v>
      </c>
      <c r="AB721">
        <v>764</v>
      </c>
      <c r="AC721" t="s">
        <v>1836</v>
      </c>
      <c r="AD721">
        <v>2.13</v>
      </c>
      <c r="AE721" t="s">
        <v>3667</v>
      </c>
      <c r="AF721" t="s">
        <v>1273</v>
      </c>
      <c r="AG721" t="s">
        <v>3668</v>
      </c>
      <c r="AH721" t="s">
        <v>700</v>
      </c>
      <c r="AI721">
        <v>-0.37</v>
      </c>
      <c r="AJ721">
        <v>1.72</v>
      </c>
      <c r="AK721">
        <v>1.55</v>
      </c>
      <c r="AL721">
        <v>3.08</v>
      </c>
    </row>
    <row r="722" spans="1:38" x14ac:dyDescent="0.25">
      <c r="A722">
        <v>721</v>
      </c>
      <c r="B722" t="str">
        <f xml:space="preserve"> "603568"</f>
        <v>603568</v>
      </c>
      <c r="C722" t="s">
        <v>3669</v>
      </c>
      <c r="D722">
        <v>23.84</v>
      </c>
      <c r="E722">
        <v>10.01</v>
      </c>
      <c r="F722">
        <v>2.17</v>
      </c>
      <c r="G722" t="s">
        <v>3670</v>
      </c>
      <c r="H722">
        <v>3</v>
      </c>
      <c r="I722">
        <v>23.84</v>
      </c>
      <c r="J722" t="s">
        <v>616</v>
      </c>
      <c r="K722">
        <v>0</v>
      </c>
      <c r="L722">
        <v>6.76</v>
      </c>
      <c r="M722" t="s">
        <v>1079</v>
      </c>
      <c r="N722">
        <v>33.26</v>
      </c>
      <c r="O722" t="s">
        <v>1155</v>
      </c>
      <c r="P722">
        <v>23.84</v>
      </c>
      <c r="Q722">
        <v>21.53</v>
      </c>
      <c r="R722">
        <v>21.66</v>
      </c>
      <c r="S722">
        <v>21.67</v>
      </c>
      <c r="T722">
        <v>10.66</v>
      </c>
      <c r="U722">
        <v>6.55</v>
      </c>
      <c r="V722">
        <v>100</v>
      </c>
      <c r="W722" t="s">
        <v>2800</v>
      </c>
      <c r="X722">
        <v>23.31</v>
      </c>
      <c r="Y722" t="s">
        <v>3671</v>
      </c>
      <c r="Z722" t="s">
        <v>2559</v>
      </c>
      <c r="AA722">
        <v>1.61</v>
      </c>
      <c r="AB722" t="s">
        <v>2522</v>
      </c>
      <c r="AC722">
        <v>0</v>
      </c>
      <c r="AD722">
        <v>7.75</v>
      </c>
      <c r="AE722" t="s">
        <v>3672</v>
      </c>
      <c r="AF722" t="s">
        <v>1273</v>
      </c>
      <c r="AG722" t="s">
        <v>2065</v>
      </c>
      <c r="AH722" t="s">
        <v>2205</v>
      </c>
      <c r="AI722">
        <v>7.53</v>
      </c>
      <c r="AJ722">
        <v>10.220000000000001</v>
      </c>
      <c r="AK722">
        <v>9.16</v>
      </c>
      <c r="AL722">
        <v>11.92</v>
      </c>
    </row>
    <row r="723" spans="1:38" x14ac:dyDescent="0.25">
      <c r="A723">
        <v>722</v>
      </c>
      <c r="B723" t="str">
        <f xml:space="preserve"> "002281"</f>
        <v>002281</v>
      </c>
      <c r="C723" t="s">
        <v>3673</v>
      </c>
      <c r="D723">
        <v>26.03</v>
      </c>
      <c r="E723">
        <v>-1.77</v>
      </c>
      <c r="F723">
        <v>-0.47</v>
      </c>
      <c r="G723" t="s">
        <v>2955</v>
      </c>
      <c r="H723">
        <v>4242</v>
      </c>
      <c r="I723">
        <v>26.02</v>
      </c>
      <c r="J723">
        <v>26.03</v>
      </c>
      <c r="K723">
        <v>0.12</v>
      </c>
      <c r="L723">
        <v>3.09</v>
      </c>
      <c r="M723" t="s">
        <v>1991</v>
      </c>
      <c r="N723">
        <v>47.68</v>
      </c>
      <c r="O723" t="s">
        <v>580</v>
      </c>
      <c r="P723">
        <v>26.66</v>
      </c>
      <c r="Q723">
        <v>25.57</v>
      </c>
      <c r="R723">
        <v>26.58</v>
      </c>
      <c r="S723">
        <v>26.5</v>
      </c>
      <c r="T723">
        <v>4.1100000000000003</v>
      </c>
      <c r="U723">
        <v>0.75</v>
      </c>
      <c r="V723">
        <v>-38.299999999999997</v>
      </c>
      <c r="W723">
        <v>-957</v>
      </c>
      <c r="X723">
        <v>25.91</v>
      </c>
      <c r="Y723" t="s">
        <v>363</v>
      </c>
      <c r="Z723" t="s">
        <v>3674</v>
      </c>
      <c r="AA723">
        <v>1.34</v>
      </c>
      <c r="AB723">
        <v>142</v>
      </c>
      <c r="AC723">
        <v>64</v>
      </c>
      <c r="AD723">
        <v>5.62</v>
      </c>
      <c r="AE723" t="s">
        <v>3564</v>
      </c>
      <c r="AF723" t="s">
        <v>1273</v>
      </c>
      <c r="AG723" t="s">
        <v>1236</v>
      </c>
      <c r="AH723" t="s">
        <v>2212</v>
      </c>
      <c r="AI723">
        <v>-4.76</v>
      </c>
      <c r="AJ723">
        <v>5.3</v>
      </c>
      <c r="AK723">
        <v>8.83</v>
      </c>
      <c r="AL723">
        <v>23.6</v>
      </c>
    </row>
    <row r="724" spans="1:38" x14ac:dyDescent="0.25">
      <c r="A724">
        <v>723</v>
      </c>
      <c r="B724" t="str">
        <f xml:space="preserve"> "002429"</f>
        <v>002429</v>
      </c>
      <c r="C724" t="s">
        <v>3675</v>
      </c>
      <c r="D724">
        <v>3.61</v>
      </c>
      <c r="E724">
        <v>0.28000000000000003</v>
      </c>
      <c r="F724">
        <v>0.01</v>
      </c>
      <c r="G724" t="s">
        <v>3676</v>
      </c>
      <c r="H724">
        <v>6901</v>
      </c>
      <c r="I724">
        <v>3.6</v>
      </c>
      <c r="J724">
        <v>3.61</v>
      </c>
      <c r="K724">
        <v>0</v>
      </c>
      <c r="L724">
        <v>1</v>
      </c>
      <c r="M724" t="s">
        <v>2327</v>
      </c>
      <c r="N724">
        <v>24.93</v>
      </c>
      <c r="O724" t="s">
        <v>215</v>
      </c>
      <c r="P724">
        <v>3.65</v>
      </c>
      <c r="Q724">
        <v>3.58</v>
      </c>
      <c r="R724">
        <v>3.59</v>
      </c>
      <c r="S724">
        <v>3.6</v>
      </c>
      <c r="T724">
        <v>1.94</v>
      </c>
      <c r="U724">
        <v>0.57999999999999996</v>
      </c>
      <c r="V724">
        <v>4.78</v>
      </c>
      <c r="W724">
        <v>4728</v>
      </c>
      <c r="X724">
        <v>3.61</v>
      </c>
      <c r="Y724" t="s">
        <v>3256</v>
      </c>
      <c r="Z724" t="s">
        <v>2150</v>
      </c>
      <c r="AA724">
        <v>1.1399999999999999</v>
      </c>
      <c r="AB724" t="s">
        <v>3251</v>
      </c>
      <c r="AC724">
        <v>1875</v>
      </c>
      <c r="AD724">
        <v>2.0499999999999998</v>
      </c>
      <c r="AE724" t="s">
        <v>3677</v>
      </c>
      <c r="AF724" t="s">
        <v>3137</v>
      </c>
      <c r="AG724" t="s">
        <v>3678</v>
      </c>
      <c r="AH724" t="s">
        <v>3388</v>
      </c>
      <c r="AI724">
        <v>0.28000000000000003</v>
      </c>
      <c r="AJ724">
        <v>5.56</v>
      </c>
      <c r="AK724">
        <v>4.18</v>
      </c>
      <c r="AL724">
        <v>9.66</v>
      </c>
    </row>
    <row r="725" spans="1:38" x14ac:dyDescent="0.25">
      <c r="A725">
        <v>724</v>
      </c>
      <c r="B725" t="str">
        <f xml:space="preserve"> "300317"</f>
        <v>300317</v>
      </c>
      <c r="C725" t="s">
        <v>3679</v>
      </c>
      <c r="D725">
        <v>19.079999999999998</v>
      </c>
      <c r="E725">
        <v>3.41</v>
      </c>
      <c r="F725">
        <v>0.63</v>
      </c>
      <c r="G725" t="s">
        <v>516</v>
      </c>
      <c r="H725">
        <v>2428</v>
      </c>
      <c r="I725">
        <v>19.07</v>
      </c>
      <c r="J725">
        <v>19.079999999999998</v>
      </c>
      <c r="K725">
        <v>0</v>
      </c>
      <c r="L725">
        <v>3.79</v>
      </c>
      <c r="M725" t="s">
        <v>281</v>
      </c>
      <c r="N725">
        <v>36.130000000000003</v>
      </c>
      <c r="O725" t="s">
        <v>380</v>
      </c>
      <c r="P725">
        <v>19.09</v>
      </c>
      <c r="Q725">
        <v>18.45</v>
      </c>
      <c r="R725">
        <v>18.48</v>
      </c>
      <c r="S725">
        <v>18.45</v>
      </c>
      <c r="T725">
        <v>3.47</v>
      </c>
      <c r="U725">
        <v>1.1100000000000001</v>
      </c>
      <c r="V725">
        <v>-45.05</v>
      </c>
      <c r="W725">
        <v>-1602</v>
      </c>
      <c r="X725">
        <v>18.850000000000001</v>
      </c>
      <c r="Y725" t="s">
        <v>3680</v>
      </c>
      <c r="Z725" t="s">
        <v>649</v>
      </c>
      <c r="AA725">
        <v>0.75</v>
      </c>
      <c r="AB725">
        <v>247</v>
      </c>
      <c r="AC725">
        <v>949</v>
      </c>
      <c r="AD725">
        <v>3.4</v>
      </c>
      <c r="AE725" t="s">
        <v>3681</v>
      </c>
      <c r="AF725" t="s">
        <v>3137</v>
      </c>
      <c r="AG725" t="s">
        <v>3682</v>
      </c>
      <c r="AH725" t="s">
        <v>1693</v>
      </c>
      <c r="AI725">
        <v>1.92</v>
      </c>
      <c r="AJ725">
        <v>-0.56999999999999995</v>
      </c>
      <c r="AK725">
        <v>9.06</v>
      </c>
      <c r="AL725">
        <v>20.85</v>
      </c>
    </row>
    <row r="726" spans="1:38" x14ac:dyDescent="0.25">
      <c r="A726">
        <v>725</v>
      </c>
      <c r="B726" t="str">
        <f xml:space="preserve"> "601016"</f>
        <v>601016</v>
      </c>
      <c r="C726" t="s">
        <v>3683</v>
      </c>
      <c r="D726">
        <v>3.92</v>
      </c>
      <c r="E726">
        <v>2.35</v>
      </c>
      <c r="F726">
        <v>0.09</v>
      </c>
      <c r="G726" t="s">
        <v>3684</v>
      </c>
      <c r="H726">
        <v>16</v>
      </c>
      <c r="I726">
        <v>3.91</v>
      </c>
      <c r="J726">
        <v>3.92</v>
      </c>
      <c r="K726">
        <v>0</v>
      </c>
      <c r="L726">
        <v>1.17</v>
      </c>
      <c r="M726" t="s">
        <v>2146</v>
      </c>
      <c r="N726">
        <v>35.47</v>
      </c>
      <c r="O726" t="s">
        <v>680</v>
      </c>
      <c r="P726">
        <v>3.98</v>
      </c>
      <c r="Q726">
        <v>3.85</v>
      </c>
      <c r="R726">
        <v>3.85</v>
      </c>
      <c r="S726">
        <v>3.83</v>
      </c>
      <c r="T726">
        <v>3.39</v>
      </c>
      <c r="U726">
        <v>2.77</v>
      </c>
      <c r="V726">
        <v>-49.16</v>
      </c>
      <c r="W726" t="s">
        <v>3685</v>
      </c>
      <c r="X726">
        <v>3.92</v>
      </c>
      <c r="Y726" t="s">
        <v>1921</v>
      </c>
      <c r="Z726" t="s">
        <v>52</v>
      </c>
      <c r="AA726">
        <v>0.6</v>
      </c>
      <c r="AB726">
        <v>3646</v>
      </c>
      <c r="AC726" t="s">
        <v>691</v>
      </c>
      <c r="AD726">
        <v>2.5</v>
      </c>
      <c r="AE726" t="s">
        <v>3686</v>
      </c>
      <c r="AF726" t="s">
        <v>3137</v>
      </c>
      <c r="AG726" t="s">
        <v>3686</v>
      </c>
      <c r="AH726" t="s">
        <v>3137</v>
      </c>
      <c r="AI726">
        <v>1.55</v>
      </c>
      <c r="AJ726">
        <v>6.23</v>
      </c>
      <c r="AK726">
        <v>1.98</v>
      </c>
      <c r="AL726">
        <v>3.28</v>
      </c>
    </row>
    <row r="727" spans="1:38" x14ac:dyDescent="0.25">
      <c r="A727">
        <v>726</v>
      </c>
      <c r="B727" t="str">
        <f xml:space="preserve"> "000685"</f>
        <v>000685</v>
      </c>
      <c r="C727" t="s">
        <v>3687</v>
      </c>
      <c r="D727">
        <v>11.04</v>
      </c>
      <c r="E727">
        <v>0.82</v>
      </c>
      <c r="F727">
        <v>0.09</v>
      </c>
      <c r="G727" t="s">
        <v>3688</v>
      </c>
      <c r="H727">
        <v>2550</v>
      </c>
      <c r="I727">
        <v>11.04</v>
      </c>
      <c r="J727">
        <v>11.05</v>
      </c>
      <c r="K727">
        <v>-0.18</v>
      </c>
      <c r="L727">
        <v>0.88</v>
      </c>
      <c r="M727" t="s">
        <v>1718</v>
      </c>
      <c r="N727">
        <v>15.48</v>
      </c>
      <c r="O727" t="s">
        <v>2085</v>
      </c>
      <c r="P727">
        <v>11.08</v>
      </c>
      <c r="Q727">
        <v>10.92</v>
      </c>
      <c r="R727">
        <v>10.94</v>
      </c>
      <c r="S727">
        <v>10.95</v>
      </c>
      <c r="T727">
        <v>1.46</v>
      </c>
      <c r="U727">
        <v>2.0499999999999998</v>
      </c>
      <c r="V727">
        <v>-43.97</v>
      </c>
      <c r="W727">
        <v>-4837</v>
      </c>
      <c r="X727">
        <v>11.02</v>
      </c>
      <c r="Y727" t="s">
        <v>1334</v>
      </c>
      <c r="Z727" t="s">
        <v>3689</v>
      </c>
      <c r="AA727">
        <v>0.65</v>
      </c>
      <c r="AB727">
        <v>1080</v>
      </c>
      <c r="AC727">
        <v>164</v>
      </c>
      <c r="AD727">
        <v>1.44</v>
      </c>
      <c r="AE727" t="s">
        <v>2033</v>
      </c>
      <c r="AF727" t="s">
        <v>3137</v>
      </c>
      <c r="AG727" t="s">
        <v>1429</v>
      </c>
      <c r="AH727" t="s">
        <v>3690</v>
      </c>
      <c r="AI727">
        <v>0.91</v>
      </c>
      <c r="AJ727">
        <v>2.89</v>
      </c>
      <c r="AK727">
        <v>1.67</v>
      </c>
      <c r="AL727">
        <v>3.04</v>
      </c>
    </row>
    <row r="728" spans="1:38" x14ac:dyDescent="0.25">
      <c r="A728">
        <v>727</v>
      </c>
      <c r="B728" t="str">
        <f xml:space="preserve"> "000979"</f>
        <v>000979</v>
      </c>
      <c r="C728" t="s">
        <v>3691</v>
      </c>
      <c r="D728" t="s">
        <v>616</v>
      </c>
      <c r="E728" t="s">
        <v>616</v>
      </c>
      <c r="F728" t="s">
        <v>616</v>
      </c>
      <c r="G728" t="s">
        <v>616</v>
      </c>
      <c r="H728" t="s">
        <v>616</v>
      </c>
      <c r="I728" t="s">
        <v>616</v>
      </c>
      <c r="J728" t="s">
        <v>616</v>
      </c>
      <c r="K728" t="s">
        <v>616</v>
      </c>
      <c r="L728" t="s">
        <v>616</v>
      </c>
      <c r="M728" t="s">
        <v>616</v>
      </c>
      <c r="N728">
        <v>277.69</v>
      </c>
      <c r="O728" t="s">
        <v>244</v>
      </c>
      <c r="P728" t="s">
        <v>616</v>
      </c>
      <c r="Q728" t="s">
        <v>616</v>
      </c>
      <c r="R728" t="s">
        <v>616</v>
      </c>
      <c r="S728">
        <v>1.94</v>
      </c>
      <c r="T728" t="s">
        <v>616</v>
      </c>
      <c r="U728" t="s">
        <v>616</v>
      </c>
      <c r="V728" t="s">
        <v>616</v>
      </c>
      <c r="W728" t="s">
        <v>616</v>
      </c>
      <c r="X728" t="s">
        <v>616</v>
      </c>
      <c r="Y728" t="s">
        <v>616</v>
      </c>
      <c r="Z728" t="s">
        <v>616</v>
      </c>
      <c r="AA728" t="s">
        <v>616</v>
      </c>
      <c r="AB728" t="s">
        <v>616</v>
      </c>
      <c r="AC728" t="s">
        <v>616</v>
      </c>
      <c r="AD728">
        <v>1.66</v>
      </c>
      <c r="AE728" t="s">
        <v>3345</v>
      </c>
      <c r="AF728" t="s">
        <v>3137</v>
      </c>
      <c r="AG728" t="s">
        <v>3345</v>
      </c>
      <c r="AH728" t="s">
        <v>3137</v>
      </c>
      <c r="AI728">
        <v>0</v>
      </c>
      <c r="AJ728">
        <v>0</v>
      </c>
      <c r="AK728">
        <v>0</v>
      </c>
      <c r="AL728">
        <v>0</v>
      </c>
    </row>
    <row r="729" spans="1:38" x14ac:dyDescent="0.25">
      <c r="A729">
        <v>728</v>
      </c>
      <c r="B729" t="str">
        <f xml:space="preserve"> "600655"</f>
        <v>600655</v>
      </c>
      <c r="C729" t="s">
        <v>3692</v>
      </c>
      <c r="D729" t="s">
        <v>616</v>
      </c>
      <c r="E729" t="s">
        <v>616</v>
      </c>
      <c r="F729" t="s">
        <v>616</v>
      </c>
      <c r="G729" t="s">
        <v>616</v>
      </c>
      <c r="H729" t="s">
        <v>616</v>
      </c>
      <c r="I729" t="s">
        <v>616</v>
      </c>
      <c r="J729" t="s">
        <v>616</v>
      </c>
      <c r="K729" t="s">
        <v>616</v>
      </c>
      <c r="L729" t="s">
        <v>616</v>
      </c>
      <c r="M729" t="s">
        <v>616</v>
      </c>
      <c r="N729">
        <v>24.78</v>
      </c>
      <c r="O729" t="s">
        <v>532</v>
      </c>
      <c r="P729" t="s">
        <v>616</v>
      </c>
      <c r="Q729" t="s">
        <v>616</v>
      </c>
      <c r="R729" t="s">
        <v>616</v>
      </c>
      <c r="S729">
        <v>11.32</v>
      </c>
      <c r="T729" t="s">
        <v>616</v>
      </c>
      <c r="U729" t="s">
        <v>616</v>
      </c>
      <c r="V729" t="s">
        <v>616</v>
      </c>
      <c r="W729" t="s">
        <v>616</v>
      </c>
      <c r="X729" t="s">
        <v>616</v>
      </c>
      <c r="Y729" t="s">
        <v>616</v>
      </c>
      <c r="Z729" t="s">
        <v>616</v>
      </c>
      <c r="AA729" t="s">
        <v>616</v>
      </c>
      <c r="AB729" t="s">
        <v>616</v>
      </c>
      <c r="AC729" t="s">
        <v>616</v>
      </c>
      <c r="AD729">
        <v>1.48</v>
      </c>
      <c r="AE729" t="s">
        <v>2100</v>
      </c>
      <c r="AF729" t="s">
        <v>3137</v>
      </c>
      <c r="AG729" t="s">
        <v>2100</v>
      </c>
      <c r="AH729" t="s">
        <v>3137</v>
      </c>
      <c r="AI729">
        <v>0</v>
      </c>
      <c r="AJ729">
        <v>0</v>
      </c>
      <c r="AK729">
        <v>0</v>
      </c>
      <c r="AL729">
        <v>0</v>
      </c>
    </row>
    <row r="730" spans="1:38" x14ac:dyDescent="0.25">
      <c r="A730">
        <v>729</v>
      </c>
      <c r="B730" t="str">
        <f xml:space="preserve"> "603198"</f>
        <v>603198</v>
      </c>
      <c r="C730" t="s">
        <v>3693</v>
      </c>
      <c r="D730">
        <v>20.309999999999999</v>
      </c>
      <c r="E730">
        <v>0.3</v>
      </c>
      <c r="F730">
        <v>0.06</v>
      </c>
      <c r="G730" t="s">
        <v>3161</v>
      </c>
      <c r="H730">
        <v>18</v>
      </c>
      <c r="I730">
        <v>20.3</v>
      </c>
      <c r="J730">
        <v>20.309999999999999</v>
      </c>
      <c r="K730">
        <v>0</v>
      </c>
      <c r="L730">
        <v>2.71</v>
      </c>
      <c r="M730" t="s">
        <v>3694</v>
      </c>
      <c r="N730">
        <v>24.66</v>
      </c>
      <c r="O730" t="s">
        <v>123</v>
      </c>
      <c r="P730">
        <v>20.46</v>
      </c>
      <c r="Q730">
        <v>20.12</v>
      </c>
      <c r="R730">
        <v>20.2</v>
      </c>
      <c r="S730">
        <v>20.25</v>
      </c>
      <c r="T730">
        <v>1.68</v>
      </c>
      <c r="U730">
        <v>0.62</v>
      </c>
      <c r="V730">
        <v>-20.86</v>
      </c>
      <c r="W730">
        <v>-311</v>
      </c>
      <c r="X730">
        <v>20.29</v>
      </c>
      <c r="Y730" t="s">
        <v>3695</v>
      </c>
      <c r="Z730" t="s">
        <v>3696</v>
      </c>
      <c r="AA730">
        <v>1.2</v>
      </c>
      <c r="AB730">
        <v>5</v>
      </c>
      <c r="AC730">
        <v>127</v>
      </c>
      <c r="AD730">
        <v>4.3</v>
      </c>
      <c r="AE730" t="s">
        <v>1754</v>
      </c>
      <c r="AF730" t="s">
        <v>284</v>
      </c>
      <c r="AG730" t="s">
        <v>3697</v>
      </c>
      <c r="AH730" t="s">
        <v>3698</v>
      </c>
      <c r="AI730">
        <v>2.3199999999999998</v>
      </c>
      <c r="AJ730">
        <v>3.57</v>
      </c>
      <c r="AK730">
        <v>17.48</v>
      </c>
      <c r="AL730">
        <v>24.49</v>
      </c>
    </row>
    <row r="731" spans="1:38" x14ac:dyDescent="0.25">
      <c r="A731">
        <v>730</v>
      </c>
      <c r="B731" t="str">
        <f xml:space="preserve"> "300203"</f>
        <v>300203</v>
      </c>
      <c r="C731" t="s">
        <v>3699</v>
      </c>
      <c r="D731">
        <v>35.770000000000003</v>
      </c>
      <c r="E731">
        <v>2.0499999999999998</v>
      </c>
      <c r="F731">
        <v>0.72</v>
      </c>
      <c r="G731" t="s">
        <v>59</v>
      </c>
      <c r="H731">
        <v>1060</v>
      </c>
      <c r="I731">
        <v>35.71</v>
      </c>
      <c r="J731">
        <v>35.770000000000003</v>
      </c>
      <c r="K731">
        <v>-0.36</v>
      </c>
      <c r="L731">
        <v>3.3</v>
      </c>
      <c r="M731" t="s">
        <v>1108</v>
      </c>
      <c r="N731">
        <v>79.790000000000006</v>
      </c>
      <c r="O731" t="s">
        <v>1372</v>
      </c>
      <c r="P731">
        <v>36.36</v>
      </c>
      <c r="Q731">
        <v>33.799999999999997</v>
      </c>
      <c r="R731">
        <v>34.799999999999997</v>
      </c>
      <c r="S731">
        <v>35.049999999999997</v>
      </c>
      <c r="T731">
        <v>7.3</v>
      </c>
      <c r="U731">
        <v>2.82</v>
      </c>
      <c r="V731">
        <v>-36.72</v>
      </c>
      <c r="W731">
        <v>-462</v>
      </c>
      <c r="X731">
        <v>34.89</v>
      </c>
      <c r="Y731" t="s">
        <v>3700</v>
      </c>
      <c r="Z731" t="s">
        <v>974</v>
      </c>
      <c r="AA731">
        <v>1.02</v>
      </c>
      <c r="AB731">
        <v>9</v>
      </c>
      <c r="AC731">
        <v>606</v>
      </c>
      <c r="AD731">
        <v>5.98</v>
      </c>
      <c r="AE731" t="s">
        <v>112</v>
      </c>
      <c r="AF731" t="s">
        <v>284</v>
      </c>
      <c r="AG731" t="s">
        <v>3242</v>
      </c>
      <c r="AH731" t="s">
        <v>284</v>
      </c>
      <c r="AI731">
        <v>-0.8</v>
      </c>
      <c r="AJ731">
        <v>7.22</v>
      </c>
      <c r="AK731">
        <v>5.28</v>
      </c>
      <c r="AL731">
        <v>9.14</v>
      </c>
    </row>
    <row r="732" spans="1:38" x14ac:dyDescent="0.25">
      <c r="A732">
        <v>731</v>
      </c>
      <c r="B732" t="str">
        <f xml:space="preserve"> "600312"</f>
        <v>600312</v>
      </c>
      <c r="C732" t="s">
        <v>3701</v>
      </c>
      <c r="D732">
        <v>11.92</v>
      </c>
      <c r="E732">
        <v>0.34</v>
      </c>
      <c r="F732">
        <v>0.04</v>
      </c>
      <c r="G732" t="s">
        <v>3702</v>
      </c>
      <c r="H732">
        <v>4</v>
      </c>
      <c r="I732">
        <v>11.92</v>
      </c>
      <c r="J732">
        <v>11.93</v>
      </c>
      <c r="K732">
        <v>0</v>
      </c>
      <c r="L732">
        <v>0.35</v>
      </c>
      <c r="M732" t="s">
        <v>3703</v>
      </c>
      <c r="N732">
        <v>23.09</v>
      </c>
      <c r="O732" t="s">
        <v>680</v>
      </c>
      <c r="P732">
        <v>11.94</v>
      </c>
      <c r="Q732">
        <v>11.86</v>
      </c>
      <c r="R732">
        <v>11.88</v>
      </c>
      <c r="S732">
        <v>11.88</v>
      </c>
      <c r="T732">
        <v>0.67</v>
      </c>
      <c r="U732">
        <v>0.56999999999999995</v>
      </c>
      <c r="V732">
        <v>-20.43</v>
      </c>
      <c r="W732">
        <v>-1731</v>
      </c>
      <c r="X732">
        <v>11.91</v>
      </c>
      <c r="Y732" t="s">
        <v>1113</v>
      </c>
      <c r="Z732" t="s">
        <v>2360</v>
      </c>
      <c r="AA732">
        <v>0.8</v>
      </c>
      <c r="AB732">
        <v>179</v>
      </c>
      <c r="AC732">
        <v>897</v>
      </c>
      <c r="AD732">
        <v>1.89</v>
      </c>
      <c r="AE732" t="s">
        <v>1434</v>
      </c>
      <c r="AF732" t="s">
        <v>284</v>
      </c>
      <c r="AG732" t="s">
        <v>357</v>
      </c>
      <c r="AH732" t="s">
        <v>426</v>
      </c>
      <c r="AI732">
        <v>-0.5</v>
      </c>
      <c r="AJ732">
        <v>0.76</v>
      </c>
      <c r="AK732">
        <v>1.57</v>
      </c>
      <c r="AL732">
        <v>3.41</v>
      </c>
    </row>
    <row r="733" spans="1:38" x14ac:dyDescent="0.25">
      <c r="A733">
        <v>732</v>
      </c>
      <c r="B733" t="str">
        <f xml:space="preserve"> "300068"</f>
        <v>300068</v>
      </c>
      <c r="C733" t="s">
        <v>3704</v>
      </c>
      <c r="D733">
        <v>18.5</v>
      </c>
      <c r="E733">
        <v>-1.07</v>
      </c>
      <c r="F733">
        <v>-0.2</v>
      </c>
      <c r="G733" t="s">
        <v>830</v>
      </c>
      <c r="H733">
        <v>505</v>
      </c>
      <c r="I733">
        <v>18.489999999999998</v>
      </c>
      <c r="J733">
        <v>18.5</v>
      </c>
      <c r="K733">
        <v>0</v>
      </c>
      <c r="L733">
        <v>1.45</v>
      </c>
      <c r="M733" t="s">
        <v>1820</v>
      </c>
      <c r="N733">
        <v>51.81</v>
      </c>
      <c r="O733" t="s">
        <v>380</v>
      </c>
      <c r="P733">
        <v>18.649999999999999</v>
      </c>
      <c r="Q733">
        <v>18.350000000000001</v>
      </c>
      <c r="R733">
        <v>18.579999999999998</v>
      </c>
      <c r="S733">
        <v>18.7</v>
      </c>
      <c r="T733">
        <v>1.6</v>
      </c>
      <c r="U733">
        <v>1.07</v>
      </c>
      <c r="V733">
        <v>-47.26</v>
      </c>
      <c r="W733">
        <v>-699</v>
      </c>
      <c r="X733">
        <v>18.43</v>
      </c>
      <c r="Y733" t="s">
        <v>2849</v>
      </c>
      <c r="Z733" t="s">
        <v>2451</v>
      </c>
      <c r="AA733">
        <v>1.9</v>
      </c>
      <c r="AB733">
        <v>113</v>
      </c>
      <c r="AC733">
        <v>104</v>
      </c>
      <c r="AD733">
        <v>2.19</v>
      </c>
      <c r="AE733" t="s">
        <v>3705</v>
      </c>
      <c r="AF733" t="s">
        <v>284</v>
      </c>
      <c r="AG733" t="s">
        <v>1400</v>
      </c>
      <c r="AH733" t="s">
        <v>173</v>
      </c>
      <c r="AI733">
        <v>-1.28</v>
      </c>
      <c r="AJ733">
        <v>1.65</v>
      </c>
      <c r="AK733">
        <v>4.13</v>
      </c>
      <c r="AL733">
        <v>8.2200000000000006</v>
      </c>
    </row>
    <row r="734" spans="1:38" x14ac:dyDescent="0.25">
      <c r="A734">
        <v>733</v>
      </c>
      <c r="B734" t="str">
        <f xml:space="preserve"> "002108"</f>
        <v>002108</v>
      </c>
      <c r="C734" t="s">
        <v>3706</v>
      </c>
      <c r="D734">
        <v>14.81</v>
      </c>
      <c r="E734">
        <v>0.34</v>
      </c>
      <c r="F734">
        <v>0.05</v>
      </c>
      <c r="G734" t="s">
        <v>1840</v>
      </c>
      <c r="H734">
        <v>1543</v>
      </c>
      <c r="I734">
        <v>14.81</v>
      </c>
      <c r="J734">
        <v>14.82</v>
      </c>
      <c r="K734">
        <v>7.0000000000000007E-2</v>
      </c>
      <c r="L734">
        <v>0.92</v>
      </c>
      <c r="M734" t="s">
        <v>223</v>
      </c>
      <c r="N734">
        <v>28.35</v>
      </c>
      <c r="O734" t="s">
        <v>2128</v>
      </c>
      <c r="P734">
        <v>14.84</v>
      </c>
      <c r="Q734">
        <v>14.67</v>
      </c>
      <c r="R734">
        <v>14.72</v>
      </c>
      <c r="S734">
        <v>14.76</v>
      </c>
      <c r="T734">
        <v>1.1499999999999999</v>
      </c>
      <c r="U734">
        <v>0.66</v>
      </c>
      <c r="V734">
        <v>-54.92</v>
      </c>
      <c r="W734">
        <v>-4369</v>
      </c>
      <c r="X734">
        <v>14.77</v>
      </c>
      <c r="Y734" t="s">
        <v>3707</v>
      </c>
      <c r="Z734" t="s">
        <v>2673</v>
      </c>
      <c r="AA734">
        <v>1.1200000000000001</v>
      </c>
      <c r="AB734">
        <v>68</v>
      </c>
      <c r="AC734">
        <v>1331</v>
      </c>
      <c r="AD734">
        <v>5.58</v>
      </c>
      <c r="AE734" t="s">
        <v>888</v>
      </c>
      <c r="AF734" t="s">
        <v>284</v>
      </c>
      <c r="AG734" t="s">
        <v>755</v>
      </c>
      <c r="AH734" t="s">
        <v>3019</v>
      </c>
      <c r="AI734">
        <v>-0.54</v>
      </c>
      <c r="AJ734">
        <v>0.95</v>
      </c>
      <c r="AK734">
        <v>3.97</v>
      </c>
      <c r="AL734">
        <v>7.91</v>
      </c>
    </row>
    <row r="735" spans="1:38" x14ac:dyDescent="0.25">
      <c r="A735">
        <v>734</v>
      </c>
      <c r="B735" t="str">
        <f xml:space="preserve"> "300064"</f>
        <v>300064</v>
      </c>
      <c r="C735" t="s">
        <v>3708</v>
      </c>
      <c r="D735">
        <v>13.39</v>
      </c>
      <c r="E735">
        <v>1.06</v>
      </c>
      <c r="F735">
        <v>0.14000000000000001</v>
      </c>
      <c r="G735" t="s">
        <v>2298</v>
      </c>
      <c r="H735">
        <v>475</v>
      </c>
      <c r="I735">
        <v>13.38</v>
      </c>
      <c r="J735">
        <v>13.39</v>
      </c>
      <c r="K735">
        <v>-7.0000000000000007E-2</v>
      </c>
      <c r="L735">
        <v>0.51</v>
      </c>
      <c r="M735" t="s">
        <v>3709</v>
      </c>
      <c r="N735">
        <v>85.54</v>
      </c>
      <c r="O735" t="s">
        <v>859</v>
      </c>
      <c r="P735">
        <v>13.41</v>
      </c>
      <c r="Q735">
        <v>13.1</v>
      </c>
      <c r="R735">
        <v>13.27</v>
      </c>
      <c r="S735">
        <v>13.25</v>
      </c>
      <c r="T735">
        <v>2.34</v>
      </c>
      <c r="U735">
        <v>0.54</v>
      </c>
      <c r="V735">
        <v>-57.77</v>
      </c>
      <c r="W735">
        <v>-1688</v>
      </c>
      <c r="X735">
        <v>13.28</v>
      </c>
      <c r="Y735" t="s">
        <v>2800</v>
      </c>
      <c r="Z735" t="s">
        <v>1986</v>
      </c>
      <c r="AA735">
        <v>0.52</v>
      </c>
      <c r="AB735">
        <v>159</v>
      </c>
      <c r="AC735">
        <v>83</v>
      </c>
      <c r="AD735">
        <v>2.41</v>
      </c>
      <c r="AE735" t="s">
        <v>2071</v>
      </c>
      <c r="AF735" t="s">
        <v>2212</v>
      </c>
      <c r="AG735" t="s">
        <v>3710</v>
      </c>
      <c r="AH735" t="s">
        <v>3711</v>
      </c>
      <c r="AI735">
        <v>2.92</v>
      </c>
      <c r="AJ735">
        <v>-0.67</v>
      </c>
      <c r="AK735">
        <v>1.69</v>
      </c>
      <c r="AL735">
        <v>5.17</v>
      </c>
    </row>
    <row r="736" spans="1:38" x14ac:dyDescent="0.25">
      <c r="A736">
        <v>735</v>
      </c>
      <c r="B736" t="str">
        <f xml:space="preserve"> "002611"</f>
        <v>002611</v>
      </c>
      <c r="C736" t="s">
        <v>3712</v>
      </c>
      <c r="D736">
        <v>14.04</v>
      </c>
      <c r="E736">
        <v>-1.2</v>
      </c>
      <c r="F736">
        <v>-0.17</v>
      </c>
      <c r="G736" t="s">
        <v>1974</v>
      </c>
      <c r="H736">
        <v>485</v>
      </c>
      <c r="I736">
        <v>14.04</v>
      </c>
      <c r="J736">
        <v>14.05</v>
      </c>
      <c r="K736">
        <v>0</v>
      </c>
      <c r="L736">
        <v>1.26</v>
      </c>
      <c r="M736" t="s">
        <v>3713</v>
      </c>
      <c r="N736">
        <v>60.01</v>
      </c>
      <c r="O736" t="s">
        <v>2647</v>
      </c>
      <c r="P736">
        <v>14.45</v>
      </c>
      <c r="Q736">
        <v>13.99</v>
      </c>
      <c r="R736">
        <v>14.21</v>
      </c>
      <c r="S736">
        <v>14.21</v>
      </c>
      <c r="T736">
        <v>3.24</v>
      </c>
      <c r="U736">
        <v>0.8</v>
      </c>
      <c r="V736">
        <v>57.74</v>
      </c>
      <c r="W736">
        <v>1842</v>
      </c>
      <c r="X736">
        <v>14.13</v>
      </c>
      <c r="Y736" t="s">
        <v>2433</v>
      </c>
      <c r="Z736" t="s">
        <v>1077</v>
      </c>
      <c r="AA736">
        <v>2.38</v>
      </c>
      <c r="AB736">
        <v>664</v>
      </c>
      <c r="AC736">
        <v>186</v>
      </c>
      <c r="AD736">
        <v>2.1800000000000002</v>
      </c>
      <c r="AE736" t="s">
        <v>2388</v>
      </c>
      <c r="AF736" t="s">
        <v>2212</v>
      </c>
      <c r="AG736" t="s">
        <v>82</v>
      </c>
      <c r="AH736" t="s">
        <v>722</v>
      </c>
      <c r="AI736">
        <v>-3.11</v>
      </c>
      <c r="AJ736">
        <v>-4.68</v>
      </c>
      <c r="AK736">
        <v>3.91</v>
      </c>
      <c r="AL736">
        <v>9.1999999999999993</v>
      </c>
    </row>
    <row r="737" spans="1:38" x14ac:dyDescent="0.25">
      <c r="A737">
        <v>736</v>
      </c>
      <c r="B737" t="str">
        <f xml:space="preserve"> "000555"</f>
        <v>000555</v>
      </c>
      <c r="C737" t="s">
        <v>3714</v>
      </c>
      <c r="D737" t="s">
        <v>616</v>
      </c>
      <c r="E737" t="s">
        <v>616</v>
      </c>
      <c r="F737" t="s">
        <v>616</v>
      </c>
      <c r="G737" t="s">
        <v>616</v>
      </c>
      <c r="H737" t="s">
        <v>616</v>
      </c>
      <c r="I737" t="s">
        <v>616</v>
      </c>
      <c r="J737" t="s">
        <v>616</v>
      </c>
      <c r="K737" t="s">
        <v>616</v>
      </c>
      <c r="L737" t="s">
        <v>616</v>
      </c>
      <c r="M737" t="s">
        <v>616</v>
      </c>
      <c r="N737">
        <v>87.68</v>
      </c>
      <c r="O737" t="s">
        <v>553</v>
      </c>
      <c r="P737" t="s">
        <v>616</v>
      </c>
      <c r="Q737" t="s">
        <v>616</v>
      </c>
      <c r="R737" t="s">
        <v>616</v>
      </c>
      <c r="S737">
        <v>16.73</v>
      </c>
      <c r="T737" t="s">
        <v>616</v>
      </c>
      <c r="U737" t="s">
        <v>616</v>
      </c>
      <c r="V737" t="s">
        <v>616</v>
      </c>
      <c r="W737" t="s">
        <v>616</v>
      </c>
      <c r="X737" t="s">
        <v>616</v>
      </c>
      <c r="Y737" t="s">
        <v>616</v>
      </c>
      <c r="Z737" t="s">
        <v>616</v>
      </c>
      <c r="AA737" t="s">
        <v>616</v>
      </c>
      <c r="AB737" t="s">
        <v>616</v>
      </c>
      <c r="AC737" t="s">
        <v>616</v>
      </c>
      <c r="AD737">
        <v>3.44</v>
      </c>
      <c r="AE737" t="s">
        <v>3715</v>
      </c>
      <c r="AF737" t="s">
        <v>2212</v>
      </c>
      <c r="AG737" t="s">
        <v>3716</v>
      </c>
      <c r="AH737" t="s">
        <v>3717</v>
      </c>
      <c r="AI737">
        <v>0</v>
      </c>
      <c r="AJ737">
        <v>0</v>
      </c>
      <c r="AK737">
        <v>0</v>
      </c>
      <c r="AL737">
        <v>0</v>
      </c>
    </row>
    <row r="738" spans="1:38" x14ac:dyDescent="0.25">
      <c r="A738">
        <v>737</v>
      </c>
      <c r="B738" t="str">
        <f xml:space="preserve"> "603730"</f>
        <v>603730</v>
      </c>
      <c r="C738" t="s">
        <v>3718</v>
      </c>
      <c r="D738">
        <v>39.479999999999997</v>
      </c>
      <c r="E738">
        <v>1.54</v>
      </c>
      <c r="F738">
        <v>0.6</v>
      </c>
      <c r="G738" t="s">
        <v>3177</v>
      </c>
      <c r="H738">
        <v>6</v>
      </c>
      <c r="I738">
        <v>39.479999999999997</v>
      </c>
      <c r="J738">
        <v>39.49</v>
      </c>
      <c r="K738">
        <v>-0.05</v>
      </c>
      <c r="L738">
        <v>10.82</v>
      </c>
      <c r="M738" t="s">
        <v>1079</v>
      </c>
      <c r="N738">
        <v>29.49</v>
      </c>
      <c r="O738" t="s">
        <v>169</v>
      </c>
      <c r="P738">
        <v>39.96</v>
      </c>
      <c r="Q738">
        <v>38.909999999999997</v>
      </c>
      <c r="R738">
        <v>38.909999999999997</v>
      </c>
      <c r="S738">
        <v>38.880000000000003</v>
      </c>
      <c r="T738">
        <v>2.7</v>
      </c>
      <c r="U738">
        <v>2.09</v>
      </c>
      <c r="V738">
        <v>-29.25</v>
      </c>
      <c r="W738">
        <v>-134</v>
      </c>
      <c r="X738">
        <v>39.58</v>
      </c>
      <c r="Y738" t="s">
        <v>3090</v>
      </c>
      <c r="Z738" t="s">
        <v>2548</v>
      </c>
      <c r="AA738">
        <v>0.85</v>
      </c>
      <c r="AB738">
        <v>48</v>
      </c>
      <c r="AC738">
        <v>6</v>
      </c>
      <c r="AD738">
        <v>5.78</v>
      </c>
      <c r="AE738" t="s">
        <v>2912</v>
      </c>
      <c r="AF738" t="s">
        <v>2212</v>
      </c>
      <c r="AG738" t="s">
        <v>2913</v>
      </c>
      <c r="AH738" t="s">
        <v>493</v>
      </c>
      <c r="AI738">
        <v>1.08</v>
      </c>
      <c r="AJ738">
        <v>3.7</v>
      </c>
      <c r="AK738">
        <v>21.4</v>
      </c>
      <c r="AL738">
        <v>36.69</v>
      </c>
    </row>
    <row r="739" spans="1:38" x14ac:dyDescent="0.25">
      <c r="A739">
        <v>738</v>
      </c>
      <c r="B739" t="str">
        <f xml:space="preserve"> "603556"</f>
        <v>603556</v>
      </c>
      <c r="C739" t="s">
        <v>3719</v>
      </c>
      <c r="D739">
        <v>42.34</v>
      </c>
      <c r="E739">
        <v>0.64</v>
      </c>
      <c r="F739">
        <v>0.27</v>
      </c>
      <c r="G739">
        <v>9019</v>
      </c>
      <c r="H739">
        <v>5</v>
      </c>
      <c r="I739">
        <v>42.31</v>
      </c>
      <c r="J739">
        <v>42.34</v>
      </c>
      <c r="K739">
        <v>0.17</v>
      </c>
      <c r="L739">
        <v>0.97</v>
      </c>
      <c r="M739" t="s">
        <v>3720</v>
      </c>
      <c r="N739">
        <v>29.64</v>
      </c>
      <c r="O739" t="s">
        <v>680</v>
      </c>
      <c r="P739">
        <v>42.49</v>
      </c>
      <c r="Q739">
        <v>41.87</v>
      </c>
      <c r="R739">
        <v>41.87</v>
      </c>
      <c r="S739">
        <v>42.07</v>
      </c>
      <c r="T739">
        <v>1.47</v>
      </c>
      <c r="U739">
        <v>0.98</v>
      </c>
      <c r="V739">
        <v>31.55</v>
      </c>
      <c r="W739">
        <v>95</v>
      </c>
      <c r="X739">
        <v>42.27</v>
      </c>
      <c r="Y739">
        <v>3783</v>
      </c>
      <c r="Z739">
        <v>5236</v>
      </c>
      <c r="AA739">
        <v>0.72</v>
      </c>
      <c r="AB739">
        <v>128</v>
      </c>
      <c r="AC739">
        <v>5</v>
      </c>
      <c r="AD739">
        <v>3.69</v>
      </c>
      <c r="AE739" t="s">
        <v>3721</v>
      </c>
      <c r="AF739" t="s">
        <v>2212</v>
      </c>
      <c r="AG739" t="s">
        <v>3722</v>
      </c>
      <c r="AH739" t="s">
        <v>1794</v>
      </c>
      <c r="AI739">
        <v>-1.1399999999999999</v>
      </c>
      <c r="AJ739">
        <v>2.57</v>
      </c>
      <c r="AK739">
        <v>2.89</v>
      </c>
      <c r="AL739">
        <v>5.88</v>
      </c>
    </row>
    <row r="740" spans="1:38" x14ac:dyDescent="0.25">
      <c r="A740">
        <v>739</v>
      </c>
      <c r="B740" t="str">
        <f xml:space="preserve"> "002407"</f>
        <v>002407</v>
      </c>
      <c r="C740" t="s">
        <v>3723</v>
      </c>
      <c r="D740">
        <v>25.63</v>
      </c>
      <c r="E740">
        <v>0.35</v>
      </c>
      <c r="F740">
        <v>0.09</v>
      </c>
      <c r="G740" t="s">
        <v>1771</v>
      </c>
      <c r="H740">
        <v>2513</v>
      </c>
      <c r="I740">
        <v>25.62</v>
      </c>
      <c r="J740">
        <v>25.63</v>
      </c>
      <c r="K740">
        <v>0.04</v>
      </c>
      <c r="L740">
        <v>2.5299999999999998</v>
      </c>
      <c r="M740" t="s">
        <v>3724</v>
      </c>
      <c r="N740">
        <v>53.33</v>
      </c>
      <c r="O740" t="s">
        <v>667</v>
      </c>
      <c r="P740">
        <v>25.95</v>
      </c>
      <c r="Q740">
        <v>25.54</v>
      </c>
      <c r="R740">
        <v>25.54</v>
      </c>
      <c r="S740">
        <v>25.54</v>
      </c>
      <c r="T740">
        <v>1.61</v>
      </c>
      <c r="U740">
        <v>0.64</v>
      </c>
      <c r="V740">
        <v>53.38</v>
      </c>
      <c r="W740">
        <v>1548</v>
      </c>
      <c r="X740">
        <v>25.74</v>
      </c>
      <c r="Y740" t="s">
        <v>2541</v>
      </c>
      <c r="Z740" t="s">
        <v>3725</v>
      </c>
      <c r="AA740">
        <v>1.07</v>
      </c>
      <c r="AB740">
        <v>776</v>
      </c>
      <c r="AC740">
        <v>125</v>
      </c>
      <c r="AD740">
        <v>5.98</v>
      </c>
      <c r="AE740" t="s">
        <v>3726</v>
      </c>
      <c r="AF740" t="s">
        <v>2212</v>
      </c>
      <c r="AG740" t="s">
        <v>2622</v>
      </c>
      <c r="AH740" t="s">
        <v>3001</v>
      </c>
      <c r="AI740">
        <v>-2.25</v>
      </c>
      <c r="AJ740">
        <v>-3.25</v>
      </c>
      <c r="AK740">
        <v>9.8699999999999992</v>
      </c>
      <c r="AL740">
        <v>22.36</v>
      </c>
    </row>
    <row r="741" spans="1:38" x14ac:dyDescent="0.25">
      <c r="A741">
        <v>740</v>
      </c>
      <c r="B741" t="str">
        <f xml:space="preserve"> "600125"</f>
        <v>600125</v>
      </c>
      <c r="C741" t="s">
        <v>3727</v>
      </c>
      <c r="D741">
        <v>12.32</v>
      </c>
      <c r="E741">
        <v>-0.96</v>
      </c>
      <c r="F741">
        <v>-0.12</v>
      </c>
      <c r="G741" t="s">
        <v>3315</v>
      </c>
      <c r="H741">
        <v>65</v>
      </c>
      <c r="I741">
        <v>12.31</v>
      </c>
      <c r="J741">
        <v>12.32</v>
      </c>
      <c r="K741">
        <v>0</v>
      </c>
      <c r="L741">
        <v>2.04</v>
      </c>
      <c r="M741" t="s">
        <v>3728</v>
      </c>
      <c r="N741">
        <v>43.77</v>
      </c>
      <c r="O741" t="s">
        <v>274</v>
      </c>
      <c r="P741">
        <v>12.49</v>
      </c>
      <c r="Q741">
        <v>12.22</v>
      </c>
      <c r="R741">
        <v>12.39</v>
      </c>
      <c r="S741">
        <v>12.44</v>
      </c>
      <c r="T741">
        <v>2.17</v>
      </c>
      <c r="U741">
        <v>0.53</v>
      </c>
      <c r="V741">
        <v>-10.59</v>
      </c>
      <c r="W741">
        <v>-1216</v>
      </c>
      <c r="X741">
        <v>12.32</v>
      </c>
      <c r="Y741" t="s">
        <v>2055</v>
      </c>
      <c r="Z741" t="s">
        <v>3729</v>
      </c>
      <c r="AA741">
        <v>1.8</v>
      </c>
      <c r="AB741">
        <v>2258</v>
      </c>
      <c r="AC741">
        <v>698</v>
      </c>
      <c r="AD741">
        <v>3.14</v>
      </c>
      <c r="AE741" t="s">
        <v>1510</v>
      </c>
      <c r="AF741" t="s">
        <v>2212</v>
      </c>
      <c r="AG741" t="s">
        <v>1510</v>
      </c>
      <c r="AH741" t="s">
        <v>2212</v>
      </c>
      <c r="AI741">
        <v>-1.44</v>
      </c>
      <c r="AJ741">
        <v>2.2400000000000002</v>
      </c>
      <c r="AK741">
        <v>10.02</v>
      </c>
      <c r="AL741">
        <v>21.24</v>
      </c>
    </row>
    <row r="742" spans="1:38" x14ac:dyDescent="0.25">
      <c r="A742">
        <v>741</v>
      </c>
      <c r="B742" t="str">
        <f xml:space="preserve"> "002595"</f>
        <v>002595</v>
      </c>
      <c r="C742" t="s">
        <v>3730</v>
      </c>
      <c r="D742">
        <v>20.05</v>
      </c>
      <c r="E742">
        <v>0.05</v>
      </c>
      <c r="F742">
        <v>0.01</v>
      </c>
      <c r="G742" t="s">
        <v>1576</v>
      </c>
      <c r="H742">
        <v>76</v>
      </c>
      <c r="I742">
        <v>20.05</v>
      </c>
      <c r="J742">
        <v>20.059999999999999</v>
      </c>
      <c r="K742">
        <v>0.1</v>
      </c>
      <c r="L742">
        <v>0.33</v>
      </c>
      <c r="M742" t="s">
        <v>3731</v>
      </c>
      <c r="N742">
        <v>21.62</v>
      </c>
      <c r="O742" t="s">
        <v>169</v>
      </c>
      <c r="P742">
        <v>20.16</v>
      </c>
      <c r="Q742">
        <v>19.899999999999999</v>
      </c>
      <c r="R742">
        <v>20.04</v>
      </c>
      <c r="S742">
        <v>20.04</v>
      </c>
      <c r="T742">
        <v>1.3</v>
      </c>
      <c r="U742">
        <v>0.88</v>
      </c>
      <c r="V742">
        <v>-0.48</v>
      </c>
      <c r="W742">
        <v>-5</v>
      </c>
      <c r="X742">
        <v>20.079999999999998</v>
      </c>
      <c r="Y742">
        <v>9466</v>
      </c>
      <c r="Z742">
        <v>7810</v>
      </c>
      <c r="AA742">
        <v>1.21</v>
      </c>
      <c r="AB742">
        <v>2</v>
      </c>
      <c r="AC742">
        <v>52</v>
      </c>
      <c r="AD742">
        <v>4.46</v>
      </c>
      <c r="AE742" t="s">
        <v>1754</v>
      </c>
      <c r="AF742" t="s">
        <v>2641</v>
      </c>
      <c r="AG742" t="s">
        <v>1108</v>
      </c>
      <c r="AH742" t="s">
        <v>3732</v>
      </c>
      <c r="AI742">
        <v>-0.45</v>
      </c>
      <c r="AJ742">
        <v>0.3</v>
      </c>
      <c r="AK742">
        <v>1.23</v>
      </c>
      <c r="AL742">
        <v>2.23</v>
      </c>
    </row>
    <row r="743" spans="1:38" x14ac:dyDescent="0.25">
      <c r="A743">
        <v>742</v>
      </c>
      <c r="B743" t="str">
        <f xml:space="preserve"> "300207"</f>
        <v>300207</v>
      </c>
      <c r="C743" t="s">
        <v>3733</v>
      </c>
      <c r="D743">
        <v>12.4</v>
      </c>
      <c r="E743">
        <v>0.98</v>
      </c>
      <c r="F743">
        <v>0.12</v>
      </c>
      <c r="G743" t="s">
        <v>1583</v>
      </c>
      <c r="H743">
        <v>4242</v>
      </c>
      <c r="I743">
        <v>12.39</v>
      </c>
      <c r="J743">
        <v>12.4</v>
      </c>
      <c r="K743">
        <v>0.08</v>
      </c>
      <c r="L743">
        <v>1.24</v>
      </c>
      <c r="M743" t="s">
        <v>1710</v>
      </c>
      <c r="N743">
        <v>43.98</v>
      </c>
      <c r="O743" t="s">
        <v>680</v>
      </c>
      <c r="P743">
        <v>12.41</v>
      </c>
      <c r="Q743">
        <v>12.17</v>
      </c>
      <c r="R743">
        <v>12.26</v>
      </c>
      <c r="S743">
        <v>12.28</v>
      </c>
      <c r="T743">
        <v>1.95</v>
      </c>
      <c r="U743">
        <v>0.92</v>
      </c>
      <c r="V743">
        <v>-38.83</v>
      </c>
      <c r="W743">
        <v>-2858</v>
      </c>
      <c r="X743">
        <v>12.3</v>
      </c>
      <c r="Y743" t="s">
        <v>3734</v>
      </c>
      <c r="Z743" t="s">
        <v>3735</v>
      </c>
      <c r="AA743">
        <v>1.05</v>
      </c>
      <c r="AB743">
        <v>367</v>
      </c>
      <c r="AC743">
        <v>159</v>
      </c>
      <c r="AD743">
        <v>6.36</v>
      </c>
      <c r="AE743" t="s">
        <v>2683</v>
      </c>
      <c r="AF743" t="s">
        <v>2641</v>
      </c>
      <c r="AG743" t="s">
        <v>1132</v>
      </c>
      <c r="AH743" t="s">
        <v>575</v>
      </c>
      <c r="AI743">
        <v>0.24</v>
      </c>
      <c r="AJ743">
        <v>1.1399999999999999</v>
      </c>
      <c r="AK743">
        <v>3.76</v>
      </c>
      <c r="AL743">
        <v>7.99</v>
      </c>
    </row>
    <row r="744" spans="1:38" x14ac:dyDescent="0.25">
      <c r="A744">
        <v>743</v>
      </c>
      <c r="B744" t="str">
        <f xml:space="preserve"> "600869"</f>
        <v>600869</v>
      </c>
      <c r="C744" t="s">
        <v>3736</v>
      </c>
      <c r="D744">
        <v>7.19</v>
      </c>
      <c r="E744">
        <v>-1.1000000000000001</v>
      </c>
      <c r="F744">
        <v>-0.08</v>
      </c>
      <c r="G744" t="s">
        <v>681</v>
      </c>
      <c r="H744">
        <v>5</v>
      </c>
      <c r="I744">
        <v>7.18</v>
      </c>
      <c r="J744">
        <v>7.19</v>
      </c>
      <c r="K744">
        <v>0</v>
      </c>
      <c r="L744">
        <v>0.31</v>
      </c>
      <c r="M744" t="s">
        <v>3737</v>
      </c>
      <c r="N744">
        <v>74.22</v>
      </c>
      <c r="O744" t="s">
        <v>680</v>
      </c>
      <c r="P744">
        <v>7.28</v>
      </c>
      <c r="Q744">
        <v>7.16</v>
      </c>
      <c r="R744">
        <v>7.28</v>
      </c>
      <c r="S744">
        <v>7.27</v>
      </c>
      <c r="T744">
        <v>1.65</v>
      </c>
      <c r="U744">
        <v>0.92</v>
      </c>
      <c r="V744">
        <v>27.86</v>
      </c>
      <c r="W744">
        <v>3018</v>
      </c>
      <c r="X744">
        <v>7.2</v>
      </c>
      <c r="Y744" t="s">
        <v>336</v>
      </c>
      <c r="Z744" t="s">
        <v>1381</v>
      </c>
      <c r="AA744">
        <v>2.35</v>
      </c>
      <c r="AB744">
        <v>1018</v>
      </c>
      <c r="AC744">
        <v>70</v>
      </c>
      <c r="AD744">
        <v>2.87</v>
      </c>
      <c r="AE744" t="s">
        <v>2289</v>
      </c>
      <c r="AF744" t="s">
        <v>2641</v>
      </c>
      <c r="AG744" t="s">
        <v>2277</v>
      </c>
      <c r="AH744" t="s">
        <v>2757</v>
      </c>
      <c r="AI744">
        <v>-0.28000000000000003</v>
      </c>
      <c r="AJ744">
        <v>-0.55000000000000004</v>
      </c>
      <c r="AK744">
        <v>0.97</v>
      </c>
      <c r="AL744">
        <v>1.99</v>
      </c>
    </row>
    <row r="745" spans="1:38" x14ac:dyDescent="0.25">
      <c r="A745">
        <v>744</v>
      </c>
      <c r="B745" t="str">
        <f xml:space="preserve"> "600667"</f>
        <v>600667</v>
      </c>
      <c r="C745" t="s">
        <v>3738</v>
      </c>
      <c r="D745">
        <v>7.56</v>
      </c>
      <c r="E745">
        <v>1.75</v>
      </c>
      <c r="F745">
        <v>0.13</v>
      </c>
      <c r="G745" t="s">
        <v>3739</v>
      </c>
      <c r="H745">
        <v>100</v>
      </c>
      <c r="I745">
        <v>7.55</v>
      </c>
      <c r="J745">
        <v>7.56</v>
      </c>
      <c r="K745">
        <v>-0.13</v>
      </c>
      <c r="L745">
        <v>1.73</v>
      </c>
      <c r="M745" t="s">
        <v>2049</v>
      </c>
      <c r="N745">
        <v>47.7</v>
      </c>
      <c r="O745" t="s">
        <v>380</v>
      </c>
      <c r="P745">
        <v>7.62</v>
      </c>
      <c r="Q745">
        <v>7.46</v>
      </c>
      <c r="R745">
        <v>7.48</v>
      </c>
      <c r="S745">
        <v>7.43</v>
      </c>
      <c r="T745">
        <v>2.15</v>
      </c>
      <c r="U745">
        <v>0.73</v>
      </c>
      <c r="V745">
        <v>-47.55</v>
      </c>
      <c r="W745">
        <v>-8342</v>
      </c>
      <c r="X745">
        <v>7.54</v>
      </c>
      <c r="Y745" t="s">
        <v>384</v>
      </c>
      <c r="Z745" t="s">
        <v>2505</v>
      </c>
      <c r="AA745">
        <v>0.71</v>
      </c>
      <c r="AB745">
        <v>902</v>
      </c>
      <c r="AC745">
        <v>1522</v>
      </c>
      <c r="AD745">
        <v>2.68</v>
      </c>
      <c r="AE745" t="s">
        <v>1734</v>
      </c>
      <c r="AF745" t="s">
        <v>2857</v>
      </c>
      <c r="AG745" t="s">
        <v>1011</v>
      </c>
      <c r="AH745" t="s">
        <v>3740</v>
      </c>
      <c r="AI745">
        <v>-0.13</v>
      </c>
      <c r="AJ745">
        <v>-0.66</v>
      </c>
      <c r="AK745">
        <v>5.27</v>
      </c>
      <c r="AL745">
        <v>13.58</v>
      </c>
    </row>
    <row r="746" spans="1:38" x14ac:dyDescent="0.25">
      <c r="A746">
        <v>745</v>
      </c>
      <c r="B746" t="str">
        <f xml:space="preserve"> "002004"</f>
        <v>002004</v>
      </c>
      <c r="C746" t="s">
        <v>3741</v>
      </c>
      <c r="D746">
        <v>7.82</v>
      </c>
      <c r="E746">
        <v>0.39</v>
      </c>
      <c r="F746">
        <v>0.03</v>
      </c>
      <c r="G746" t="s">
        <v>2870</v>
      </c>
      <c r="H746">
        <v>890</v>
      </c>
      <c r="I746">
        <v>7.81</v>
      </c>
      <c r="J746">
        <v>7.82</v>
      </c>
      <c r="K746">
        <v>0.13</v>
      </c>
      <c r="L746">
        <v>0.23</v>
      </c>
      <c r="M746" t="s">
        <v>3742</v>
      </c>
      <c r="N746">
        <v>23.76</v>
      </c>
      <c r="O746" t="s">
        <v>2060</v>
      </c>
      <c r="P746">
        <v>7.83</v>
      </c>
      <c r="Q746">
        <v>7.77</v>
      </c>
      <c r="R746">
        <v>7.77</v>
      </c>
      <c r="S746">
        <v>7.79</v>
      </c>
      <c r="T746">
        <v>0.77</v>
      </c>
      <c r="U746">
        <v>0.5</v>
      </c>
      <c r="V746">
        <v>-4.34</v>
      </c>
      <c r="W746">
        <v>-489</v>
      </c>
      <c r="X746">
        <v>7.81</v>
      </c>
      <c r="Y746" t="s">
        <v>1504</v>
      </c>
      <c r="Z746" t="s">
        <v>1653</v>
      </c>
      <c r="AA746">
        <v>0.95</v>
      </c>
      <c r="AB746">
        <v>342</v>
      </c>
      <c r="AC746">
        <v>1713</v>
      </c>
      <c r="AD746">
        <v>1.64</v>
      </c>
      <c r="AE746" t="s">
        <v>1761</v>
      </c>
      <c r="AF746" t="s">
        <v>2857</v>
      </c>
      <c r="AG746" t="s">
        <v>1375</v>
      </c>
      <c r="AH746" t="s">
        <v>880</v>
      </c>
      <c r="AI746">
        <v>-0.89</v>
      </c>
      <c r="AJ746">
        <v>1.96</v>
      </c>
      <c r="AK746">
        <v>1.08</v>
      </c>
      <c r="AL746">
        <v>2.54</v>
      </c>
    </row>
    <row r="747" spans="1:38" x14ac:dyDescent="0.25">
      <c r="A747">
        <v>746</v>
      </c>
      <c r="B747" t="str">
        <f xml:space="preserve"> "000830"</f>
        <v>000830</v>
      </c>
      <c r="C747" t="s">
        <v>3743</v>
      </c>
      <c r="D747">
        <v>10.86</v>
      </c>
      <c r="E747">
        <v>0.37</v>
      </c>
      <c r="F747">
        <v>0.04</v>
      </c>
      <c r="G747" t="s">
        <v>1156</v>
      </c>
      <c r="H747">
        <v>5628</v>
      </c>
      <c r="I747">
        <v>10.85</v>
      </c>
      <c r="J747">
        <v>10.86</v>
      </c>
      <c r="K747">
        <v>0.09</v>
      </c>
      <c r="L747">
        <v>2.16</v>
      </c>
      <c r="M747" t="s">
        <v>3744</v>
      </c>
      <c r="N747">
        <v>14.43</v>
      </c>
      <c r="O747" t="s">
        <v>1936</v>
      </c>
      <c r="P747">
        <v>10.96</v>
      </c>
      <c r="Q747">
        <v>10.7</v>
      </c>
      <c r="R747">
        <v>10.79</v>
      </c>
      <c r="S747">
        <v>10.82</v>
      </c>
      <c r="T747">
        <v>2.4</v>
      </c>
      <c r="U747">
        <v>0.59</v>
      </c>
      <c r="V747">
        <v>-22.85</v>
      </c>
      <c r="W747">
        <v>-2134</v>
      </c>
      <c r="X747">
        <v>10.83</v>
      </c>
      <c r="Y747" t="s">
        <v>3745</v>
      </c>
      <c r="Z747" t="s">
        <v>1834</v>
      </c>
      <c r="AA747">
        <v>1.37</v>
      </c>
      <c r="AB747">
        <v>1052</v>
      </c>
      <c r="AC747">
        <v>1722</v>
      </c>
      <c r="AD747">
        <v>2.4500000000000002</v>
      </c>
      <c r="AE747" t="s">
        <v>801</v>
      </c>
      <c r="AF747" t="s">
        <v>2857</v>
      </c>
      <c r="AG747" t="s">
        <v>801</v>
      </c>
      <c r="AH747" t="s">
        <v>2857</v>
      </c>
      <c r="AI747">
        <v>-2.16</v>
      </c>
      <c r="AJ747">
        <v>-3.04</v>
      </c>
      <c r="AK747">
        <v>7.76</v>
      </c>
      <c r="AL747">
        <v>20.38</v>
      </c>
    </row>
    <row r="748" spans="1:38" x14ac:dyDescent="0.25">
      <c r="A748">
        <v>747</v>
      </c>
      <c r="B748" t="str">
        <f xml:space="preserve"> "000536"</f>
        <v>000536</v>
      </c>
      <c r="C748" t="s">
        <v>3746</v>
      </c>
      <c r="D748">
        <v>5.75</v>
      </c>
      <c r="E748">
        <v>0.35</v>
      </c>
      <c r="F748">
        <v>0.02</v>
      </c>
      <c r="G748" t="s">
        <v>3747</v>
      </c>
      <c r="H748">
        <v>647</v>
      </c>
      <c r="I748">
        <v>5.74</v>
      </c>
      <c r="J748">
        <v>5.75</v>
      </c>
      <c r="K748">
        <v>0.17</v>
      </c>
      <c r="L748">
        <v>0.47</v>
      </c>
      <c r="M748" t="s">
        <v>3748</v>
      </c>
      <c r="N748">
        <v>112.42</v>
      </c>
      <c r="O748" t="s">
        <v>380</v>
      </c>
      <c r="P748">
        <v>5.77</v>
      </c>
      <c r="Q748">
        <v>5.71</v>
      </c>
      <c r="R748">
        <v>5.73</v>
      </c>
      <c r="S748">
        <v>5.73</v>
      </c>
      <c r="T748">
        <v>1.05</v>
      </c>
      <c r="U748">
        <v>0.75</v>
      </c>
      <c r="V748">
        <v>42.08</v>
      </c>
      <c r="W748">
        <v>8825</v>
      </c>
      <c r="X748">
        <v>5.74</v>
      </c>
      <c r="Y748" t="s">
        <v>1629</v>
      </c>
      <c r="Z748" t="s">
        <v>2391</v>
      </c>
      <c r="AA748">
        <v>1.83</v>
      </c>
      <c r="AB748">
        <v>1186</v>
      </c>
      <c r="AC748">
        <v>1425</v>
      </c>
      <c r="AD748">
        <v>1.24</v>
      </c>
      <c r="AE748" t="s">
        <v>1292</v>
      </c>
      <c r="AF748" t="s">
        <v>2857</v>
      </c>
      <c r="AG748" t="s">
        <v>1063</v>
      </c>
      <c r="AH748" t="s">
        <v>191</v>
      </c>
      <c r="AI748">
        <v>-2.54</v>
      </c>
      <c r="AJ748">
        <v>-1.2</v>
      </c>
      <c r="AK748">
        <v>1.83</v>
      </c>
      <c r="AL748">
        <v>3.57</v>
      </c>
    </row>
    <row r="749" spans="1:38" x14ac:dyDescent="0.25">
      <c r="A749">
        <v>748</v>
      </c>
      <c r="B749" t="str">
        <f xml:space="preserve"> "300323"</f>
        <v>300323</v>
      </c>
      <c r="C749" t="s">
        <v>3749</v>
      </c>
      <c r="D749">
        <v>18.87</v>
      </c>
      <c r="E749">
        <v>-2.98</v>
      </c>
      <c r="F749">
        <v>-0.57999999999999996</v>
      </c>
      <c r="G749" t="s">
        <v>2943</v>
      </c>
      <c r="H749">
        <v>467</v>
      </c>
      <c r="I749">
        <v>18.87</v>
      </c>
      <c r="J749">
        <v>18.88</v>
      </c>
      <c r="K749">
        <v>0.27</v>
      </c>
      <c r="L749">
        <v>1.45</v>
      </c>
      <c r="M749" t="s">
        <v>3084</v>
      </c>
      <c r="N749">
        <v>36.729999999999997</v>
      </c>
      <c r="O749" t="s">
        <v>380</v>
      </c>
      <c r="P749">
        <v>19.78</v>
      </c>
      <c r="Q749">
        <v>18.57</v>
      </c>
      <c r="R749">
        <v>19.45</v>
      </c>
      <c r="S749">
        <v>19.45</v>
      </c>
      <c r="T749">
        <v>6.22</v>
      </c>
      <c r="U749">
        <v>1.43</v>
      </c>
      <c r="V749">
        <v>34</v>
      </c>
      <c r="W749">
        <v>545</v>
      </c>
      <c r="X749">
        <v>19</v>
      </c>
      <c r="Y749" t="s">
        <v>3750</v>
      </c>
      <c r="Z749" t="s">
        <v>2543</v>
      </c>
      <c r="AA749">
        <v>1.78</v>
      </c>
      <c r="AB749">
        <v>331</v>
      </c>
      <c r="AC749">
        <v>164</v>
      </c>
      <c r="AD749">
        <v>4.37</v>
      </c>
      <c r="AE749" t="s">
        <v>3751</v>
      </c>
      <c r="AF749" t="s">
        <v>2857</v>
      </c>
      <c r="AG749" t="s">
        <v>3588</v>
      </c>
      <c r="AH749" t="s">
        <v>454</v>
      </c>
      <c r="AI749">
        <v>0.27</v>
      </c>
      <c r="AJ749">
        <v>1.94</v>
      </c>
      <c r="AK749">
        <v>3.32</v>
      </c>
      <c r="AL749">
        <v>6.52</v>
      </c>
    </row>
    <row r="750" spans="1:38" x14ac:dyDescent="0.25">
      <c r="A750">
        <v>749</v>
      </c>
      <c r="B750" t="str">
        <f xml:space="preserve"> "300244"</f>
        <v>300244</v>
      </c>
      <c r="C750" t="s">
        <v>3752</v>
      </c>
      <c r="D750">
        <v>28.76</v>
      </c>
      <c r="E750">
        <v>1.88</v>
      </c>
      <c r="F750">
        <v>0.53</v>
      </c>
      <c r="G750" t="s">
        <v>59</v>
      </c>
      <c r="H750">
        <v>1573</v>
      </c>
      <c r="I750">
        <v>28.76</v>
      </c>
      <c r="J750">
        <v>28.77</v>
      </c>
      <c r="K750">
        <v>-0.03</v>
      </c>
      <c r="L750">
        <v>4.3600000000000003</v>
      </c>
      <c r="M750" t="s">
        <v>2302</v>
      </c>
      <c r="N750">
        <v>43.76</v>
      </c>
      <c r="O750" t="s">
        <v>392</v>
      </c>
      <c r="P750">
        <v>29.76</v>
      </c>
      <c r="Q750">
        <v>27.8</v>
      </c>
      <c r="R750">
        <v>28.17</v>
      </c>
      <c r="S750">
        <v>28.23</v>
      </c>
      <c r="T750">
        <v>6.94</v>
      </c>
      <c r="U750">
        <v>1.05</v>
      </c>
      <c r="V750">
        <v>5.3</v>
      </c>
      <c r="W750">
        <v>43</v>
      </c>
      <c r="X750">
        <v>28.93</v>
      </c>
      <c r="Y750" t="s">
        <v>2631</v>
      </c>
      <c r="Z750" t="s">
        <v>3492</v>
      </c>
      <c r="AA750">
        <v>0.93</v>
      </c>
      <c r="AB750">
        <v>231</v>
      </c>
      <c r="AC750">
        <v>212</v>
      </c>
      <c r="AD750">
        <v>7.45</v>
      </c>
      <c r="AE750" t="s">
        <v>3494</v>
      </c>
      <c r="AF750" t="s">
        <v>795</v>
      </c>
      <c r="AG750" t="s">
        <v>3753</v>
      </c>
      <c r="AH750" t="s">
        <v>3205</v>
      </c>
      <c r="AI750">
        <v>-7.0000000000000007E-2</v>
      </c>
      <c r="AJ750">
        <v>13.45</v>
      </c>
      <c r="AK750">
        <v>16.78</v>
      </c>
      <c r="AL750">
        <v>25.16</v>
      </c>
    </row>
    <row r="751" spans="1:38" x14ac:dyDescent="0.25">
      <c r="A751">
        <v>750</v>
      </c>
      <c r="B751" t="str">
        <f xml:space="preserve"> "600981"</f>
        <v>600981</v>
      </c>
      <c r="C751" t="s">
        <v>3754</v>
      </c>
      <c r="D751">
        <v>7.06</v>
      </c>
      <c r="E751">
        <v>-0.14000000000000001</v>
      </c>
      <c r="F751">
        <v>-0.01</v>
      </c>
      <c r="G751" t="s">
        <v>121</v>
      </c>
      <c r="H751">
        <v>50</v>
      </c>
      <c r="I751">
        <v>7.05</v>
      </c>
      <c r="J751">
        <v>7.06</v>
      </c>
      <c r="K751">
        <v>0.14000000000000001</v>
      </c>
      <c r="L751">
        <v>1.1599999999999999</v>
      </c>
      <c r="M751" t="s">
        <v>3755</v>
      </c>
      <c r="N751">
        <v>32.64</v>
      </c>
      <c r="O751" t="s">
        <v>2001</v>
      </c>
      <c r="P751">
        <v>7.07</v>
      </c>
      <c r="Q751">
        <v>7.02</v>
      </c>
      <c r="R751">
        <v>7.06</v>
      </c>
      <c r="S751">
        <v>7.07</v>
      </c>
      <c r="T751">
        <v>0.71</v>
      </c>
      <c r="U751">
        <v>0.3</v>
      </c>
      <c r="V751">
        <v>-3.69</v>
      </c>
      <c r="W751">
        <v>-235</v>
      </c>
      <c r="X751">
        <v>7.04</v>
      </c>
      <c r="Y751" t="s">
        <v>899</v>
      </c>
      <c r="Z751">
        <v>9300</v>
      </c>
      <c r="AA751">
        <v>2</v>
      </c>
      <c r="AB751">
        <v>250</v>
      </c>
      <c r="AC751">
        <v>845</v>
      </c>
      <c r="AD751">
        <v>2.0499999999999998</v>
      </c>
      <c r="AE751" t="s">
        <v>3436</v>
      </c>
      <c r="AF751" t="s">
        <v>795</v>
      </c>
      <c r="AG751" t="s">
        <v>343</v>
      </c>
      <c r="AH751" t="s">
        <v>1777</v>
      </c>
      <c r="AI751">
        <v>-0.98</v>
      </c>
      <c r="AJ751">
        <v>2.4700000000000002</v>
      </c>
      <c r="AK751">
        <v>4.41</v>
      </c>
      <c r="AL751">
        <v>20.32</v>
      </c>
    </row>
    <row r="752" spans="1:38" x14ac:dyDescent="0.25">
      <c r="A752">
        <v>751</v>
      </c>
      <c r="B752" t="str">
        <f xml:space="preserve"> "300347"</f>
        <v>300347</v>
      </c>
      <c r="C752" t="s">
        <v>3756</v>
      </c>
      <c r="D752">
        <v>31.54</v>
      </c>
      <c r="E752">
        <v>0</v>
      </c>
      <c r="F752">
        <v>0</v>
      </c>
      <c r="G752" t="s">
        <v>2058</v>
      </c>
      <c r="H752">
        <v>292</v>
      </c>
      <c r="I752">
        <v>31.54</v>
      </c>
      <c r="J752">
        <v>31.55</v>
      </c>
      <c r="K752">
        <v>0</v>
      </c>
      <c r="L752">
        <v>1.36</v>
      </c>
      <c r="M752" t="s">
        <v>3398</v>
      </c>
      <c r="N752">
        <v>65.94</v>
      </c>
      <c r="O752" t="s">
        <v>392</v>
      </c>
      <c r="P752">
        <v>31.8</v>
      </c>
      <c r="Q752">
        <v>30.85</v>
      </c>
      <c r="R752">
        <v>31.74</v>
      </c>
      <c r="S752">
        <v>31.54</v>
      </c>
      <c r="T752">
        <v>3.01</v>
      </c>
      <c r="U752">
        <v>0.81</v>
      </c>
      <c r="V752">
        <v>-43.56</v>
      </c>
      <c r="W752">
        <v>-159</v>
      </c>
      <c r="X752">
        <v>31.41</v>
      </c>
      <c r="Y752" t="s">
        <v>1381</v>
      </c>
      <c r="Z752" t="s">
        <v>2240</v>
      </c>
      <c r="AA752">
        <v>0.94</v>
      </c>
      <c r="AB752">
        <v>45</v>
      </c>
      <c r="AC752">
        <v>172</v>
      </c>
      <c r="AD752">
        <v>6.86</v>
      </c>
      <c r="AE752" t="s">
        <v>1600</v>
      </c>
      <c r="AF752" t="s">
        <v>795</v>
      </c>
      <c r="AG752" t="s">
        <v>1696</v>
      </c>
      <c r="AH752" t="s">
        <v>818</v>
      </c>
      <c r="AI752">
        <v>2.54</v>
      </c>
      <c r="AJ752">
        <v>11.84</v>
      </c>
      <c r="AK752">
        <v>6.22</v>
      </c>
      <c r="AL752">
        <v>9.74</v>
      </c>
    </row>
    <row r="753" spans="1:38" x14ac:dyDescent="0.25">
      <c r="A753">
        <v>752</v>
      </c>
      <c r="B753" t="str">
        <f xml:space="preserve"> "000988"</f>
        <v>000988</v>
      </c>
      <c r="C753" t="s">
        <v>3757</v>
      </c>
      <c r="D753">
        <v>17.68</v>
      </c>
      <c r="E753">
        <v>0.86</v>
      </c>
      <c r="F753">
        <v>0.15</v>
      </c>
      <c r="G753" t="s">
        <v>3296</v>
      </c>
      <c r="H753">
        <v>3754</v>
      </c>
      <c r="I753">
        <v>17.68</v>
      </c>
      <c r="J753">
        <v>17.7</v>
      </c>
      <c r="K753">
        <v>-0.11</v>
      </c>
      <c r="L753">
        <v>2.19</v>
      </c>
      <c r="M753" t="s">
        <v>3758</v>
      </c>
      <c r="N753">
        <v>44.73</v>
      </c>
      <c r="O753" t="s">
        <v>380</v>
      </c>
      <c r="P753">
        <v>17.940000000000001</v>
      </c>
      <c r="Q753">
        <v>17.48</v>
      </c>
      <c r="R753">
        <v>17.55</v>
      </c>
      <c r="S753">
        <v>17.53</v>
      </c>
      <c r="T753">
        <v>2.62</v>
      </c>
      <c r="U753">
        <v>0.77</v>
      </c>
      <c r="V753">
        <v>34.97</v>
      </c>
      <c r="W753">
        <v>1330</v>
      </c>
      <c r="X753">
        <v>17.75</v>
      </c>
      <c r="Y753" t="s">
        <v>564</v>
      </c>
      <c r="Z753" t="s">
        <v>1270</v>
      </c>
      <c r="AA753">
        <v>0.86</v>
      </c>
      <c r="AB753">
        <v>97</v>
      </c>
      <c r="AC753">
        <v>167</v>
      </c>
      <c r="AD753">
        <v>4.76</v>
      </c>
      <c r="AE753" t="s">
        <v>3593</v>
      </c>
      <c r="AF753" t="s">
        <v>795</v>
      </c>
      <c r="AG753" t="s">
        <v>3593</v>
      </c>
      <c r="AH753" t="s">
        <v>795</v>
      </c>
      <c r="AI753">
        <v>-1.61</v>
      </c>
      <c r="AJ753">
        <v>5.43</v>
      </c>
      <c r="AK753">
        <v>6.83</v>
      </c>
      <c r="AL753">
        <v>16.420000000000002</v>
      </c>
    </row>
    <row r="754" spans="1:38" x14ac:dyDescent="0.25">
      <c r="A754">
        <v>753</v>
      </c>
      <c r="B754" t="str">
        <f xml:space="preserve"> "002701"</f>
        <v>002701</v>
      </c>
      <c r="C754" t="s">
        <v>3759</v>
      </c>
      <c r="D754">
        <v>6.68</v>
      </c>
      <c r="E754">
        <v>0</v>
      </c>
      <c r="F754">
        <v>0</v>
      </c>
      <c r="G754" t="s">
        <v>3760</v>
      </c>
      <c r="H754">
        <v>421</v>
      </c>
      <c r="I754">
        <v>6.68</v>
      </c>
      <c r="J754">
        <v>6.69</v>
      </c>
      <c r="K754">
        <v>0</v>
      </c>
      <c r="L754">
        <v>0.46</v>
      </c>
      <c r="M754" t="s">
        <v>3761</v>
      </c>
      <c r="N754">
        <v>18.989999999999998</v>
      </c>
      <c r="O754" t="s">
        <v>1229</v>
      </c>
      <c r="P754">
        <v>6.7</v>
      </c>
      <c r="Q754">
        <v>6.63</v>
      </c>
      <c r="R754">
        <v>6.66</v>
      </c>
      <c r="S754">
        <v>6.68</v>
      </c>
      <c r="T754">
        <v>1.05</v>
      </c>
      <c r="U754">
        <v>0.46</v>
      </c>
      <c r="V754">
        <v>13.99</v>
      </c>
      <c r="W754">
        <v>2775</v>
      </c>
      <c r="X754">
        <v>6.67</v>
      </c>
      <c r="Y754" t="s">
        <v>1230</v>
      </c>
      <c r="Z754" t="s">
        <v>1571</v>
      </c>
      <c r="AA754">
        <v>1.48</v>
      </c>
      <c r="AB754">
        <v>1755</v>
      </c>
      <c r="AC754">
        <v>2132</v>
      </c>
      <c r="AD754">
        <v>2.85</v>
      </c>
      <c r="AE754" t="s">
        <v>3762</v>
      </c>
      <c r="AF754" t="s">
        <v>2757</v>
      </c>
      <c r="AG754" t="s">
        <v>2434</v>
      </c>
      <c r="AH754" t="s">
        <v>3763</v>
      </c>
      <c r="AI754">
        <v>2.14</v>
      </c>
      <c r="AJ754">
        <v>2.2999999999999998</v>
      </c>
      <c r="AK754">
        <v>3.27</v>
      </c>
      <c r="AL754">
        <v>5.54</v>
      </c>
    </row>
    <row r="755" spans="1:38" x14ac:dyDescent="0.25">
      <c r="A755">
        <v>754</v>
      </c>
      <c r="B755" t="str">
        <f xml:space="preserve"> "002431"</f>
        <v>002431</v>
      </c>
      <c r="C755" t="s">
        <v>3764</v>
      </c>
      <c r="D755">
        <v>10.58</v>
      </c>
      <c r="E755">
        <v>1.93</v>
      </c>
      <c r="F755">
        <v>0.2</v>
      </c>
      <c r="G755" t="s">
        <v>1612</v>
      </c>
      <c r="H755">
        <v>5618</v>
      </c>
      <c r="I755">
        <v>10.57</v>
      </c>
      <c r="J755">
        <v>10.58</v>
      </c>
      <c r="K755">
        <v>0</v>
      </c>
      <c r="L755">
        <v>4.9000000000000004</v>
      </c>
      <c r="M755" t="s">
        <v>2979</v>
      </c>
      <c r="N755">
        <v>93.3</v>
      </c>
      <c r="O755" t="s">
        <v>1221</v>
      </c>
      <c r="P755">
        <v>10.65</v>
      </c>
      <c r="Q755">
        <v>10.29</v>
      </c>
      <c r="R755">
        <v>10.41</v>
      </c>
      <c r="S755">
        <v>10.38</v>
      </c>
      <c r="T755">
        <v>3.47</v>
      </c>
      <c r="U755">
        <v>1.94</v>
      </c>
      <c r="V755">
        <v>-21.16</v>
      </c>
      <c r="W755">
        <v>-4830</v>
      </c>
      <c r="X755">
        <v>10.5</v>
      </c>
      <c r="Y755" t="s">
        <v>554</v>
      </c>
      <c r="Z755" t="s">
        <v>3765</v>
      </c>
      <c r="AA755">
        <v>0.63</v>
      </c>
      <c r="AB755">
        <v>3967</v>
      </c>
      <c r="AC755">
        <v>3309</v>
      </c>
      <c r="AD755">
        <v>2.97</v>
      </c>
      <c r="AE755" t="s">
        <v>2945</v>
      </c>
      <c r="AF755" t="s">
        <v>2757</v>
      </c>
      <c r="AG755" t="s">
        <v>3766</v>
      </c>
      <c r="AH755" t="s">
        <v>3767</v>
      </c>
      <c r="AI755">
        <v>2.82</v>
      </c>
      <c r="AJ755">
        <v>4.96</v>
      </c>
      <c r="AK755">
        <v>10.98</v>
      </c>
      <c r="AL755">
        <v>17.53</v>
      </c>
    </row>
    <row r="756" spans="1:38" x14ac:dyDescent="0.25">
      <c r="A756">
        <v>755</v>
      </c>
      <c r="B756" t="str">
        <f xml:space="preserve"> "300199"</f>
        <v>300199</v>
      </c>
      <c r="C756" t="s">
        <v>3768</v>
      </c>
      <c r="D756">
        <v>16.829999999999998</v>
      </c>
      <c r="E756">
        <v>-2.4300000000000002</v>
      </c>
      <c r="F756">
        <v>-0.42</v>
      </c>
      <c r="G756" t="s">
        <v>1300</v>
      </c>
      <c r="H756">
        <v>764</v>
      </c>
      <c r="I756">
        <v>16.829999999999998</v>
      </c>
      <c r="J756">
        <v>16.84</v>
      </c>
      <c r="K756">
        <v>0</v>
      </c>
      <c r="L756">
        <v>1.56</v>
      </c>
      <c r="M756" t="s">
        <v>1306</v>
      </c>
      <c r="N756">
        <v>49.08</v>
      </c>
      <c r="O756" t="s">
        <v>392</v>
      </c>
      <c r="P756">
        <v>17.170000000000002</v>
      </c>
      <c r="Q756">
        <v>16.8</v>
      </c>
      <c r="R756">
        <v>17.170000000000002</v>
      </c>
      <c r="S756">
        <v>17.25</v>
      </c>
      <c r="T756">
        <v>2.14</v>
      </c>
      <c r="U756">
        <v>0.85</v>
      </c>
      <c r="V756">
        <v>-4.76</v>
      </c>
      <c r="W756">
        <v>-158</v>
      </c>
      <c r="X756">
        <v>16.97</v>
      </c>
      <c r="Y756" t="s">
        <v>3769</v>
      </c>
      <c r="Z756" t="s">
        <v>2115</v>
      </c>
      <c r="AA756">
        <v>2.02</v>
      </c>
      <c r="AB756">
        <v>75</v>
      </c>
      <c r="AC756">
        <v>1081</v>
      </c>
      <c r="AD756">
        <v>4.2699999999999996</v>
      </c>
      <c r="AE756" t="s">
        <v>3132</v>
      </c>
      <c r="AF756" t="s">
        <v>2757</v>
      </c>
      <c r="AG756" t="s">
        <v>3770</v>
      </c>
      <c r="AH756" t="s">
        <v>3771</v>
      </c>
      <c r="AI756">
        <v>-3.16</v>
      </c>
      <c r="AJ756">
        <v>0.66</v>
      </c>
      <c r="AK756">
        <v>6.16</v>
      </c>
      <c r="AL756">
        <v>10.75</v>
      </c>
    </row>
    <row r="757" spans="1:38" x14ac:dyDescent="0.25">
      <c r="A757">
        <v>756</v>
      </c>
      <c r="B757" t="str">
        <f xml:space="preserve"> "601567"</f>
        <v>601567</v>
      </c>
      <c r="C757" t="s">
        <v>3772</v>
      </c>
      <c r="D757">
        <v>11.08</v>
      </c>
      <c r="E757">
        <v>-0.54</v>
      </c>
      <c r="F757">
        <v>-0.06</v>
      </c>
      <c r="G757" t="s">
        <v>1509</v>
      </c>
      <c r="H757">
        <v>17</v>
      </c>
      <c r="I757">
        <v>11.06</v>
      </c>
      <c r="J757">
        <v>11.07</v>
      </c>
      <c r="K757">
        <v>0.45</v>
      </c>
      <c r="L757">
        <v>0.21</v>
      </c>
      <c r="M757" t="s">
        <v>3773</v>
      </c>
      <c r="N757">
        <v>33.93</v>
      </c>
      <c r="O757" t="s">
        <v>1372</v>
      </c>
      <c r="P757">
        <v>11.17</v>
      </c>
      <c r="Q757">
        <v>11</v>
      </c>
      <c r="R757">
        <v>11.11</v>
      </c>
      <c r="S757">
        <v>11.14</v>
      </c>
      <c r="T757">
        <v>1.53</v>
      </c>
      <c r="U757">
        <v>0.79</v>
      </c>
      <c r="V757">
        <v>29.62</v>
      </c>
      <c r="W757">
        <v>528</v>
      </c>
      <c r="X757">
        <v>11.03</v>
      </c>
      <c r="Y757" t="s">
        <v>2061</v>
      </c>
      <c r="Z757">
        <v>6660</v>
      </c>
      <c r="AA757">
        <v>2.85</v>
      </c>
      <c r="AB757">
        <v>353</v>
      </c>
      <c r="AC757">
        <v>96</v>
      </c>
      <c r="AD757">
        <v>2.36</v>
      </c>
      <c r="AE757" t="s">
        <v>1202</v>
      </c>
      <c r="AF757" t="s">
        <v>2757</v>
      </c>
      <c r="AG757" t="s">
        <v>361</v>
      </c>
      <c r="AH757" t="s">
        <v>3116</v>
      </c>
      <c r="AI757">
        <v>-3.65</v>
      </c>
      <c r="AJ757">
        <v>0.73</v>
      </c>
      <c r="AK757">
        <v>0.74</v>
      </c>
      <c r="AL757">
        <v>1.52</v>
      </c>
    </row>
    <row r="758" spans="1:38" x14ac:dyDescent="0.25">
      <c r="A758">
        <v>757</v>
      </c>
      <c r="B758" t="str">
        <f xml:space="preserve"> "603444"</f>
        <v>603444</v>
      </c>
      <c r="C758" t="s">
        <v>3774</v>
      </c>
      <c r="D758">
        <v>218.92</v>
      </c>
      <c r="E758">
        <v>0.39</v>
      </c>
      <c r="F758">
        <v>0.85</v>
      </c>
      <c r="G758">
        <v>3335</v>
      </c>
      <c r="H758">
        <v>3</v>
      </c>
      <c r="I758">
        <v>218.92</v>
      </c>
      <c r="J758">
        <v>218.93</v>
      </c>
      <c r="K758">
        <v>-0.02</v>
      </c>
      <c r="L758">
        <v>1.87</v>
      </c>
      <c r="M758" t="s">
        <v>3775</v>
      </c>
      <c r="N758">
        <v>26.23</v>
      </c>
      <c r="O758" t="s">
        <v>893</v>
      </c>
      <c r="P758">
        <v>219.44</v>
      </c>
      <c r="Q758">
        <v>217.32</v>
      </c>
      <c r="R758">
        <v>217.32</v>
      </c>
      <c r="S758">
        <v>218.07</v>
      </c>
      <c r="T758">
        <v>0.97</v>
      </c>
      <c r="U758">
        <v>0.55000000000000004</v>
      </c>
      <c r="V758">
        <v>17.95</v>
      </c>
      <c r="W758">
        <v>7</v>
      </c>
      <c r="X758">
        <v>218.75</v>
      </c>
      <c r="Y758">
        <v>1639</v>
      </c>
      <c r="Z758">
        <v>1696</v>
      </c>
      <c r="AA758">
        <v>0.97</v>
      </c>
      <c r="AB758">
        <v>1</v>
      </c>
      <c r="AC758">
        <v>3</v>
      </c>
      <c r="AD758">
        <v>8.02</v>
      </c>
      <c r="AE758" t="s">
        <v>3776</v>
      </c>
      <c r="AF758" t="s">
        <v>2757</v>
      </c>
      <c r="AG758" t="s">
        <v>3777</v>
      </c>
      <c r="AH758" t="s">
        <v>3778</v>
      </c>
      <c r="AI758">
        <v>-0.83</v>
      </c>
      <c r="AJ758">
        <v>2.9</v>
      </c>
      <c r="AK758">
        <v>9.74</v>
      </c>
      <c r="AL758">
        <v>18.97</v>
      </c>
    </row>
    <row r="759" spans="1:38" x14ac:dyDescent="0.25">
      <c r="A759">
        <v>758</v>
      </c>
      <c r="B759" t="str">
        <f xml:space="preserve"> "000519"</f>
        <v>000519</v>
      </c>
      <c r="C759" t="s">
        <v>3779</v>
      </c>
      <c r="D759">
        <v>11.17</v>
      </c>
      <c r="E759">
        <v>-0.71</v>
      </c>
      <c r="F759">
        <v>-0.08</v>
      </c>
      <c r="G759" t="s">
        <v>3780</v>
      </c>
      <c r="H759">
        <v>1029</v>
      </c>
      <c r="I759">
        <v>11.17</v>
      </c>
      <c r="J759">
        <v>11.18</v>
      </c>
      <c r="K759">
        <v>0</v>
      </c>
      <c r="L759">
        <v>1.66</v>
      </c>
      <c r="M759" t="s">
        <v>1120</v>
      </c>
      <c r="N759">
        <v>-3966.11</v>
      </c>
      <c r="O759" t="s">
        <v>648</v>
      </c>
      <c r="P759">
        <v>11.22</v>
      </c>
      <c r="Q759">
        <v>11.12</v>
      </c>
      <c r="R759">
        <v>11.21</v>
      </c>
      <c r="S759">
        <v>11.25</v>
      </c>
      <c r="T759">
        <v>0.89</v>
      </c>
      <c r="U759">
        <v>0.74</v>
      </c>
      <c r="V759">
        <v>28.95</v>
      </c>
      <c r="W759">
        <v>2511</v>
      </c>
      <c r="X759">
        <v>11.15</v>
      </c>
      <c r="Y759" t="s">
        <v>3167</v>
      </c>
      <c r="Z759" t="s">
        <v>3781</v>
      </c>
      <c r="AA759">
        <v>1.53</v>
      </c>
      <c r="AB759">
        <v>514</v>
      </c>
      <c r="AC759">
        <v>1835</v>
      </c>
      <c r="AD759">
        <v>2.13</v>
      </c>
      <c r="AE759" t="s">
        <v>803</v>
      </c>
      <c r="AF759" t="s">
        <v>2757</v>
      </c>
      <c r="AG759" t="s">
        <v>3782</v>
      </c>
      <c r="AH759" t="s">
        <v>372</v>
      </c>
      <c r="AI759">
        <v>-0.09</v>
      </c>
      <c r="AJ759">
        <v>-1.41</v>
      </c>
      <c r="AK759">
        <v>6.71</v>
      </c>
      <c r="AL759">
        <v>12.91</v>
      </c>
    </row>
    <row r="760" spans="1:38" x14ac:dyDescent="0.25">
      <c r="A760">
        <v>759</v>
      </c>
      <c r="B760" t="str">
        <f xml:space="preserve"> "603157"</f>
        <v>603157</v>
      </c>
      <c r="C760" t="s">
        <v>3783</v>
      </c>
      <c r="D760">
        <v>28.56</v>
      </c>
      <c r="E760">
        <v>10.02</v>
      </c>
      <c r="F760">
        <v>2.6</v>
      </c>
      <c r="G760" t="s">
        <v>3660</v>
      </c>
      <c r="H760">
        <v>5</v>
      </c>
      <c r="I760">
        <v>28.56</v>
      </c>
      <c r="J760" t="s">
        <v>616</v>
      </c>
      <c r="K760">
        <v>0</v>
      </c>
      <c r="L760">
        <v>34.14</v>
      </c>
      <c r="M760" t="s">
        <v>3784</v>
      </c>
      <c r="N760">
        <v>27.76</v>
      </c>
      <c r="O760" t="s">
        <v>1443</v>
      </c>
      <c r="P760">
        <v>28.56</v>
      </c>
      <c r="Q760">
        <v>27.42</v>
      </c>
      <c r="R760">
        <v>28.56</v>
      </c>
      <c r="S760">
        <v>25.96</v>
      </c>
      <c r="T760">
        <v>4.3899999999999997</v>
      </c>
      <c r="U760">
        <v>147.41999999999999</v>
      </c>
      <c r="V760">
        <v>100</v>
      </c>
      <c r="W760" t="s">
        <v>1533</v>
      </c>
      <c r="X760">
        <v>28.31</v>
      </c>
      <c r="Y760" t="s">
        <v>1627</v>
      </c>
      <c r="Z760" t="s">
        <v>2703</v>
      </c>
      <c r="AA760">
        <v>1.99</v>
      </c>
      <c r="AB760" t="s">
        <v>3086</v>
      </c>
      <c r="AC760">
        <v>0</v>
      </c>
      <c r="AD760">
        <v>4.05</v>
      </c>
      <c r="AE760" t="s">
        <v>3785</v>
      </c>
      <c r="AF760" t="s">
        <v>651</v>
      </c>
      <c r="AG760" t="s">
        <v>3786</v>
      </c>
      <c r="AH760" t="s">
        <v>1897</v>
      </c>
      <c r="AI760">
        <v>33.15</v>
      </c>
      <c r="AJ760">
        <v>77.17</v>
      </c>
      <c r="AK760">
        <v>34.61</v>
      </c>
      <c r="AL760">
        <v>35.299999999999997</v>
      </c>
    </row>
    <row r="761" spans="1:38" x14ac:dyDescent="0.25">
      <c r="A761">
        <v>760</v>
      </c>
      <c r="B761" t="str">
        <f xml:space="preserve"> "300316"</f>
        <v>300316</v>
      </c>
      <c r="C761" t="s">
        <v>3787</v>
      </c>
      <c r="D761">
        <v>15.88</v>
      </c>
      <c r="E761">
        <v>5.87</v>
      </c>
      <c r="F761">
        <v>0.88</v>
      </c>
      <c r="G761" t="s">
        <v>3017</v>
      </c>
      <c r="H761">
        <v>4373</v>
      </c>
      <c r="I761">
        <v>15.87</v>
      </c>
      <c r="J761">
        <v>15.88</v>
      </c>
      <c r="K761">
        <v>0</v>
      </c>
      <c r="L761">
        <v>3.74</v>
      </c>
      <c r="M761" t="s">
        <v>2096</v>
      </c>
      <c r="N761">
        <v>55.19</v>
      </c>
      <c r="O761" t="s">
        <v>648</v>
      </c>
      <c r="P761">
        <v>16.22</v>
      </c>
      <c r="Q761">
        <v>15.46</v>
      </c>
      <c r="R761">
        <v>15.69</v>
      </c>
      <c r="S761">
        <v>15</v>
      </c>
      <c r="T761">
        <v>5.07</v>
      </c>
      <c r="U761">
        <v>3.58</v>
      </c>
      <c r="V761">
        <v>-89.59</v>
      </c>
      <c r="W761" t="s">
        <v>3788</v>
      </c>
      <c r="X761">
        <v>15.85</v>
      </c>
      <c r="Y761" t="s">
        <v>2743</v>
      </c>
      <c r="Z761" t="s">
        <v>423</v>
      </c>
      <c r="AA761">
        <v>0.62</v>
      </c>
      <c r="AB761">
        <v>80</v>
      </c>
      <c r="AC761">
        <v>2389</v>
      </c>
      <c r="AD761">
        <v>4.7</v>
      </c>
      <c r="AE761" t="s">
        <v>2533</v>
      </c>
      <c r="AF761" t="s">
        <v>651</v>
      </c>
      <c r="AG761" t="s">
        <v>3789</v>
      </c>
      <c r="AH761" t="s">
        <v>1810</v>
      </c>
      <c r="AI761">
        <v>4.75</v>
      </c>
      <c r="AJ761">
        <v>3.93</v>
      </c>
      <c r="AK761">
        <v>5.28</v>
      </c>
      <c r="AL761">
        <v>8.9700000000000006</v>
      </c>
    </row>
    <row r="762" spans="1:38" x14ac:dyDescent="0.25">
      <c r="A762">
        <v>761</v>
      </c>
      <c r="B762" t="str">
        <f xml:space="preserve"> "300180"</f>
        <v>300180</v>
      </c>
      <c r="C762" t="s">
        <v>3790</v>
      </c>
      <c r="D762">
        <v>24.71</v>
      </c>
      <c r="E762">
        <v>1.48</v>
      </c>
      <c r="F762">
        <v>0.36</v>
      </c>
      <c r="G762" t="s">
        <v>1278</v>
      </c>
      <c r="H762">
        <v>254</v>
      </c>
      <c r="I762">
        <v>24.71</v>
      </c>
      <c r="J762">
        <v>24.72</v>
      </c>
      <c r="K762">
        <v>0.12</v>
      </c>
      <c r="L762">
        <v>0.43</v>
      </c>
      <c r="M762" t="s">
        <v>3791</v>
      </c>
      <c r="N762">
        <v>90.37</v>
      </c>
      <c r="O762" t="s">
        <v>2128</v>
      </c>
      <c r="P762">
        <v>24.78</v>
      </c>
      <c r="Q762">
        <v>24.19</v>
      </c>
      <c r="R762">
        <v>24.19</v>
      </c>
      <c r="S762">
        <v>24.35</v>
      </c>
      <c r="T762">
        <v>2.42</v>
      </c>
      <c r="U762">
        <v>0.73</v>
      </c>
      <c r="V762">
        <v>-29.4</v>
      </c>
      <c r="W762">
        <v>-66</v>
      </c>
      <c r="X762">
        <v>24.56</v>
      </c>
      <c r="Y762">
        <v>3655</v>
      </c>
      <c r="Z762" t="s">
        <v>1095</v>
      </c>
      <c r="AA762">
        <v>0.28999999999999998</v>
      </c>
      <c r="AB762">
        <v>6</v>
      </c>
      <c r="AC762">
        <v>4</v>
      </c>
      <c r="AD762">
        <v>3.32</v>
      </c>
      <c r="AE762" t="s">
        <v>3792</v>
      </c>
      <c r="AF762" t="s">
        <v>651</v>
      </c>
      <c r="AG762" t="s">
        <v>3721</v>
      </c>
      <c r="AH762" t="s">
        <v>3793</v>
      </c>
      <c r="AI762">
        <v>0.37</v>
      </c>
      <c r="AJ762">
        <v>2.62</v>
      </c>
      <c r="AK762">
        <v>1.81</v>
      </c>
      <c r="AL762">
        <v>3.34</v>
      </c>
    </row>
    <row r="763" spans="1:38" x14ac:dyDescent="0.25">
      <c r="A763">
        <v>762</v>
      </c>
      <c r="B763" t="str">
        <f xml:space="preserve"> "300098"</f>
        <v>300098</v>
      </c>
      <c r="C763" t="s">
        <v>3794</v>
      </c>
      <c r="D763">
        <v>14.09</v>
      </c>
      <c r="E763">
        <v>3.45</v>
      </c>
      <c r="F763">
        <v>0.47</v>
      </c>
      <c r="G763" t="s">
        <v>498</v>
      </c>
      <c r="H763">
        <v>3364</v>
      </c>
      <c r="I763">
        <v>14.08</v>
      </c>
      <c r="J763">
        <v>14.09</v>
      </c>
      <c r="K763">
        <v>0.14000000000000001</v>
      </c>
      <c r="L763">
        <v>1.96</v>
      </c>
      <c r="M763" t="s">
        <v>2231</v>
      </c>
      <c r="N763">
        <v>40.770000000000003</v>
      </c>
      <c r="O763" t="s">
        <v>205</v>
      </c>
      <c r="P763">
        <v>14.09</v>
      </c>
      <c r="Q763">
        <v>13.68</v>
      </c>
      <c r="R763">
        <v>13.76</v>
      </c>
      <c r="S763">
        <v>13.62</v>
      </c>
      <c r="T763">
        <v>3.01</v>
      </c>
      <c r="U763">
        <v>0.83</v>
      </c>
      <c r="V763">
        <v>11.67</v>
      </c>
      <c r="W763">
        <v>354</v>
      </c>
      <c r="X763">
        <v>13.88</v>
      </c>
      <c r="Y763" t="s">
        <v>1547</v>
      </c>
      <c r="Z763" t="s">
        <v>3394</v>
      </c>
      <c r="AA763">
        <v>0.63</v>
      </c>
      <c r="AB763">
        <v>298</v>
      </c>
      <c r="AC763">
        <v>146</v>
      </c>
      <c r="AD763">
        <v>3.94</v>
      </c>
      <c r="AE763" t="s">
        <v>204</v>
      </c>
      <c r="AF763" t="s">
        <v>651</v>
      </c>
      <c r="AG763" t="s">
        <v>3795</v>
      </c>
      <c r="AH763" t="s">
        <v>3796</v>
      </c>
      <c r="AI763">
        <v>-1.61</v>
      </c>
      <c r="AJ763">
        <v>-1.95</v>
      </c>
      <c r="AK763">
        <v>6.41</v>
      </c>
      <c r="AL763">
        <v>13.79</v>
      </c>
    </row>
    <row r="764" spans="1:38" x14ac:dyDescent="0.25">
      <c r="A764">
        <v>763</v>
      </c>
      <c r="B764" t="str">
        <f xml:space="preserve"> "002530"</f>
        <v>002530</v>
      </c>
      <c r="C764" t="s">
        <v>3797</v>
      </c>
      <c r="D764">
        <v>31.67</v>
      </c>
      <c r="E764">
        <v>-1.34</v>
      </c>
      <c r="F764">
        <v>-0.43</v>
      </c>
      <c r="G764" t="s">
        <v>3798</v>
      </c>
      <c r="H764">
        <v>41</v>
      </c>
      <c r="I764">
        <v>31.67</v>
      </c>
      <c r="J764">
        <v>31.68</v>
      </c>
      <c r="K764">
        <v>0</v>
      </c>
      <c r="L764">
        <v>0.85</v>
      </c>
      <c r="M764" t="s">
        <v>3799</v>
      </c>
      <c r="N764">
        <v>98.29</v>
      </c>
      <c r="O764" t="s">
        <v>893</v>
      </c>
      <c r="P764">
        <v>32.1</v>
      </c>
      <c r="Q764">
        <v>31.4</v>
      </c>
      <c r="R764">
        <v>32</v>
      </c>
      <c r="S764">
        <v>32.1</v>
      </c>
      <c r="T764">
        <v>2.1800000000000002</v>
      </c>
      <c r="U764">
        <v>0.96</v>
      </c>
      <c r="V764">
        <v>20.49</v>
      </c>
      <c r="W764">
        <v>65</v>
      </c>
      <c r="X764">
        <v>31.6</v>
      </c>
      <c r="Y764">
        <v>9214</v>
      </c>
      <c r="Z764">
        <v>5337</v>
      </c>
      <c r="AA764">
        <v>1.73</v>
      </c>
      <c r="AB764">
        <v>10</v>
      </c>
      <c r="AC764">
        <v>44</v>
      </c>
      <c r="AD764">
        <v>4.1100000000000003</v>
      </c>
      <c r="AE764" t="s">
        <v>3800</v>
      </c>
      <c r="AF764" t="s">
        <v>3019</v>
      </c>
      <c r="AG764" t="s">
        <v>1228</v>
      </c>
      <c r="AH764" t="s">
        <v>3801</v>
      </c>
      <c r="AI764">
        <v>0.8</v>
      </c>
      <c r="AJ764">
        <v>1.44</v>
      </c>
      <c r="AK764">
        <v>2.97</v>
      </c>
      <c r="AL764">
        <v>5.28</v>
      </c>
    </row>
    <row r="765" spans="1:38" x14ac:dyDescent="0.25">
      <c r="A765">
        <v>764</v>
      </c>
      <c r="B765" t="str">
        <f xml:space="preserve"> "603323"</f>
        <v>603323</v>
      </c>
      <c r="C765" t="s">
        <v>3802</v>
      </c>
      <c r="D765">
        <v>10.71</v>
      </c>
      <c r="E765">
        <v>0.37</v>
      </c>
      <c r="F765">
        <v>0.04</v>
      </c>
      <c r="G765" t="s">
        <v>1649</v>
      </c>
      <c r="H765">
        <v>50</v>
      </c>
      <c r="I765">
        <v>10.71</v>
      </c>
      <c r="J765">
        <v>10.72</v>
      </c>
      <c r="K765">
        <v>0.19</v>
      </c>
      <c r="L765">
        <v>2.4500000000000002</v>
      </c>
      <c r="M765" t="s">
        <v>3803</v>
      </c>
      <c r="N765">
        <v>17.71</v>
      </c>
      <c r="O765" t="s">
        <v>41</v>
      </c>
      <c r="P765">
        <v>10.73</v>
      </c>
      <c r="Q765">
        <v>10.62</v>
      </c>
      <c r="R765">
        <v>10.68</v>
      </c>
      <c r="S765">
        <v>10.67</v>
      </c>
      <c r="T765">
        <v>1.03</v>
      </c>
      <c r="U765">
        <v>0.63</v>
      </c>
      <c r="V765">
        <v>-45.07</v>
      </c>
      <c r="W765">
        <v>-2373</v>
      </c>
      <c r="X765">
        <v>10.7</v>
      </c>
      <c r="Y765" t="s">
        <v>3387</v>
      </c>
      <c r="Z765" t="s">
        <v>1683</v>
      </c>
      <c r="AA765">
        <v>1.21</v>
      </c>
      <c r="AB765">
        <v>157</v>
      </c>
      <c r="AC765">
        <v>695</v>
      </c>
      <c r="AD765">
        <v>1.92</v>
      </c>
      <c r="AE765" t="s">
        <v>2387</v>
      </c>
      <c r="AF765" t="s">
        <v>3019</v>
      </c>
      <c r="AG765" t="s">
        <v>3154</v>
      </c>
      <c r="AH765" t="s">
        <v>1154</v>
      </c>
      <c r="AI765">
        <v>-0.83</v>
      </c>
      <c r="AJ765">
        <v>1.61</v>
      </c>
      <c r="AK765">
        <v>8.31</v>
      </c>
      <c r="AL765">
        <v>21.93</v>
      </c>
    </row>
    <row r="766" spans="1:38" x14ac:dyDescent="0.25">
      <c r="A766">
        <v>765</v>
      </c>
      <c r="B766" t="str">
        <f xml:space="preserve"> "000975"</f>
        <v>000975</v>
      </c>
      <c r="C766" t="s">
        <v>3804</v>
      </c>
      <c r="D766">
        <v>14.33</v>
      </c>
      <c r="E766">
        <v>1.2</v>
      </c>
      <c r="F766">
        <v>0.17</v>
      </c>
      <c r="G766" t="s">
        <v>1623</v>
      </c>
      <c r="H766">
        <v>496</v>
      </c>
      <c r="I766">
        <v>14.32</v>
      </c>
      <c r="J766">
        <v>14.33</v>
      </c>
      <c r="K766">
        <v>7.0000000000000007E-2</v>
      </c>
      <c r="L766">
        <v>0.54</v>
      </c>
      <c r="M766" t="s">
        <v>3805</v>
      </c>
      <c r="N766">
        <v>74.44</v>
      </c>
      <c r="O766" t="s">
        <v>449</v>
      </c>
      <c r="P766">
        <v>14.41</v>
      </c>
      <c r="Q766">
        <v>14.12</v>
      </c>
      <c r="R766">
        <v>14.22</v>
      </c>
      <c r="S766">
        <v>14.16</v>
      </c>
      <c r="T766">
        <v>2.0499999999999998</v>
      </c>
      <c r="U766">
        <v>0.79</v>
      </c>
      <c r="V766">
        <v>-3.05</v>
      </c>
      <c r="W766">
        <v>-135</v>
      </c>
      <c r="X766">
        <v>14.31</v>
      </c>
      <c r="Y766" t="s">
        <v>2022</v>
      </c>
      <c r="Z766" t="s">
        <v>1724</v>
      </c>
      <c r="AA766">
        <v>1.26</v>
      </c>
      <c r="AB766">
        <v>320</v>
      </c>
      <c r="AC766">
        <v>425</v>
      </c>
      <c r="AD766">
        <v>3.98</v>
      </c>
      <c r="AE766" t="s">
        <v>352</v>
      </c>
      <c r="AF766" t="s">
        <v>3019</v>
      </c>
      <c r="AG766" t="s">
        <v>1027</v>
      </c>
      <c r="AH766" t="s">
        <v>3443</v>
      </c>
      <c r="AI766">
        <v>2.87</v>
      </c>
      <c r="AJ766">
        <v>4.29</v>
      </c>
      <c r="AK766">
        <v>2.5</v>
      </c>
      <c r="AL766">
        <v>3.95</v>
      </c>
    </row>
    <row r="767" spans="1:38" x14ac:dyDescent="0.25">
      <c r="A767">
        <v>766</v>
      </c>
      <c r="B767" t="str">
        <f xml:space="preserve"> "002672"</f>
        <v>002672</v>
      </c>
      <c r="C767" t="s">
        <v>3806</v>
      </c>
      <c r="D767">
        <v>17.45</v>
      </c>
      <c r="E767">
        <v>3.99</v>
      </c>
      <c r="F767">
        <v>0.67</v>
      </c>
      <c r="G767" t="s">
        <v>245</v>
      </c>
      <c r="H767">
        <v>3355</v>
      </c>
      <c r="I767">
        <v>17.45</v>
      </c>
      <c r="J767">
        <v>17.46</v>
      </c>
      <c r="K767">
        <v>0.06</v>
      </c>
      <c r="L767">
        <v>3.25</v>
      </c>
      <c r="M767" t="s">
        <v>1696</v>
      </c>
      <c r="N767">
        <v>35.15</v>
      </c>
      <c r="O767" t="s">
        <v>1155</v>
      </c>
      <c r="P767">
        <v>17.59</v>
      </c>
      <c r="Q767">
        <v>16.600000000000001</v>
      </c>
      <c r="R767">
        <v>16.73</v>
      </c>
      <c r="S767">
        <v>16.78</v>
      </c>
      <c r="T767">
        <v>5.9</v>
      </c>
      <c r="U767">
        <v>2.34</v>
      </c>
      <c r="V767">
        <v>-28.3</v>
      </c>
      <c r="W767">
        <v>-1913</v>
      </c>
      <c r="X767">
        <v>17.28</v>
      </c>
      <c r="Y767" t="s">
        <v>1516</v>
      </c>
      <c r="Z767" t="s">
        <v>1270</v>
      </c>
      <c r="AA767">
        <v>0.68</v>
      </c>
      <c r="AB767">
        <v>454</v>
      </c>
      <c r="AC767">
        <v>660</v>
      </c>
      <c r="AD767">
        <v>4.47</v>
      </c>
      <c r="AE767" t="s">
        <v>2111</v>
      </c>
      <c r="AF767" t="s">
        <v>3019</v>
      </c>
      <c r="AG767" t="s">
        <v>3807</v>
      </c>
      <c r="AH767" t="s">
        <v>3808</v>
      </c>
      <c r="AI767">
        <v>6.53</v>
      </c>
      <c r="AJ767">
        <v>7.98</v>
      </c>
      <c r="AK767">
        <v>7.04</v>
      </c>
      <c r="AL767">
        <v>10.17</v>
      </c>
    </row>
    <row r="768" spans="1:38" x14ac:dyDescent="0.25">
      <c r="A768">
        <v>767</v>
      </c>
      <c r="B768" t="str">
        <f xml:space="preserve"> "000917"</f>
        <v>000917</v>
      </c>
      <c r="C768" t="s">
        <v>3809</v>
      </c>
      <c r="D768">
        <v>10.9</v>
      </c>
      <c r="E768">
        <v>-0.46</v>
      </c>
      <c r="F768">
        <v>-0.05</v>
      </c>
      <c r="G768" t="s">
        <v>912</v>
      </c>
      <c r="H768">
        <v>1853</v>
      </c>
      <c r="I768">
        <v>10.9</v>
      </c>
      <c r="J768">
        <v>10.91</v>
      </c>
      <c r="K768">
        <v>0</v>
      </c>
      <c r="L768">
        <v>0.83</v>
      </c>
      <c r="M768" t="s">
        <v>2827</v>
      </c>
      <c r="N768">
        <v>63.32</v>
      </c>
      <c r="O768" t="s">
        <v>1126</v>
      </c>
      <c r="P768">
        <v>10.98</v>
      </c>
      <c r="Q768">
        <v>10.85</v>
      </c>
      <c r="R768">
        <v>10.93</v>
      </c>
      <c r="S768">
        <v>10.95</v>
      </c>
      <c r="T768">
        <v>1.19</v>
      </c>
      <c r="U768">
        <v>0.82</v>
      </c>
      <c r="V768">
        <v>-31.76</v>
      </c>
      <c r="W768">
        <v>-1944</v>
      </c>
      <c r="X768">
        <v>10.9</v>
      </c>
      <c r="Y768" t="s">
        <v>3810</v>
      </c>
      <c r="Z768" t="s">
        <v>2781</v>
      </c>
      <c r="AA768">
        <v>1.73</v>
      </c>
      <c r="AB768">
        <v>341</v>
      </c>
      <c r="AC768">
        <v>1207</v>
      </c>
      <c r="AD768">
        <v>1.41</v>
      </c>
      <c r="AE768" t="s">
        <v>1202</v>
      </c>
      <c r="AF768" t="s">
        <v>3019</v>
      </c>
      <c r="AG768" t="s">
        <v>2683</v>
      </c>
      <c r="AH768" t="s">
        <v>1580</v>
      </c>
      <c r="AI768">
        <v>-0.09</v>
      </c>
      <c r="AJ768">
        <v>3.71</v>
      </c>
      <c r="AK768">
        <v>3.1</v>
      </c>
      <c r="AL768">
        <v>5.9</v>
      </c>
    </row>
    <row r="769" spans="1:38" x14ac:dyDescent="0.25">
      <c r="A769">
        <v>768</v>
      </c>
      <c r="B769" t="str">
        <f xml:space="preserve"> "600856"</f>
        <v>600856</v>
      </c>
      <c r="C769" t="s">
        <v>3811</v>
      </c>
      <c r="D769">
        <v>11.28</v>
      </c>
      <c r="E769">
        <v>-0.09</v>
      </c>
      <c r="F769">
        <v>-0.01</v>
      </c>
      <c r="G769" t="s">
        <v>3812</v>
      </c>
      <c r="H769">
        <v>10</v>
      </c>
      <c r="I769">
        <v>11.26</v>
      </c>
      <c r="J769">
        <v>11.28</v>
      </c>
      <c r="K769">
        <v>0.09</v>
      </c>
      <c r="L769">
        <v>0.9</v>
      </c>
      <c r="M769" t="s">
        <v>3813</v>
      </c>
      <c r="N769">
        <v>28.28</v>
      </c>
      <c r="O769" t="s">
        <v>61</v>
      </c>
      <c r="P769">
        <v>11.34</v>
      </c>
      <c r="Q769">
        <v>11.18</v>
      </c>
      <c r="R769">
        <v>11.29</v>
      </c>
      <c r="S769">
        <v>11.29</v>
      </c>
      <c r="T769">
        <v>1.42</v>
      </c>
      <c r="U769">
        <v>1.36</v>
      </c>
      <c r="V769">
        <v>-73</v>
      </c>
      <c r="W769">
        <v>-5715</v>
      </c>
      <c r="X769">
        <v>11.24</v>
      </c>
      <c r="Y769" t="s">
        <v>105</v>
      </c>
      <c r="Z769" t="s">
        <v>3814</v>
      </c>
      <c r="AA769">
        <v>1.28</v>
      </c>
      <c r="AB769">
        <v>147</v>
      </c>
      <c r="AC769">
        <v>54</v>
      </c>
      <c r="AD769">
        <v>3.17</v>
      </c>
      <c r="AE769" t="s">
        <v>1566</v>
      </c>
      <c r="AF769" t="s">
        <v>3815</v>
      </c>
      <c r="AG769" t="s">
        <v>3599</v>
      </c>
      <c r="AH769" t="s">
        <v>3816</v>
      </c>
      <c r="AI769">
        <v>0.8</v>
      </c>
      <c r="AJ769">
        <v>1.53</v>
      </c>
      <c r="AK769">
        <v>2.4300000000000002</v>
      </c>
      <c r="AL769">
        <v>4.21</v>
      </c>
    </row>
    <row r="770" spans="1:38" x14ac:dyDescent="0.25">
      <c r="A770">
        <v>769</v>
      </c>
      <c r="B770" t="str">
        <f xml:space="preserve"> "600635"</f>
        <v>600635</v>
      </c>
      <c r="C770" t="s">
        <v>3817</v>
      </c>
      <c r="D770">
        <v>5.22</v>
      </c>
      <c r="E770">
        <v>0.77</v>
      </c>
      <c r="F770">
        <v>0.04</v>
      </c>
      <c r="G770" t="s">
        <v>3302</v>
      </c>
      <c r="H770">
        <v>35</v>
      </c>
      <c r="I770">
        <v>5.21</v>
      </c>
      <c r="J770">
        <v>5.22</v>
      </c>
      <c r="K770">
        <v>0</v>
      </c>
      <c r="L770">
        <v>0.34</v>
      </c>
      <c r="M770" t="s">
        <v>3818</v>
      </c>
      <c r="N770">
        <v>38.01</v>
      </c>
      <c r="O770" t="s">
        <v>2085</v>
      </c>
      <c r="P770">
        <v>5.22</v>
      </c>
      <c r="Q770">
        <v>5.16</v>
      </c>
      <c r="R770">
        <v>5.19</v>
      </c>
      <c r="S770">
        <v>5.18</v>
      </c>
      <c r="T770">
        <v>1.1599999999999999</v>
      </c>
      <c r="U770">
        <v>0.63</v>
      </c>
      <c r="V770">
        <v>-24.23</v>
      </c>
      <c r="W770">
        <v>-5742</v>
      </c>
      <c r="X770">
        <v>5.2</v>
      </c>
      <c r="Y770" t="s">
        <v>1043</v>
      </c>
      <c r="Z770" t="s">
        <v>3819</v>
      </c>
      <c r="AA770">
        <v>0.52</v>
      </c>
      <c r="AB770">
        <v>1198</v>
      </c>
      <c r="AC770">
        <v>948</v>
      </c>
      <c r="AD770">
        <v>2.21</v>
      </c>
      <c r="AE770" t="s">
        <v>775</v>
      </c>
      <c r="AF770" t="s">
        <v>3815</v>
      </c>
      <c r="AG770" t="s">
        <v>1104</v>
      </c>
      <c r="AH770" t="s">
        <v>3443</v>
      </c>
      <c r="AI770">
        <v>0.19</v>
      </c>
      <c r="AJ770">
        <v>1.95</v>
      </c>
      <c r="AK770">
        <v>0.97</v>
      </c>
      <c r="AL770">
        <v>3.03</v>
      </c>
    </row>
    <row r="771" spans="1:38" x14ac:dyDescent="0.25">
      <c r="A771">
        <v>770</v>
      </c>
      <c r="B771" t="str">
        <f xml:space="preserve"> "002353"</f>
        <v>002353</v>
      </c>
      <c r="C771" t="s">
        <v>3820</v>
      </c>
      <c r="D771">
        <v>16.07</v>
      </c>
      <c r="E771">
        <v>-1.1100000000000001</v>
      </c>
      <c r="F771">
        <v>-0.18</v>
      </c>
      <c r="G771" t="s">
        <v>2045</v>
      </c>
      <c r="H771">
        <v>1222</v>
      </c>
      <c r="I771">
        <v>16.059999999999999</v>
      </c>
      <c r="J771">
        <v>16.07</v>
      </c>
      <c r="K771">
        <v>-0.06</v>
      </c>
      <c r="L771">
        <v>0.84</v>
      </c>
      <c r="M771" t="s">
        <v>3821</v>
      </c>
      <c r="N771">
        <v>253.46</v>
      </c>
      <c r="O771" t="s">
        <v>648</v>
      </c>
      <c r="P771">
        <v>16.25</v>
      </c>
      <c r="Q771">
        <v>16</v>
      </c>
      <c r="R771">
        <v>16.2</v>
      </c>
      <c r="S771">
        <v>16.25</v>
      </c>
      <c r="T771">
        <v>1.54</v>
      </c>
      <c r="U771">
        <v>0.44</v>
      </c>
      <c r="V771">
        <v>-54.33</v>
      </c>
      <c r="W771">
        <v>-3239</v>
      </c>
      <c r="X771">
        <v>16.09</v>
      </c>
      <c r="Y771" t="s">
        <v>3822</v>
      </c>
      <c r="Z771" t="s">
        <v>3181</v>
      </c>
      <c r="AA771">
        <v>1.54</v>
      </c>
      <c r="AB771">
        <v>183</v>
      </c>
      <c r="AC771">
        <v>3723</v>
      </c>
      <c r="AD771">
        <v>1.96</v>
      </c>
      <c r="AE771" t="s">
        <v>2355</v>
      </c>
      <c r="AF771" t="s">
        <v>3815</v>
      </c>
      <c r="AG771" t="s">
        <v>3329</v>
      </c>
      <c r="AH771" t="s">
        <v>1037</v>
      </c>
      <c r="AI771">
        <v>-0.86</v>
      </c>
      <c r="AJ771">
        <v>2.4900000000000002</v>
      </c>
      <c r="AK771">
        <v>4.2</v>
      </c>
      <c r="AL771">
        <v>10.220000000000001</v>
      </c>
    </row>
    <row r="772" spans="1:38" x14ac:dyDescent="0.25">
      <c r="A772">
        <v>771</v>
      </c>
      <c r="B772" t="str">
        <f xml:space="preserve"> "600978"</f>
        <v>600978</v>
      </c>
      <c r="C772" t="s">
        <v>3823</v>
      </c>
      <c r="D772">
        <v>10.38</v>
      </c>
      <c r="E772">
        <v>-0.28999999999999998</v>
      </c>
      <c r="F772">
        <v>-0.03</v>
      </c>
      <c r="G772" t="s">
        <v>1660</v>
      </c>
      <c r="H772">
        <v>5</v>
      </c>
      <c r="I772">
        <v>10.37</v>
      </c>
      <c r="J772">
        <v>10.38</v>
      </c>
      <c r="K772">
        <v>0.1</v>
      </c>
      <c r="L772">
        <v>0.36</v>
      </c>
      <c r="M772" t="s">
        <v>3824</v>
      </c>
      <c r="N772">
        <v>16.39</v>
      </c>
      <c r="O772" t="s">
        <v>1469</v>
      </c>
      <c r="P772">
        <v>10.41</v>
      </c>
      <c r="Q772">
        <v>10.33</v>
      </c>
      <c r="R772">
        <v>10.4</v>
      </c>
      <c r="S772">
        <v>10.41</v>
      </c>
      <c r="T772">
        <v>0.77</v>
      </c>
      <c r="U772">
        <v>0.5</v>
      </c>
      <c r="V772">
        <v>5.38</v>
      </c>
      <c r="W772">
        <v>327</v>
      </c>
      <c r="X772">
        <v>10.36</v>
      </c>
      <c r="Y772" t="s">
        <v>1973</v>
      </c>
      <c r="Z772" t="s">
        <v>3825</v>
      </c>
      <c r="AA772">
        <v>1.4</v>
      </c>
      <c r="AB772">
        <v>728</v>
      </c>
      <c r="AC772">
        <v>9</v>
      </c>
      <c r="AD772">
        <v>2</v>
      </c>
      <c r="AE772" t="s">
        <v>2033</v>
      </c>
      <c r="AF772" t="s">
        <v>3815</v>
      </c>
      <c r="AG772" t="s">
        <v>2033</v>
      </c>
      <c r="AH772" t="s">
        <v>3815</v>
      </c>
      <c r="AI772">
        <v>-0.1</v>
      </c>
      <c r="AJ772">
        <v>0.28999999999999998</v>
      </c>
      <c r="AK772">
        <v>2.17</v>
      </c>
      <c r="AL772">
        <v>4.03</v>
      </c>
    </row>
    <row r="773" spans="1:38" x14ac:dyDescent="0.25">
      <c r="A773">
        <v>772</v>
      </c>
      <c r="B773" t="str">
        <f xml:space="preserve"> "002373"</f>
        <v>002373</v>
      </c>
      <c r="C773" t="s">
        <v>3826</v>
      </c>
      <c r="D773" t="s">
        <v>616</v>
      </c>
      <c r="E773" t="s">
        <v>616</v>
      </c>
      <c r="F773" t="s">
        <v>616</v>
      </c>
      <c r="G773" t="s">
        <v>616</v>
      </c>
      <c r="H773" t="s">
        <v>616</v>
      </c>
      <c r="I773" t="s">
        <v>616</v>
      </c>
      <c r="J773" t="s">
        <v>616</v>
      </c>
      <c r="K773" t="s">
        <v>616</v>
      </c>
      <c r="L773" t="s">
        <v>616</v>
      </c>
      <c r="M773" t="s">
        <v>616</v>
      </c>
      <c r="N773">
        <v>49.12</v>
      </c>
      <c r="O773" t="s">
        <v>893</v>
      </c>
      <c r="P773" t="s">
        <v>616</v>
      </c>
      <c r="Q773" t="s">
        <v>616</v>
      </c>
      <c r="R773" t="s">
        <v>616</v>
      </c>
      <c r="S773">
        <v>13.91</v>
      </c>
      <c r="T773" t="s">
        <v>616</v>
      </c>
      <c r="U773" t="s">
        <v>616</v>
      </c>
      <c r="V773" t="s">
        <v>616</v>
      </c>
      <c r="W773" t="s">
        <v>616</v>
      </c>
      <c r="X773" t="s">
        <v>616</v>
      </c>
      <c r="Y773" t="s">
        <v>616</v>
      </c>
      <c r="Z773" t="s">
        <v>616</v>
      </c>
      <c r="AA773" t="s">
        <v>616</v>
      </c>
      <c r="AB773" t="s">
        <v>616</v>
      </c>
      <c r="AC773" t="s">
        <v>616</v>
      </c>
      <c r="AD773">
        <v>4.6900000000000004</v>
      </c>
      <c r="AE773" t="s">
        <v>2501</v>
      </c>
      <c r="AF773" t="s">
        <v>3815</v>
      </c>
      <c r="AG773" t="s">
        <v>2981</v>
      </c>
      <c r="AH773" t="s">
        <v>2842</v>
      </c>
      <c r="AI773">
        <v>0</v>
      </c>
      <c r="AJ773">
        <v>0</v>
      </c>
      <c r="AK773">
        <v>0</v>
      </c>
      <c r="AL773">
        <v>0</v>
      </c>
    </row>
    <row r="774" spans="1:38" x14ac:dyDescent="0.25">
      <c r="A774">
        <v>773</v>
      </c>
      <c r="B774" t="str">
        <f xml:space="preserve"> "600252"</f>
        <v>600252</v>
      </c>
      <c r="C774" t="s">
        <v>3827</v>
      </c>
      <c r="D774">
        <v>4.42</v>
      </c>
      <c r="E774">
        <v>-0.45</v>
      </c>
      <c r="F774">
        <v>-0.02</v>
      </c>
      <c r="G774" t="s">
        <v>326</v>
      </c>
      <c r="H774">
        <v>26</v>
      </c>
      <c r="I774">
        <v>4.41</v>
      </c>
      <c r="J774">
        <v>4.42</v>
      </c>
      <c r="K774">
        <v>0</v>
      </c>
      <c r="L774">
        <v>0.73</v>
      </c>
      <c r="M774" t="s">
        <v>1635</v>
      </c>
      <c r="N774">
        <v>19.87</v>
      </c>
      <c r="O774" t="s">
        <v>392</v>
      </c>
      <c r="P774">
        <v>4.4400000000000004</v>
      </c>
      <c r="Q774">
        <v>4.4000000000000004</v>
      </c>
      <c r="R774">
        <v>4.43</v>
      </c>
      <c r="S774">
        <v>4.4400000000000004</v>
      </c>
      <c r="T774">
        <v>0.9</v>
      </c>
      <c r="U774">
        <v>0.79</v>
      </c>
      <c r="V774">
        <v>-1.45</v>
      </c>
      <c r="W774">
        <v>-955</v>
      </c>
      <c r="X774">
        <v>4.41</v>
      </c>
      <c r="Y774" t="s">
        <v>2564</v>
      </c>
      <c r="Z774" t="s">
        <v>3828</v>
      </c>
      <c r="AA774">
        <v>2.0499999999999998</v>
      </c>
      <c r="AB774">
        <v>3106</v>
      </c>
      <c r="AC774">
        <v>2918</v>
      </c>
      <c r="AD774">
        <v>2.83</v>
      </c>
      <c r="AE774" t="s">
        <v>3829</v>
      </c>
      <c r="AF774" t="s">
        <v>3815</v>
      </c>
      <c r="AG774" t="s">
        <v>3830</v>
      </c>
      <c r="AH774" t="s">
        <v>575</v>
      </c>
      <c r="AI774">
        <v>-0.45</v>
      </c>
      <c r="AJ774">
        <v>1.84</v>
      </c>
      <c r="AK774">
        <v>2.86</v>
      </c>
      <c r="AL774">
        <v>5.4</v>
      </c>
    </row>
    <row r="775" spans="1:38" x14ac:dyDescent="0.25">
      <c r="A775">
        <v>774</v>
      </c>
      <c r="B775" t="str">
        <f xml:space="preserve"> "601222"</f>
        <v>601222</v>
      </c>
      <c r="C775" t="s">
        <v>3831</v>
      </c>
      <c r="D775">
        <v>8.6999999999999993</v>
      </c>
      <c r="E775">
        <v>-0.46</v>
      </c>
      <c r="F775">
        <v>-0.04</v>
      </c>
      <c r="G775" t="s">
        <v>3832</v>
      </c>
      <c r="H775">
        <v>5</v>
      </c>
      <c r="I775">
        <v>8.69</v>
      </c>
      <c r="J775">
        <v>8.6999999999999993</v>
      </c>
      <c r="K775">
        <v>0.12</v>
      </c>
      <c r="L775">
        <v>0.37</v>
      </c>
      <c r="M775" t="s">
        <v>3833</v>
      </c>
      <c r="N775">
        <v>22.79</v>
      </c>
      <c r="O775" t="s">
        <v>1372</v>
      </c>
      <c r="P775">
        <v>8.73</v>
      </c>
      <c r="Q775">
        <v>8.61</v>
      </c>
      <c r="R775">
        <v>8.6999999999999993</v>
      </c>
      <c r="S775">
        <v>8.74</v>
      </c>
      <c r="T775">
        <v>1.37</v>
      </c>
      <c r="U775">
        <v>0.5</v>
      </c>
      <c r="V775">
        <v>-46.64</v>
      </c>
      <c r="W775">
        <v>-3371</v>
      </c>
      <c r="X775">
        <v>8.67</v>
      </c>
      <c r="Y775" t="s">
        <v>3644</v>
      </c>
      <c r="Z775" t="s">
        <v>3834</v>
      </c>
      <c r="AA775">
        <v>0.89</v>
      </c>
      <c r="AB775">
        <v>427</v>
      </c>
      <c r="AC775">
        <v>100</v>
      </c>
      <c r="AD775">
        <v>1.83</v>
      </c>
      <c r="AE775" t="s">
        <v>2050</v>
      </c>
      <c r="AF775" t="s">
        <v>611</v>
      </c>
      <c r="AG775" t="s">
        <v>1540</v>
      </c>
      <c r="AH775" t="s">
        <v>700</v>
      </c>
      <c r="AI775">
        <v>-2.58</v>
      </c>
      <c r="AJ775">
        <v>-2.79</v>
      </c>
      <c r="AK775">
        <v>1.77</v>
      </c>
      <c r="AL775">
        <v>4.07</v>
      </c>
    </row>
    <row r="776" spans="1:38" x14ac:dyDescent="0.25">
      <c r="A776">
        <v>775</v>
      </c>
      <c r="B776" t="str">
        <f xml:space="preserve"> "300166"</f>
        <v>300166</v>
      </c>
      <c r="C776" t="s">
        <v>3835</v>
      </c>
      <c r="D776">
        <v>14.58</v>
      </c>
      <c r="E776">
        <v>0.21</v>
      </c>
      <c r="F776">
        <v>0.03</v>
      </c>
      <c r="G776" t="s">
        <v>3836</v>
      </c>
      <c r="H776">
        <v>1089</v>
      </c>
      <c r="I776">
        <v>14.58</v>
      </c>
      <c r="J776">
        <v>14.59</v>
      </c>
      <c r="K776">
        <v>0.14000000000000001</v>
      </c>
      <c r="L776">
        <v>0.82</v>
      </c>
      <c r="M776" t="s">
        <v>3837</v>
      </c>
      <c r="N776">
        <v>73.84</v>
      </c>
      <c r="O776" t="s">
        <v>893</v>
      </c>
      <c r="P776">
        <v>14.69</v>
      </c>
      <c r="Q776">
        <v>14.46</v>
      </c>
      <c r="R776">
        <v>14.51</v>
      </c>
      <c r="S776">
        <v>14.55</v>
      </c>
      <c r="T776">
        <v>1.58</v>
      </c>
      <c r="U776">
        <v>0.56999999999999995</v>
      </c>
      <c r="V776">
        <v>22.42</v>
      </c>
      <c r="W776">
        <v>945</v>
      </c>
      <c r="X776">
        <v>14.55</v>
      </c>
      <c r="Y776" t="s">
        <v>2409</v>
      </c>
      <c r="Z776" t="s">
        <v>1199</v>
      </c>
      <c r="AA776">
        <v>1.23</v>
      </c>
      <c r="AB776">
        <v>467</v>
      </c>
      <c r="AC776">
        <v>126</v>
      </c>
      <c r="AD776">
        <v>3.8</v>
      </c>
      <c r="AE776" t="s">
        <v>2066</v>
      </c>
      <c r="AF776" t="s">
        <v>611</v>
      </c>
      <c r="AG776" t="s">
        <v>3838</v>
      </c>
      <c r="AH776" t="s">
        <v>3690</v>
      </c>
      <c r="AI776">
        <v>-4.83</v>
      </c>
      <c r="AJ776">
        <v>-2.41</v>
      </c>
      <c r="AK776">
        <v>3.8</v>
      </c>
      <c r="AL776">
        <v>8.0500000000000007</v>
      </c>
    </row>
    <row r="777" spans="1:38" x14ac:dyDescent="0.25">
      <c r="A777">
        <v>776</v>
      </c>
      <c r="B777" t="str">
        <f xml:space="preserve"> "601666"</f>
        <v>601666</v>
      </c>
      <c r="C777" t="s">
        <v>3839</v>
      </c>
      <c r="D777">
        <v>6.48</v>
      </c>
      <c r="E777">
        <v>1.41</v>
      </c>
      <c r="F777">
        <v>0.09</v>
      </c>
      <c r="G777" t="s">
        <v>1162</v>
      </c>
      <c r="H777">
        <v>63</v>
      </c>
      <c r="I777">
        <v>6.48</v>
      </c>
      <c r="J777">
        <v>6.49</v>
      </c>
      <c r="K777">
        <v>-0.15</v>
      </c>
      <c r="L777">
        <v>1.23</v>
      </c>
      <c r="M777" t="s">
        <v>823</v>
      </c>
      <c r="N777">
        <v>12.23</v>
      </c>
      <c r="O777" t="s">
        <v>150</v>
      </c>
      <c r="P777">
        <v>6.5</v>
      </c>
      <c r="Q777">
        <v>6.34</v>
      </c>
      <c r="R777">
        <v>6.4</v>
      </c>
      <c r="S777">
        <v>6.39</v>
      </c>
      <c r="T777">
        <v>2.5</v>
      </c>
      <c r="U777">
        <v>1.08</v>
      </c>
      <c r="V777">
        <v>-49.77</v>
      </c>
      <c r="W777">
        <v>-6690</v>
      </c>
      <c r="X777">
        <v>6.43</v>
      </c>
      <c r="Y777" t="s">
        <v>982</v>
      </c>
      <c r="Z777" t="s">
        <v>59</v>
      </c>
      <c r="AA777">
        <v>0.95</v>
      </c>
      <c r="AB777">
        <v>1293</v>
      </c>
      <c r="AC777">
        <v>1759</v>
      </c>
      <c r="AD777">
        <v>1.3</v>
      </c>
      <c r="AE777" t="s">
        <v>3762</v>
      </c>
      <c r="AF777" t="s">
        <v>611</v>
      </c>
      <c r="AG777" t="s">
        <v>3762</v>
      </c>
      <c r="AH777" t="s">
        <v>611</v>
      </c>
      <c r="AI777">
        <v>-0.46</v>
      </c>
      <c r="AJ777">
        <v>-2.85</v>
      </c>
      <c r="AK777">
        <v>3.87</v>
      </c>
      <c r="AL777">
        <v>6.93</v>
      </c>
    </row>
    <row r="778" spans="1:38" x14ac:dyDescent="0.25">
      <c r="A778">
        <v>777</v>
      </c>
      <c r="B778" t="str">
        <f xml:space="preserve"> "600618"</f>
        <v>600618</v>
      </c>
      <c r="C778" t="s">
        <v>3840</v>
      </c>
      <c r="D778">
        <v>13.21</v>
      </c>
      <c r="E778">
        <v>0.15</v>
      </c>
      <c r="F778">
        <v>0.02</v>
      </c>
      <c r="G778" t="s">
        <v>860</v>
      </c>
      <c r="H778">
        <v>45</v>
      </c>
      <c r="I778">
        <v>13.19</v>
      </c>
      <c r="J778">
        <v>13.2</v>
      </c>
      <c r="K778">
        <v>-0.3</v>
      </c>
      <c r="L778">
        <v>1.91</v>
      </c>
      <c r="M778" t="s">
        <v>2662</v>
      </c>
      <c r="N778">
        <v>30.48</v>
      </c>
      <c r="O778" t="s">
        <v>667</v>
      </c>
      <c r="P778">
        <v>13.78</v>
      </c>
      <c r="Q778">
        <v>13.1</v>
      </c>
      <c r="R778">
        <v>13.1</v>
      </c>
      <c r="S778">
        <v>13.19</v>
      </c>
      <c r="T778">
        <v>5.16</v>
      </c>
      <c r="U778">
        <v>0.77</v>
      </c>
      <c r="V778">
        <v>-0.46</v>
      </c>
      <c r="W778">
        <v>-5</v>
      </c>
      <c r="X778">
        <v>13.38</v>
      </c>
      <c r="Y778" t="s">
        <v>610</v>
      </c>
      <c r="Z778" t="s">
        <v>2401</v>
      </c>
      <c r="AA778">
        <v>1.26</v>
      </c>
      <c r="AB778">
        <v>49</v>
      </c>
      <c r="AC778">
        <v>32</v>
      </c>
      <c r="AD778">
        <v>6.97</v>
      </c>
      <c r="AE778" t="s">
        <v>1572</v>
      </c>
      <c r="AF778" t="s">
        <v>611</v>
      </c>
      <c r="AG778" t="s">
        <v>3841</v>
      </c>
      <c r="AH778" t="s">
        <v>3842</v>
      </c>
      <c r="AI778">
        <v>0.23</v>
      </c>
      <c r="AJ778">
        <v>12.43</v>
      </c>
      <c r="AK778">
        <v>7.11</v>
      </c>
      <c r="AL778">
        <v>14.33</v>
      </c>
    </row>
    <row r="779" spans="1:38" x14ac:dyDescent="0.25">
      <c r="A779">
        <v>778</v>
      </c>
      <c r="B779" t="str">
        <f xml:space="preserve"> "002030"</f>
        <v>002030</v>
      </c>
      <c r="C779" t="s">
        <v>3843</v>
      </c>
      <c r="D779">
        <v>21.07</v>
      </c>
      <c r="E779">
        <v>-0.56999999999999995</v>
      </c>
      <c r="F779">
        <v>-0.12</v>
      </c>
      <c r="G779" t="s">
        <v>3844</v>
      </c>
      <c r="H779">
        <v>1223</v>
      </c>
      <c r="I779">
        <v>21.07</v>
      </c>
      <c r="J779">
        <v>21.08</v>
      </c>
      <c r="K779">
        <v>0</v>
      </c>
      <c r="L779">
        <v>1.35</v>
      </c>
      <c r="M779" t="s">
        <v>1965</v>
      </c>
      <c r="N779">
        <v>131.43</v>
      </c>
      <c r="O779" t="s">
        <v>392</v>
      </c>
      <c r="P779">
        <v>21.33</v>
      </c>
      <c r="Q779">
        <v>20.92</v>
      </c>
      <c r="R779">
        <v>21.2</v>
      </c>
      <c r="S779">
        <v>21.19</v>
      </c>
      <c r="T779">
        <v>1.93</v>
      </c>
      <c r="U779">
        <v>0.69</v>
      </c>
      <c r="V779">
        <v>25.82</v>
      </c>
      <c r="W779">
        <v>761</v>
      </c>
      <c r="X779">
        <v>21.13</v>
      </c>
      <c r="Y779" t="s">
        <v>2484</v>
      </c>
      <c r="Z779" t="s">
        <v>3702</v>
      </c>
      <c r="AA779">
        <v>1.35</v>
      </c>
      <c r="AB779">
        <v>451</v>
      </c>
      <c r="AC779">
        <v>137</v>
      </c>
      <c r="AD779">
        <v>9.34</v>
      </c>
      <c r="AE779" t="s">
        <v>3845</v>
      </c>
      <c r="AF779" t="s">
        <v>611</v>
      </c>
      <c r="AG779" t="s">
        <v>3846</v>
      </c>
      <c r="AH779" t="s">
        <v>1810</v>
      </c>
      <c r="AI779">
        <v>-0.52</v>
      </c>
      <c r="AJ779">
        <v>5.56</v>
      </c>
      <c r="AK779">
        <v>6.05</v>
      </c>
      <c r="AL779">
        <v>11.14</v>
      </c>
    </row>
    <row r="780" spans="1:38" x14ac:dyDescent="0.25">
      <c r="A780">
        <v>779</v>
      </c>
      <c r="B780" t="str">
        <f xml:space="preserve"> "002680"</f>
        <v>002680</v>
      </c>
      <c r="C780" t="s">
        <v>3847</v>
      </c>
      <c r="D780">
        <v>15.63</v>
      </c>
      <c r="E780">
        <v>0.39</v>
      </c>
      <c r="F780">
        <v>0.06</v>
      </c>
      <c r="G780" t="s">
        <v>430</v>
      </c>
      <c r="H780">
        <v>917</v>
      </c>
      <c r="I780">
        <v>15.63</v>
      </c>
      <c r="J780">
        <v>15.64</v>
      </c>
      <c r="K780">
        <v>0.13</v>
      </c>
      <c r="L780">
        <v>1.1200000000000001</v>
      </c>
      <c r="M780" t="s">
        <v>3848</v>
      </c>
      <c r="N780">
        <v>28.8</v>
      </c>
      <c r="O780" t="s">
        <v>392</v>
      </c>
      <c r="P780">
        <v>15.67</v>
      </c>
      <c r="Q780">
        <v>15.38</v>
      </c>
      <c r="R780">
        <v>15.5</v>
      </c>
      <c r="S780">
        <v>15.57</v>
      </c>
      <c r="T780">
        <v>1.86</v>
      </c>
      <c r="U780">
        <v>0.55000000000000004</v>
      </c>
      <c r="V780">
        <v>15.22</v>
      </c>
      <c r="W780">
        <v>374</v>
      </c>
      <c r="X780">
        <v>15.54</v>
      </c>
      <c r="Y780" t="s">
        <v>2061</v>
      </c>
      <c r="Z780" t="s">
        <v>1493</v>
      </c>
      <c r="AA780">
        <v>1.07</v>
      </c>
      <c r="AB780">
        <v>684</v>
      </c>
      <c r="AC780">
        <v>171</v>
      </c>
      <c r="AD780">
        <v>4.3</v>
      </c>
      <c r="AE780" t="s">
        <v>3849</v>
      </c>
      <c r="AF780" t="s">
        <v>700</v>
      </c>
      <c r="AG780" t="s">
        <v>3728</v>
      </c>
      <c r="AH780" t="s">
        <v>2392</v>
      </c>
      <c r="AI780">
        <v>0.84</v>
      </c>
      <c r="AJ780">
        <v>5.18</v>
      </c>
      <c r="AK780">
        <v>5</v>
      </c>
      <c r="AL780">
        <v>11.25</v>
      </c>
    </row>
    <row r="781" spans="1:38" x14ac:dyDescent="0.25">
      <c r="A781">
        <v>780</v>
      </c>
      <c r="B781" t="str">
        <f xml:space="preserve"> "600681"</f>
        <v>600681</v>
      </c>
      <c r="C781" t="s">
        <v>3850</v>
      </c>
      <c r="D781">
        <v>15.76</v>
      </c>
      <c r="E781">
        <v>-0.13</v>
      </c>
      <c r="F781">
        <v>-0.02</v>
      </c>
      <c r="G781" t="s">
        <v>1661</v>
      </c>
      <c r="H781">
        <v>2</v>
      </c>
      <c r="I781">
        <v>15.72</v>
      </c>
      <c r="J781">
        <v>15.76</v>
      </c>
      <c r="K781">
        <v>0.56999999999999995</v>
      </c>
      <c r="L781">
        <v>1.19</v>
      </c>
      <c r="M781" t="s">
        <v>3851</v>
      </c>
      <c r="N781">
        <v>41.73</v>
      </c>
      <c r="O781" t="s">
        <v>2085</v>
      </c>
      <c r="P781">
        <v>15.95</v>
      </c>
      <c r="Q781">
        <v>15.5</v>
      </c>
      <c r="R781">
        <v>15.78</v>
      </c>
      <c r="S781">
        <v>15.78</v>
      </c>
      <c r="T781">
        <v>2.85</v>
      </c>
      <c r="U781">
        <v>1.03</v>
      </c>
      <c r="V781">
        <v>-28.12</v>
      </c>
      <c r="W781">
        <v>-335</v>
      </c>
      <c r="X781">
        <v>15.7</v>
      </c>
      <c r="Y781" t="s">
        <v>1565</v>
      </c>
      <c r="Z781" t="s">
        <v>3590</v>
      </c>
      <c r="AA781">
        <v>1.36</v>
      </c>
      <c r="AB781">
        <v>1</v>
      </c>
      <c r="AC781">
        <v>5</v>
      </c>
      <c r="AD781">
        <v>6.5</v>
      </c>
      <c r="AE781" t="s">
        <v>3852</v>
      </c>
      <c r="AF781" t="s">
        <v>700</v>
      </c>
      <c r="AG781" t="s">
        <v>3853</v>
      </c>
      <c r="AH781" t="s">
        <v>3854</v>
      </c>
      <c r="AI781">
        <v>5.07</v>
      </c>
      <c r="AJ781">
        <v>7.14</v>
      </c>
      <c r="AK781">
        <v>4.83</v>
      </c>
      <c r="AL781">
        <v>6.96</v>
      </c>
    </row>
    <row r="782" spans="1:38" x14ac:dyDescent="0.25">
      <c r="A782">
        <v>781</v>
      </c>
      <c r="B782" t="str">
        <f xml:space="preserve"> "002662"</f>
        <v>002662</v>
      </c>
      <c r="C782" t="s">
        <v>3855</v>
      </c>
      <c r="D782">
        <v>10.130000000000001</v>
      </c>
      <c r="E782">
        <v>-5.94</v>
      </c>
      <c r="F782">
        <v>-0.64</v>
      </c>
      <c r="G782" t="s">
        <v>3856</v>
      </c>
      <c r="H782" t="s">
        <v>1827</v>
      </c>
      <c r="I782">
        <v>10.130000000000001</v>
      </c>
      <c r="J782">
        <v>10.14</v>
      </c>
      <c r="K782">
        <v>0.3</v>
      </c>
      <c r="L782">
        <v>9.3800000000000008</v>
      </c>
      <c r="M782" t="s">
        <v>1011</v>
      </c>
      <c r="N782">
        <v>44.32</v>
      </c>
      <c r="O782" t="s">
        <v>169</v>
      </c>
      <c r="P782">
        <v>10.7</v>
      </c>
      <c r="Q782">
        <v>10.029999999999999</v>
      </c>
      <c r="R782">
        <v>10.45</v>
      </c>
      <c r="S782">
        <v>10.77</v>
      </c>
      <c r="T782">
        <v>6.22</v>
      </c>
      <c r="U782">
        <v>1.61</v>
      </c>
      <c r="V782">
        <v>59.43</v>
      </c>
      <c r="W782" t="s">
        <v>2383</v>
      </c>
      <c r="X782">
        <v>10.34</v>
      </c>
      <c r="Y782" t="s">
        <v>3857</v>
      </c>
      <c r="Z782" t="s">
        <v>533</v>
      </c>
      <c r="AA782">
        <v>1.57</v>
      </c>
      <c r="AB782">
        <v>1041</v>
      </c>
      <c r="AC782">
        <v>5957</v>
      </c>
      <c r="AD782">
        <v>3.24</v>
      </c>
      <c r="AE782" t="s">
        <v>2347</v>
      </c>
      <c r="AF782" t="s">
        <v>700</v>
      </c>
      <c r="AG782" t="s">
        <v>2659</v>
      </c>
      <c r="AH782" t="s">
        <v>1561</v>
      </c>
      <c r="AI782">
        <v>5.96</v>
      </c>
      <c r="AJ782">
        <v>41.09</v>
      </c>
      <c r="AK782">
        <v>37.340000000000003</v>
      </c>
      <c r="AL782">
        <v>38.590000000000003</v>
      </c>
    </row>
    <row r="783" spans="1:38" x14ac:dyDescent="0.25">
      <c r="A783">
        <v>782</v>
      </c>
      <c r="B783" t="str">
        <f xml:space="preserve"> "603328"</f>
        <v>603328</v>
      </c>
      <c r="C783" t="s">
        <v>3858</v>
      </c>
      <c r="D783">
        <v>15.21</v>
      </c>
      <c r="E783">
        <v>-3.92</v>
      </c>
      <c r="F783">
        <v>-0.62</v>
      </c>
      <c r="G783" t="s">
        <v>669</v>
      </c>
      <c r="H783">
        <v>28</v>
      </c>
      <c r="I783">
        <v>15.2</v>
      </c>
      <c r="J783">
        <v>15.21</v>
      </c>
      <c r="K783">
        <v>7.0000000000000007E-2</v>
      </c>
      <c r="L783">
        <v>1.9</v>
      </c>
      <c r="M783" t="s">
        <v>3227</v>
      </c>
      <c r="N783">
        <v>30.05</v>
      </c>
      <c r="O783" t="s">
        <v>380</v>
      </c>
      <c r="P783">
        <v>15.22</v>
      </c>
      <c r="Q783">
        <v>14.5</v>
      </c>
      <c r="R783">
        <v>15.11</v>
      </c>
      <c r="S783">
        <v>15.83</v>
      </c>
      <c r="T783">
        <v>4.55</v>
      </c>
      <c r="U783">
        <v>3.76</v>
      </c>
      <c r="V783">
        <v>-10.25</v>
      </c>
      <c r="W783">
        <v>-120</v>
      </c>
      <c r="X783">
        <v>14.9</v>
      </c>
      <c r="Y783" t="s">
        <v>1050</v>
      </c>
      <c r="Z783" t="s">
        <v>3859</v>
      </c>
      <c r="AA783">
        <v>1.1200000000000001</v>
      </c>
      <c r="AB783">
        <v>1</v>
      </c>
      <c r="AC783">
        <v>25</v>
      </c>
      <c r="AD783">
        <v>3.55</v>
      </c>
      <c r="AE783" t="s">
        <v>3652</v>
      </c>
      <c r="AF783" t="s">
        <v>700</v>
      </c>
      <c r="AG783" t="s">
        <v>3344</v>
      </c>
      <c r="AH783" t="s">
        <v>2787</v>
      </c>
      <c r="AI783">
        <v>-4.7</v>
      </c>
      <c r="AJ783">
        <v>-5.47</v>
      </c>
      <c r="AK783">
        <v>2.57</v>
      </c>
      <c r="AL783">
        <v>4.4400000000000004</v>
      </c>
    </row>
    <row r="784" spans="1:38" x14ac:dyDescent="0.25">
      <c r="A784">
        <v>783</v>
      </c>
      <c r="B784" t="str">
        <f xml:space="preserve"> "002437"</f>
        <v>002437</v>
      </c>
      <c r="C784" t="s">
        <v>3860</v>
      </c>
      <c r="D784">
        <v>6.9</v>
      </c>
      <c r="E784">
        <v>0.15</v>
      </c>
      <c r="F784">
        <v>0.01</v>
      </c>
      <c r="G784" t="s">
        <v>3861</v>
      </c>
      <c r="H784">
        <v>1424</v>
      </c>
      <c r="I784">
        <v>6.89</v>
      </c>
      <c r="J784">
        <v>6.9</v>
      </c>
      <c r="K784">
        <v>0.28999999999999998</v>
      </c>
      <c r="L784">
        <v>0.15</v>
      </c>
      <c r="M784" t="s">
        <v>3862</v>
      </c>
      <c r="N784">
        <v>34.6</v>
      </c>
      <c r="O784" t="s">
        <v>392</v>
      </c>
      <c r="P784">
        <v>6.91</v>
      </c>
      <c r="Q784">
        <v>6.82</v>
      </c>
      <c r="R784">
        <v>6.88</v>
      </c>
      <c r="S784">
        <v>6.89</v>
      </c>
      <c r="T784">
        <v>1.31</v>
      </c>
      <c r="U784">
        <v>0.51</v>
      </c>
      <c r="V784">
        <v>30.32</v>
      </c>
      <c r="W784">
        <v>2610</v>
      </c>
      <c r="X784">
        <v>6.87</v>
      </c>
      <c r="Y784" t="s">
        <v>1683</v>
      </c>
      <c r="Z784" t="s">
        <v>2313</v>
      </c>
      <c r="AA784">
        <v>1.02</v>
      </c>
      <c r="AB784">
        <v>521</v>
      </c>
      <c r="AC784">
        <v>1192</v>
      </c>
      <c r="AD784">
        <v>3.73</v>
      </c>
      <c r="AE784" t="s">
        <v>662</v>
      </c>
      <c r="AF784" t="s">
        <v>700</v>
      </c>
      <c r="AG784" t="s">
        <v>1335</v>
      </c>
      <c r="AH784" t="s">
        <v>3717</v>
      </c>
      <c r="AI784">
        <v>-0.72</v>
      </c>
      <c r="AJ784">
        <v>2.83</v>
      </c>
      <c r="AK784">
        <v>0.85</v>
      </c>
      <c r="AL784">
        <v>1.6</v>
      </c>
    </row>
    <row r="785" spans="1:38" x14ac:dyDescent="0.25">
      <c r="A785">
        <v>784</v>
      </c>
      <c r="B785" t="str">
        <f xml:space="preserve"> "300002"</f>
        <v>300002</v>
      </c>
      <c r="C785" t="s">
        <v>3863</v>
      </c>
      <c r="D785">
        <v>7.73</v>
      </c>
      <c r="E785">
        <v>-0.13</v>
      </c>
      <c r="F785">
        <v>-0.01</v>
      </c>
      <c r="G785" t="s">
        <v>3864</v>
      </c>
      <c r="H785">
        <v>971</v>
      </c>
      <c r="I785">
        <v>7.72</v>
      </c>
      <c r="J785">
        <v>7.73</v>
      </c>
      <c r="K785">
        <v>0.13</v>
      </c>
      <c r="L785">
        <v>0.37</v>
      </c>
      <c r="M785" t="s">
        <v>3865</v>
      </c>
      <c r="N785">
        <v>494.81</v>
      </c>
      <c r="O785" t="s">
        <v>893</v>
      </c>
      <c r="P785">
        <v>7.77</v>
      </c>
      <c r="Q785">
        <v>7.66</v>
      </c>
      <c r="R785">
        <v>7.73</v>
      </c>
      <c r="S785">
        <v>7.74</v>
      </c>
      <c r="T785">
        <v>1.42</v>
      </c>
      <c r="U785">
        <v>0.53</v>
      </c>
      <c r="V785">
        <v>-34.200000000000003</v>
      </c>
      <c r="W785">
        <v>-1788</v>
      </c>
      <c r="X785">
        <v>7.71</v>
      </c>
      <c r="Y785" t="s">
        <v>3861</v>
      </c>
      <c r="Z785" t="s">
        <v>884</v>
      </c>
      <c r="AA785">
        <v>1.64</v>
      </c>
      <c r="AB785">
        <v>154</v>
      </c>
      <c r="AC785">
        <v>291</v>
      </c>
      <c r="AD785">
        <v>3.02</v>
      </c>
      <c r="AE785" t="s">
        <v>1193</v>
      </c>
      <c r="AF785" t="s">
        <v>700</v>
      </c>
      <c r="AG785" t="s">
        <v>1047</v>
      </c>
      <c r="AH785" t="s">
        <v>1037</v>
      </c>
      <c r="AI785">
        <v>-1.78</v>
      </c>
      <c r="AJ785">
        <v>0.91</v>
      </c>
      <c r="AK785">
        <v>1.42</v>
      </c>
      <c r="AL785">
        <v>3.84</v>
      </c>
    </row>
    <row r="786" spans="1:38" x14ac:dyDescent="0.25">
      <c r="A786">
        <v>785</v>
      </c>
      <c r="B786" t="str">
        <f xml:space="preserve"> "603517"</f>
        <v>603517</v>
      </c>
      <c r="C786" t="s">
        <v>3866</v>
      </c>
      <c r="D786">
        <v>36.92</v>
      </c>
      <c r="E786">
        <v>0.54</v>
      </c>
      <c r="F786">
        <v>0.2</v>
      </c>
      <c r="G786" t="s">
        <v>75</v>
      </c>
      <c r="H786">
        <v>10</v>
      </c>
      <c r="I786">
        <v>36.909999999999997</v>
      </c>
      <c r="J786">
        <v>36.92</v>
      </c>
      <c r="K786">
        <v>0</v>
      </c>
      <c r="L786">
        <v>2.04</v>
      </c>
      <c r="M786" t="s">
        <v>3867</v>
      </c>
      <c r="N786">
        <v>31.83</v>
      </c>
      <c r="O786" t="s">
        <v>406</v>
      </c>
      <c r="P786">
        <v>37.11</v>
      </c>
      <c r="Q786">
        <v>36.51</v>
      </c>
      <c r="R786">
        <v>36.799999999999997</v>
      </c>
      <c r="S786">
        <v>36.72</v>
      </c>
      <c r="T786">
        <v>1.63</v>
      </c>
      <c r="U786">
        <v>0.45</v>
      </c>
      <c r="V786">
        <v>-24.81</v>
      </c>
      <c r="W786">
        <v>-33</v>
      </c>
      <c r="X786">
        <v>36.799999999999997</v>
      </c>
      <c r="Y786">
        <v>4995</v>
      </c>
      <c r="Z786">
        <v>5187</v>
      </c>
      <c r="AA786">
        <v>0.96</v>
      </c>
      <c r="AB786">
        <v>5</v>
      </c>
      <c r="AC786">
        <v>8</v>
      </c>
      <c r="AD786">
        <v>6.55</v>
      </c>
      <c r="AE786" t="s">
        <v>3868</v>
      </c>
      <c r="AF786" t="s">
        <v>1664</v>
      </c>
      <c r="AG786" t="s">
        <v>3869</v>
      </c>
      <c r="AH786" t="s">
        <v>1674</v>
      </c>
      <c r="AI786">
        <v>-1.91</v>
      </c>
      <c r="AJ786">
        <v>0.14000000000000001</v>
      </c>
      <c r="AK786">
        <v>9.76</v>
      </c>
      <c r="AL786">
        <v>24.86</v>
      </c>
    </row>
    <row r="787" spans="1:38" x14ac:dyDescent="0.25">
      <c r="A787">
        <v>786</v>
      </c>
      <c r="B787" t="str">
        <f xml:space="preserve"> "300168"</f>
        <v>300168</v>
      </c>
      <c r="C787" t="s">
        <v>3870</v>
      </c>
      <c r="D787">
        <v>14.67</v>
      </c>
      <c r="E787">
        <v>-0.2</v>
      </c>
      <c r="F787">
        <v>-0.03</v>
      </c>
      <c r="G787" t="s">
        <v>1441</v>
      </c>
      <c r="H787">
        <v>2598</v>
      </c>
      <c r="I787">
        <v>14.67</v>
      </c>
      <c r="J787">
        <v>14.68</v>
      </c>
      <c r="K787">
        <v>-7.0000000000000007E-2</v>
      </c>
      <c r="L787">
        <v>0.95</v>
      </c>
      <c r="M787" t="s">
        <v>2044</v>
      </c>
      <c r="N787">
        <v>197.53</v>
      </c>
      <c r="O787" t="s">
        <v>893</v>
      </c>
      <c r="P787">
        <v>14.84</v>
      </c>
      <c r="Q787">
        <v>14.62</v>
      </c>
      <c r="R787">
        <v>14.7</v>
      </c>
      <c r="S787">
        <v>14.7</v>
      </c>
      <c r="T787">
        <v>1.5</v>
      </c>
      <c r="U787">
        <v>0.5</v>
      </c>
      <c r="V787">
        <v>-20.65</v>
      </c>
      <c r="W787">
        <v>-802</v>
      </c>
      <c r="X787">
        <v>14.72</v>
      </c>
      <c r="Y787" t="s">
        <v>2988</v>
      </c>
      <c r="Z787" t="s">
        <v>2335</v>
      </c>
      <c r="AA787">
        <v>1.33</v>
      </c>
      <c r="AB787">
        <v>605</v>
      </c>
      <c r="AC787">
        <v>473</v>
      </c>
      <c r="AD787">
        <v>6.69</v>
      </c>
      <c r="AE787" t="s">
        <v>707</v>
      </c>
      <c r="AF787" t="s">
        <v>1664</v>
      </c>
      <c r="AG787" t="s">
        <v>262</v>
      </c>
      <c r="AH787" t="s">
        <v>3717</v>
      </c>
      <c r="AI787">
        <v>-2.85</v>
      </c>
      <c r="AJ787">
        <v>7.08</v>
      </c>
      <c r="AK787">
        <v>4.51</v>
      </c>
      <c r="AL787">
        <v>10.42</v>
      </c>
    </row>
    <row r="788" spans="1:38" x14ac:dyDescent="0.25">
      <c r="A788">
        <v>787</v>
      </c>
      <c r="B788" t="str">
        <f xml:space="preserve"> "300257"</f>
        <v>300257</v>
      </c>
      <c r="C788" t="s">
        <v>3871</v>
      </c>
      <c r="D788">
        <v>17.600000000000001</v>
      </c>
      <c r="E788">
        <v>-1.68</v>
      </c>
      <c r="F788">
        <v>-0.3</v>
      </c>
      <c r="G788" t="s">
        <v>318</v>
      </c>
      <c r="H788">
        <v>780</v>
      </c>
      <c r="I788">
        <v>17.59</v>
      </c>
      <c r="J788">
        <v>17.600000000000001</v>
      </c>
      <c r="K788">
        <v>0.06</v>
      </c>
      <c r="L788">
        <v>0.78</v>
      </c>
      <c r="M788" t="s">
        <v>2114</v>
      </c>
      <c r="N788">
        <v>234.53</v>
      </c>
      <c r="O788" t="s">
        <v>648</v>
      </c>
      <c r="P788">
        <v>17.989999999999998</v>
      </c>
      <c r="Q788">
        <v>17.5</v>
      </c>
      <c r="R788">
        <v>17.8</v>
      </c>
      <c r="S788">
        <v>17.899999999999999</v>
      </c>
      <c r="T788">
        <v>2.74</v>
      </c>
      <c r="U788">
        <v>1.91</v>
      </c>
      <c r="V788">
        <v>-22.66</v>
      </c>
      <c r="W788">
        <v>-342</v>
      </c>
      <c r="X788">
        <v>17.64</v>
      </c>
      <c r="Y788" t="s">
        <v>3331</v>
      </c>
      <c r="Z788" t="s">
        <v>1805</v>
      </c>
      <c r="AA788">
        <v>1.92</v>
      </c>
      <c r="AB788">
        <v>74</v>
      </c>
      <c r="AC788">
        <v>437</v>
      </c>
      <c r="AD788">
        <v>4.5199999999999996</v>
      </c>
      <c r="AE788" t="s">
        <v>2891</v>
      </c>
      <c r="AF788" t="s">
        <v>1664</v>
      </c>
      <c r="AG788" t="s">
        <v>2981</v>
      </c>
      <c r="AH788" t="s">
        <v>2634</v>
      </c>
      <c r="AI788">
        <v>-5.38</v>
      </c>
      <c r="AJ788">
        <v>-6.68</v>
      </c>
      <c r="AK788">
        <v>1.76</v>
      </c>
      <c r="AL788">
        <v>2.81</v>
      </c>
    </row>
    <row r="789" spans="1:38" x14ac:dyDescent="0.25">
      <c r="A789">
        <v>788</v>
      </c>
      <c r="B789" t="str">
        <f xml:space="preserve"> "002812"</f>
        <v>002812</v>
      </c>
      <c r="C789" t="s">
        <v>3872</v>
      </c>
      <c r="D789">
        <v>110.53</v>
      </c>
      <c r="E789">
        <v>-4.88</v>
      </c>
      <c r="F789">
        <v>-5.67</v>
      </c>
      <c r="G789" t="s">
        <v>1321</v>
      </c>
      <c r="H789">
        <v>148</v>
      </c>
      <c r="I789">
        <v>110.52</v>
      </c>
      <c r="J789">
        <v>110.53</v>
      </c>
      <c r="K789">
        <v>0.01</v>
      </c>
      <c r="L789">
        <v>4.88</v>
      </c>
      <c r="M789" t="s">
        <v>1034</v>
      </c>
      <c r="N789">
        <v>115.23</v>
      </c>
      <c r="O789" t="s">
        <v>3873</v>
      </c>
      <c r="P789">
        <v>115</v>
      </c>
      <c r="Q789">
        <v>109.57</v>
      </c>
      <c r="R789">
        <v>114</v>
      </c>
      <c r="S789">
        <v>116.2</v>
      </c>
      <c r="T789">
        <v>4.67</v>
      </c>
      <c r="U789">
        <v>1.81</v>
      </c>
      <c r="V789">
        <v>-18.23</v>
      </c>
      <c r="W789">
        <v>-37</v>
      </c>
      <c r="X789">
        <v>111.18</v>
      </c>
      <c r="Y789" t="s">
        <v>1454</v>
      </c>
      <c r="Z789">
        <v>9928</v>
      </c>
      <c r="AA789">
        <v>2.09</v>
      </c>
      <c r="AB789">
        <v>64</v>
      </c>
      <c r="AC789">
        <v>3</v>
      </c>
      <c r="AD789">
        <v>9.8000000000000007</v>
      </c>
      <c r="AE789" t="s">
        <v>1757</v>
      </c>
      <c r="AF789" t="s">
        <v>1664</v>
      </c>
      <c r="AG789" t="s">
        <v>3874</v>
      </c>
      <c r="AH789" t="s">
        <v>3875</v>
      </c>
      <c r="AI789">
        <v>-6.38</v>
      </c>
      <c r="AJ789">
        <v>-12.97</v>
      </c>
      <c r="AK789">
        <v>11.76</v>
      </c>
      <c r="AL789">
        <v>18.38</v>
      </c>
    </row>
    <row r="790" spans="1:38" x14ac:dyDescent="0.25">
      <c r="A790">
        <v>789</v>
      </c>
      <c r="B790" t="str">
        <f xml:space="preserve"> "002262"</f>
        <v>002262</v>
      </c>
      <c r="C790" t="s">
        <v>3876</v>
      </c>
      <c r="D790">
        <v>14.94</v>
      </c>
      <c r="E790">
        <v>-0.73</v>
      </c>
      <c r="F790">
        <v>-0.11</v>
      </c>
      <c r="G790" t="s">
        <v>3877</v>
      </c>
      <c r="H790">
        <v>694</v>
      </c>
      <c r="I790">
        <v>14.93</v>
      </c>
      <c r="J790">
        <v>14.94</v>
      </c>
      <c r="K790">
        <v>-7.0000000000000007E-2</v>
      </c>
      <c r="L790">
        <v>0.35</v>
      </c>
      <c r="M790" t="s">
        <v>3878</v>
      </c>
      <c r="N790">
        <v>36.04</v>
      </c>
      <c r="O790" t="s">
        <v>392</v>
      </c>
      <c r="P790">
        <v>15.08</v>
      </c>
      <c r="Q790">
        <v>14.85</v>
      </c>
      <c r="R790">
        <v>15.06</v>
      </c>
      <c r="S790">
        <v>15.05</v>
      </c>
      <c r="T790">
        <v>1.53</v>
      </c>
      <c r="U790">
        <v>0.52</v>
      </c>
      <c r="V790">
        <v>34.35</v>
      </c>
      <c r="W790">
        <v>486</v>
      </c>
      <c r="X790">
        <v>14.94</v>
      </c>
      <c r="Y790" t="s">
        <v>1950</v>
      </c>
      <c r="Z790" t="s">
        <v>1726</v>
      </c>
      <c r="AA790">
        <v>1.32</v>
      </c>
      <c r="AB790">
        <v>70</v>
      </c>
      <c r="AC790">
        <v>61</v>
      </c>
      <c r="AD790">
        <v>6.65</v>
      </c>
      <c r="AE790" t="s">
        <v>262</v>
      </c>
      <c r="AF790" t="s">
        <v>1664</v>
      </c>
      <c r="AG790" t="s">
        <v>3879</v>
      </c>
      <c r="AH790" t="s">
        <v>1080</v>
      </c>
      <c r="AI790">
        <v>0.47</v>
      </c>
      <c r="AJ790">
        <v>5.29</v>
      </c>
      <c r="AK790">
        <v>1.73</v>
      </c>
      <c r="AL790">
        <v>3.72</v>
      </c>
    </row>
    <row r="791" spans="1:38" x14ac:dyDescent="0.25">
      <c r="A791">
        <v>790</v>
      </c>
      <c r="B791" t="str">
        <f xml:space="preserve"> "000061"</f>
        <v>000061</v>
      </c>
      <c r="C791" t="s">
        <v>3880</v>
      </c>
      <c r="D791">
        <v>8.8699999999999992</v>
      </c>
      <c r="E791">
        <v>0.68</v>
      </c>
      <c r="F791">
        <v>0.06</v>
      </c>
      <c r="G791" t="s">
        <v>3881</v>
      </c>
      <c r="H791">
        <v>783</v>
      </c>
      <c r="I791">
        <v>8.86</v>
      </c>
      <c r="J791">
        <v>8.8699999999999992</v>
      </c>
      <c r="K791">
        <v>0</v>
      </c>
      <c r="L791">
        <v>0.21</v>
      </c>
      <c r="M791" t="s">
        <v>3882</v>
      </c>
      <c r="N791">
        <v>741.09</v>
      </c>
      <c r="O791" t="s">
        <v>622</v>
      </c>
      <c r="P791">
        <v>8.8800000000000008</v>
      </c>
      <c r="Q791">
        <v>8.8000000000000007</v>
      </c>
      <c r="R791">
        <v>8.81</v>
      </c>
      <c r="S791">
        <v>8.81</v>
      </c>
      <c r="T791">
        <v>0.91</v>
      </c>
      <c r="U791">
        <v>0.68</v>
      </c>
      <c r="V791">
        <v>-37.71</v>
      </c>
      <c r="W791">
        <v>-3038</v>
      </c>
      <c r="X791">
        <v>8.85</v>
      </c>
      <c r="Y791" t="s">
        <v>1579</v>
      </c>
      <c r="Z791" t="s">
        <v>1805</v>
      </c>
      <c r="AA791">
        <v>0.63</v>
      </c>
      <c r="AB791">
        <v>160</v>
      </c>
      <c r="AC791">
        <v>1845</v>
      </c>
      <c r="AD791">
        <v>3.13</v>
      </c>
      <c r="AE791" t="s">
        <v>909</v>
      </c>
      <c r="AF791" t="s">
        <v>1664</v>
      </c>
      <c r="AG791" t="s">
        <v>2840</v>
      </c>
      <c r="AH791" t="s">
        <v>2787</v>
      </c>
      <c r="AI791">
        <v>-0.22</v>
      </c>
      <c r="AJ791">
        <v>-1.77</v>
      </c>
      <c r="AK791">
        <v>0.72</v>
      </c>
      <c r="AL791">
        <v>1.76</v>
      </c>
    </row>
    <row r="792" spans="1:38" x14ac:dyDescent="0.25">
      <c r="A792">
        <v>791</v>
      </c>
      <c r="B792" t="str">
        <f xml:space="preserve"> "300463"</f>
        <v>300463</v>
      </c>
      <c r="C792" t="s">
        <v>3883</v>
      </c>
      <c r="D792">
        <v>26.96</v>
      </c>
      <c r="E792">
        <v>1.39</v>
      </c>
      <c r="F792">
        <v>0.37</v>
      </c>
      <c r="G792" t="s">
        <v>2270</v>
      </c>
      <c r="H792">
        <v>1304</v>
      </c>
      <c r="I792">
        <v>26.96</v>
      </c>
      <c r="J792">
        <v>26.97</v>
      </c>
      <c r="K792">
        <v>7.0000000000000007E-2</v>
      </c>
      <c r="L792">
        <v>2.85</v>
      </c>
      <c r="M792" t="s">
        <v>3884</v>
      </c>
      <c r="N792">
        <v>39.01</v>
      </c>
      <c r="O792" t="s">
        <v>1552</v>
      </c>
      <c r="P792">
        <v>27.23</v>
      </c>
      <c r="Q792">
        <v>26.7</v>
      </c>
      <c r="R792">
        <v>26.9</v>
      </c>
      <c r="S792">
        <v>26.59</v>
      </c>
      <c r="T792">
        <v>1.99</v>
      </c>
      <c r="U792">
        <v>1.03</v>
      </c>
      <c r="V792">
        <v>-56.6</v>
      </c>
      <c r="W792">
        <v>-1372</v>
      </c>
      <c r="X792">
        <v>26.98</v>
      </c>
      <c r="Y792" t="s">
        <v>3885</v>
      </c>
      <c r="Z792" t="s">
        <v>2426</v>
      </c>
      <c r="AA792">
        <v>0.93</v>
      </c>
      <c r="AB792">
        <v>13</v>
      </c>
      <c r="AC792">
        <v>266</v>
      </c>
      <c r="AD792">
        <v>6.39</v>
      </c>
      <c r="AE792" t="s">
        <v>1450</v>
      </c>
      <c r="AF792" t="s">
        <v>2787</v>
      </c>
      <c r="AG792" t="s">
        <v>2173</v>
      </c>
      <c r="AH792" t="s">
        <v>278</v>
      </c>
      <c r="AI792">
        <v>-0.92</v>
      </c>
      <c r="AJ792">
        <v>7.62</v>
      </c>
      <c r="AK792">
        <v>8.82</v>
      </c>
      <c r="AL792">
        <v>16.73</v>
      </c>
    </row>
    <row r="793" spans="1:38" x14ac:dyDescent="0.25">
      <c r="A793">
        <v>792</v>
      </c>
      <c r="B793" t="str">
        <f xml:space="preserve"> "000582"</f>
        <v>000582</v>
      </c>
      <c r="C793" t="s">
        <v>3886</v>
      </c>
      <c r="D793">
        <v>12.11</v>
      </c>
      <c r="E793">
        <v>0.25</v>
      </c>
      <c r="F793">
        <v>0.03</v>
      </c>
      <c r="G793" t="s">
        <v>1121</v>
      </c>
      <c r="H793">
        <v>1427</v>
      </c>
      <c r="I793">
        <v>12.11</v>
      </c>
      <c r="J793">
        <v>12.12</v>
      </c>
      <c r="K793">
        <v>0.25</v>
      </c>
      <c r="L793">
        <v>1.32</v>
      </c>
      <c r="M793" t="s">
        <v>3887</v>
      </c>
      <c r="N793">
        <v>25.41</v>
      </c>
      <c r="O793" t="s">
        <v>440</v>
      </c>
      <c r="P793">
        <v>12.32</v>
      </c>
      <c r="Q793">
        <v>12</v>
      </c>
      <c r="R793">
        <v>12.32</v>
      </c>
      <c r="S793">
        <v>12.08</v>
      </c>
      <c r="T793">
        <v>2.65</v>
      </c>
      <c r="U793">
        <v>0.93</v>
      </c>
      <c r="V793">
        <v>26.75</v>
      </c>
      <c r="W793">
        <v>878</v>
      </c>
      <c r="X793">
        <v>12.13</v>
      </c>
      <c r="Y793" t="s">
        <v>658</v>
      </c>
      <c r="Z793" t="s">
        <v>2365</v>
      </c>
      <c r="AA793">
        <v>1.31</v>
      </c>
      <c r="AB793">
        <v>377</v>
      </c>
      <c r="AC793">
        <v>153</v>
      </c>
      <c r="AD793">
        <v>2.31</v>
      </c>
      <c r="AE793" t="s">
        <v>361</v>
      </c>
      <c r="AF793" t="s">
        <v>2787</v>
      </c>
      <c r="AG793" t="s">
        <v>3888</v>
      </c>
      <c r="AH793" t="s">
        <v>1172</v>
      </c>
      <c r="AI793">
        <v>1.59</v>
      </c>
      <c r="AJ793">
        <v>3.5</v>
      </c>
      <c r="AK793">
        <v>5.29</v>
      </c>
      <c r="AL793">
        <v>8.4</v>
      </c>
    </row>
    <row r="794" spans="1:38" x14ac:dyDescent="0.25">
      <c r="A794">
        <v>793</v>
      </c>
      <c r="B794" t="str">
        <f xml:space="preserve"> "600230"</f>
        <v>600230</v>
      </c>
      <c r="C794" t="s">
        <v>3889</v>
      </c>
      <c r="D794">
        <v>50.92</v>
      </c>
      <c r="E794">
        <v>1.1499999999999999</v>
      </c>
      <c r="F794">
        <v>0.57999999999999996</v>
      </c>
      <c r="G794" t="s">
        <v>2441</v>
      </c>
      <c r="H794">
        <v>14</v>
      </c>
      <c r="I794">
        <v>50.92</v>
      </c>
      <c r="J794">
        <v>50.93</v>
      </c>
      <c r="K794">
        <v>0</v>
      </c>
      <c r="L794">
        <v>2.2999999999999998</v>
      </c>
      <c r="M794" t="s">
        <v>2198</v>
      </c>
      <c r="N794">
        <v>11.42</v>
      </c>
      <c r="O794" t="s">
        <v>667</v>
      </c>
      <c r="P794">
        <v>51.48</v>
      </c>
      <c r="Q794">
        <v>50.51</v>
      </c>
      <c r="R794">
        <v>50.83</v>
      </c>
      <c r="S794">
        <v>50.34</v>
      </c>
      <c r="T794">
        <v>1.93</v>
      </c>
      <c r="U794">
        <v>0.56999999999999995</v>
      </c>
      <c r="V794">
        <v>-13.69</v>
      </c>
      <c r="W794">
        <v>-52</v>
      </c>
      <c r="X794">
        <v>51</v>
      </c>
      <c r="Y794" t="s">
        <v>928</v>
      </c>
      <c r="Z794" t="s">
        <v>1181</v>
      </c>
      <c r="AA794">
        <v>0.93</v>
      </c>
      <c r="AB794">
        <v>36</v>
      </c>
      <c r="AC794">
        <v>48</v>
      </c>
      <c r="AD794">
        <v>7.03</v>
      </c>
      <c r="AE794" t="s">
        <v>2268</v>
      </c>
      <c r="AF794" t="s">
        <v>2787</v>
      </c>
      <c r="AG794" t="s">
        <v>2268</v>
      </c>
      <c r="AH794" t="s">
        <v>2787</v>
      </c>
      <c r="AI794">
        <v>-3.27</v>
      </c>
      <c r="AJ794">
        <v>-6.77</v>
      </c>
      <c r="AK794">
        <v>11.9</v>
      </c>
      <c r="AL794">
        <v>22.55</v>
      </c>
    </row>
    <row r="795" spans="1:38" x14ac:dyDescent="0.25">
      <c r="A795">
        <v>794</v>
      </c>
      <c r="B795" t="str">
        <f xml:space="preserve"> "000976"</f>
        <v>000976</v>
      </c>
      <c r="C795" t="s">
        <v>3890</v>
      </c>
      <c r="D795">
        <v>9.36</v>
      </c>
      <c r="E795">
        <v>0.32</v>
      </c>
      <c r="F795">
        <v>0.03</v>
      </c>
      <c r="G795" t="s">
        <v>2732</v>
      </c>
      <c r="H795">
        <v>405</v>
      </c>
      <c r="I795">
        <v>9.35</v>
      </c>
      <c r="J795">
        <v>9.36</v>
      </c>
      <c r="K795">
        <v>0</v>
      </c>
      <c r="L795">
        <v>0.62</v>
      </c>
      <c r="M795" t="s">
        <v>3891</v>
      </c>
      <c r="N795">
        <v>55.01</v>
      </c>
      <c r="O795" t="s">
        <v>1798</v>
      </c>
      <c r="P795">
        <v>9.41</v>
      </c>
      <c r="Q795">
        <v>9.26</v>
      </c>
      <c r="R795">
        <v>9.36</v>
      </c>
      <c r="S795">
        <v>9.33</v>
      </c>
      <c r="T795">
        <v>1.61</v>
      </c>
      <c r="U795">
        <v>0.64</v>
      </c>
      <c r="V795">
        <v>-57.71</v>
      </c>
      <c r="W795">
        <v>-2301</v>
      </c>
      <c r="X795">
        <v>9.32</v>
      </c>
      <c r="Y795" t="s">
        <v>1578</v>
      </c>
      <c r="Z795" t="s">
        <v>3892</v>
      </c>
      <c r="AA795">
        <v>0.85</v>
      </c>
      <c r="AB795">
        <v>443</v>
      </c>
      <c r="AC795">
        <v>1434</v>
      </c>
      <c r="AD795">
        <v>4.0199999999999996</v>
      </c>
      <c r="AE795" t="s">
        <v>1147</v>
      </c>
      <c r="AF795" t="s">
        <v>542</v>
      </c>
      <c r="AG795" t="s">
        <v>3893</v>
      </c>
      <c r="AH795" t="s">
        <v>3539</v>
      </c>
      <c r="AI795">
        <v>-0.11</v>
      </c>
      <c r="AJ795">
        <v>0.86</v>
      </c>
      <c r="AK795">
        <v>2.83</v>
      </c>
      <c r="AL795">
        <v>5.45</v>
      </c>
    </row>
    <row r="796" spans="1:38" x14ac:dyDescent="0.25">
      <c r="A796">
        <v>795</v>
      </c>
      <c r="B796" t="str">
        <f xml:space="preserve"> "000666"</f>
        <v>000666</v>
      </c>
      <c r="C796" t="s">
        <v>3894</v>
      </c>
      <c r="D796">
        <v>21.2</v>
      </c>
      <c r="E796">
        <v>-0.56000000000000005</v>
      </c>
      <c r="F796">
        <v>-0.12</v>
      </c>
      <c r="G796" t="s">
        <v>3895</v>
      </c>
      <c r="H796">
        <v>332</v>
      </c>
      <c r="I796">
        <v>21.2</v>
      </c>
      <c r="J796">
        <v>21.21</v>
      </c>
      <c r="K796">
        <v>0</v>
      </c>
      <c r="L796">
        <v>1.63</v>
      </c>
      <c r="M796" t="s">
        <v>1442</v>
      </c>
      <c r="N796">
        <v>14.94</v>
      </c>
      <c r="O796" t="s">
        <v>482</v>
      </c>
      <c r="P796">
        <v>21.38</v>
      </c>
      <c r="Q796">
        <v>20.94</v>
      </c>
      <c r="R796">
        <v>21.38</v>
      </c>
      <c r="S796">
        <v>21.32</v>
      </c>
      <c r="T796">
        <v>2.06</v>
      </c>
      <c r="U796">
        <v>0.7</v>
      </c>
      <c r="V796">
        <v>-22.57</v>
      </c>
      <c r="W796">
        <v>-579</v>
      </c>
      <c r="X796">
        <v>21.1</v>
      </c>
      <c r="Y796" t="s">
        <v>2777</v>
      </c>
      <c r="Z796" t="s">
        <v>3896</v>
      </c>
      <c r="AA796">
        <v>1.27</v>
      </c>
      <c r="AB796">
        <v>293</v>
      </c>
      <c r="AC796">
        <v>277</v>
      </c>
      <c r="AD796">
        <v>2.12</v>
      </c>
      <c r="AE796" t="s">
        <v>3364</v>
      </c>
      <c r="AF796" t="s">
        <v>542</v>
      </c>
      <c r="AG796" t="s">
        <v>2268</v>
      </c>
      <c r="AH796" t="s">
        <v>729</v>
      </c>
      <c r="AI796">
        <v>0.33</v>
      </c>
      <c r="AJ796">
        <v>5.21</v>
      </c>
      <c r="AK796">
        <v>6.09</v>
      </c>
      <c r="AL796">
        <v>13.32</v>
      </c>
    </row>
    <row r="797" spans="1:38" x14ac:dyDescent="0.25">
      <c r="A797">
        <v>796</v>
      </c>
      <c r="B797" t="str">
        <f xml:space="preserve"> "002581"</f>
        <v>002581</v>
      </c>
      <c r="C797" t="s">
        <v>3897</v>
      </c>
      <c r="D797">
        <v>22.56</v>
      </c>
      <c r="E797">
        <v>1.58</v>
      </c>
      <c r="F797">
        <v>0.35</v>
      </c>
      <c r="G797" t="s">
        <v>506</v>
      </c>
      <c r="H797">
        <v>324</v>
      </c>
      <c r="I797">
        <v>22.56</v>
      </c>
      <c r="J797">
        <v>22.57</v>
      </c>
      <c r="K797">
        <v>0</v>
      </c>
      <c r="L797">
        <v>0.8</v>
      </c>
      <c r="M797" t="s">
        <v>3898</v>
      </c>
      <c r="N797">
        <v>42.09</v>
      </c>
      <c r="O797" t="s">
        <v>392</v>
      </c>
      <c r="P797">
        <v>22.79</v>
      </c>
      <c r="Q797">
        <v>22.14</v>
      </c>
      <c r="R797">
        <v>22.2</v>
      </c>
      <c r="S797">
        <v>22.21</v>
      </c>
      <c r="T797">
        <v>2.93</v>
      </c>
      <c r="U797">
        <v>1.25</v>
      </c>
      <c r="V797">
        <v>-72.09</v>
      </c>
      <c r="W797">
        <v>-465</v>
      </c>
      <c r="X797">
        <v>22.51</v>
      </c>
      <c r="Y797" t="s">
        <v>2002</v>
      </c>
      <c r="Z797" t="s">
        <v>3483</v>
      </c>
      <c r="AA797">
        <v>0.54</v>
      </c>
      <c r="AB797">
        <v>4</v>
      </c>
      <c r="AC797">
        <v>101</v>
      </c>
      <c r="AD797">
        <v>5.62</v>
      </c>
      <c r="AE797" t="s">
        <v>3899</v>
      </c>
      <c r="AF797" t="s">
        <v>542</v>
      </c>
      <c r="AG797" t="s">
        <v>1922</v>
      </c>
      <c r="AH797" t="s">
        <v>3900</v>
      </c>
      <c r="AI797">
        <v>-1.27</v>
      </c>
      <c r="AJ797">
        <v>1.21</v>
      </c>
      <c r="AK797">
        <v>2</v>
      </c>
      <c r="AL797">
        <v>3.98</v>
      </c>
    </row>
    <row r="798" spans="1:38" x14ac:dyDescent="0.25">
      <c r="A798">
        <v>797</v>
      </c>
      <c r="B798" t="str">
        <f xml:space="preserve"> "600058"</f>
        <v>600058</v>
      </c>
      <c r="C798" t="s">
        <v>3901</v>
      </c>
      <c r="D798">
        <v>13.88</v>
      </c>
      <c r="E798">
        <v>0.73</v>
      </c>
      <c r="F798">
        <v>0.1</v>
      </c>
      <c r="G798" t="s">
        <v>3168</v>
      </c>
      <c r="H798">
        <v>10</v>
      </c>
      <c r="I798">
        <v>13.87</v>
      </c>
      <c r="J798">
        <v>13.88</v>
      </c>
      <c r="K798">
        <v>7.0000000000000007E-2</v>
      </c>
      <c r="L798">
        <v>0.4</v>
      </c>
      <c r="M798" t="s">
        <v>3902</v>
      </c>
      <c r="N798">
        <v>395.42</v>
      </c>
      <c r="O798" t="s">
        <v>2001</v>
      </c>
      <c r="P798">
        <v>13.9</v>
      </c>
      <c r="Q798">
        <v>13.7</v>
      </c>
      <c r="R798">
        <v>13.7</v>
      </c>
      <c r="S798">
        <v>13.78</v>
      </c>
      <c r="T798">
        <v>1.45</v>
      </c>
      <c r="U798">
        <v>0.83</v>
      </c>
      <c r="V798">
        <v>-42.51</v>
      </c>
      <c r="W798">
        <v>-731</v>
      </c>
      <c r="X798">
        <v>13.8</v>
      </c>
      <c r="Y798" t="s">
        <v>2932</v>
      </c>
      <c r="Z798" t="s">
        <v>3892</v>
      </c>
      <c r="AA798">
        <v>1.17</v>
      </c>
      <c r="AB798">
        <v>13</v>
      </c>
      <c r="AC798">
        <v>193</v>
      </c>
      <c r="AD798">
        <v>2.96</v>
      </c>
      <c r="AE798" t="s">
        <v>1429</v>
      </c>
      <c r="AF798" t="s">
        <v>542</v>
      </c>
      <c r="AG798" t="s">
        <v>1429</v>
      </c>
      <c r="AH798" t="s">
        <v>542</v>
      </c>
      <c r="AI798">
        <v>-0.56999999999999995</v>
      </c>
      <c r="AJ798">
        <v>1.24</v>
      </c>
      <c r="AK798">
        <v>1.43</v>
      </c>
      <c r="AL798">
        <v>2.8</v>
      </c>
    </row>
    <row r="799" spans="1:38" x14ac:dyDescent="0.25">
      <c r="A799">
        <v>798</v>
      </c>
      <c r="B799" t="str">
        <f xml:space="preserve"> "600110"</f>
        <v>600110</v>
      </c>
      <c r="C799" t="s">
        <v>3903</v>
      </c>
      <c r="D799">
        <v>12.9</v>
      </c>
      <c r="E799">
        <v>1.26</v>
      </c>
      <c r="F799">
        <v>0.16</v>
      </c>
      <c r="G799" t="s">
        <v>3904</v>
      </c>
      <c r="H799">
        <v>10</v>
      </c>
      <c r="I799">
        <v>12.89</v>
      </c>
      <c r="J799">
        <v>12.9</v>
      </c>
      <c r="K799">
        <v>0.08</v>
      </c>
      <c r="L799">
        <v>2.2000000000000002</v>
      </c>
      <c r="M799" t="s">
        <v>3905</v>
      </c>
      <c r="N799">
        <v>64.489999999999995</v>
      </c>
      <c r="O799" t="s">
        <v>859</v>
      </c>
      <c r="P799">
        <v>12.93</v>
      </c>
      <c r="Q799">
        <v>12.72</v>
      </c>
      <c r="R799">
        <v>12.73</v>
      </c>
      <c r="S799">
        <v>12.74</v>
      </c>
      <c r="T799">
        <v>1.65</v>
      </c>
      <c r="U799">
        <v>0.56000000000000005</v>
      </c>
      <c r="V799">
        <v>-17.54</v>
      </c>
      <c r="W799">
        <v>-2421</v>
      </c>
      <c r="X799">
        <v>12.86</v>
      </c>
      <c r="Y799" t="s">
        <v>630</v>
      </c>
      <c r="Z799" t="s">
        <v>194</v>
      </c>
      <c r="AA799">
        <v>1.03</v>
      </c>
      <c r="AB799">
        <v>976</v>
      </c>
      <c r="AC799">
        <v>915</v>
      </c>
      <c r="AD799">
        <v>7.47</v>
      </c>
      <c r="AE799" t="s">
        <v>2388</v>
      </c>
      <c r="AF799" t="s">
        <v>3717</v>
      </c>
      <c r="AG799" t="s">
        <v>2388</v>
      </c>
      <c r="AH799" t="s">
        <v>3717</v>
      </c>
      <c r="AI799">
        <v>-3.23</v>
      </c>
      <c r="AJ799">
        <v>-1.6</v>
      </c>
      <c r="AK799">
        <v>8.69</v>
      </c>
      <c r="AL799">
        <v>22.07</v>
      </c>
    </row>
    <row r="800" spans="1:38" x14ac:dyDescent="0.25">
      <c r="A800">
        <v>799</v>
      </c>
      <c r="B800" t="str">
        <f xml:space="preserve"> "000056"</f>
        <v>000056</v>
      </c>
      <c r="C800" t="s">
        <v>3906</v>
      </c>
      <c r="D800">
        <v>12.62</v>
      </c>
      <c r="E800">
        <v>-0.63</v>
      </c>
      <c r="F800">
        <v>-0.08</v>
      </c>
      <c r="G800">
        <v>7391</v>
      </c>
      <c r="H800">
        <v>71</v>
      </c>
      <c r="I800">
        <v>12.62</v>
      </c>
      <c r="J800">
        <v>12.68</v>
      </c>
      <c r="K800">
        <v>-0.55000000000000004</v>
      </c>
      <c r="L800">
        <v>0.26</v>
      </c>
      <c r="M800" t="s">
        <v>3907</v>
      </c>
      <c r="N800">
        <v>75.819999999999993</v>
      </c>
      <c r="O800" t="s">
        <v>244</v>
      </c>
      <c r="P800">
        <v>12.74</v>
      </c>
      <c r="Q800">
        <v>12.6</v>
      </c>
      <c r="R800">
        <v>12.74</v>
      </c>
      <c r="S800">
        <v>12.7</v>
      </c>
      <c r="T800">
        <v>1.1000000000000001</v>
      </c>
      <c r="U800">
        <v>0.47</v>
      </c>
      <c r="V800">
        <v>-51.47</v>
      </c>
      <c r="W800">
        <v>-1033</v>
      </c>
      <c r="X800">
        <v>12.66</v>
      </c>
      <c r="Y800">
        <v>3872</v>
      </c>
      <c r="Z800">
        <v>3519</v>
      </c>
      <c r="AA800">
        <v>1.1000000000000001</v>
      </c>
      <c r="AB800">
        <v>8</v>
      </c>
      <c r="AC800">
        <v>22</v>
      </c>
      <c r="AD800">
        <v>2.75</v>
      </c>
      <c r="AE800" t="s">
        <v>896</v>
      </c>
      <c r="AF800" t="s">
        <v>3717</v>
      </c>
      <c r="AG800" t="s">
        <v>3908</v>
      </c>
      <c r="AH800" t="s">
        <v>3649</v>
      </c>
      <c r="AI800">
        <v>-1.71</v>
      </c>
      <c r="AJ800">
        <v>1.69</v>
      </c>
      <c r="AK800">
        <v>0.82</v>
      </c>
      <c r="AL800">
        <v>3.03</v>
      </c>
    </row>
    <row r="801" spans="1:38" x14ac:dyDescent="0.25">
      <c r="A801">
        <v>800</v>
      </c>
      <c r="B801" t="str">
        <f xml:space="preserve"> "600664"</f>
        <v>600664</v>
      </c>
      <c r="C801" t="s">
        <v>3909</v>
      </c>
      <c r="D801" t="s">
        <v>616</v>
      </c>
      <c r="E801" t="s">
        <v>616</v>
      </c>
      <c r="F801" t="s">
        <v>616</v>
      </c>
      <c r="G801" t="s">
        <v>616</v>
      </c>
      <c r="H801" t="s">
        <v>616</v>
      </c>
      <c r="I801" t="s">
        <v>616</v>
      </c>
      <c r="J801" t="s">
        <v>616</v>
      </c>
      <c r="K801" t="s">
        <v>616</v>
      </c>
      <c r="L801" t="s">
        <v>616</v>
      </c>
      <c r="M801" t="s">
        <v>616</v>
      </c>
      <c r="N801">
        <v>21.32</v>
      </c>
      <c r="O801" t="s">
        <v>392</v>
      </c>
      <c r="P801" t="s">
        <v>616</v>
      </c>
      <c r="Q801" t="s">
        <v>616</v>
      </c>
      <c r="R801" t="s">
        <v>616</v>
      </c>
      <c r="S801">
        <v>5.81</v>
      </c>
      <c r="T801" t="s">
        <v>616</v>
      </c>
      <c r="U801" t="s">
        <v>616</v>
      </c>
      <c r="V801" t="s">
        <v>616</v>
      </c>
      <c r="W801" t="s">
        <v>616</v>
      </c>
      <c r="X801" t="s">
        <v>616</v>
      </c>
      <c r="Y801" t="s">
        <v>616</v>
      </c>
      <c r="Z801" t="s">
        <v>616</v>
      </c>
      <c r="AA801" t="s">
        <v>616</v>
      </c>
      <c r="AB801" t="s">
        <v>616</v>
      </c>
      <c r="AC801" t="s">
        <v>616</v>
      </c>
      <c r="AD801">
        <v>2.13</v>
      </c>
      <c r="AE801" t="s">
        <v>2376</v>
      </c>
      <c r="AF801" t="s">
        <v>3717</v>
      </c>
      <c r="AG801" t="s">
        <v>2589</v>
      </c>
      <c r="AH801" t="s">
        <v>575</v>
      </c>
      <c r="AI801">
        <v>0</v>
      </c>
      <c r="AJ801">
        <v>0</v>
      </c>
      <c r="AK801">
        <v>0</v>
      </c>
      <c r="AL801">
        <v>0</v>
      </c>
    </row>
    <row r="802" spans="1:38" x14ac:dyDescent="0.25">
      <c r="A802">
        <v>801</v>
      </c>
      <c r="B802" t="str">
        <f xml:space="preserve"> "000758"</f>
        <v>000758</v>
      </c>
      <c r="C802" t="s">
        <v>3910</v>
      </c>
      <c r="D802">
        <v>7.52</v>
      </c>
      <c r="E802">
        <v>0.53</v>
      </c>
      <c r="F802">
        <v>0.04</v>
      </c>
      <c r="G802" t="s">
        <v>1814</v>
      </c>
      <c r="H802">
        <v>3391</v>
      </c>
      <c r="I802">
        <v>7.51</v>
      </c>
      <c r="J802">
        <v>7.52</v>
      </c>
      <c r="K802">
        <v>0.13</v>
      </c>
      <c r="L802">
        <v>0.51</v>
      </c>
      <c r="M802" t="s">
        <v>3911</v>
      </c>
      <c r="N802">
        <v>42.45</v>
      </c>
      <c r="O802" t="s">
        <v>449</v>
      </c>
      <c r="P802">
        <v>7.54</v>
      </c>
      <c r="Q802">
        <v>7.44</v>
      </c>
      <c r="R802">
        <v>7.44</v>
      </c>
      <c r="S802">
        <v>7.48</v>
      </c>
      <c r="T802">
        <v>1.34</v>
      </c>
      <c r="U802">
        <v>0.71</v>
      </c>
      <c r="V802">
        <v>-47.56</v>
      </c>
      <c r="W802" t="s">
        <v>3912</v>
      </c>
      <c r="X802">
        <v>7.5</v>
      </c>
      <c r="Y802" t="s">
        <v>656</v>
      </c>
      <c r="Z802" t="s">
        <v>2987</v>
      </c>
      <c r="AA802">
        <v>0.97</v>
      </c>
      <c r="AB802">
        <v>1214</v>
      </c>
      <c r="AC802">
        <v>3782</v>
      </c>
      <c r="AD802">
        <v>2.84</v>
      </c>
      <c r="AE802" t="s">
        <v>1216</v>
      </c>
      <c r="AF802" t="s">
        <v>3717</v>
      </c>
      <c r="AG802" t="s">
        <v>1216</v>
      </c>
      <c r="AH802" t="s">
        <v>3717</v>
      </c>
      <c r="AI802">
        <v>-0.27</v>
      </c>
      <c r="AJ802">
        <v>2.04</v>
      </c>
      <c r="AK802">
        <v>1.9</v>
      </c>
      <c r="AL802">
        <v>4.1500000000000004</v>
      </c>
    </row>
    <row r="803" spans="1:38" x14ac:dyDescent="0.25">
      <c r="A803">
        <v>802</v>
      </c>
      <c r="B803" t="str">
        <f xml:space="preserve"> "600640"</f>
        <v>600640</v>
      </c>
      <c r="C803" t="s">
        <v>3913</v>
      </c>
      <c r="D803">
        <v>18.61</v>
      </c>
      <c r="E803">
        <v>-1.38</v>
      </c>
      <c r="F803">
        <v>-0.26</v>
      </c>
      <c r="G803" t="s">
        <v>3914</v>
      </c>
      <c r="H803">
        <v>18</v>
      </c>
      <c r="I803">
        <v>18.600000000000001</v>
      </c>
      <c r="J803">
        <v>18.62</v>
      </c>
      <c r="K803">
        <v>0.05</v>
      </c>
      <c r="L803">
        <v>0.5</v>
      </c>
      <c r="M803" t="s">
        <v>3915</v>
      </c>
      <c r="N803">
        <v>57.75</v>
      </c>
      <c r="O803" t="s">
        <v>951</v>
      </c>
      <c r="P803">
        <v>18.95</v>
      </c>
      <c r="Q803">
        <v>18.559999999999999</v>
      </c>
      <c r="R803">
        <v>18.95</v>
      </c>
      <c r="S803">
        <v>18.87</v>
      </c>
      <c r="T803">
        <v>2.0699999999999998</v>
      </c>
      <c r="U803">
        <v>0.65</v>
      </c>
      <c r="V803">
        <v>35.619999999999997</v>
      </c>
      <c r="W803">
        <v>446</v>
      </c>
      <c r="X803">
        <v>18.649999999999999</v>
      </c>
      <c r="Y803" t="s">
        <v>3130</v>
      </c>
      <c r="Z803">
        <v>9945</v>
      </c>
      <c r="AA803">
        <v>1.7</v>
      </c>
      <c r="AB803">
        <v>25</v>
      </c>
      <c r="AC803">
        <v>82</v>
      </c>
      <c r="AD803">
        <v>3.43</v>
      </c>
      <c r="AE803" t="s">
        <v>3916</v>
      </c>
      <c r="AF803" t="s">
        <v>3717</v>
      </c>
      <c r="AG803" t="s">
        <v>3917</v>
      </c>
      <c r="AH803" t="s">
        <v>3918</v>
      </c>
      <c r="AI803">
        <v>-0.37</v>
      </c>
      <c r="AJ803">
        <v>2.7</v>
      </c>
      <c r="AK803">
        <v>2.36</v>
      </c>
      <c r="AL803">
        <v>4.34</v>
      </c>
    </row>
    <row r="804" spans="1:38" x14ac:dyDescent="0.25">
      <c r="A804">
        <v>803</v>
      </c>
      <c r="B804" t="str">
        <f xml:space="preserve"> "002390"</f>
        <v>002390</v>
      </c>
      <c r="C804" t="s">
        <v>3919</v>
      </c>
      <c r="D804">
        <v>8.68</v>
      </c>
      <c r="E804">
        <v>1.17</v>
      </c>
      <c r="F804">
        <v>0.1</v>
      </c>
      <c r="G804" t="s">
        <v>1012</v>
      </c>
      <c r="H804">
        <v>477</v>
      </c>
      <c r="I804">
        <v>8.67</v>
      </c>
      <c r="J804">
        <v>8.68</v>
      </c>
      <c r="K804">
        <v>0</v>
      </c>
      <c r="L804">
        <v>0.78</v>
      </c>
      <c r="M804" t="s">
        <v>3920</v>
      </c>
      <c r="N804">
        <v>50.5</v>
      </c>
      <c r="O804" t="s">
        <v>392</v>
      </c>
      <c r="P804">
        <v>8.74</v>
      </c>
      <c r="Q804">
        <v>8.5399999999999991</v>
      </c>
      <c r="R804">
        <v>8.56</v>
      </c>
      <c r="S804">
        <v>8.58</v>
      </c>
      <c r="T804">
        <v>2.33</v>
      </c>
      <c r="U804">
        <v>0.98</v>
      </c>
      <c r="V804">
        <v>-21.38</v>
      </c>
      <c r="W804">
        <v>-1245</v>
      </c>
      <c r="X804">
        <v>8.68</v>
      </c>
      <c r="Y804" t="s">
        <v>1949</v>
      </c>
      <c r="Z804" t="s">
        <v>2930</v>
      </c>
      <c r="AA804">
        <v>0.57999999999999996</v>
      </c>
      <c r="AB804">
        <v>147</v>
      </c>
      <c r="AC804">
        <v>371</v>
      </c>
      <c r="AD804">
        <v>2.2999999999999998</v>
      </c>
      <c r="AE804" t="s">
        <v>909</v>
      </c>
      <c r="AF804" t="s">
        <v>3717</v>
      </c>
      <c r="AG804" t="s">
        <v>1766</v>
      </c>
      <c r="AH804" t="s">
        <v>3921</v>
      </c>
      <c r="AI804">
        <v>-0.8</v>
      </c>
      <c r="AJ804">
        <v>3.83</v>
      </c>
      <c r="AK804">
        <v>2.66</v>
      </c>
      <c r="AL804">
        <v>4.7699999999999996</v>
      </c>
    </row>
    <row r="805" spans="1:38" x14ac:dyDescent="0.25">
      <c r="A805">
        <v>804</v>
      </c>
      <c r="B805" t="str">
        <f xml:space="preserve"> "300367"</f>
        <v>300367</v>
      </c>
      <c r="C805" t="s">
        <v>3922</v>
      </c>
      <c r="D805">
        <v>17.28</v>
      </c>
      <c r="E805">
        <v>-1.2</v>
      </c>
      <c r="F805">
        <v>-0.21</v>
      </c>
      <c r="G805" t="s">
        <v>3396</v>
      </c>
      <c r="H805">
        <v>1164</v>
      </c>
      <c r="I805">
        <v>17.28</v>
      </c>
      <c r="J805">
        <v>17.29</v>
      </c>
      <c r="K805">
        <v>0</v>
      </c>
      <c r="L805">
        <v>2.04</v>
      </c>
      <c r="M805" t="s">
        <v>3923</v>
      </c>
      <c r="N805">
        <v>70.81</v>
      </c>
      <c r="O805" t="s">
        <v>205</v>
      </c>
      <c r="P805">
        <v>17.53</v>
      </c>
      <c r="Q805">
        <v>17.100000000000001</v>
      </c>
      <c r="R805">
        <v>17.48</v>
      </c>
      <c r="S805">
        <v>17.489999999999998</v>
      </c>
      <c r="T805">
        <v>2.46</v>
      </c>
      <c r="U805">
        <v>0.79</v>
      </c>
      <c r="V805">
        <v>-14.99</v>
      </c>
      <c r="W805">
        <v>-278</v>
      </c>
      <c r="X805">
        <v>17.25</v>
      </c>
      <c r="Y805" t="s">
        <v>3111</v>
      </c>
      <c r="Z805" t="s">
        <v>2451</v>
      </c>
      <c r="AA805">
        <v>1.72</v>
      </c>
      <c r="AB805">
        <v>469</v>
      </c>
      <c r="AC805">
        <v>645</v>
      </c>
      <c r="AD805">
        <v>4.4800000000000004</v>
      </c>
      <c r="AE805" t="s">
        <v>2980</v>
      </c>
      <c r="AF805" t="s">
        <v>3717</v>
      </c>
      <c r="AG805" t="s">
        <v>3924</v>
      </c>
      <c r="AH805" t="s">
        <v>3925</v>
      </c>
      <c r="AI805">
        <v>-3.57</v>
      </c>
      <c r="AJ805">
        <v>0.99</v>
      </c>
      <c r="AK805">
        <v>6.42</v>
      </c>
      <c r="AL805">
        <v>14.99</v>
      </c>
    </row>
    <row r="806" spans="1:38" x14ac:dyDescent="0.25">
      <c r="A806">
        <v>805</v>
      </c>
      <c r="B806" t="str">
        <f xml:space="preserve"> "600240"</f>
        <v>600240</v>
      </c>
      <c r="C806" t="s">
        <v>3926</v>
      </c>
      <c r="D806">
        <v>10.38</v>
      </c>
      <c r="E806">
        <v>0</v>
      </c>
      <c r="F806">
        <v>0</v>
      </c>
      <c r="G806" t="s">
        <v>2900</v>
      </c>
      <c r="H806">
        <v>83</v>
      </c>
      <c r="I806">
        <v>10.37</v>
      </c>
      <c r="J806">
        <v>10.38</v>
      </c>
      <c r="K806">
        <v>0.1</v>
      </c>
      <c r="L806">
        <v>0.38</v>
      </c>
      <c r="M806" t="s">
        <v>3927</v>
      </c>
      <c r="N806">
        <v>8.7799999999999994</v>
      </c>
      <c r="O806" t="s">
        <v>244</v>
      </c>
      <c r="P806">
        <v>10.43</v>
      </c>
      <c r="Q806">
        <v>10.3</v>
      </c>
      <c r="R806">
        <v>10.3</v>
      </c>
      <c r="S806">
        <v>10.38</v>
      </c>
      <c r="T806">
        <v>1.25</v>
      </c>
      <c r="U806">
        <v>0.61</v>
      </c>
      <c r="V806">
        <v>-65.16</v>
      </c>
      <c r="W806">
        <v>-3330</v>
      </c>
      <c r="X806">
        <v>10.36</v>
      </c>
      <c r="Y806" t="s">
        <v>2427</v>
      </c>
      <c r="Z806" t="s">
        <v>3579</v>
      </c>
      <c r="AA806">
        <v>1.48</v>
      </c>
      <c r="AB806">
        <v>63</v>
      </c>
      <c r="AC806">
        <v>567</v>
      </c>
      <c r="AD806">
        <v>2.3199999999999998</v>
      </c>
      <c r="AE806" t="s">
        <v>1202</v>
      </c>
      <c r="AF806" t="s">
        <v>3717</v>
      </c>
      <c r="AG806" t="s">
        <v>1202</v>
      </c>
      <c r="AH806" t="s">
        <v>3717</v>
      </c>
      <c r="AI806">
        <v>-0.76</v>
      </c>
      <c r="AJ806">
        <v>1.96</v>
      </c>
      <c r="AK806">
        <v>1.5</v>
      </c>
      <c r="AL806">
        <v>3.49</v>
      </c>
    </row>
    <row r="807" spans="1:38" x14ac:dyDescent="0.25">
      <c r="A807">
        <v>806</v>
      </c>
      <c r="B807" t="str">
        <f xml:space="preserve"> "600970"</f>
        <v>600970</v>
      </c>
      <c r="C807" t="s">
        <v>3928</v>
      </c>
      <c r="D807">
        <v>8.4</v>
      </c>
      <c r="E807">
        <v>0.96</v>
      </c>
      <c r="F807">
        <v>0.08</v>
      </c>
      <c r="G807" t="s">
        <v>184</v>
      </c>
      <c r="H807">
        <v>30</v>
      </c>
      <c r="I807">
        <v>8.39</v>
      </c>
      <c r="J807">
        <v>8.4</v>
      </c>
      <c r="K807">
        <v>0</v>
      </c>
      <c r="L807">
        <v>0.83</v>
      </c>
      <c r="M807" t="s">
        <v>1606</v>
      </c>
      <c r="N807">
        <v>16.54</v>
      </c>
      <c r="O807" t="s">
        <v>562</v>
      </c>
      <c r="P807">
        <v>8.43</v>
      </c>
      <c r="Q807">
        <v>8.35</v>
      </c>
      <c r="R807">
        <v>8.35</v>
      </c>
      <c r="S807">
        <v>8.32</v>
      </c>
      <c r="T807">
        <v>0.96</v>
      </c>
      <c r="U807">
        <v>1.04</v>
      </c>
      <c r="V807">
        <v>-38.24</v>
      </c>
      <c r="W807">
        <v>-8875</v>
      </c>
      <c r="X807">
        <v>8.4</v>
      </c>
      <c r="Y807" t="s">
        <v>3750</v>
      </c>
      <c r="Z807" t="s">
        <v>3929</v>
      </c>
      <c r="AA807">
        <v>0.85</v>
      </c>
      <c r="AB807">
        <v>1221</v>
      </c>
      <c r="AC807">
        <v>146</v>
      </c>
      <c r="AD807">
        <v>2.04</v>
      </c>
      <c r="AE807" t="s">
        <v>2314</v>
      </c>
      <c r="AF807" t="s">
        <v>812</v>
      </c>
      <c r="AG807" t="s">
        <v>3026</v>
      </c>
      <c r="AH807" t="s">
        <v>1580</v>
      </c>
      <c r="AI807">
        <v>-0.59</v>
      </c>
      <c r="AJ807">
        <v>1.69</v>
      </c>
      <c r="AK807">
        <v>2.62</v>
      </c>
      <c r="AL807">
        <v>4.83</v>
      </c>
    </row>
    <row r="808" spans="1:38" x14ac:dyDescent="0.25">
      <c r="A808">
        <v>807</v>
      </c>
      <c r="B808" t="str">
        <f xml:space="preserve"> "300529"</f>
        <v>300529</v>
      </c>
      <c r="C808" t="s">
        <v>3930</v>
      </c>
      <c r="D808">
        <v>35.33</v>
      </c>
      <c r="E808">
        <v>7.19</v>
      </c>
      <c r="F808">
        <v>2.37</v>
      </c>
      <c r="G808" t="s">
        <v>721</v>
      </c>
      <c r="H808">
        <v>1110</v>
      </c>
      <c r="I808">
        <v>35.33</v>
      </c>
      <c r="J808">
        <v>35.340000000000003</v>
      </c>
      <c r="K808">
        <v>0</v>
      </c>
      <c r="L808">
        <v>5.61</v>
      </c>
      <c r="M808" t="s">
        <v>883</v>
      </c>
      <c r="N808">
        <v>49.39</v>
      </c>
      <c r="O808" t="s">
        <v>1552</v>
      </c>
      <c r="P808">
        <v>35.9</v>
      </c>
      <c r="Q808">
        <v>33</v>
      </c>
      <c r="R808">
        <v>33</v>
      </c>
      <c r="S808">
        <v>32.96</v>
      </c>
      <c r="T808">
        <v>8.8000000000000007</v>
      </c>
      <c r="U808">
        <v>2.5099999999999998</v>
      </c>
      <c r="V808">
        <v>-65.3</v>
      </c>
      <c r="W808">
        <v>-959</v>
      </c>
      <c r="X808">
        <v>34.85</v>
      </c>
      <c r="Y808" t="s">
        <v>3931</v>
      </c>
      <c r="Z808" t="s">
        <v>2266</v>
      </c>
      <c r="AA808">
        <v>0.68</v>
      </c>
      <c r="AB808">
        <v>29</v>
      </c>
      <c r="AC808">
        <v>140</v>
      </c>
      <c r="AD808">
        <v>11.75</v>
      </c>
      <c r="AE808" t="s">
        <v>3932</v>
      </c>
      <c r="AF808" t="s">
        <v>812</v>
      </c>
      <c r="AG808" t="s">
        <v>1635</v>
      </c>
      <c r="AH808" t="s">
        <v>3933</v>
      </c>
      <c r="AI808">
        <v>5.46</v>
      </c>
      <c r="AJ808">
        <v>7.03</v>
      </c>
      <c r="AK808">
        <v>11.4</v>
      </c>
      <c r="AL808">
        <v>16.77</v>
      </c>
    </row>
    <row r="809" spans="1:38" x14ac:dyDescent="0.25">
      <c r="A809">
        <v>808</v>
      </c>
      <c r="B809" t="str">
        <f xml:space="preserve"> "600138"</f>
        <v>600138</v>
      </c>
      <c r="C809" t="s">
        <v>3934</v>
      </c>
      <c r="D809">
        <v>20.329999999999998</v>
      </c>
      <c r="E809">
        <v>0.64</v>
      </c>
      <c r="F809">
        <v>0.13</v>
      </c>
      <c r="G809" t="s">
        <v>699</v>
      </c>
      <c r="H809">
        <v>17</v>
      </c>
      <c r="I809">
        <v>20.32</v>
      </c>
      <c r="J809">
        <v>20.329999999999998</v>
      </c>
      <c r="K809">
        <v>0.05</v>
      </c>
      <c r="L809">
        <v>0.61</v>
      </c>
      <c r="M809" t="s">
        <v>3935</v>
      </c>
      <c r="N809">
        <v>21.21</v>
      </c>
      <c r="O809" t="s">
        <v>951</v>
      </c>
      <c r="P809">
        <v>20.41</v>
      </c>
      <c r="Q809">
        <v>20.149999999999999</v>
      </c>
      <c r="R809">
        <v>20.22</v>
      </c>
      <c r="S809">
        <v>20.2</v>
      </c>
      <c r="T809">
        <v>1.29</v>
      </c>
      <c r="U809">
        <v>0.49</v>
      </c>
      <c r="V809">
        <v>-19.71</v>
      </c>
      <c r="W809">
        <v>-664</v>
      </c>
      <c r="X809">
        <v>20.309999999999999</v>
      </c>
      <c r="Y809" t="s">
        <v>1381</v>
      </c>
      <c r="Z809" t="s">
        <v>3090</v>
      </c>
      <c r="AA809">
        <v>0.85</v>
      </c>
      <c r="AB809">
        <v>22</v>
      </c>
      <c r="AC809">
        <v>22</v>
      </c>
      <c r="AD809">
        <v>2.78</v>
      </c>
      <c r="AE809" t="s">
        <v>3936</v>
      </c>
      <c r="AF809" t="s">
        <v>812</v>
      </c>
      <c r="AG809" t="s">
        <v>3936</v>
      </c>
      <c r="AH809" t="s">
        <v>812</v>
      </c>
      <c r="AI809">
        <v>-0.73</v>
      </c>
      <c r="AJ809">
        <v>-3.19</v>
      </c>
      <c r="AK809">
        <v>2.38</v>
      </c>
      <c r="AL809">
        <v>6.84</v>
      </c>
    </row>
    <row r="810" spans="1:38" x14ac:dyDescent="0.25">
      <c r="A810">
        <v>809</v>
      </c>
      <c r="B810" t="str">
        <f xml:space="preserve"> "002242"</f>
        <v>002242</v>
      </c>
      <c r="C810" t="s">
        <v>3937</v>
      </c>
      <c r="D810">
        <v>19.170000000000002</v>
      </c>
      <c r="E810">
        <v>-0.16</v>
      </c>
      <c r="F810">
        <v>-0.03</v>
      </c>
      <c r="G810" t="s">
        <v>2458</v>
      </c>
      <c r="H810">
        <v>718</v>
      </c>
      <c r="I810">
        <v>19.170000000000002</v>
      </c>
      <c r="J810">
        <v>19.18</v>
      </c>
      <c r="K810">
        <v>0</v>
      </c>
      <c r="L810">
        <v>0.49</v>
      </c>
      <c r="M810" t="s">
        <v>3938</v>
      </c>
      <c r="N810">
        <v>20.37</v>
      </c>
      <c r="O810" t="s">
        <v>215</v>
      </c>
      <c r="P810">
        <v>19.22</v>
      </c>
      <c r="Q810">
        <v>19.07</v>
      </c>
      <c r="R810">
        <v>19.18</v>
      </c>
      <c r="S810">
        <v>19.2</v>
      </c>
      <c r="T810">
        <v>0.78</v>
      </c>
      <c r="U810">
        <v>0.68</v>
      </c>
      <c r="V810">
        <v>-15.74</v>
      </c>
      <c r="W810">
        <v>-363</v>
      </c>
      <c r="X810">
        <v>19.14</v>
      </c>
      <c r="Y810" t="s">
        <v>394</v>
      </c>
      <c r="Z810" t="s">
        <v>2453</v>
      </c>
      <c r="AA810">
        <v>1.54</v>
      </c>
      <c r="AB810">
        <v>92</v>
      </c>
      <c r="AC810">
        <v>703</v>
      </c>
      <c r="AD810">
        <v>3.87</v>
      </c>
      <c r="AE810" t="s">
        <v>3939</v>
      </c>
      <c r="AF810" t="s">
        <v>812</v>
      </c>
      <c r="AG810" t="s">
        <v>2813</v>
      </c>
      <c r="AH810" t="s">
        <v>812</v>
      </c>
      <c r="AI810">
        <v>-1.39</v>
      </c>
      <c r="AJ810">
        <v>-0.31</v>
      </c>
      <c r="AK810">
        <v>1.85</v>
      </c>
      <c r="AL810">
        <v>4.0999999999999996</v>
      </c>
    </row>
    <row r="811" spans="1:38" x14ac:dyDescent="0.25">
      <c r="A811">
        <v>810</v>
      </c>
      <c r="B811" t="str">
        <f xml:space="preserve"> "002821"</f>
        <v>002821</v>
      </c>
      <c r="C811" t="s">
        <v>3940</v>
      </c>
      <c r="D811">
        <v>63.9</v>
      </c>
      <c r="E811">
        <v>0.98</v>
      </c>
      <c r="F811">
        <v>0.62</v>
      </c>
      <c r="G811" t="s">
        <v>3941</v>
      </c>
      <c r="H811">
        <v>94</v>
      </c>
      <c r="I811">
        <v>63.7</v>
      </c>
      <c r="J811">
        <v>63.9</v>
      </c>
      <c r="K811">
        <v>0.36</v>
      </c>
      <c r="L811">
        <v>2.5099999999999998</v>
      </c>
      <c r="M811" t="s">
        <v>3942</v>
      </c>
      <c r="N811">
        <v>58.91</v>
      </c>
      <c r="O811" t="s">
        <v>1552</v>
      </c>
      <c r="P811">
        <v>64.8</v>
      </c>
      <c r="Q811">
        <v>62.6</v>
      </c>
      <c r="R811">
        <v>62.88</v>
      </c>
      <c r="S811">
        <v>63.28</v>
      </c>
      <c r="T811">
        <v>3.48</v>
      </c>
      <c r="U811">
        <v>0.86</v>
      </c>
      <c r="V811">
        <v>0</v>
      </c>
      <c r="W811">
        <v>0</v>
      </c>
      <c r="X811">
        <v>63.78</v>
      </c>
      <c r="Y811">
        <v>4912</v>
      </c>
      <c r="Z811">
        <v>6568</v>
      </c>
      <c r="AA811">
        <v>0.75</v>
      </c>
      <c r="AB811">
        <v>10</v>
      </c>
      <c r="AC811">
        <v>8</v>
      </c>
      <c r="AD811">
        <v>8.01</v>
      </c>
      <c r="AE811" t="s">
        <v>2845</v>
      </c>
      <c r="AF811" t="s">
        <v>812</v>
      </c>
      <c r="AG811" t="s">
        <v>3943</v>
      </c>
      <c r="AH811" t="s">
        <v>1644</v>
      </c>
      <c r="AI811">
        <v>-0.88</v>
      </c>
      <c r="AJ811">
        <v>5.45</v>
      </c>
      <c r="AK811">
        <v>7.66</v>
      </c>
      <c r="AL811">
        <v>17.12</v>
      </c>
    </row>
    <row r="812" spans="1:38" x14ac:dyDescent="0.25">
      <c r="A812">
        <v>811</v>
      </c>
      <c r="B812" t="str">
        <f xml:space="preserve"> "002358"</f>
        <v>002358</v>
      </c>
      <c r="C812" t="s">
        <v>3944</v>
      </c>
      <c r="D812">
        <v>15.79</v>
      </c>
      <c r="E812">
        <v>0.51</v>
      </c>
      <c r="F812">
        <v>0.08</v>
      </c>
      <c r="G812" t="s">
        <v>1602</v>
      </c>
      <c r="H812">
        <v>568</v>
      </c>
      <c r="I812">
        <v>15.79</v>
      </c>
      <c r="J812">
        <v>15.8</v>
      </c>
      <c r="K812">
        <v>0</v>
      </c>
      <c r="L812">
        <v>0.34</v>
      </c>
      <c r="M812" t="s">
        <v>3945</v>
      </c>
      <c r="N812">
        <v>36.950000000000003</v>
      </c>
      <c r="O812" t="s">
        <v>680</v>
      </c>
      <c r="P812">
        <v>15.9</v>
      </c>
      <c r="Q812">
        <v>15.73</v>
      </c>
      <c r="R812">
        <v>15.9</v>
      </c>
      <c r="S812">
        <v>15.71</v>
      </c>
      <c r="T812">
        <v>1.08</v>
      </c>
      <c r="U812">
        <v>0.7</v>
      </c>
      <c r="V812">
        <v>-37.049999999999997</v>
      </c>
      <c r="W812">
        <v>-555</v>
      </c>
      <c r="X812">
        <v>15.81</v>
      </c>
      <c r="Y812" t="s">
        <v>3946</v>
      </c>
      <c r="Z812" t="s">
        <v>1153</v>
      </c>
      <c r="AA812">
        <v>1.2</v>
      </c>
      <c r="AB812">
        <v>60</v>
      </c>
      <c r="AC812">
        <v>30</v>
      </c>
      <c r="AD812">
        <v>3.16</v>
      </c>
      <c r="AE812" t="s">
        <v>1548</v>
      </c>
      <c r="AF812" t="s">
        <v>812</v>
      </c>
      <c r="AG812" t="s">
        <v>2036</v>
      </c>
      <c r="AH812" t="s">
        <v>2634</v>
      </c>
      <c r="AI812">
        <v>-1.86</v>
      </c>
      <c r="AJ812">
        <v>1.48</v>
      </c>
      <c r="AK812">
        <v>1.35</v>
      </c>
      <c r="AL812">
        <v>2.76</v>
      </c>
    </row>
    <row r="813" spans="1:38" x14ac:dyDescent="0.25">
      <c r="A813">
        <v>812</v>
      </c>
      <c r="B813" t="str">
        <f xml:space="preserve"> "002203"</f>
        <v>002203</v>
      </c>
      <c r="C813" t="s">
        <v>3947</v>
      </c>
      <c r="D813">
        <v>8.64</v>
      </c>
      <c r="E813">
        <v>0.93</v>
      </c>
      <c r="F813">
        <v>0.08</v>
      </c>
      <c r="G813" t="s">
        <v>3948</v>
      </c>
      <c r="H813">
        <v>1387</v>
      </c>
      <c r="I813">
        <v>8.64</v>
      </c>
      <c r="J813">
        <v>8.65</v>
      </c>
      <c r="K813">
        <v>0</v>
      </c>
      <c r="L813">
        <v>0.19</v>
      </c>
      <c r="M813" t="s">
        <v>3949</v>
      </c>
      <c r="N813">
        <v>18.2</v>
      </c>
      <c r="O813" t="s">
        <v>449</v>
      </c>
      <c r="P813">
        <v>8.66</v>
      </c>
      <c r="Q813">
        <v>8.57</v>
      </c>
      <c r="R813">
        <v>8.58</v>
      </c>
      <c r="S813">
        <v>8.56</v>
      </c>
      <c r="T813">
        <v>1.05</v>
      </c>
      <c r="U813">
        <v>0.53</v>
      </c>
      <c r="V813">
        <v>-41.59</v>
      </c>
      <c r="W813">
        <v>-1242</v>
      </c>
      <c r="X813">
        <v>8.6199999999999992</v>
      </c>
      <c r="Y813" t="s">
        <v>1726</v>
      </c>
      <c r="Z813" t="s">
        <v>3950</v>
      </c>
      <c r="AA813">
        <v>0.85</v>
      </c>
      <c r="AB813">
        <v>105</v>
      </c>
      <c r="AC813">
        <v>722</v>
      </c>
      <c r="AD813">
        <v>3.24</v>
      </c>
      <c r="AE813" t="s">
        <v>909</v>
      </c>
      <c r="AF813" t="s">
        <v>812</v>
      </c>
      <c r="AG813" t="s">
        <v>3009</v>
      </c>
      <c r="AH813" t="s">
        <v>1762</v>
      </c>
      <c r="AI813">
        <v>-0.8</v>
      </c>
      <c r="AJ813">
        <v>0.35</v>
      </c>
      <c r="AK813">
        <v>0.92</v>
      </c>
      <c r="AL813">
        <v>2.0099999999999998</v>
      </c>
    </row>
    <row r="814" spans="1:38" x14ac:dyDescent="0.25">
      <c r="A814">
        <v>813</v>
      </c>
      <c r="B814" t="str">
        <f xml:space="preserve"> "002239"</f>
        <v>002239</v>
      </c>
      <c r="C814" t="s">
        <v>3951</v>
      </c>
      <c r="D814">
        <v>4.67</v>
      </c>
      <c r="E814">
        <v>-0.64</v>
      </c>
      <c r="F814">
        <v>-0.03</v>
      </c>
      <c r="G814" t="s">
        <v>235</v>
      </c>
      <c r="H814">
        <v>2832</v>
      </c>
      <c r="I814">
        <v>4.66</v>
      </c>
      <c r="J814">
        <v>4.67</v>
      </c>
      <c r="K814">
        <v>0</v>
      </c>
      <c r="L814">
        <v>0.9</v>
      </c>
      <c r="M814" t="s">
        <v>3952</v>
      </c>
      <c r="N814">
        <v>39.619999999999997</v>
      </c>
      <c r="O814" t="s">
        <v>1443</v>
      </c>
      <c r="P814">
        <v>4.68</v>
      </c>
      <c r="Q814">
        <v>4.6399999999999997</v>
      </c>
      <c r="R814">
        <v>4.68</v>
      </c>
      <c r="S814">
        <v>4.7</v>
      </c>
      <c r="T814">
        <v>0.85</v>
      </c>
      <c r="U814">
        <v>0.43</v>
      </c>
      <c r="V814">
        <v>38.85</v>
      </c>
      <c r="W814" t="s">
        <v>2284</v>
      </c>
      <c r="X814">
        <v>4.66</v>
      </c>
      <c r="Y814" t="s">
        <v>3953</v>
      </c>
      <c r="Z814" t="s">
        <v>3836</v>
      </c>
      <c r="AA814">
        <v>1.5</v>
      </c>
      <c r="AB814">
        <v>6204</v>
      </c>
      <c r="AC814">
        <v>10</v>
      </c>
      <c r="AD814">
        <v>2.92</v>
      </c>
      <c r="AE814" t="s">
        <v>731</v>
      </c>
      <c r="AF814" t="s">
        <v>1810</v>
      </c>
      <c r="AG814" t="s">
        <v>2856</v>
      </c>
      <c r="AH814" t="s">
        <v>1837</v>
      </c>
      <c r="AI814">
        <v>-3.11</v>
      </c>
      <c r="AJ814">
        <v>-2.1</v>
      </c>
      <c r="AK814">
        <v>4.54</v>
      </c>
      <c r="AL814">
        <v>11.36</v>
      </c>
    </row>
    <row r="815" spans="1:38" x14ac:dyDescent="0.25">
      <c r="A815">
        <v>814</v>
      </c>
      <c r="B815" t="str">
        <f xml:space="preserve"> "603421"</f>
        <v>603421</v>
      </c>
      <c r="C815" t="s">
        <v>3954</v>
      </c>
      <c r="D815">
        <v>33</v>
      </c>
      <c r="E815">
        <v>1.1599999999999999</v>
      </c>
      <c r="F815">
        <v>0.38</v>
      </c>
      <c r="G815" t="s">
        <v>1726</v>
      </c>
      <c r="H815">
        <v>3</v>
      </c>
      <c r="I815">
        <v>33</v>
      </c>
      <c r="J815">
        <v>33.020000000000003</v>
      </c>
      <c r="K815">
        <v>-0.09</v>
      </c>
      <c r="L815">
        <v>3.01</v>
      </c>
      <c r="M815" t="s">
        <v>3955</v>
      </c>
      <c r="N815">
        <v>62.43</v>
      </c>
      <c r="O815" t="s">
        <v>580</v>
      </c>
      <c r="P815">
        <v>33.159999999999997</v>
      </c>
      <c r="Q815">
        <v>32.1</v>
      </c>
      <c r="R815">
        <v>32.1</v>
      </c>
      <c r="S815">
        <v>32.619999999999997</v>
      </c>
      <c r="T815">
        <v>3.25</v>
      </c>
      <c r="U815">
        <v>0.38</v>
      </c>
      <c r="V815">
        <v>-36.44</v>
      </c>
      <c r="W815">
        <v>-86</v>
      </c>
      <c r="X815">
        <v>32.700000000000003</v>
      </c>
      <c r="Y815">
        <v>5978</v>
      </c>
      <c r="Z815">
        <v>7066</v>
      </c>
      <c r="AA815">
        <v>0.85</v>
      </c>
      <c r="AB815">
        <v>6</v>
      </c>
      <c r="AC815">
        <v>27</v>
      </c>
      <c r="AD815">
        <v>7.12</v>
      </c>
      <c r="AE815" t="s">
        <v>879</v>
      </c>
      <c r="AF815" t="s">
        <v>1810</v>
      </c>
      <c r="AG815" t="s">
        <v>3956</v>
      </c>
      <c r="AH815" t="s">
        <v>2246</v>
      </c>
      <c r="AI815">
        <v>-0.75</v>
      </c>
      <c r="AJ815">
        <v>1.04</v>
      </c>
      <c r="AK815">
        <v>13.5</v>
      </c>
      <c r="AL815">
        <v>42.76</v>
      </c>
    </row>
    <row r="816" spans="1:38" x14ac:dyDescent="0.25">
      <c r="A816">
        <v>815</v>
      </c>
      <c r="B816" t="str">
        <f xml:space="preserve"> "600483"</f>
        <v>600483</v>
      </c>
      <c r="C816" t="s">
        <v>3957</v>
      </c>
      <c r="D816">
        <v>9.42</v>
      </c>
      <c r="E816">
        <v>0.11</v>
      </c>
      <c r="F816">
        <v>0.01</v>
      </c>
      <c r="G816" t="s">
        <v>2614</v>
      </c>
      <c r="H816">
        <v>27</v>
      </c>
      <c r="I816">
        <v>9.41</v>
      </c>
      <c r="J816">
        <v>9.42</v>
      </c>
      <c r="K816">
        <v>0.11</v>
      </c>
      <c r="L816">
        <v>0.21</v>
      </c>
      <c r="M816" t="s">
        <v>3958</v>
      </c>
      <c r="N816">
        <v>24.78</v>
      </c>
      <c r="O816" t="s">
        <v>186</v>
      </c>
      <c r="P816">
        <v>9.44</v>
      </c>
      <c r="Q816">
        <v>9.36</v>
      </c>
      <c r="R816">
        <v>9.3800000000000008</v>
      </c>
      <c r="S816">
        <v>9.41</v>
      </c>
      <c r="T816">
        <v>0.85</v>
      </c>
      <c r="U816">
        <v>0.44</v>
      </c>
      <c r="V816">
        <v>-20.39</v>
      </c>
      <c r="W816">
        <v>-1014</v>
      </c>
      <c r="X816">
        <v>9.4</v>
      </c>
      <c r="Y816" t="s">
        <v>2968</v>
      </c>
      <c r="Z816">
        <v>9454</v>
      </c>
      <c r="AA816">
        <v>1.74</v>
      </c>
      <c r="AB816">
        <v>211</v>
      </c>
      <c r="AC816">
        <v>744</v>
      </c>
      <c r="AD816">
        <v>1.51</v>
      </c>
      <c r="AE816" t="s">
        <v>1154</v>
      </c>
      <c r="AF816" t="s">
        <v>1810</v>
      </c>
      <c r="AG816" t="s">
        <v>126</v>
      </c>
      <c r="AH816" t="s">
        <v>593</v>
      </c>
      <c r="AI816">
        <v>2.06</v>
      </c>
      <c r="AJ816">
        <v>3.74</v>
      </c>
      <c r="AK816">
        <v>2.0499999999999998</v>
      </c>
      <c r="AL816">
        <v>2.56</v>
      </c>
    </row>
    <row r="817" spans="1:38" x14ac:dyDescent="0.25">
      <c r="A817">
        <v>816</v>
      </c>
      <c r="B817" t="str">
        <f xml:space="preserve"> "600295"</f>
        <v>600295</v>
      </c>
      <c r="C817" t="s">
        <v>3959</v>
      </c>
      <c r="D817">
        <v>14.14</v>
      </c>
      <c r="E817">
        <v>0</v>
      </c>
      <c r="F817">
        <v>0</v>
      </c>
      <c r="G817" t="s">
        <v>3960</v>
      </c>
      <c r="H817">
        <v>4</v>
      </c>
      <c r="I817">
        <v>14.13</v>
      </c>
      <c r="J817">
        <v>14.14</v>
      </c>
      <c r="K817">
        <v>7.0000000000000007E-2</v>
      </c>
      <c r="L817">
        <v>1.49</v>
      </c>
      <c r="M817" t="s">
        <v>3961</v>
      </c>
      <c r="N817">
        <v>43.23</v>
      </c>
      <c r="O817" t="s">
        <v>416</v>
      </c>
      <c r="P817">
        <v>14.27</v>
      </c>
      <c r="Q817">
        <v>13.97</v>
      </c>
      <c r="R817">
        <v>14.14</v>
      </c>
      <c r="S817">
        <v>14.14</v>
      </c>
      <c r="T817">
        <v>2.12</v>
      </c>
      <c r="U817">
        <v>0.81</v>
      </c>
      <c r="V817">
        <v>-31.93</v>
      </c>
      <c r="W817">
        <v>-1246</v>
      </c>
      <c r="X817">
        <v>14.1</v>
      </c>
      <c r="Y817" t="s">
        <v>927</v>
      </c>
      <c r="Z817" t="s">
        <v>3962</v>
      </c>
      <c r="AA817">
        <v>1.1200000000000001</v>
      </c>
      <c r="AB817">
        <v>170</v>
      </c>
      <c r="AC817">
        <v>70</v>
      </c>
      <c r="AD817">
        <v>1.99</v>
      </c>
      <c r="AE817" t="s">
        <v>707</v>
      </c>
      <c r="AF817" t="s">
        <v>1810</v>
      </c>
      <c r="AG817" t="s">
        <v>3450</v>
      </c>
      <c r="AH817" t="s">
        <v>3963</v>
      </c>
      <c r="AI817">
        <v>-3.35</v>
      </c>
      <c r="AJ817">
        <v>-4.01</v>
      </c>
      <c r="AK817">
        <v>5.82</v>
      </c>
      <c r="AL817">
        <v>10.76</v>
      </c>
    </row>
    <row r="818" spans="1:38" x14ac:dyDescent="0.25">
      <c r="A818">
        <v>817</v>
      </c>
      <c r="B818" t="str">
        <f xml:space="preserve"> "002537"</f>
        <v>002537</v>
      </c>
      <c r="C818" t="s">
        <v>3964</v>
      </c>
      <c r="D818">
        <v>11.64</v>
      </c>
      <c r="E818">
        <v>0.09</v>
      </c>
      <c r="F818">
        <v>0.01</v>
      </c>
      <c r="G818" t="s">
        <v>3965</v>
      </c>
      <c r="H818">
        <v>394</v>
      </c>
      <c r="I818">
        <v>11.64</v>
      </c>
      <c r="J818">
        <v>11.65</v>
      </c>
      <c r="K818">
        <v>0</v>
      </c>
      <c r="L818">
        <v>0.33</v>
      </c>
      <c r="M818" t="s">
        <v>3966</v>
      </c>
      <c r="N818">
        <v>40.94</v>
      </c>
      <c r="O818" t="s">
        <v>859</v>
      </c>
      <c r="P818">
        <v>11.72</v>
      </c>
      <c r="Q818">
        <v>11.55</v>
      </c>
      <c r="R818">
        <v>11.68</v>
      </c>
      <c r="S818">
        <v>11.63</v>
      </c>
      <c r="T818">
        <v>1.46</v>
      </c>
      <c r="U818">
        <v>0.74</v>
      </c>
      <c r="V818">
        <v>0.95</v>
      </c>
      <c r="W818">
        <v>18</v>
      </c>
      <c r="X818">
        <v>11.63</v>
      </c>
      <c r="Y818" t="s">
        <v>2061</v>
      </c>
      <c r="Z818" t="s">
        <v>3798</v>
      </c>
      <c r="AA818">
        <v>1.3</v>
      </c>
      <c r="AB818">
        <v>18</v>
      </c>
      <c r="AC818">
        <v>326</v>
      </c>
      <c r="AD818">
        <v>2.16</v>
      </c>
      <c r="AE818" t="s">
        <v>2674</v>
      </c>
      <c r="AF818" t="s">
        <v>1810</v>
      </c>
      <c r="AG818" t="s">
        <v>262</v>
      </c>
      <c r="AH818" t="s">
        <v>171</v>
      </c>
      <c r="AI818">
        <v>2.56</v>
      </c>
      <c r="AJ818">
        <v>5.05</v>
      </c>
      <c r="AK818">
        <v>1.76</v>
      </c>
      <c r="AL818">
        <v>2.57</v>
      </c>
    </row>
    <row r="819" spans="1:38" x14ac:dyDescent="0.25">
      <c r="A819">
        <v>818</v>
      </c>
      <c r="B819" t="str">
        <f xml:space="preserve"> "603877"</f>
        <v>603877</v>
      </c>
      <c r="C819" t="s">
        <v>3967</v>
      </c>
      <c r="D819">
        <v>30.27</v>
      </c>
      <c r="E819">
        <v>0.56000000000000005</v>
      </c>
      <c r="F819">
        <v>0.17</v>
      </c>
      <c r="G819" t="s">
        <v>2453</v>
      </c>
      <c r="H819">
        <v>27</v>
      </c>
      <c r="I819">
        <v>30.26</v>
      </c>
      <c r="J819">
        <v>30.28</v>
      </c>
      <c r="K819">
        <v>0.17</v>
      </c>
      <c r="L819">
        <v>2.69</v>
      </c>
      <c r="M819" t="s">
        <v>3968</v>
      </c>
      <c r="N819">
        <v>77.430000000000007</v>
      </c>
      <c r="O819" t="s">
        <v>1443</v>
      </c>
      <c r="P819">
        <v>30.65</v>
      </c>
      <c r="Q819">
        <v>29.8</v>
      </c>
      <c r="R819">
        <v>29.99</v>
      </c>
      <c r="S819">
        <v>30.1</v>
      </c>
      <c r="T819">
        <v>2.82</v>
      </c>
      <c r="U819">
        <v>0.59</v>
      </c>
      <c r="V819">
        <v>-45.68</v>
      </c>
      <c r="W819">
        <v>-111</v>
      </c>
      <c r="X819">
        <v>30.32</v>
      </c>
      <c r="Y819">
        <v>8247</v>
      </c>
      <c r="Z819">
        <v>6555</v>
      </c>
      <c r="AA819">
        <v>1.26</v>
      </c>
      <c r="AB819">
        <v>1</v>
      </c>
      <c r="AC819">
        <v>7</v>
      </c>
      <c r="AD819">
        <v>4.82</v>
      </c>
      <c r="AE819" t="s">
        <v>2852</v>
      </c>
      <c r="AF819" t="s">
        <v>1810</v>
      </c>
      <c r="AG819" t="s">
        <v>3969</v>
      </c>
      <c r="AH819" t="s">
        <v>2999</v>
      </c>
      <c r="AI819">
        <v>3.35</v>
      </c>
      <c r="AJ819">
        <v>7.72</v>
      </c>
      <c r="AK819">
        <v>16.39</v>
      </c>
      <c r="AL819">
        <v>25.44</v>
      </c>
    </row>
    <row r="820" spans="1:38" x14ac:dyDescent="0.25">
      <c r="A820">
        <v>819</v>
      </c>
      <c r="B820" t="str">
        <f xml:space="preserve"> "600428"</f>
        <v>600428</v>
      </c>
      <c r="C820" t="s">
        <v>3970</v>
      </c>
      <c r="D820">
        <v>6.78</v>
      </c>
      <c r="E820">
        <v>0.89</v>
      </c>
      <c r="F820">
        <v>0.06</v>
      </c>
      <c r="G820" t="s">
        <v>1448</v>
      </c>
      <c r="H820">
        <v>333</v>
      </c>
      <c r="I820">
        <v>6.78</v>
      </c>
      <c r="J820">
        <v>6.79</v>
      </c>
      <c r="K820">
        <v>0</v>
      </c>
      <c r="L820">
        <v>0.61</v>
      </c>
      <c r="M820" t="s">
        <v>3971</v>
      </c>
      <c r="N820">
        <v>100.73</v>
      </c>
      <c r="O820" t="s">
        <v>440</v>
      </c>
      <c r="P820">
        <v>6.8</v>
      </c>
      <c r="Q820">
        <v>6.72</v>
      </c>
      <c r="R820">
        <v>6.75</v>
      </c>
      <c r="S820">
        <v>6.72</v>
      </c>
      <c r="T820">
        <v>1.19</v>
      </c>
      <c r="U820">
        <v>0.8</v>
      </c>
      <c r="V820">
        <v>-34.69</v>
      </c>
      <c r="W820">
        <v>-4492</v>
      </c>
      <c r="X820">
        <v>6.77</v>
      </c>
      <c r="Y820" t="s">
        <v>2120</v>
      </c>
      <c r="Z820" t="s">
        <v>3972</v>
      </c>
      <c r="AA820">
        <v>0.88</v>
      </c>
      <c r="AB820">
        <v>155</v>
      </c>
      <c r="AC820">
        <v>952</v>
      </c>
      <c r="AD820">
        <v>1.55</v>
      </c>
      <c r="AE820" t="s">
        <v>1335</v>
      </c>
      <c r="AF820" t="s">
        <v>1810</v>
      </c>
      <c r="AG820" t="s">
        <v>2840</v>
      </c>
      <c r="AH820" t="s">
        <v>191</v>
      </c>
      <c r="AI820">
        <v>-1.02</v>
      </c>
      <c r="AJ820">
        <v>0.89</v>
      </c>
      <c r="AK820">
        <v>1.98</v>
      </c>
      <c r="AL820">
        <v>4.45</v>
      </c>
    </row>
    <row r="821" spans="1:38" x14ac:dyDescent="0.25">
      <c r="A821">
        <v>820</v>
      </c>
      <c r="B821" t="str">
        <f xml:space="preserve"> "300294"</f>
        <v>300294</v>
      </c>
      <c r="C821" t="s">
        <v>3973</v>
      </c>
      <c r="D821">
        <v>36.270000000000003</v>
      </c>
      <c r="E821">
        <v>-0.63</v>
      </c>
      <c r="F821">
        <v>-0.23</v>
      </c>
      <c r="G821" t="s">
        <v>2453</v>
      </c>
      <c r="H821">
        <v>121</v>
      </c>
      <c r="I821">
        <v>36.26</v>
      </c>
      <c r="J821">
        <v>36.270000000000003</v>
      </c>
      <c r="K821">
        <v>0.06</v>
      </c>
      <c r="L821">
        <v>0.45</v>
      </c>
      <c r="M821" t="s">
        <v>3974</v>
      </c>
      <c r="N821">
        <v>46.11</v>
      </c>
      <c r="O821" t="s">
        <v>392</v>
      </c>
      <c r="P821">
        <v>36.770000000000003</v>
      </c>
      <c r="Q821">
        <v>36.19</v>
      </c>
      <c r="R821">
        <v>36.6</v>
      </c>
      <c r="S821">
        <v>36.5</v>
      </c>
      <c r="T821">
        <v>1.59</v>
      </c>
      <c r="U821">
        <v>0.71</v>
      </c>
      <c r="V821">
        <v>6.02</v>
      </c>
      <c r="W821">
        <v>26</v>
      </c>
      <c r="X821">
        <v>36.409999999999997</v>
      </c>
      <c r="Y821">
        <v>9652</v>
      </c>
      <c r="Z821">
        <v>5139</v>
      </c>
      <c r="AA821">
        <v>1.88</v>
      </c>
      <c r="AB821">
        <v>47</v>
      </c>
      <c r="AC821">
        <v>71</v>
      </c>
      <c r="AD821">
        <v>6.54</v>
      </c>
      <c r="AE821" t="s">
        <v>1922</v>
      </c>
      <c r="AF821" t="s">
        <v>575</v>
      </c>
      <c r="AG821" t="s">
        <v>3905</v>
      </c>
      <c r="AH821" t="s">
        <v>3690</v>
      </c>
      <c r="AI821">
        <v>-2.4</v>
      </c>
      <c r="AJ821">
        <v>1.77</v>
      </c>
      <c r="AK821">
        <v>1.95</v>
      </c>
      <c r="AL821">
        <v>3.62</v>
      </c>
    </row>
    <row r="822" spans="1:38" x14ac:dyDescent="0.25">
      <c r="A822">
        <v>821</v>
      </c>
      <c r="B822" t="str">
        <f xml:space="preserve"> "600491"</f>
        <v>600491</v>
      </c>
      <c r="C822" t="s">
        <v>3975</v>
      </c>
      <c r="D822">
        <v>11.52</v>
      </c>
      <c r="E822">
        <v>-0.86</v>
      </c>
      <c r="F822">
        <v>-0.1</v>
      </c>
      <c r="G822" t="s">
        <v>982</v>
      </c>
      <c r="H822">
        <v>20</v>
      </c>
      <c r="I822">
        <v>11.52</v>
      </c>
      <c r="J822">
        <v>11.53</v>
      </c>
      <c r="K822">
        <v>0.17</v>
      </c>
      <c r="L822">
        <v>1.49</v>
      </c>
      <c r="M822" t="s">
        <v>3976</v>
      </c>
      <c r="N822">
        <v>31.29</v>
      </c>
      <c r="O822" t="s">
        <v>263</v>
      </c>
      <c r="P822">
        <v>11.69</v>
      </c>
      <c r="Q822">
        <v>11.27</v>
      </c>
      <c r="R822">
        <v>11.69</v>
      </c>
      <c r="S822">
        <v>11.62</v>
      </c>
      <c r="T822">
        <v>3.61</v>
      </c>
      <c r="U822">
        <v>1.04</v>
      </c>
      <c r="V822">
        <v>40.54</v>
      </c>
      <c r="W822">
        <v>536</v>
      </c>
      <c r="X822">
        <v>11.41</v>
      </c>
      <c r="Y822" t="s">
        <v>3977</v>
      </c>
      <c r="Z822" t="s">
        <v>3978</v>
      </c>
      <c r="AA822">
        <v>1.32</v>
      </c>
      <c r="AB822">
        <v>22</v>
      </c>
      <c r="AC822">
        <v>47</v>
      </c>
      <c r="AD822">
        <v>2.67</v>
      </c>
      <c r="AE822" t="s">
        <v>126</v>
      </c>
      <c r="AF822" t="s">
        <v>575</v>
      </c>
      <c r="AG822" t="s">
        <v>3979</v>
      </c>
      <c r="AH822" t="s">
        <v>2006</v>
      </c>
      <c r="AI822">
        <v>-0.86</v>
      </c>
      <c r="AJ822">
        <v>4.7300000000000004</v>
      </c>
      <c r="AK822">
        <v>4.28</v>
      </c>
      <c r="AL822">
        <v>8.64</v>
      </c>
    </row>
    <row r="823" spans="1:38" x14ac:dyDescent="0.25">
      <c r="A823">
        <v>822</v>
      </c>
      <c r="B823" t="str">
        <f xml:space="preserve"> "000031"</f>
        <v>000031</v>
      </c>
      <c r="C823" t="s">
        <v>3980</v>
      </c>
      <c r="D823" t="s">
        <v>616</v>
      </c>
      <c r="E823" t="s">
        <v>616</v>
      </c>
      <c r="F823" t="s">
        <v>616</v>
      </c>
      <c r="G823" t="s">
        <v>616</v>
      </c>
      <c r="H823" t="s">
        <v>616</v>
      </c>
      <c r="I823" t="s">
        <v>616</v>
      </c>
      <c r="J823" t="s">
        <v>616</v>
      </c>
      <c r="K823" t="s">
        <v>616</v>
      </c>
      <c r="L823" t="s">
        <v>616</v>
      </c>
      <c r="M823" t="s">
        <v>616</v>
      </c>
      <c r="N823">
        <v>46.72</v>
      </c>
      <c r="O823" t="s">
        <v>244</v>
      </c>
      <c r="P823" t="s">
        <v>616</v>
      </c>
      <c r="Q823" t="s">
        <v>616</v>
      </c>
      <c r="R823" t="s">
        <v>616</v>
      </c>
      <c r="S823">
        <v>8</v>
      </c>
      <c r="T823" t="s">
        <v>616</v>
      </c>
      <c r="U823" t="s">
        <v>616</v>
      </c>
      <c r="V823" t="s">
        <v>616</v>
      </c>
      <c r="W823" t="s">
        <v>616</v>
      </c>
      <c r="X823" t="s">
        <v>616</v>
      </c>
      <c r="Y823" t="s">
        <v>616</v>
      </c>
      <c r="Z823" t="s">
        <v>616</v>
      </c>
      <c r="AA823" t="s">
        <v>616</v>
      </c>
      <c r="AB823" t="s">
        <v>616</v>
      </c>
      <c r="AC823" t="s">
        <v>616</v>
      </c>
      <c r="AD823">
        <v>2.5299999999999998</v>
      </c>
      <c r="AE823" t="s">
        <v>1046</v>
      </c>
      <c r="AF823" t="s">
        <v>575</v>
      </c>
      <c r="AG823" t="s">
        <v>1046</v>
      </c>
      <c r="AH823" t="s">
        <v>575</v>
      </c>
      <c r="AI823">
        <v>0</v>
      </c>
      <c r="AJ823">
        <v>0</v>
      </c>
      <c r="AK823">
        <v>0</v>
      </c>
      <c r="AL823">
        <v>0</v>
      </c>
    </row>
    <row r="824" spans="1:38" x14ac:dyDescent="0.25">
      <c r="A824">
        <v>823</v>
      </c>
      <c r="B824" t="str">
        <f xml:space="preserve"> "002151"</f>
        <v>002151</v>
      </c>
      <c r="C824" t="s">
        <v>3981</v>
      </c>
      <c r="D824">
        <v>28.28</v>
      </c>
      <c r="E824">
        <v>-0.28000000000000003</v>
      </c>
      <c r="F824">
        <v>-0.08</v>
      </c>
      <c r="G824" t="s">
        <v>3781</v>
      </c>
      <c r="H824">
        <v>420</v>
      </c>
      <c r="I824">
        <v>28.27</v>
      </c>
      <c r="J824">
        <v>28.28</v>
      </c>
      <c r="K824">
        <v>0</v>
      </c>
      <c r="L824">
        <v>1.63</v>
      </c>
      <c r="M824" t="s">
        <v>1120</v>
      </c>
      <c r="N824">
        <v>284.14999999999998</v>
      </c>
      <c r="O824" t="s">
        <v>553</v>
      </c>
      <c r="P824">
        <v>28.56</v>
      </c>
      <c r="Q824">
        <v>28.11</v>
      </c>
      <c r="R824">
        <v>28.36</v>
      </c>
      <c r="S824">
        <v>28.36</v>
      </c>
      <c r="T824">
        <v>1.59</v>
      </c>
      <c r="U824">
        <v>0.47</v>
      </c>
      <c r="V824">
        <v>-0.18</v>
      </c>
      <c r="W824">
        <v>-2</v>
      </c>
      <c r="X824">
        <v>28.25</v>
      </c>
      <c r="Y824" t="s">
        <v>3931</v>
      </c>
      <c r="Z824" t="s">
        <v>1153</v>
      </c>
      <c r="AA824">
        <v>1.73</v>
      </c>
      <c r="AB824">
        <v>201</v>
      </c>
      <c r="AC824">
        <v>237</v>
      </c>
      <c r="AD824">
        <v>3.4</v>
      </c>
      <c r="AE824" t="s">
        <v>3982</v>
      </c>
      <c r="AF824" t="s">
        <v>575</v>
      </c>
      <c r="AG824" t="s">
        <v>1354</v>
      </c>
      <c r="AH824" t="s">
        <v>3983</v>
      </c>
      <c r="AI824">
        <v>-2.95</v>
      </c>
      <c r="AJ824">
        <v>-1.19</v>
      </c>
      <c r="AK824">
        <v>7.1</v>
      </c>
      <c r="AL824">
        <v>18.89</v>
      </c>
    </row>
    <row r="825" spans="1:38" x14ac:dyDescent="0.25">
      <c r="A825">
        <v>824</v>
      </c>
      <c r="B825" t="str">
        <f xml:space="preserve"> "000697"</f>
        <v>000697</v>
      </c>
      <c r="C825" t="s">
        <v>3984</v>
      </c>
      <c r="D825">
        <v>25.9</v>
      </c>
      <c r="E825">
        <v>-1.1499999999999999</v>
      </c>
      <c r="F825">
        <v>-0.3</v>
      </c>
      <c r="G825" t="s">
        <v>3401</v>
      </c>
      <c r="H825">
        <v>825</v>
      </c>
      <c r="I825">
        <v>25.9</v>
      </c>
      <c r="J825">
        <v>25.92</v>
      </c>
      <c r="K825">
        <v>0.08</v>
      </c>
      <c r="L825">
        <v>1.03</v>
      </c>
      <c r="M825" t="s">
        <v>3574</v>
      </c>
      <c r="N825">
        <v>-49.87</v>
      </c>
      <c r="O825" t="s">
        <v>449</v>
      </c>
      <c r="P825">
        <v>26.14</v>
      </c>
      <c r="Q825">
        <v>25.86</v>
      </c>
      <c r="R825">
        <v>26.07</v>
      </c>
      <c r="S825">
        <v>26.2</v>
      </c>
      <c r="T825">
        <v>1.07</v>
      </c>
      <c r="U825">
        <v>0.44</v>
      </c>
      <c r="V825">
        <v>48.35</v>
      </c>
      <c r="W825">
        <v>805</v>
      </c>
      <c r="X825">
        <v>25.95</v>
      </c>
      <c r="Y825" t="s">
        <v>121</v>
      </c>
      <c r="Z825" t="s">
        <v>899</v>
      </c>
      <c r="AA825">
        <v>1.5</v>
      </c>
      <c r="AB825">
        <v>652</v>
      </c>
      <c r="AC825">
        <v>50</v>
      </c>
      <c r="AD825">
        <v>11.25</v>
      </c>
      <c r="AE825" t="s">
        <v>3985</v>
      </c>
      <c r="AF825" t="s">
        <v>575</v>
      </c>
      <c r="AG825" t="s">
        <v>1607</v>
      </c>
      <c r="AH825" t="s">
        <v>3690</v>
      </c>
      <c r="AI825">
        <v>-4.18</v>
      </c>
      <c r="AJ825">
        <v>-0.08</v>
      </c>
      <c r="AK825">
        <v>5.37</v>
      </c>
      <c r="AL825">
        <v>12.74</v>
      </c>
    </row>
    <row r="826" spans="1:38" x14ac:dyDescent="0.25">
      <c r="A826">
        <v>825</v>
      </c>
      <c r="B826" t="str">
        <f xml:space="preserve"> "000501"</f>
        <v>000501</v>
      </c>
      <c r="C826" t="s">
        <v>3986</v>
      </c>
      <c r="D826">
        <v>18.82</v>
      </c>
      <c r="E826">
        <v>0.05</v>
      </c>
      <c r="F826">
        <v>0.01</v>
      </c>
      <c r="G826" t="s">
        <v>602</v>
      </c>
      <c r="H826">
        <v>1048</v>
      </c>
      <c r="I826">
        <v>18.82</v>
      </c>
      <c r="J826">
        <v>18.829999999999998</v>
      </c>
      <c r="K826">
        <v>0.11</v>
      </c>
      <c r="L826">
        <v>0.9</v>
      </c>
      <c r="M826" t="s">
        <v>2869</v>
      </c>
      <c r="N826">
        <v>10.99</v>
      </c>
      <c r="O826" t="s">
        <v>532</v>
      </c>
      <c r="P826">
        <v>18.96</v>
      </c>
      <c r="Q826">
        <v>18.559999999999999</v>
      </c>
      <c r="R826">
        <v>18.78</v>
      </c>
      <c r="S826">
        <v>18.809999999999999</v>
      </c>
      <c r="T826">
        <v>2.13</v>
      </c>
      <c r="U826">
        <v>0.77</v>
      </c>
      <c r="V826">
        <v>70.92</v>
      </c>
      <c r="W826">
        <v>1932</v>
      </c>
      <c r="X826">
        <v>18.79</v>
      </c>
      <c r="Y826" t="s">
        <v>2515</v>
      </c>
      <c r="Z826" t="s">
        <v>3987</v>
      </c>
      <c r="AA826">
        <v>1.06</v>
      </c>
      <c r="AB826">
        <v>363</v>
      </c>
      <c r="AC826">
        <v>79</v>
      </c>
      <c r="AD826">
        <v>2.21</v>
      </c>
      <c r="AE826" t="s">
        <v>3988</v>
      </c>
      <c r="AF826" t="s">
        <v>575</v>
      </c>
      <c r="AG826" t="s">
        <v>3634</v>
      </c>
      <c r="AH826" t="s">
        <v>3443</v>
      </c>
      <c r="AI826">
        <v>1.57</v>
      </c>
      <c r="AJ826">
        <v>3.07</v>
      </c>
      <c r="AK826">
        <v>3.44</v>
      </c>
      <c r="AL826">
        <v>6.79</v>
      </c>
    </row>
    <row r="827" spans="1:38" x14ac:dyDescent="0.25">
      <c r="A827">
        <v>826</v>
      </c>
      <c r="B827" t="str">
        <f xml:space="preserve"> "002121"</f>
        <v>002121</v>
      </c>
      <c r="C827" t="s">
        <v>3989</v>
      </c>
      <c r="D827">
        <v>10.26</v>
      </c>
      <c r="E827">
        <v>-0.48</v>
      </c>
      <c r="F827">
        <v>-0.05</v>
      </c>
      <c r="G827" t="s">
        <v>300</v>
      </c>
      <c r="H827">
        <v>773</v>
      </c>
      <c r="I827">
        <v>10.26</v>
      </c>
      <c r="J827">
        <v>10.27</v>
      </c>
      <c r="K827">
        <v>-0.1</v>
      </c>
      <c r="L827">
        <v>1.24</v>
      </c>
      <c r="M827" t="s">
        <v>3990</v>
      </c>
      <c r="N827">
        <v>53.59</v>
      </c>
      <c r="O827" t="s">
        <v>1372</v>
      </c>
      <c r="P827">
        <v>10.33</v>
      </c>
      <c r="Q827">
        <v>10.199999999999999</v>
      </c>
      <c r="R827">
        <v>10.199999999999999</v>
      </c>
      <c r="S827">
        <v>10.31</v>
      </c>
      <c r="T827">
        <v>1.26</v>
      </c>
      <c r="U827">
        <v>0.67</v>
      </c>
      <c r="V827">
        <v>36.08</v>
      </c>
      <c r="W827">
        <v>2613</v>
      </c>
      <c r="X827">
        <v>10.25</v>
      </c>
      <c r="Y827" t="s">
        <v>1660</v>
      </c>
      <c r="Z827" t="s">
        <v>3965</v>
      </c>
      <c r="AA827">
        <v>1.61</v>
      </c>
      <c r="AB827">
        <v>1588</v>
      </c>
      <c r="AC827">
        <v>245</v>
      </c>
      <c r="AD827">
        <v>3.19</v>
      </c>
      <c r="AE827" t="s">
        <v>1715</v>
      </c>
      <c r="AF827" t="s">
        <v>2634</v>
      </c>
      <c r="AG827" t="s">
        <v>3364</v>
      </c>
      <c r="AH827" t="s">
        <v>1421</v>
      </c>
      <c r="AI827">
        <v>0</v>
      </c>
      <c r="AJ827">
        <v>0.69</v>
      </c>
      <c r="AK827">
        <v>5.66</v>
      </c>
      <c r="AL827">
        <v>10.53</v>
      </c>
    </row>
    <row r="828" spans="1:38" x14ac:dyDescent="0.25">
      <c r="A828">
        <v>827</v>
      </c>
      <c r="B828" t="str">
        <f xml:space="preserve"> "600917"</f>
        <v>600917</v>
      </c>
      <c r="C828" t="s">
        <v>3991</v>
      </c>
      <c r="D828">
        <v>9.26</v>
      </c>
      <c r="E828">
        <v>0.87</v>
      </c>
      <c r="F828">
        <v>0.08</v>
      </c>
      <c r="G828" t="s">
        <v>2240</v>
      </c>
      <c r="H828">
        <v>3</v>
      </c>
      <c r="I828">
        <v>9.26</v>
      </c>
      <c r="J828">
        <v>9.27</v>
      </c>
      <c r="K828">
        <v>0</v>
      </c>
      <c r="L828">
        <v>0.14000000000000001</v>
      </c>
      <c r="M828" t="s">
        <v>3992</v>
      </c>
      <c r="N828">
        <v>38.29</v>
      </c>
      <c r="O828" t="s">
        <v>2085</v>
      </c>
      <c r="P828">
        <v>9.27</v>
      </c>
      <c r="Q828">
        <v>9.14</v>
      </c>
      <c r="R828">
        <v>9.19</v>
      </c>
      <c r="S828">
        <v>9.18</v>
      </c>
      <c r="T828">
        <v>1.42</v>
      </c>
      <c r="U828">
        <v>1.1499999999999999</v>
      </c>
      <c r="V828">
        <v>-59.08</v>
      </c>
      <c r="W828">
        <v>-3037</v>
      </c>
      <c r="X828">
        <v>9.2100000000000009</v>
      </c>
      <c r="Y828">
        <v>9246</v>
      </c>
      <c r="Z828" t="s">
        <v>2232</v>
      </c>
      <c r="AA828">
        <v>0.76</v>
      </c>
      <c r="AB828">
        <v>286</v>
      </c>
      <c r="AC828">
        <v>1822</v>
      </c>
      <c r="AD828">
        <v>3.98</v>
      </c>
      <c r="AE828" t="s">
        <v>1897</v>
      </c>
      <c r="AF828" t="s">
        <v>2634</v>
      </c>
      <c r="AG828" t="s">
        <v>1897</v>
      </c>
      <c r="AH828" t="s">
        <v>2634</v>
      </c>
      <c r="AI828">
        <v>0.43</v>
      </c>
      <c r="AJ828">
        <v>2.5499999999999998</v>
      </c>
      <c r="AK828">
        <v>0.33</v>
      </c>
      <c r="AL828">
        <v>0.73</v>
      </c>
    </row>
    <row r="829" spans="1:38" x14ac:dyDescent="0.25">
      <c r="A829">
        <v>828</v>
      </c>
      <c r="B829" t="str">
        <f xml:space="preserve"> "002477"</f>
        <v>002477</v>
      </c>
      <c r="C829" t="s">
        <v>3993</v>
      </c>
      <c r="D829">
        <v>4.59</v>
      </c>
      <c r="E829">
        <v>0.44</v>
      </c>
      <c r="F829">
        <v>0.02</v>
      </c>
      <c r="G829" t="s">
        <v>496</v>
      </c>
      <c r="H829">
        <v>2664</v>
      </c>
      <c r="I829">
        <v>4.58</v>
      </c>
      <c r="J829">
        <v>4.59</v>
      </c>
      <c r="K829">
        <v>0</v>
      </c>
      <c r="L829">
        <v>1.0900000000000001</v>
      </c>
      <c r="M829" t="s">
        <v>3994</v>
      </c>
      <c r="N829">
        <v>15.63</v>
      </c>
      <c r="O829" t="s">
        <v>622</v>
      </c>
      <c r="P829">
        <v>4.6100000000000003</v>
      </c>
      <c r="Q829">
        <v>4.54</v>
      </c>
      <c r="R829">
        <v>4.5599999999999996</v>
      </c>
      <c r="S829">
        <v>4.57</v>
      </c>
      <c r="T829">
        <v>1.53</v>
      </c>
      <c r="U829">
        <v>0.5</v>
      </c>
      <c r="V829">
        <v>-24.35</v>
      </c>
      <c r="W829" t="s">
        <v>3995</v>
      </c>
      <c r="X829">
        <v>4.57</v>
      </c>
      <c r="Y829" t="s">
        <v>3351</v>
      </c>
      <c r="Z829" t="s">
        <v>1270</v>
      </c>
      <c r="AA829">
        <v>0.93</v>
      </c>
      <c r="AB829">
        <v>7140</v>
      </c>
      <c r="AC829">
        <v>4765</v>
      </c>
      <c r="AD829">
        <v>2.66</v>
      </c>
      <c r="AE829" t="s">
        <v>1944</v>
      </c>
      <c r="AF829" t="s">
        <v>2634</v>
      </c>
      <c r="AG829" t="s">
        <v>1362</v>
      </c>
      <c r="AH829" t="s">
        <v>2561</v>
      </c>
      <c r="AI829">
        <v>0.22</v>
      </c>
      <c r="AJ829">
        <v>5.03</v>
      </c>
      <c r="AK829">
        <v>6.48</v>
      </c>
      <c r="AL829">
        <v>11.94</v>
      </c>
    </row>
    <row r="830" spans="1:38" x14ac:dyDescent="0.25">
      <c r="A830">
        <v>829</v>
      </c>
      <c r="B830" t="str">
        <f xml:space="preserve"> "600711"</f>
        <v>600711</v>
      </c>
      <c r="C830" t="s">
        <v>3996</v>
      </c>
      <c r="D830">
        <v>9.57</v>
      </c>
      <c r="E830">
        <v>-0.31</v>
      </c>
      <c r="F830">
        <v>-0.03</v>
      </c>
      <c r="G830" t="s">
        <v>3997</v>
      </c>
      <c r="H830">
        <v>12</v>
      </c>
      <c r="I830">
        <v>9.57</v>
      </c>
      <c r="J830">
        <v>9.58</v>
      </c>
      <c r="K830">
        <v>-0.21</v>
      </c>
      <c r="L830">
        <v>2.54</v>
      </c>
      <c r="M830" t="s">
        <v>2465</v>
      </c>
      <c r="N830">
        <v>32.270000000000003</v>
      </c>
      <c r="O830" t="s">
        <v>449</v>
      </c>
      <c r="P830">
        <v>9.7200000000000006</v>
      </c>
      <c r="Q830">
        <v>9.5</v>
      </c>
      <c r="R830">
        <v>9.6</v>
      </c>
      <c r="S830">
        <v>9.6</v>
      </c>
      <c r="T830">
        <v>2.29</v>
      </c>
      <c r="U830">
        <v>0.34</v>
      </c>
      <c r="V830">
        <v>-25.17</v>
      </c>
      <c r="W830">
        <v>-4341</v>
      </c>
      <c r="X830">
        <v>9.59</v>
      </c>
      <c r="Y830" t="s">
        <v>131</v>
      </c>
      <c r="Z830" t="s">
        <v>2055</v>
      </c>
      <c r="AA830">
        <v>1.22</v>
      </c>
      <c r="AB830">
        <v>292</v>
      </c>
      <c r="AC830">
        <v>707</v>
      </c>
      <c r="AD830">
        <v>3.41</v>
      </c>
      <c r="AE830" t="s">
        <v>2347</v>
      </c>
      <c r="AF830" t="s">
        <v>3388</v>
      </c>
      <c r="AG830" t="s">
        <v>2347</v>
      </c>
      <c r="AH830" t="s">
        <v>3388</v>
      </c>
      <c r="AI830">
        <v>-4.01</v>
      </c>
      <c r="AJ830">
        <v>-4.2</v>
      </c>
      <c r="AK830">
        <v>12.87</v>
      </c>
      <c r="AL830">
        <v>40.19</v>
      </c>
    </row>
    <row r="831" spans="1:38" x14ac:dyDescent="0.25">
      <c r="A831">
        <v>830</v>
      </c>
      <c r="B831" t="str">
        <f xml:space="preserve"> "601107"</f>
        <v>601107</v>
      </c>
      <c r="C831" t="s">
        <v>3998</v>
      </c>
      <c r="D831">
        <v>4.68</v>
      </c>
      <c r="E831">
        <v>0.21</v>
      </c>
      <c r="F831">
        <v>0.01</v>
      </c>
      <c r="G831" t="s">
        <v>1321</v>
      </c>
      <c r="H831">
        <v>25</v>
      </c>
      <c r="I831">
        <v>4.67</v>
      </c>
      <c r="J831">
        <v>4.68</v>
      </c>
      <c r="K831">
        <v>0</v>
      </c>
      <c r="L831">
        <v>0.14000000000000001</v>
      </c>
      <c r="M831" t="s">
        <v>3999</v>
      </c>
      <c r="N831">
        <v>12.25</v>
      </c>
      <c r="O831" t="s">
        <v>1348</v>
      </c>
      <c r="P831">
        <v>4.68</v>
      </c>
      <c r="Q831">
        <v>4.6399999999999997</v>
      </c>
      <c r="R831">
        <v>4.67</v>
      </c>
      <c r="S831">
        <v>4.67</v>
      </c>
      <c r="T831">
        <v>0.86</v>
      </c>
      <c r="U831">
        <v>0.7</v>
      </c>
      <c r="V831">
        <v>1.23</v>
      </c>
      <c r="W831">
        <v>188</v>
      </c>
      <c r="X831">
        <v>4.66</v>
      </c>
      <c r="Y831" t="s">
        <v>3892</v>
      </c>
      <c r="Z831" t="s">
        <v>808</v>
      </c>
      <c r="AA831">
        <v>1.76</v>
      </c>
      <c r="AB831">
        <v>898</v>
      </c>
      <c r="AC831">
        <v>835</v>
      </c>
      <c r="AD831">
        <v>1.05</v>
      </c>
      <c r="AE831" t="s">
        <v>2108</v>
      </c>
      <c r="AF831" t="s">
        <v>3388</v>
      </c>
      <c r="AG831" t="s">
        <v>4000</v>
      </c>
      <c r="AH831" t="s">
        <v>475</v>
      </c>
      <c r="AI831">
        <v>-0.43</v>
      </c>
      <c r="AJ831">
        <v>1.96</v>
      </c>
      <c r="AK831">
        <v>0.45</v>
      </c>
      <c r="AL831">
        <v>1.1599999999999999</v>
      </c>
    </row>
    <row r="832" spans="1:38" x14ac:dyDescent="0.25">
      <c r="A832">
        <v>831</v>
      </c>
      <c r="B832" t="str">
        <f xml:space="preserve"> "000016"</f>
        <v>000016</v>
      </c>
      <c r="C832" t="s">
        <v>4001</v>
      </c>
      <c r="D832">
        <v>5.93</v>
      </c>
      <c r="E832">
        <v>2.2400000000000002</v>
      </c>
      <c r="F832">
        <v>0.13</v>
      </c>
      <c r="G832" t="s">
        <v>362</v>
      </c>
      <c r="H832">
        <v>1855</v>
      </c>
      <c r="I832">
        <v>5.93</v>
      </c>
      <c r="J832">
        <v>5.94</v>
      </c>
      <c r="K832">
        <v>0</v>
      </c>
      <c r="L832">
        <v>0.65</v>
      </c>
      <c r="M832" t="s">
        <v>4002</v>
      </c>
      <c r="N832">
        <v>231.27</v>
      </c>
      <c r="O832" t="s">
        <v>215</v>
      </c>
      <c r="P832">
        <v>6</v>
      </c>
      <c r="Q832">
        <v>5.8</v>
      </c>
      <c r="R832">
        <v>5.81</v>
      </c>
      <c r="S832">
        <v>5.8</v>
      </c>
      <c r="T832">
        <v>3.45</v>
      </c>
      <c r="U832">
        <v>1.06</v>
      </c>
      <c r="V832">
        <v>-30.73</v>
      </c>
      <c r="W832">
        <v>-3911</v>
      </c>
      <c r="X832">
        <v>5.91</v>
      </c>
      <c r="Y832" t="s">
        <v>4003</v>
      </c>
      <c r="Z832" t="s">
        <v>2069</v>
      </c>
      <c r="AA832">
        <v>0.49</v>
      </c>
      <c r="AB832">
        <v>1225</v>
      </c>
      <c r="AC832">
        <v>1909</v>
      </c>
      <c r="AD832">
        <v>4.88</v>
      </c>
      <c r="AE832" t="s">
        <v>2317</v>
      </c>
      <c r="AF832" t="s">
        <v>3388</v>
      </c>
      <c r="AG832" t="s">
        <v>1147</v>
      </c>
      <c r="AH832" t="s">
        <v>3771</v>
      </c>
      <c r="AI832">
        <v>1.02</v>
      </c>
      <c r="AJ832">
        <v>3.67</v>
      </c>
      <c r="AK832">
        <v>1.59</v>
      </c>
      <c r="AL832">
        <v>3.73</v>
      </c>
    </row>
    <row r="833" spans="1:38" x14ac:dyDescent="0.25">
      <c r="A833">
        <v>832</v>
      </c>
      <c r="B833" t="str">
        <f xml:space="preserve"> "603567"</f>
        <v>603567</v>
      </c>
      <c r="C833" t="s">
        <v>4004</v>
      </c>
      <c r="D833">
        <v>16.8</v>
      </c>
      <c r="E833">
        <v>1.63</v>
      </c>
      <c r="F833">
        <v>0.27</v>
      </c>
      <c r="G833" t="s">
        <v>2427</v>
      </c>
      <c r="H833">
        <v>16</v>
      </c>
      <c r="I833">
        <v>16.79</v>
      </c>
      <c r="J833">
        <v>16.8</v>
      </c>
      <c r="K833">
        <v>0.06</v>
      </c>
      <c r="L833">
        <v>1.17</v>
      </c>
      <c r="M833" t="s">
        <v>4005</v>
      </c>
      <c r="N833">
        <v>35.75</v>
      </c>
      <c r="O833" t="s">
        <v>392</v>
      </c>
      <c r="P833">
        <v>16.88</v>
      </c>
      <c r="Q833">
        <v>16.5</v>
      </c>
      <c r="R833">
        <v>16.53</v>
      </c>
      <c r="S833">
        <v>16.53</v>
      </c>
      <c r="T833">
        <v>2.2999999999999998</v>
      </c>
      <c r="U833">
        <v>2.19</v>
      </c>
      <c r="V833">
        <v>-27.07</v>
      </c>
      <c r="W833">
        <v>-408</v>
      </c>
      <c r="X833">
        <v>16.760000000000002</v>
      </c>
      <c r="Y833" t="s">
        <v>480</v>
      </c>
      <c r="Z833" t="s">
        <v>3326</v>
      </c>
      <c r="AA833">
        <v>0.71</v>
      </c>
      <c r="AB833">
        <v>40</v>
      </c>
      <c r="AC833">
        <v>280</v>
      </c>
      <c r="AD833">
        <v>3.28</v>
      </c>
      <c r="AE833" t="s">
        <v>3044</v>
      </c>
      <c r="AF833" t="s">
        <v>3388</v>
      </c>
      <c r="AG833" t="s">
        <v>1463</v>
      </c>
      <c r="AH833" t="s">
        <v>1473</v>
      </c>
      <c r="AI833">
        <v>0.84</v>
      </c>
      <c r="AJ833">
        <v>3.77</v>
      </c>
      <c r="AK833">
        <v>2.34</v>
      </c>
      <c r="AL833">
        <v>3.84</v>
      </c>
    </row>
    <row r="834" spans="1:38" x14ac:dyDescent="0.25">
      <c r="A834">
        <v>833</v>
      </c>
      <c r="B834" t="str">
        <f xml:space="preserve"> "000681"</f>
        <v>000681</v>
      </c>
      <c r="C834" t="s">
        <v>4006</v>
      </c>
      <c r="D834">
        <v>20.32</v>
      </c>
      <c r="E834">
        <v>0.89</v>
      </c>
      <c r="F834">
        <v>0.18</v>
      </c>
      <c r="G834" t="s">
        <v>3822</v>
      </c>
      <c r="H834">
        <v>1030</v>
      </c>
      <c r="I834">
        <v>20.309999999999999</v>
      </c>
      <c r="J834">
        <v>20.32</v>
      </c>
      <c r="K834">
        <v>-0.05</v>
      </c>
      <c r="L834">
        <v>1.21</v>
      </c>
      <c r="M834" t="s">
        <v>4007</v>
      </c>
      <c r="N834">
        <v>74.540000000000006</v>
      </c>
      <c r="O834" t="s">
        <v>1126</v>
      </c>
      <c r="P834">
        <v>20.38</v>
      </c>
      <c r="Q834">
        <v>19.82</v>
      </c>
      <c r="R834">
        <v>20.12</v>
      </c>
      <c r="S834">
        <v>20.14</v>
      </c>
      <c r="T834">
        <v>2.78</v>
      </c>
      <c r="U834">
        <v>0.52</v>
      </c>
      <c r="V834">
        <v>-88.08</v>
      </c>
      <c r="W834">
        <v>-1271</v>
      </c>
      <c r="X834">
        <v>20.07</v>
      </c>
      <c r="Y834" t="s">
        <v>3590</v>
      </c>
      <c r="Z834" t="s">
        <v>1576</v>
      </c>
      <c r="AA834">
        <v>0.96</v>
      </c>
      <c r="AB834">
        <v>11</v>
      </c>
      <c r="AC834">
        <v>1048</v>
      </c>
      <c r="AD834">
        <v>5.96</v>
      </c>
      <c r="AE834" t="s">
        <v>4008</v>
      </c>
      <c r="AF834" t="s">
        <v>3512</v>
      </c>
      <c r="AG834" t="s">
        <v>3227</v>
      </c>
      <c r="AH834" t="s">
        <v>4009</v>
      </c>
      <c r="AI834">
        <v>4.53</v>
      </c>
      <c r="AJ834">
        <v>11.65</v>
      </c>
      <c r="AK834">
        <v>8.48</v>
      </c>
      <c r="AL834">
        <v>12.88</v>
      </c>
    </row>
    <row r="835" spans="1:38" x14ac:dyDescent="0.25">
      <c r="A835">
        <v>834</v>
      </c>
      <c r="B835" t="str">
        <f xml:space="preserve"> "300113"</f>
        <v>300113</v>
      </c>
      <c r="C835" t="s">
        <v>4010</v>
      </c>
      <c r="D835">
        <v>20.49</v>
      </c>
      <c r="E835">
        <v>0.54</v>
      </c>
      <c r="F835">
        <v>0.11</v>
      </c>
      <c r="G835" t="s">
        <v>442</v>
      </c>
      <c r="H835">
        <v>2088</v>
      </c>
      <c r="I835">
        <v>20.49</v>
      </c>
      <c r="J835">
        <v>20.5</v>
      </c>
      <c r="K835">
        <v>-0.05</v>
      </c>
      <c r="L835">
        <v>2.4900000000000002</v>
      </c>
      <c r="M835" t="s">
        <v>4011</v>
      </c>
      <c r="N835">
        <v>31.43</v>
      </c>
      <c r="O835" t="s">
        <v>893</v>
      </c>
      <c r="P835">
        <v>20.57</v>
      </c>
      <c r="Q835">
        <v>20.149999999999999</v>
      </c>
      <c r="R835">
        <v>20.46</v>
      </c>
      <c r="S835">
        <v>20.38</v>
      </c>
      <c r="T835">
        <v>2.06</v>
      </c>
      <c r="U835">
        <v>1.02</v>
      </c>
      <c r="V835">
        <v>-6.16</v>
      </c>
      <c r="W835">
        <v>-198</v>
      </c>
      <c r="X835">
        <v>20.39</v>
      </c>
      <c r="Y835" t="s">
        <v>4012</v>
      </c>
      <c r="Z835" t="s">
        <v>1308</v>
      </c>
      <c r="AA835">
        <v>1.08</v>
      </c>
      <c r="AB835">
        <v>1219</v>
      </c>
      <c r="AC835">
        <v>650</v>
      </c>
      <c r="AD835">
        <v>5.12</v>
      </c>
      <c r="AE835" t="s">
        <v>3846</v>
      </c>
      <c r="AF835" t="s">
        <v>3512</v>
      </c>
      <c r="AG835" t="s">
        <v>4013</v>
      </c>
      <c r="AH835" t="s">
        <v>4014</v>
      </c>
      <c r="AI835">
        <v>2.19</v>
      </c>
      <c r="AJ835">
        <v>8.07</v>
      </c>
      <c r="AK835">
        <v>8.39</v>
      </c>
      <c r="AL835">
        <v>14.64</v>
      </c>
    </row>
    <row r="836" spans="1:38" x14ac:dyDescent="0.25">
      <c r="A836">
        <v>835</v>
      </c>
      <c r="B836" t="str">
        <f xml:space="preserve"> "600086"</f>
        <v>600086</v>
      </c>
      <c r="C836" t="s">
        <v>4015</v>
      </c>
      <c r="D836">
        <v>10.5</v>
      </c>
      <c r="E836">
        <v>0.86</v>
      </c>
      <c r="F836">
        <v>0.09</v>
      </c>
      <c r="G836" t="s">
        <v>4016</v>
      </c>
      <c r="H836">
        <v>9</v>
      </c>
      <c r="I836">
        <v>10.5</v>
      </c>
      <c r="J836">
        <v>10.51</v>
      </c>
      <c r="K836">
        <v>-0.28000000000000003</v>
      </c>
      <c r="L836">
        <v>0.94</v>
      </c>
      <c r="M836" t="s">
        <v>1907</v>
      </c>
      <c r="N836">
        <v>35.520000000000003</v>
      </c>
      <c r="O836" t="s">
        <v>2984</v>
      </c>
      <c r="P836">
        <v>10.54</v>
      </c>
      <c r="Q836">
        <v>10.38</v>
      </c>
      <c r="R836">
        <v>10.43</v>
      </c>
      <c r="S836">
        <v>10.41</v>
      </c>
      <c r="T836">
        <v>1.54</v>
      </c>
      <c r="U836">
        <v>2.19</v>
      </c>
      <c r="V836">
        <v>-9.7200000000000006</v>
      </c>
      <c r="W836">
        <v>-1277</v>
      </c>
      <c r="X836">
        <v>10.51</v>
      </c>
      <c r="Y836" t="s">
        <v>2401</v>
      </c>
      <c r="Z836" t="s">
        <v>2159</v>
      </c>
      <c r="AA836">
        <v>1.74</v>
      </c>
      <c r="AB836">
        <v>2719</v>
      </c>
      <c r="AC836">
        <v>287</v>
      </c>
      <c r="AD836">
        <v>4.51</v>
      </c>
      <c r="AE836" t="s">
        <v>1587</v>
      </c>
      <c r="AF836" t="s">
        <v>3512</v>
      </c>
      <c r="AG836" t="s">
        <v>1554</v>
      </c>
      <c r="AH836" t="s">
        <v>1982</v>
      </c>
      <c r="AI836">
        <v>1.74</v>
      </c>
      <c r="AJ836">
        <v>0.96</v>
      </c>
      <c r="AK836">
        <v>1.77</v>
      </c>
      <c r="AL836">
        <v>3.1</v>
      </c>
    </row>
    <row r="837" spans="1:38" x14ac:dyDescent="0.25">
      <c r="A837">
        <v>836</v>
      </c>
      <c r="B837" t="str">
        <f xml:space="preserve"> "002440"</f>
        <v>002440</v>
      </c>
      <c r="C837" t="s">
        <v>4017</v>
      </c>
      <c r="D837">
        <v>18.48</v>
      </c>
      <c r="E837">
        <v>0.82</v>
      </c>
      <c r="F837">
        <v>0.15</v>
      </c>
      <c r="G837" t="s">
        <v>3606</v>
      </c>
      <c r="H837">
        <v>840</v>
      </c>
      <c r="I837">
        <v>18.48</v>
      </c>
      <c r="J837">
        <v>18.489999999999998</v>
      </c>
      <c r="K837">
        <v>0.05</v>
      </c>
      <c r="L837">
        <v>0.71</v>
      </c>
      <c r="M837" t="s">
        <v>4018</v>
      </c>
      <c r="N837">
        <v>17.64</v>
      </c>
      <c r="O837" t="s">
        <v>667</v>
      </c>
      <c r="P837">
        <v>18.53</v>
      </c>
      <c r="Q837">
        <v>18.2</v>
      </c>
      <c r="R837">
        <v>18.329999999999998</v>
      </c>
      <c r="S837">
        <v>18.329999999999998</v>
      </c>
      <c r="T837">
        <v>1.8</v>
      </c>
      <c r="U837">
        <v>0.63</v>
      </c>
      <c r="V837">
        <v>8.6999999999999993</v>
      </c>
      <c r="W837">
        <v>259</v>
      </c>
      <c r="X837">
        <v>18.39</v>
      </c>
      <c r="Y837" t="s">
        <v>2240</v>
      </c>
      <c r="Z837" t="s">
        <v>3181</v>
      </c>
      <c r="AA837">
        <v>0.97</v>
      </c>
      <c r="AB837">
        <v>82</v>
      </c>
      <c r="AC837">
        <v>427</v>
      </c>
      <c r="AD837">
        <v>2.19</v>
      </c>
      <c r="AE837" t="s">
        <v>2813</v>
      </c>
      <c r="AF837" t="s">
        <v>3512</v>
      </c>
      <c r="AG837" t="s">
        <v>3267</v>
      </c>
      <c r="AH837" t="s">
        <v>3631</v>
      </c>
      <c r="AI837">
        <v>-2.17</v>
      </c>
      <c r="AJ837">
        <v>1.2</v>
      </c>
      <c r="AK837">
        <v>2.95</v>
      </c>
      <c r="AL837">
        <v>6.26</v>
      </c>
    </row>
    <row r="838" spans="1:38" x14ac:dyDescent="0.25">
      <c r="A838">
        <v>837</v>
      </c>
      <c r="B838" t="str">
        <f xml:space="preserve"> "603806"</f>
        <v>603806</v>
      </c>
      <c r="C838" t="s">
        <v>4019</v>
      </c>
      <c r="D838">
        <v>35.17</v>
      </c>
      <c r="E838">
        <v>4.1100000000000003</v>
      </c>
      <c r="F838">
        <v>1.39</v>
      </c>
      <c r="G838" t="s">
        <v>3238</v>
      </c>
      <c r="H838">
        <v>7</v>
      </c>
      <c r="I838">
        <v>35.17</v>
      </c>
      <c r="J838">
        <v>35.18</v>
      </c>
      <c r="K838">
        <v>-0.06</v>
      </c>
      <c r="L838">
        <v>0.45</v>
      </c>
      <c r="M838" t="s">
        <v>4020</v>
      </c>
      <c r="N838">
        <v>28.31</v>
      </c>
      <c r="O838" t="s">
        <v>2128</v>
      </c>
      <c r="P838">
        <v>35.35</v>
      </c>
      <c r="Q838">
        <v>33.729999999999997</v>
      </c>
      <c r="R838">
        <v>33.74</v>
      </c>
      <c r="S838">
        <v>33.78</v>
      </c>
      <c r="T838">
        <v>4.8</v>
      </c>
      <c r="U838">
        <v>1.59</v>
      </c>
      <c r="V838">
        <v>-41.95</v>
      </c>
      <c r="W838">
        <v>-211</v>
      </c>
      <c r="X838">
        <v>34.64</v>
      </c>
      <c r="Y838">
        <v>5387</v>
      </c>
      <c r="Z838" t="s">
        <v>2370</v>
      </c>
      <c r="AA838">
        <v>0.42</v>
      </c>
      <c r="AB838">
        <v>6</v>
      </c>
      <c r="AC838">
        <v>88</v>
      </c>
      <c r="AD838">
        <v>3.01</v>
      </c>
      <c r="AE838" t="s">
        <v>2640</v>
      </c>
      <c r="AF838" t="s">
        <v>1580</v>
      </c>
      <c r="AG838" t="s">
        <v>2640</v>
      </c>
      <c r="AH838" t="s">
        <v>1580</v>
      </c>
      <c r="AI838">
        <v>-0.26</v>
      </c>
      <c r="AJ838">
        <v>1.0900000000000001</v>
      </c>
      <c r="AK838">
        <v>1.03</v>
      </c>
      <c r="AL838">
        <v>1.88</v>
      </c>
    </row>
    <row r="839" spans="1:38" x14ac:dyDescent="0.25">
      <c r="A839">
        <v>838</v>
      </c>
      <c r="B839" t="str">
        <f xml:space="preserve"> "600568"</f>
        <v>600568</v>
      </c>
      <c r="C839" t="s">
        <v>4021</v>
      </c>
      <c r="D839">
        <v>7.09</v>
      </c>
      <c r="E839">
        <v>0.28000000000000003</v>
      </c>
      <c r="F839">
        <v>0.02</v>
      </c>
      <c r="G839" t="s">
        <v>1308</v>
      </c>
      <c r="H839">
        <v>20</v>
      </c>
      <c r="I839">
        <v>7.09</v>
      </c>
      <c r="J839">
        <v>7.1</v>
      </c>
      <c r="K839">
        <v>0</v>
      </c>
      <c r="L839">
        <v>0.33</v>
      </c>
      <c r="M839" t="s">
        <v>4022</v>
      </c>
      <c r="N839">
        <v>40.799999999999997</v>
      </c>
      <c r="O839" t="s">
        <v>392</v>
      </c>
      <c r="P839">
        <v>7.13</v>
      </c>
      <c r="Q839">
        <v>7.04</v>
      </c>
      <c r="R839">
        <v>7.05</v>
      </c>
      <c r="S839">
        <v>7.07</v>
      </c>
      <c r="T839">
        <v>1.27</v>
      </c>
      <c r="U839">
        <v>0.3</v>
      </c>
      <c r="V839">
        <v>-14.89</v>
      </c>
      <c r="W839">
        <v>-1326</v>
      </c>
      <c r="X839">
        <v>7.08</v>
      </c>
      <c r="Y839" t="s">
        <v>1908</v>
      </c>
      <c r="Z839" t="s">
        <v>4023</v>
      </c>
      <c r="AA839">
        <v>1.37</v>
      </c>
      <c r="AB839">
        <v>7</v>
      </c>
      <c r="AC839">
        <v>5</v>
      </c>
      <c r="AD839">
        <v>2.37</v>
      </c>
      <c r="AE839" t="s">
        <v>2666</v>
      </c>
      <c r="AF839" t="s">
        <v>1580</v>
      </c>
      <c r="AG839" t="s">
        <v>1375</v>
      </c>
      <c r="AH839" t="s">
        <v>3690</v>
      </c>
      <c r="AI839">
        <v>-2.48</v>
      </c>
      <c r="AJ839">
        <v>1.72</v>
      </c>
      <c r="AK839">
        <v>2.06</v>
      </c>
      <c r="AL839">
        <v>5.78</v>
      </c>
    </row>
    <row r="840" spans="1:38" x14ac:dyDescent="0.25">
      <c r="A840">
        <v>839</v>
      </c>
      <c r="B840" t="str">
        <f xml:space="preserve"> "000034"</f>
        <v>000034</v>
      </c>
      <c r="C840" t="s">
        <v>4024</v>
      </c>
      <c r="D840" t="s">
        <v>616</v>
      </c>
      <c r="E840" t="s">
        <v>616</v>
      </c>
      <c r="F840" t="s">
        <v>616</v>
      </c>
      <c r="G840" t="s">
        <v>616</v>
      </c>
      <c r="H840" t="s">
        <v>616</v>
      </c>
      <c r="I840" t="s">
        <v>616</v>
      </c>
      <c r="J840" t="s">
        <v>616</v>
      </c>
      <c r="K840" t="s">
        <v>616</v>
      </c>
      <c r="L840" t="s">
        <v>616</v>
      </c>
      <c r="M840" t="s">
        <v>616</v>
      </c>
      <c r="N840">
        <v>34.659999999999997</v>
      </c>
      <c r="O840" t="s">
        <v>580</v>
      </c>
      <c r="P840" t="s">
        <v>616</v>
      </c>
      <c r="Q840" t="s">
        <v>616</v>
      </c>
      <c r="R840" t="s">
        <v>616</v>
      </c>
      <c r="S840">
        <v>21.6</v>
      </c>
      <c r="T840" t="s">
        <v>616</v>
      </c>
      <c r="U840" t="s">
        <v>616</v>
      </c>
      <c r="V840" t="s">
        <v>616</v>
      </c>
      <c r="W840" t="s">
        <v>616</v>
      </c>
      <c r="X840" t="s">
        <v>616</v>
      </c>
      <c r="Y840" t="s">
        <v>616</v>
      </c>
      <c r="Z840" t="s">
        <v>616</v>
      </c>
      <c r="AA840" t="s">
        <v>616</v>
      </c>
      <c r="AB840" t="s">
        <v>616</v>
      </c>
      <c r="AC840" t="s">
        <v>616</v>
      </c>
      <c r="AD840">
        <v>4.97</v>
      </c>
      <c r="AE840" t="s">
        <v>1603</v>
      </c>
      <c r="AF840" t="s">
        <v>1580</v>
      </c>
      <c r="AG840" t="s">
        <v>874</v>
      </c>
      <c r="AH840" t="s">
        <v>2896</v>
      </c>
      <c r="AI840">
        <v>0</v>
      </c>
      <c r="AJ840">
        <v>0</v>
      </c>
      <c r="AK840">
        <v>0</v>
      </c>
      <c r="AL840">
        <v>0</v>
      </c>
    </row>
    <row r="841" spans="1:38" x14ac:dyDescent="0.25">
      <c r="A841">
        <v>840</v>
      </c>
      <c r="B841" t="str">
        <f xml:space="preserve"> "000831"</f>
        <v>000831</v>
      </c>
      <c r="C841" t="s">
        <v>4025</v>
      </c>
      <c r="D841">
        <v>14.39</v>
      </c>
      <c r="E841">
        <v>0.56000000000000005</v>
      </c>
      <c r="F841">
        <v>0.08</v>
      </c>
      <c r="G841" t="s">
        <v>3073</v>
      </c>
      <c r="H841">
        <v>2726</v>
      </c>
      <c r="I841">
        <v>14.39</v>
      </c>
      <c r="J841">
        <v>14.4</v>
      </c>
      <c r="K841">
        <v>0.21</v>
      </c>
      <c r="L841">
        <v>1.21</v>
      </c>
      <c r="M841" t="s">
        <v>1228</v>
      </c>
      <c r="N841">
        <v>267.13</v>
      </c>
      <c r="O841" t="s">
        <v>449</v>
      </c>
      <c r="P841">
        <v>14.48</v>
      </c>
      <c r="Q841">
        <v>14.24</v>
      </c>
      <c r="R841">
        <v>14.32</v>
      </c>
      <c r="S841">
        <v>14.31</v>
      </c>
      <c r="T841">
        <v>1.68</v>
      </c>
      <c r="U841">
        <v>0.71</v>
      </c>
      <c r="V841">
        <v>-27.89</v>
      </c>
      <c r="W841">
        <v>-1880</v>
      </c>
      <c r="X841">
        <v>14.36</v>
      </c>
      <c r="Y841" t="s">
        <v>1205</v>
      </c>
      <c r="Z841" t="s">
        <v>4012</v>
      </c>
      <c r="AA841">
        <v>0.99</v>
      </c>
      <c r="AB841">
        <v>1226</v>
      </c>
      <c r="AC841">
        <v>1228</v>
      </c>
      <c r="AD841">
        <v>7</v>
      </c>
      <c r="AE841" t="s">
        <v>4026</v>
      </c>
      <c r="AF841" t="s">
        <v>1580</v>
      </c>
      <c r="AG841" t="s">
        <v>4026</v>
      </c>
      <c r="AH841" t="s">
        <v>1580</v>
      </c>
      <c r="AI841">
        <v>-0.96</v>
      </c>
      <c r="AJ841">
        <v>-1.91</v>
      </c>
      <c r="AK841">
        <v>5.18</v>
      </c>
      <c r="AL841">
        <v>9.77</v>
      </c>
    </row>
    <row r="842" spans="1:38" x14ac:dyDescent="0.25">
      <c r="A842">
        <v>841</v>
      </c>
      <c r="B842" t="str">
        <f xml:space="preserve"> "002489"</f>
        <v>002489</v>
      </c>
      <c r="C842" t="s">
        <v>4027</v>
      </c>
      <c r="D842">
        <v>6.48</v>
      </c>
      <c r="E842">
        <v>0</v>
      </c>
      <c r="F842">
        <v>0</v>
      </c>
      <c r="G842" t="s">
        <v>3639</v>
      </c>
      <c r="H842">
        <v>1065</v>
      </c>
      <c r="I842">
        <v>6.48</v>
      </c>
      <c r="J842">
        <v>6.49</v>
      </c>
      <c r="K842">
        <v>0</v>
      </c>
      <c r="L842">
        <v>0.24</v>
      </c>
      <c r="M842" t="s">
        <v>4028</v>
      </c>
      <c r="N842">
        <v>28.17</v>
      </c>
      <c r="O842" t="s">
        <v>1469</v>
      </c>
      <c r="P842">
        <v>6.5</v>
      </c>
      <c r="Q842">
        <v>6.44</v>
      </c>
      <c r="R842">
        <v>6.46</v>
      </c>
      <c r="S842">
        <v>6.48</v>
      </c>
      <c r="T842">
        <v>0.93</v>
      </c>
      <c r="U842">
        <v>0.7</v>
      </c>
      <c r="V842">
        <v>-25.18</v>
      </c>
      <c r="W842">
        <v>-2750</v>
      </c>
      <c r="X842">
        <v>6.47</v>
      </c>
      <c r="Y842" t="s">
        <v>2777</v>
      </c>
      <c r="Z842" t="s">
        <v>2126</v>
      </c>
      <c r="AA842">
        <v>1.48</v>
      </c>
      <c r="AB842">
        <v>61</v>
      </c>
      <c r="AC842">
        <v>1596</v>
      </c>
      <c r="AD842">
        <v>4.17</v>
      </c>
      <c r="AE842" t="s">
        <v>2277</v>
      </c>
      <c r="AF842" t="s">
        <v>1580</v>
      </c>
      <c r="AG842" t="s">
        <v>4029</v>
      </c>
      <c r="AH842" t="s">
        <v>555</v>
      </c>
      <c r="AI842">
        <v>-0.46</v>
      </c>
      <c r="AJ842">
        <v>2.21</v>
      </c>
      <c r="AK842">
        <v>0.87</v>
      </c>
      <c r="AL842">
        <v>1.95</v>
      </c>
    </row>
    <row r="843" spans="1:38" x14ac:dyDescent="0.25">
      <c r="A843">
        <v>842</v>
      </c>
      <c r="B843" t="str">
        <f xml:space="preserve"> "002191"</f>
        <v>002191</v>
      </c>
      <c r="C843" t="s">
        <v>4030</v>
      </c>
      <c r="D843">
        <v>10.78</v>
      </c>
      <c r="E843">
        <v>-0.19</v>
      </c>
      <c r="F843">
        <v>-0.02</v>
      </c>
      <c r="G843" t="s">
        <v>747</v>
      </c>
      <c r="H843">
        <v>518</v>
      </c>
      <c r="I843">
        <v>10.77</v>
      </c>
      <c r="J843">
        <v>10.78</v>
      </c>
      <c r="K843">
        <v>0</v>
      </c>
      <c r="L843">
        <v>0.65</v>
      </c>
      <c r="M843" t="s">
        <v>4031</v>
      </c>
      <c r="N843">
        <v>23.23</v>
      </c>
      <c r="O843" t="s">
        <v>3873</v>
      </c>
      <c r="P843">
        <v>10.84</v>
      </c>
      <c r="Q843">
        <v>10.67</v>
      </c>
      <c r="R843">
        <v>10.82</v>
      </c>
      <c r="S843">
        <v>10.8</v>
      </c>
      <c r="T843">
        <v>1.57</v>
      </c>
      <c r="U843">
        <v>0.37</v>
      </c>
      <c r="V843">
        <v>-35.18</v>
      </c>
      <c r="W843">
        <v>-1797</v>
      </c>
      <c r="X843">
        <v>10.74</v>
      </c>
      <c r="Y843" t="s">
        <v>4032</v>
      </c>
      <c r="Z843" t="s">
        <v>430</v>
      </c>
      <c r="AA843">
        <v>1.3</v>
      </c>
      <c r="AB843">
        <v>684</v>
      </c>
      <c r="AC843">
        <v>10</v>
      </c>
      <c r="AD843">
        <v>3.09</v>
      </c>
      <c r="AE843" t="s">
        <v>1510</v>
      </c>
      <c r="AF843" t="s">
        <v>1580</v>
      </c>
      <c r="AG843" t="s">
        <v>2828</v>
      </c>
      <c r="AH843" t="s">
        <v>511</v>
      </c>
      <c r="AI843">
        <v>0.37</v>
      </c>
      <c r="AJ843">
        <v>9.2200000000000006</v>
      </c>
      <c r="AK843">
        <v>3.36</v>
      </c>
      <c r="AL843">
        <v>9.44</v>
      </c>
    </row>
    <row r="844" spans="1:38" x14ac:dyDescent="0.25">
      <c r="A844">
        <v>843</v>
      </c>
      <c r="B844" t="str">
        <f xml:space="preserve"> "300134"</f>
        <v>300134</v>
      </c>
      <c r="C844" t="s">
        <v>4033</v>
      </c>
      <c r="D844">
        <v>18.32</v>
      </c>
      <c r="E844">
        <v>-1.45</v>
      </c>
      <c r="F844">
        <v>-0.27</v>
      </c>
      <c r="G844" t="s">
        <v>974</v>
      </c>
      <c r="H844">
        <v>1067</v>
      </c>
      <c r="I844">
        <v>18.32</v>
      </c>
      <c r="J844">
        <v>18.329999999999998</v>
      </c>
      <c r="K844">
        <v>0</v>
      </c>
      <c r="L844">
        <v>1.03</v>
      </c>
      <c r="M844" t="s">
        <v>1985</v>
      </c>
      <c r="N844">
        <v>-79.45</v>
      </c>
      <c r="O844" t="s">
        <v>580</v>
      </c>
      <c r="P844">
        <v>18.55</v>
      </c>
      <c r="Q844">
        <v>18.22</v>
      </c>
      <c r="R844">
        <v>18.45</v>
      </c>
      <c r="S844">
        <v>18.59</v>
      </c>
      <c r="T844">
        <v>1.78</v>
      </c>
      <c r="U844">
        <v>0.49</v>
      </c>
      <c r="V844">
        <v>4.0599999999999996</v>
      </c>
      <c r="W844">
        <v>102</v>
      </c>
      <c r="X844">
        <v>18.34</v>
      </c>
      <c r="Y844" t="s">
        <v>2288</v>
      </c>
      <c r="Z844" t="s">
        <v>121</v>
      </c>
      <c r="AA844">
        <v>1.64</v>
      </c>
      <c r="AB844">
        <v>543</v>
      </c>
      <c r="AC844">
        <v>186</v>
      </c>
      <c r="AD844">
        <v>2.4500000000000002</v>
      </c>
      <c r="AE844" t="s">
        <v>2813</v>
      </c>
      <c r="AF844" t="s">
        <v>1580</v>
      </c>
      <c r="AG844" t="s">
        <v>4034</v>
      </c>
      <c r="AH844" t="s">
        <v>880</v>
      </c>
      <c r="AI844">
        <v>-1.19</v>
      </c>
      <c r="AJ844">
        <v>1.22</v>
      </c>
      <c r="AK844">
        <v>3.88</v>
      </c>
      <c r="AL844">
        <v>11.59</v>
      </c>
    </row>
    <row r="845" spans="1:38" x14ac:dyDescent="0.25">
      <c r="A845">
        <v>844</v>
      </c>
      <c r="B845" t="str">
        <f xml:space="preserve"> "002545"</f>
        <v>002545</v>
      </c>
      <c r="C845" t="s">
        <v>4035</v>
      </c>
      <c r="D845">
        <v>10.68</v>
      </c>
      <c r="E845">
        <v>0.38</v>
      </c>
      <c r="F845">
        <v>0.04</v>
      </c>
      <c r="G845" t="s">
        <v>2003</v>
      </c>
      <c r="H845">
        <v>2666</v>
      </c>
      <c r="I845">
        <v>10.67</v>
      </c>
      <c r="J845">
        <v>10.68</v>
      </c>
      <c r="K845">
        <v>0</v>
      </c>
      <c r="L845">
        <v>4.6399999999999997</v>
      </c>
      <c r="M845" t="s">
        <v>1606</v>
      </c>
      <c r="N845">
        <v>95.21</v>
      </c>
      <c r="O845" t="s">
        <v>562</v>
      </c>
      <c r="P845">
        <v>10.74</v>
      </c>
      <c r="Q845">
        <v>10.53</v>
      </c>
      <c r="R845">
        <v>10.66</v>
      </c>
      <c r="S845">
        <v>10.64</v>
      </c>
      <c r="T845">
        <v>1.97</v>
      </c>
      <c r="U845">
        <v>0.44</v>
      </c>
      <c r="V845">
        <v>7.5</v>
      </c>
      <c r="W845">
        <v>409</v>
      </c>
      <c r="X845">
        <v>10.64</v>
      </c>
      <c r="Y845" t="s">
        <v>2605</v>
      </c>
      <c r="Z845" t="s">
        <v>2220</v>
      </c>
      <c r="AA845">
        <v>1.2</v>
      </c>
      <c r="AB845">
        <v>974</v>
      </c>
      <c r="AC845">
        <v>257</v>
      </c>
      <c r="AD845">
        <v>2.0299999999999998</v>
      </c>
      <c r="AE845" t="s">
        <v>1358</v>
      </c>
      <c r="AF845" t="s">
        <v>1580</v>
      </c>
      <c r="AG845" t="s">
        <v>2521</v>
      </c>
      <c r="AH845" t="s">
        <v>3243</v>
      </c>
      <c r="AI845">
        <v>-0.37</v>
      </c>
      <c r="AJ845">
        <v>0.28000000000000003</v>
      </c>
      <c r="AK845">
        <v>26.36</v>
      </c>
      <c r="AL845">
        <v>57.42</v>
      </c>
    </row>
    <row r="846" spans="1:38" x14ac:dyDescent="0.25">
      <c r="A846">
        <v>845</v>
      </c>
      <c r="B846" t="str">
        <f xml:space="preserve"> "300090"</f>
        <v>300090</v>
      </c>
      <c r="C846" t="s">
        <v>4036</v>
      </c>
      <c r="D846">
        <v>10.65</v>
      </c>
      <c r="E846">
        <v>0.28000000000000003</v>
      </c>
      <c r="F846">
        <v>0.03</v>
      </c>
      <c r="G846" t="s">
        <v>817</v>
      </c>
      <c r="H846">
        <v>1779</v>
      </c>
      <c r="I846">
        <v>10.65</v>
      </c>
      <c r="J846">
        <v>10.66</v>
      </c>
      <c r="K846">
        <v>0</v>
      </c>
      <c r="L846">
        <v>3.51</v>
      </c>
      <c r="M846" t="s">
        <v>3853</v>
      </c>
      <c r="N846">
        <v>127.15</v>
      </c>
      <c r="O846" t="s">
        <v>1155</v>
      </c>
      <c r="P846">
        <v>10.87</v>
      </c>
      <c r="Q846">
        <v>10.25</v>
      </c>
      <c r="R846">
        <v>10.44</v>
      </c>
      <c r="S846">
        <v>10.62</v>
      </c>
      <c r="T846">
        <v>5.84</v>
      </c>
      <c r="U846">
        <v>1.91</v>
      </c>
      <c r="V846">
        <v>7.05</v>
      </c>
      <c r="W846">
        <v>315</v>
      </c>
      <c r="X846">
        <v>10.63</v>
      </c>
      <c r="Y846" t="s">
        <v>1772</v>
      </c>
      <c r="Z846" t="s">
        <v>2008</v>
      </c>
      <c r="AA846">
        <v>0.72</v>
      </c>
      <c r="AB846">
        <v>1013</v>
      </c>
      <c r="AC846">
        <v>409</v>
      </c>
      <c r="AD846">
        <v>2.68</v>
      </c>
      <c r="AE846" t="s">
        <v>1358</v>
      </c>
      <c r="AF846" t="s">
        <v>1580</v>
      </c>
      <c r="AG846" t="s">
        <v>4037</v>
      </c>
      <c r="AH846" t="s">
        <v>4038</v>
      </c>
      <c r="AI846">
        <v>-3.09</v>
      </c>
      <c r="AJ846">
        <v>-5.84</v>
      </c>
      <c r="AK846">
        <v>7.25</v>
      </c>
      <c r="AL846">
        <v>12.67</v>
      </c>
    </row>
    <row r="847" spans="1:38" x14ac:dyDescent="0.25">
      <c r="A847">
        <v>846</v>
      </c>
      <c r="B847" t="str">
        <f xml:space="preserve"> "002482"</f>
        <v>002482</v>
      </c>
      <c r="C847" t="s">
        <v>4039</v>
      </c>
      <c r="D847">
        <v>9.14</v>
      </c>
      <c r="E847">
        <v>0.11</v>
      </c>
      <c r="F847">
        <v>0.01</v>
      </c>
      <c r="G847" t="s">
        <v>2790</v>
      </c>
      <c r="H847">
        <v>1623</v>
      </c>
      <c r="I847">
        <v>9.1300000000000008</v>
      </c>
      <c r="J847">
        <v>9.14</v>
      </c>
      <c r="K847">
        <v>0.11</v>
      </c>
      <c r="L847">
        <v>0.37</v>
      </c>
      <c r="M847" t="s">
        <v>4040</v>
      </c>
      <c r="N847">
        <v>32.619999999999997</v>
      </c>
      <c r="O847" t="s">
        <v>2309</v>
      </c>
      <c r="P847">
        <v>9.15</v>
      </c>
      <c r="Q847">
        <v>9.06</v>
      </c>
      <c r="R847">
        <v>9.1199999999999992</v>
      </c>
      <c r="S847">
        <v>9.1300000000000008</v>
      </c>
      <c r="T847">
        <v>0.99</v>
      </c>
      <c r="U847">
        <v>0.67</v>
      </c>
      <c r="V847">
        <v>-45.03</v>
      </c>
      <c r="W847">
        <v>-2067</v>
      </c>
      <c r="X847">
        <v>9.1</v>
      </c>
      <c r="Y847" t="s">
        <v>275</v>
      </c>
      <c r="Z847" t="s">
        <v>1961</v>
      </c>
      <c r="AA847">
        <v>1.02</v>
      </c>
      <c r="AB847">
        <v>597</v>
      </c>
      <c r="AC847">
        <v>1857</v>
      </c>
      <c r="AD847">
        <v>2.2799999999999998</v>
      </c>
      <c r="AE847" t="s">
        <v>2422</v>
      </c>
      <c r="AF847" t="s">
        <v>1580</v>
      </c>
      <c r="AG847" t="s">
        <v>1510</v>
      </c>
      <c r="AH847" t="s">
        <v>3763</v>
      </c>
      <c r="AI847">
        <v>-0.98</v>
      </c>
      <c r="AJ847">
        <v>0.88</v>
      </c>
      <c r="AK847">
        <v>1.21</v>
      </c>
      <c r="AL847">
        <v>3.13</v>
      </c>
    </row>
    <row r="848" spans="1:38" x14ac:dyDescent="0.25">
      <c r="A848">
        <v>847</v>
      </c>
      <c r="B848" t="str">
        <f xml:space="preserve"> "000021"</f>
        <v>000021</v>
      </c>
      <c r="C848" t="s">
        <v>4041</v>
      </c>
      <c r="D848">
        <v>9.5500000000000007</v>
      </c>
      <c r="E848">
        <v>0.95</v>
      </c>
      <c r="F848">
        <v>0.09</v>
      </c>
      <c r="G848" t="s">
        <v>3844</v>
      </c>
      <c r="H848">
        <v>1928</v>
      </c>
      <c r="I848">
        <v>9.5399999999999991</v>
      </c>
      <c r="J848">
        <v>9.5500000000000007</v>
      </c>
      <c r="K848">
        <v>0.21</v>
      </c>
      <c r="L848">
        <v>0.64</v>
      </c>
      <c r="M848" t="s">
        <v>4042</v>
      </c>
      <c r="N848">
        <v>22.85</v>
      </c>
      <c r="O848" t="s">
        <v>553</v>
      </c>
      <c r="P848">
        <v>9.57</v>
      </c>
      <c r="Q848">
        <v>9.4600000000000009</v>
      </c>
      <c r="R848">
        <v>9.4600000000000009</v>
      </c>
      <c r="S848">
        <v>9.4600000000000009</v>
      </c>
      <c r="T848">
        <v>1.1599999999999999</v>
      </c>
      <c r="U848">
        <v>0.6</v>
      </c>
      <c r="V848">
        <v>-48.03</v>
      </c>
      <c r="W848">
        <v>-2936</v>
      </c>
      <c r="X848">
        <v>9.52</v>
      </c>
      <c r="Y848" t="s">
        <v>3331</v>
      </c>
      <c r="Z848" t="s">
        <v>4043</v>
      </c>
      <c r="AA848">
        <v>0.81</v>
      </c>
      <c r="AB848">
        <v>240</v>
      </c>
      <c r="AC848">
        <v>954</v>
      </c>
      <c r="AD848">
        <v>2.48</v>
      </c>
      <c r="AE848" t="s">
        <v>3009</v>
      </c>
      <c r="AF848" t="s">
        <v>1580</v>
      </c>
      <c r="AG848" t="s">
        <v>3009</v>
      </c>
      <c r="AH848" t="s">
        <v>511</v>
      </c>
      <c r="AI848">
        <v>-1.44</v>
      </c>
      <c r="AJ848">
        <v>1.6</v>
      </c>
      <c r="AK848">
        <v>2.19</v>
      </c>
      <c r="AL848">
        <v>5.96</v>
      </c>
    </row>
    <row r="849" spans="1:38" x14ac:dyDescent="0.25">
      <c r="A849">
        <v>848</v>
      </c>
      <c r="B849" t="str">
        <f xml:space="preserve"> "300482"</f>
        <v>300482</v>
      </c>
      <c r="C849" t="s">
        <v>4044</v>
      </c>
      <c r="D849">
        <v>79.83</v>
      </c>
      <c r="E849">
        <v>0.04</v>
      </c>
      <c r="F849">
        <v>0.03</v>
      </c>
      <c r="G849" t="s">
        <v>2280</v>
      </c>
      <c r="H849">
        <v>267</v>
      </c>
      <c r="I849">
        <v>79.75</v>
      </c>
      <c r="J849">
        <v>79.83</v>
      </c>
      <c r="K849">
        <v>0.36</v>
      </c>
      <c r="L849">
        <v>1.17</v>
      </c>
      <c r="M849" t="s">
        <v>4045</v>
      </c>
      <c r="N849">
        <v>64.3</v>
      </c>
      <c r="O849" t="s">
        <v>392</v>
      </c>
      <c r="P849">
        <v>80.989999999999995</v>
      </c>
      <c r="Q849">
        <v>77.52</v>
      </c>
      <c r="R849">
        <v>79.3</v>
      </c>
      <c r="S849">
        <v>79.8</v>
      </c>
      <c r="T849">
        <v>4.3499999999999996</v>
      </c>
      <c r="U849">
        <v>1.06</v>
      </c>
      <c r="V849">
        <v>-70.33</v>
      </c>
      <c r="W849">
        <v>-237</v>
      </c>
      <c r="X849">
        <v>78.680000000000007</v>
      </c>
      <c r="Y849">
        <v>8254</v>
      </c>
      <c r="Z849">
        <v>4178</v>
      </c>
      <c r="AA849">
        <v>1.98</v>
      </c>
      <c r="AB849">
        <v>2</v>
      </c>
      <c r="AC849">
        <v>10</v>
      </c>
      <c r="AD849">
        <v>15.19</v>
      </c>
      <c r="AE849" t="s">
        <v>2861</v>
      </c>
      <c r="AF849" t="s">
        <v>1580</v>
      </c>
      <c r="AG849" t="s">
        <v>1635</v>
      </c>
      <c r="AH849" t="s">
        <v>4046</v>
      </c>
      <c r="AI849">
        <v>2.35</v>
      </c>
      <c r="AJ849">
        <v>8.92</v>
      </c>
      <c r="AK849">
        <v>2.92</v>
      </c>
      <c r="AL849">
        <v>6.7</v>
      </c>
    </row>
    <row r="850" spans="1:38" x14ac:dyDescent="0.25">
      <c r="A850">
        <v>849</v>
      </c>
      <c r="B850" t="str">
        <f xml:space="preserve"> "600771"</f>
        <v>600771</v>
      </c>
      <c r="C850" t="s">
        <v>4047</v>
      </c>
      <c r="D850">
        <v>39.71</v>
      </c>
      <c r="E850">
        <v>-0.43</v>
      </c>
      <c r="F850">
        <v>-0.17</v>
      </c>
      <c r="G850" t="s">
        <v>1113</v>
      </c>
      <c r="H850">
        <v>2</v>
      </c>
      <c r="I850">
        <v>39.79</v>
      </c>
      <c r="J850">
        <v>39.799999999999997</v>
      </c>
      <c r="K850">
        <v>0.3</v>
      </c>
      <c r="L850">
        <v>0.73</v>
      </c>
      <c r="M850" t="s">
        <v>4048</v>
      </c>
      <c r="N850">
        <v>89.11</v>
      </c>
      <c r="O850" t="s">
        <v>392</v>
      </c>
      <c r="P850">
        <v>39.99</v>
      </c>
      <c r="Q850">
        <v>39.5</v>
      </c>
      <c r="R850">
        <v>39.92</v>
      </c>
      <c r="S850">
        <v>39.880000000000003</v>
      </c>
      <c r="T850">
        <v>1.23</v>
      </c>
      <c r="U850">
        <v>0.55000000000000004</v>
      </c>
      <c r="V850">
        <v>5.77</v>
      </c>
      <c r="W850">
        <v>27</v>
      </c>
      <c r="X850">
        <v>39.76</v>
      </c>
      <c r="Y850" t="s">
        <v>3941</v>
      </c>
      <c r="Z850">
        <v>6232</v>
      </c>
      <c r="AA850">
        <v>1.84</v>
      </c>
      <c r="AB850">
        <v>15</v>
      </c>
      <c r="AC850">
        <v>44</v>
      </c>
      <c r="AD850">
        <v>7.85</v>
      </c>
      <c r="AE850" t="s">
        <v>82</v>
      </c>
      <c r="AF850" t="s">
        <v>511</v>
      </c>
      <c r="AG850" t="s">
        <v>1928</v>
      </c>
      <c r="AH850" t="s">
        <v>4049</v>
      </c>
      <c r="AI850">
        <v>-0.95</v>
      </c>
      <c r="AJ850">
        <v>5.75</v>
      </c>
      <c r="AK850">
        <v>2.97</v>
      </c>
      <c r="AL850">
        <v>7.33</v>
      </c>
    </row>
    <row r="851" spans="1:38" x14ac:dyDescent="0.25">
      <c r="A851">
        <v>850</v>
      </c>
      <c r="B851" t="str">
        <f xml:space="preserve"> "000560"</f>
        <v>000560</v>
      </c>
      <c r="C851" t="s">
        <v>4050</v>
      </c>
      <c r="D851">
        <v>11.97</v>
      </c>
      <c r="E851">
        <v>10.02</v>
      </c>
      <c r="F851">
        <v>1.0900000000000001</v>
      </c>
      <c r="G851" t="s">
        <v>4051</v>
      </c>
      <c r="H851">
        <v>118</v>
      </c>
      <c r="I851">
        <v>11.97</v>
      </c>
      <c r="J851" t="s">
        <v>616</v>
      </c>
      <c r="K851">
        <v>0</v>
      </c>
      <c r="L851">
        <v>17.61</v>
      </c>
      <c r="M851" t="s">
        <v>4052</v>
      </c>
      <c r="N851">
        <v>274.8</v>
      </c>
      <c r="O851" t="s">
        <v>532</v>
      </c>
      <c r="P851">
        <v>11.97</v>
      </c>
      <c r="Q851">
        <v>11.33</v>
      </c>
      <c r="R851">
        <v>11.8</v>
      </c>
      <c r="S851">
        <v>10.88</v>
      </c>
      <c r="T851">
        <v>5.88</v>
      </c>
      <c r="U851">
        <v>5.97</v>
      </c>
      <c r="V851">
        <v>100</v>
      </c>
      <c r="W851" t="s">
        <v>3552</v>
      </c>
      <c r="X851">
        <v>11.89</v>
      </c>
      <c r="Y851" t="s">
        <v>4053</v>
      </c>
      <c r="Z851" t="s">
        <v>2564</v>
      </c>
      <c r="AA851">
        <v>2.74</v>
      </c>
      <c r="AB851" t="s">
        <v>853</v>
      </c>
      <c r="AC851">
        <v>0</v>
      </c>
      <c r="AD851">
        <v>3.74</v>
      </c>
      <c r="AE851" t="s">
        <v>1132</v>
      </c>
      <c r="AF851" t="s">
        <v>511</v>
      </c>
      <c r="AG851" t="s">
        <v>1034</v>
      </c>
      <c r="AH851" t="s">
        <v>760</v>
      </c>
      <c r="AI851">
        <v>0</v>
      </c>
      <c r="AJ851">
        <v>0</v>
      </c>
      <c r="AK851">
        <v>17.61</v>
      </c>
      <c r="AL851">
        <v>17.61</v>
      </c>
    </row>
    <row r="852" spans="1:38" x14ac:dyDescent="0.25">
      <c r="A852">
        <v>851</v>
      </c>
      <c r="B852" t="str">
        <f xml:space="preserve"> "600859"</f>
        <v>600859</v>
      </c>
      <c r="C852" t="s">
        <v>4054</v>
      </c>
      <c r="D852">
        <v>18.02</v>
      </c>
      <c r="E852">
        <v>0.56000000000000005</v>
      </c>
      <c r="F852">
        <v>0.1</v>
      </c>
      <c r="G852" t="s">
        <v>3190</v>
      </c>
      <c r="H852">
        <v>5</v>
      </c>
      <c r="I852">
        <v>18.010000000000002</v>
      </c>
      <c r="J852">
        <v>18.02</v>
      </c>
      <c r="K852">
        <v>0.06</v>
      </c>
      <c r="L852">
        <v>0.5</v>
      </c>
      <c r="M852" t="s">
        <v>4055</v>
      </c>
      <c r="N852">
        <v>13.75</v>
      </c>
      <c r="O852" t="s">
        <v>532</v>
      </c>
      <c r="P852">
        <v>18.100000000000001</v>
      </c>
      <c r="Q852">
        <v>17.75</v>
      </c>
      <c r="R852">
        <v>17.98</v>
      </c>
      <c r="S852">
        <v>17.920000000000002</v>
      </c>
      <c r="T852">
        <v>1.95</v>
      </c>
      <c r="U852">
        <v>0.44</v>
      </c>
      <c r="V852">
        <v>-64.3</v>
      </c>
      <c r="W852">
        <v>-1088</v>
      </c>
      <c r="X852">
        <v>17.96</v>
      </c>
      <c r="Y852" t="s">
        <v>2365</v>
      </c>
      <c r="Z852" t="s">
        <v>2365</v>
      </c>
      <c r="AA852">
        <v>1</v>
      </c>
      <c r="AB852">
        <v>43</v>
      </c>
      <c r="AC852">
        <v>29</v>
      </c>
      <c r="AD852">
        <v>1.43</v>
      </c>
      <c r="AE852" t="s">
        <v>4056</v>
      </c>
      <c r="AF852" t="s">
        <v>511</v>
      </c>
      <c r="AG852" t="s">
        <v>1573</v>
      </c>
      <c r="AH852" t="s">
        <v>99</v>
      </c>
      <c r="AI852">
        <v>0.28000000000000003</v>
      </c>
      <c r="AJ852">
        <v>6.06</v>
      </c>
      <c r="AK852">
        <v>1.93</v>
      </c>
      <c r="AL852">
        <v>6.12</v>
      </c>
    </row>
    <row r="853" spans="1:38" x14ac:dyDescent="0.25">
      <c r="A853">
        <v>852</v>
      </c>
      <c r="B853" t="str">
        <f xml:space="preserve"> "603025"</f>
        <v>603025</v>
      </c>
      <c r="C853" t="s">
        <v>4057</v>
      </c>
      <c r="D853">
        <v>31.04</v>
      </c>
      <c r="E853">
        <v>1.1100000000000001</v>
      </c>
      <c r="F853">
        <v>0.34</v>
      </c>
      <c r="G853">
        <v>9367</v>
      </c>
      <c r="H853">
        <v>3</v>
      </c>
      <c r="I853">
        <v>31.02</v>
      </c>
      <c r="J853">
        <v>31.05</v>
      </c>
      <c r="K853">
        <v>0.03</v>
      </c>
      <c r="L853">
        <v>1.84</v>
      </c>
      <c r="M853" t="s">
        <v>4058</v>
      </c>
      <c r="N853">
        <v>39.4</v>
      </c>
      <c r="O853" t="s">
        <v>2647</v>
      </c>
      <c r="P853">
        <v>31.22</v>
      </c>
      <c r="Q853">
        <v>30.42</v>
      </c>
      <c r="R853">
        <v>30.66</v>
      </c>
      <c r="S853">
        <v>30.7</v>
      </c>
      <c r="T853">
        <v>2.61</v>
      </c>
      <c r="U853">
        <v>1.0900000000000001</v>
      </c>
      <c r="V853">
        <v>0.63</v>
      </c>
      <c r="W853">
        <v>2</v>
      </c>
      <c r="X853">
        <v>30.98</v>
      </c>
      <c r="Y853">
        <v>2852</v>
      </c>
      <c r="Z853">
        <v>6515</v>
      </c>
      <c r="AA853">
        <v>0.44</v>
      </c>
      <c r="AB853">
        <v>3</v>
      </c>
      <c r="AC853">
        <v>9</v>
      </c>
      <c r="AD853">
        <v>9.34</v>
      </c>
      <c r="AE853" t="s">
        <v>1395</v>
      </c>
      <c r="AF853" t="s">
        <v>511</v>
      </c>
      <c r="AG853" t="s">
        <v>4059</v>
      </c>
      <c r="AH853" t="s">
        <v>2299</v>
      </c>
      <c r="AI853">
        <v>0.45</v>
      </c>
      <c r="AJ853">
        <v>2.99</v>
      </c>
      <c r="AK853">
        <v>4.68</v>
      </c>
      <c r="AL853">
        <v>10.23</v>
      </c>
    </row>
    <row r="854" spans="1:38" x14ac:dyDescent="0.25">
      <c r="A854">
        <v>853</v>
      </c>
      <c r="B854" t="str">
        <f xml:space="preserve"> "000517"</f>
        <v>000517</v>
      </c>
      <c r="C854" t="s">
        <v>4060</v>
      </c>
      <c r="D854">
        <v>4.3899999999999997</v>
      </c>
      <c r="E854">
        <v>2.81</v>
      </c>
      <c r="F854">
        <v>0.12</v>
      </c>
      <c r="G854" t="s">
        <v>2661</v>
      </c>
      <c r="H854">
        <v>1468</v>
      </c>
      <c r="I854">
        <v>4.38</v>
      </c>
      <c r="J854">
        <v>4.3899999999999997</v>
      </c>
      <c r="K854">
        <v>0</v>
      </c>
      <c r="L854">
        <v>0.63</v>
      </c>
      <c r="M854" t="s">
        <v>4061</v>
      </c>
      <c r="N854">
        <v>14.88</v>
      </c>
      <c r="O854" t="s">
        <v>244</v>
      </c>
      <c r="P854">
        <v>4.5999999999999996</v>
      </c>
      <c r="Q854">
        <v>4.25</v>
      </c>
      <c r="R854">
        <v>4.26</v>
      </c>
      <c r="S854">
        <v>4.2699999999999996</v>
      </c>
      <c r="T854">
        <v>8.1999999999999993</v>
      </c>
      <c r="U854">
        <v>3.58</v>
      </c>
      <c r="V854">
        <v>-39.54</v>
      </c>
      <c r="W854">
        <v>-7265</v>
      </c>
      <c r="X854">
        <v>4.4000000000000004</v>
      </c>
      <c r="Y854" t="s">
        <v>489</v>
      </c>
      <c r="Z854" t="s">
        <v>194</v>
      </c>
      <c r="AA854">
        <v>0.53</v>
      </c>
      <c r="AB854">
        <v>1695</v>
      </c>
      <c r="AC854">
        <v>698</v>
      </c>
      <c r="AD854">
        <v>3.37</v>
      </c>
      <c r="AE854" t="s">
        <v>4062</v>
      </c>
      <c r="AF854" t="s">
        <v>511</v>
      </c>
      <c r="AG854" t="s">
        <v>4063</v>
      </c>
      <c r="AH854" t="s">
        <v>834</v>
      </c>
      <c r="AI854">
        <v>2.33</v>
      </c>
      <c r="AJ854">
        <v>4.28</v>
      </c>
      <c r="AK854">
        <v>1.04</v>
      </c>
      <c r="AL854">
        <v>1.52</v>
      </c>
    </row>
    <row r="855" spans="1:38" x14ac:dyDescent="0.25">
      <c r="A855">
        <v>854</v>
      </c>
      <c r="B855" t="str">
        <f xml:space="preserve"> "000662"</f>
        <v>000662</v>
      </c>
      <c r="C855" t="s">
        <v>4064</v>
      </c>
      <c r="D855">
        <v>16.62</v>
      </c>
      <c r="E855">
        <v>-0.42</v>
      </c>
      <c r="F855">
        <v>-7.0000000000000007E-2</v>
      </c>
      <c r="G855" t="s">
        <v>3814</v>
      </c>
      <c r="H855">
        <v>260</v>
      </c>
      <c r="I855">
        <v>16.62</v>
      </c>
      <c r="J855">
        <v>16.63</v>
      </c>
      <c r="K855">
        <v>0</v>
      </c>
      <c r="L855">
        <v>1.06</v>
      </c>
      <c r="M855" t="s">
        <v>4065</v>
      </c>
      <c r="N855">
        <v>39.67</v>
      </c>
      <c r="O855" t="s">
        <v>205</v>
      </c>
      <c r="P855">
        <v>16.78</v>
      </c>
      <c r="Q855">
        <v>16.46</v>
      </c>
      <c r="R855">
        <v>16.71</v>
      </c>
      <c r="S855">
        <v>16.690000000000001</v>
      </c>
      <c r="T855">
        <v>1.92</v>
      </c>
      <c r="U855">
        <v>0.51</v>
      </c>
      <c r="V855">
        <v>25.13</v>
      </c>
      <c r="W855">
        <v>300</v>
      </c>
      <c r="X855">
        <v>16.59</v>
      </c>
      <c r="Y855" t="s">
        <v>1076</v>
      </c>
      <c r="Z855" t="s">
        <v>2241</v>
      </c>
      <c r="AA855">
        <v>1.7</v>
      </c>
      <c r="AB855">
        <v>516</v>
      </c>
      <c r="AC855">
        <v>154</v>
      </c>
      <c r="AD855">
        <v>2.72</v>
      </c>
      <c r="AE855" t="s">
        <v>3751</v>
      </c>
      <c r="AF855" t="s">
        <v>511</v>
      </c>
      <c r="AG855" t="s">
        <v>2668</v>
      </c>
      <c r="AH855" t="s">
        <v>4066</v>
      </c>
      <c r="AI855">
        <v>-2.75</v>
      </c>
      <c r="AJ855">
        <v>3.88</v>
      </c>
      <c r="AK855">
        <v>4.3</v>
      </c>
      <c r="AL855">
        <v>10.63</v>
      </c>
    </row>
    <row r="856" spans="1:38" x14ac:dyDescent="0.25">
      <c r="A856">
        <v>855</v>
      </c>
      <c r="B856" t="str">
        <f xml:space="preserve"> "002653"</f>
        <v>002653</v>
      </c>
      <c r="C856" t="s">
        <v>4067</v>
      </c>
      <c r="D856">
        <v>12.92</v>
      </c>
      <c r="E856">
        <v>0.47</v>
      </c>
      <c r="F856">
        <v>0.06</v>
      </c>
      <c r="G856" t="s">
        <v>2551</v>
      </c>
      <c r="H856">
        <v>205</v>
      </c>
      <c r="I856">
        <v>12.91</v>
      </c>
      <c r="J856">
        <v>12.92</v>
      </c>
      <c r="K856">
        <v>0.08</v>
      </c>
      <c r="L856">
        <v>0.28999999999999998</v>
      </c>
      <c r="M856" t="s">
        <v>4068</v>
      </c>
      <c r="N856">
        <v>50.4</v>
      </c>
      <c r="O856" t="s">
        <v>392</v>
      </c>
      <c r="P856">
        <v>12.98</v>
      </c>
      <c r="Q856">
        <v>12.78</v>
      </c>
      <c r="R856">
        <v>12.87</v>
      </c>
      <c r="S856">
        <v>12.86</v>
      </c>
      <c r="T856">
        <v>1.56</v>
      </c>
      <c r="U856">
        <v>0.55000000000000004</v>
      </c>
      <c r="V856">
        <v>7.96</v>
      </c>
      <c r="W856">
        <v>92</v>
      </c>
      <c r="X856">
        <v>12.92</v>
      </c>
      <c r="Y856">
        <v>7148</v>
      </c>
      <c r="Z856">
        <v>6679</v>
      </c>
      <c r="AA856">
        <v>1.07</v>
      </c>
      <c r="AB856">
        <v>210</v>
      </c>
      <c r="AC856">
        <v>41</v>
      </c>
      <c r="AD856">
        <v>7.32</v>
      </c>
      <c r="AE856" t="s">
        <v>352</v>
      </c>
      <c r="AF856" t="s">
        <v>511</v>
      </c>
      <c r="AG856" t="s">
        <v>2979</v>
      </c>
      <c r="AH856" t="s">
        <v>4069</v>
      </c>
      <c r="AI856">
        <v>-1</v>
      </c>
      <c r="AJ856">
        <v>3.44</v>
      </c>
      <c r="AK856">
        <v>1.25</v>
      </c>
      <c r="AL856">
        <v>2.9</v>
      </c>
    </row>
    <row r="857" spans="1:38" x14ac:dyDescent="0.25">
      <c r="A857">
        <v>856</v>
      </c>
      <c r="B857" t="str">
        <f xml:space="preserve"> "002168"</f>
        <v>002168</v>
      </c>
      <c r="C857" t="s">
        <v>4070</v>
      </c>
      <c r="D857" t="s">
        <v>616</v>
      </c>
      <c r="E857" t="s">
        <v>616</v>
      </c>
      <c r="F857" t="s">
        <v>616</v>
      </c>
      <c r="G857" t="s">
        <v>616</v>
      </c>
      <c r="H857" t="s">
        <v>616</v>
      </c>
      <c r="I857" t="s">
        <v>616</v>
      </c>
      <c r="J857" t="s">
        <v>616</v>
      </c>
      <c r="K857" t="s">
        <v>616</v>
      </c>
      <c r="L857" t="s">
        <v>616</v>
      </c>
      <c r="M857" t="s">
        <v>616</v>
      </c>
      <c r="N857">
        <v>-107.43</v>
      </c>
      <c r="O857" t="s">
        <v>680</v>
      </c>
      <c r="P857" t="s">
        <v>616</v>
      </c>
      <c r="Q857" t="s">
        <v>616</v>
      </c>
      <c r="R857" t="s">
        <v>616</v>
      </c>
      <c r="S857">
        <v>16.989999999999998</v>
      </c>
      <c r="T857" t="s">
        <v>616</v>
      </c>
      <c r="U857" t="s">
        <v>616</v>
      </c>
      <c r="V857" t="s">
        <v>616</v>
      </c>
      <c r="W857" t="s">
        <v>616</v>
      </c>
      <c r="X857" t="s">
        <v>616</v>
      </c>
      <c r="Y857" t="s">
        <v>616</v>
      </c>
      <c r="Z857" t="s">
        <v>616</v>
      </c>
      <c r="AA857" t="s">
        <v>616</v>
      </c>
      <c r="AB857" t="s">
        <v>616</v>
      </c>
      <c r="AC857" t="s">
        <v>616</v>
      </c>
      <c r="AD857">
        <v>10.33</v>
      </c>
      <c r="AE857" t="s">
        <v>2095</v>
      </c>
      <c r="AF857" t="s">
        <v>2859</v>
      </c>
      <c r="AG857" t="s">
        <v>4071</v>
      </c>
      <c r="AH857" t="s">
        <v>454</v>
      </c>
      <c r="AI857">
        <v>0</v>
      </c>
      <c r="AJ857">
        <v>0</v>
      </c>
      <c r="AK857">
        <v>0</v>
      </c>
      <c r="AL857">
        <v>0</v>
      </c>
    </row>
    <row r="858" spans="1:38" x14ac:dyDescent="0.25">
      <c r="A858">
        <v>857</v>
      </c>
      <c r="B858" t="str">
        <f xml:space="preserve"> "002815"</f>
        <v>002815</v>
      </c>
      <c r="C858" t="s">
        <v>4072</v>
      </c>
      <c r="D858">
        <v>33.99</v>
      </c>
      <c r="E858">
        <v>-0.06</v>
      </c>
      <c r="F858">
        <v>-0.02</v>
      </c>
      <c r="G858" t="s">
        <v>2313</v>
      </c>
      <c r="H858">
        <v>192</v>
      </c>
      <c r="I858">
        <v>33.99</v>
      </c>
      <c r="J858">
        <v>34</v>
      </c>
      <c r="K858">
        <v>-0.03</v>
      </c>
      <c r="L858">
        <v>1.48</v>
      </c>
      <c r="M858" t="s">
        <v>4073</v>
      </c>
      <c r="N858">
        <v>34.32</v>
      </c>
      <c r="O858" t="s">
        <v>380</v>
      </c>
      <c r="P858">
        <v>34.200000000000003</v>
      </c>
      <c r="Q858">
        <v>33.619999999999997</v>
      </c>
      <c r="R858">
        <v>33.700000000000003</v>
      </c>
      <c r="S858">
        <v>34.01</v>
      </c>
      <c r="T858">
        <v>1.71</v>
      </c>
      <c r="U858">
        <v>0.38</v>
      </c>
      <c r="V858">
        <v>50.72</v>
      </c>
      <c r="W858">
        <v>224</v>
      </c>
      <c r="X858">
        <v>33.89</v>
      </c>
      <c r="Y858">
        <v>8849</v>
      </c>
      <c r="Z858">
        <v>6867</v>
      </c>
      <c r="AA858">
        <v>1.29</v>
      </c>
      <c r="AB858">
        <v>79</v>
      </c>
      <c r="AC858">
        <v>14</v>
      </c>
      <c r="AD858">
        <v>6.56</v>
      </c>
      <c r="AE858" t="s">
        <v>3868</v>
      </c>
      <c r="AF858" t="s">
        <v>2859</v>
      </c>
      <c r="AG858" t="s">
        <v>1635</v>
      </c>
      <c r="AH858" t="s">
        <v>3649</v>
      </c>
      <c r="AI858">
        <v>-1.25</v>
      </c>
      <c r="AJ858">
        <v>3.98</v>
      </c>
      <c r="AK858">
        <v>6.18</v>
      </c>
      <c r="AL858">
        <v>20.95</v>
      </c>
    </row>
    <row r="859" spans="1:38" x14ac:dyDescent="0.25">
      <c r="A859">
        <v>858</v>
      </c>
      <c r="B859" t="str">
        <f xml:space="preserve"> "002028"</f>
        <v>002028</v>
      </c>
      <c r="C859" t="s">
        <v>4074</v>
      </c>
      <c r="D859">
        <v>18.329999999999998</v>
      </c>
      <c r="E859">
        <v>-2.29</v>
      </c>
      <c r="F859">
        <v>-0.43</v>
      </c>
      <c r="G859" t="s">
        <v>442</v>
      </c>
      <c r="H859">
        <v>1032</v>
      </c>
      <c r="I859">
        <v>18.32</v>
      </c>
      <c r="J859">
        <v>18.329999999999998</v>
      </c>
      <c r="K859">
        <v>0</v>
      </c>
      <c r="L859">
        <v>1.99</v>
      </c>
      <c r="M859" t="s">
        <v>1853</v>
      </c>
      <c r="N859">
        <v>48.07</v>
      </c>
      <c r="O859" t="s">
        <v>680</v>
      </c>
      <c r="P859">
        <v>18.78</v>
      </c>
      <c r="Q859">
        <v>18.23</v>
      </c>
      <c r="R859">
        <v>18.63</v>
      </c>
      <c r="S859">
        <v>18.760000000000002</v>
      </c>
      <c r="T859">
        <v>2.93</v>
      </c>
      <c r="U859">
        <v>0.86</v>
      </c>
      <c r="V859">
        <v>-75.459999999999994</v>
      </c>
      <c r="W859">
        <v>-1341</v>
      </c>
      <c r="X859">
        <v>18.399999999999999</v>
      </c>
      <c r="Y859" t="s">
        <v>1864</v>
      </c>
      <c r="Z859" t="s">
        <v>1346</v>
      </c>
      <c r="AA859">
        <v>1.73</v>
      </c>
      <c r="AB859">
        <v>1</v>
      </c>
      <c r="AC859">
        <v>807</v>
      </c>
      <c r="AD859">
        <v>3.26</v>
      </c>
      <c r="AE859" t="s">
        <v>1764</v>
      </c>
      <c r="AF859" t="s">
        <v>2859</v>
      </c>
      <c r="AG859" t="s">
        <v>2655</v>
      </c>
      <c r="AH859" t="s">
        <v>1459</v>
      </c>
      <c r="AI859">
        <v>3.62</v>
      </c>
      <c r="AJ859">
        <v>10.36</v>
      </c>
      <c r="AK859">
        <v>7.62</v>
      </c>
      <c r="AL859">
        <v>13.63</v>
      </c>
    </row>
    <row r="860" spans="1:38" x14ac:dyDescent="0.25">
      <c r="A860">
        <v>859</v>
      </c>
      <c r="B860" t="str">
        <f xml:space="preserve"> "600335"</f>
        <v>600335</v>
      </c>
      <c r="C860" t="s">
        <v>4075</v>
      </c>
      <c r="D860">
        <v>13.53</v>
      </c>
      <c r="E860">
        <v>0.59</v>
      </c>
      <c r="F860">
        <v>0.08</v>
      </c>
      <c r="G860" t="s">
        <v>710</v>
      </c>
      <c r="H860">
        <v>100</v>
      </c>
      <c r="I860">
        <v>13.52</v>
      </c>
      <c r="J860">
        <v>13.55</v>
      </c>
      <c r="K860">
        <v>7.0000000000000007E-2</v>
      </c>
      <c r="L860">
        <v>0.44</v>
      </c>
      <c r="M860" t="s">
        <v>4076</v>
      </c>
      <c r="N860">
        <v>13.84</v>
      </c>
      <c r="O860" t="s">
        <v>2001</v>
      </c>
      <c r="P860">
        <v>13.6</v>
      </c>
      <c r="Q860">
        <v>13.32</v>
      </c>
      <c r="R860">
        <v>13.44</v>
      </c>
      <c r="S860">
        <v>13.45</v>
      </c>
      <c r="T860">
        <v>2.08</v>
      </c>
      <c r="U860">
        <v>0.52</v>
      </c>
      <c r="V860">
        <v>-17.600000000000001</v>
      </c>
      <c r="W860">
        <v>-405</v>
      </c>
      <c r="X860">
        <v>13.51</v>
      </c>
      <c r="Y860" t="s">
        <v>3483</v>
      </c>
      <c r="Z860" t="s">
        <v>275</v>
      </c>
      <c r="AA860">
        <v>0.84</v>
      </c>
      <c r="AB860">
        <v>9</v>
      </c>
      <c r="AC860">
        <v>117</v>
      </c>
      <c r="AD860">
        <v>1.9</v>
      </c>
      <c r="AE860" t="s">
        <v>707</v>
      </c>
      <c r="AF860" t="s">
        <v>2859</v>
      </c>
      <c r="AG860" t="s">
        <v>707</v>
      </c>
      <c r="AH860" t="s">
        <v>2859</v>
      </c>
      <c r="AI860">
        <v>-1.53</v>
      </c>
      <c r="AJ860">
        <v>-4.04</v>
      </c>
      <c r="AK860">
        <v>1.43</v>
      </c>
      <c r="AL860">
        <v>4.63</v>
      </c>
    </row>
    <row r="861" spans="1:38" x14ac:dyDescent="0.25">
      <c r="A861">
        <v>860</v>
      </c>
      <c r="B861" t="str">
        <f xml:space="preserve"> "600053"</f>
        <v>600053</v>
      </c>
      <c r="C861" t="s">
        <v>4077</v>
      </c>
      <c r="D861">
        <v>32.130000000000003</v>
      </c>
      <c r="E861">
        <v>-0.03</v>
      </c>
      <c r="F861">
        <v>-0.01</v>
      </c>
      <c r="G861" t="s">
        <v>1685</v>
      </c>
      <c r="H861">
        <v>14</v>
      </c>
      <c r="I861">
        <v>32.08</v>
      </c>
      <c r="J861">
        <v>32.19</v>
      </c>
      <c r="K861">
        <v>0.06</v>
      </c>
      <c r="L861">
        <v>0.23</v>
      </c>
      <c r="M861" t="s">
        <v>3040</v>
      </c>
      <c r="N861">
        <v>53.35</v>
      </c>
      <c r="O861" t="s">
        <v>482</v>
      </c>
      <c r="P861">
        <v>32.28</v>
      </c>
      <c r="Q861">
        <v>31.79</v>
      </c>
      <c r="R861">
        <v>32.14</v>
      </c>
      <c r="S861">
        <v>32.14</v>
      </c>
      <c r="T861">
        <v>1.52</v>
      </c>
      <c r="U861">
        <v>1.22</v>
      </c>
      <c r="V861">
        <v>-4.29</v>
      </c>
      <c r="W861">
        <v>-7</v>
      </c>
      <c r="X861">
        <v>31.96</v>
      </c>
      <c r="Y861">
        <v>5562</v>
      </c>
      <c r="Z861">
        <v>4494</v>
      </c>
      <c r="AA861">
        <v>1.24</v>
      </c>
      <c r="AB861">
        <v>4</v>
      </c>
      <c r="AC861">
        <v>28</v>
      </c>
      <c r="AD861">
        <v>8.81</v>
      </c>
      <c r="AE861" t="s">
        <v>4078</v>
      </c>
      <c r="AF861" t="s">
        <v>2859</v>
      </c>
      <c r="AG861" t="s">
        <v>4078</v>
      </c>
      <c r="AH861" t="s">
        <v>2859</v>
      </c>
      <c r="AI861">
        <v>-1.89</v>
      </c>
      <c r="AJ861">
        <v>1.32</v>
      </c>
      <c r="AK861">
        <v>0.52</v>
      </c>
      <c r="AL861">
        <v>1.18</v>
      </c>
    </row>
    <row r="862" spans="1:38" x14ac:dyDescent="0.25">
      <c r="A862">
        <v>861</v>
      </c>
      <c r="B862" t="str">
        <f xml:space="preserve"> "601636"</f>
        <v>601636</v>
      </c>
      <c r="C862" t="s">
        <v>4079</v>
      </c>
      <c r="D862">
        <v>5.17</v>
      </c>
      <c r="E862">
        <v>-0.39</v>
      </c>
      <c r="F862">
        <v>-0.02</v>
      </c>
      <c r="G862" t="s">
        <v>1913</v>
      </c>
      <c r="H862">
        <v>40</v>
      </c>
      <c r="I862">
        <v>5.16</v>
      </c>
      <c r="J862">
        <v>5.17</v>
      </c>
      <c r="K862">
        <v>0</v>
      </c>
      <c r="L862">
        <v>1.83</v>
      </c>
      <c r="M862" t="s">
        <v>4080</v>
      </c>
      <c r="N862">
        <v>12.62</v>
      </c>
      <c r="O862" t="s">
        <v>1058</v>
      </c>
      <c r="P862">
        <v>5.22</v>
      </c>
      <c r="Q862">
        <v>5.0999999999999996</v>
      </c>
      <c r="R862">
        <v>5.2</v>
      </c>
      <c r="S862">
        <v>5.19</v>
      </c>
      <c r="T862">
        <v>2.31</v>
      </c>
      <c r="U862">
        <v>0.51</v>
      </c>
      <c r="V862">
        <v>3.71</v>
      </c>
      <c r="W862">
        <v>1644</v>
      </c>
      <c r="X862">
        <v>5.15</v>
      </c>
      <c r="Y862" t="s">
        <v>232</v>
      </c>
      <c r="Z862" t="s">
        <v>1895</v>
      </c>
      <c r="AA862">
        <v>1.88</v>
      </c>
      <c r="AB862">
        <v>3558</v>
      </c>
      <c r="AC862">
        <v>1274</v>
      </c>
      <c r="AD862">
        <v>2.08</v>
      </c>
      <c r="AE862" t="s">
        <v>1223</v>
      </c>
      <c r="AF862" t="s">
        <v>2859</v>
      </c>
      <c r="AG862" t="s">
        <v>1061</v>
      </c>
      <c r="AH862" t="s">
        <v>454</v>
      </c>
      <c r="AI862">
        <v>-4.08</v>
      </c>
      <c r="AJ862">
        <v>5.51</v>
      </c>
      <c r="AK862">
        <v>7.25</v>
      </c>
      <c r="AL862">
        <v>19.579999999999998</v>
      </c>
    </row>
    <row r="863" spans="1:38" x14ac:dyDescent="0.25">
      <c r="A863">
        <v>862</v>
      </c>
      <c r="B863" t="str">
        <f xml:space="preserve"> "002867"</f>
        <v>002867</v>
      </c>
      <c r="C863" t="s">
        <v>4081</v>
      </c>
      <c r="D863">
        <v>29.02</v>
      </c>
      <c r="E863">
        <v>1.58</v>
      </c>
      <c r="F863">
        <v>0.45</v>
      </c>
      <c r="G863" t="s">
        <v>3877</v>
      </c>
      <c r="H863">
        <v>553</v>
      </c>
      <c r="I863">
        <v>29.02</v>
      </c>
      <c r="J863">
        <v>29.03</v>
      </c>
      <c r="K863">
        <v>0</v>
      </c>
      <c r="L863">
        <v>3.93</v>
      </c>
      <c r="M863" t="s">
        <v>4082</v>
      </c>
      <c r="N863">
        <v>26.31</v>
      </c>
      <c r="O863" t="s">
        <v>2984</v>
      </c>
      <c r="P863">
        <v>29.12</v>
      </c>
      <c r="Q863">
        <v>28.52</v>
      </c>
      <c r="R863">
        <v>28.62</v>
      </c>
      <c r="S863">
        <v>28.57</v>
      </c>
      <c r="T863">
        <v>2.1</v>
      </c>
      <c r="U863">
        <v>1.71</v>
      </c>
      <c r="V863">
        <v>-20.69</v>
      </c>
      <c r="W863">
        <v>-384</v>
      </c>
      <c r="X863">
        <v>28.92</v>
      </c>
      <c r="Y863" t="s">
        <v>2991</v>
      </c>
      <c r="Z863" t="s">
        <v>3158</v>
      </c>
      <c r="AA863">
        <v>0.64</v>
      </c>
      <c r="AB863">
        <v>102</v>
      </c>
      <c r="AC863">
        <v>253</v>
      </c>
      <c r="AD863">
        <v>5.01</v>
      </c>
      <c r="AE863" t="s">
        <v>1584</v>
      </c>
      <c r="AF863" t="s">
        <v>2859</v>
      </c>
      <c r="AG863" t="s">
        <v>4083</v>
      </c>
      <c r="AH863" t="s">
        <v>4084</v>
      </c>
      <c r="AI863">
        <v>0.28000000000000003</v>
      </c>
      <c r="AJ863">
        <v>2.87</v>
      </c>
      <c r="AK863">
        <v>8.5299999999999994</v>
      </c>
      <c r="AL863">
        <v>15.43</v>
      </c>
    </row>
    <row r="864" spans="1:38" x14ac:dyDescent="0.25">
      <c r="A864">
        <v>863</v>
      </c>
      <c r="B864" t="str">
        <f xml:space="preserve"> "600565"</f>
        <v>600565</v>
      </c>
      <c r="C864" t="s">
        <v>4085</v>
      </c>
      <c r="D864">
        <v>5.71</v>
      </c>
      <c r="E864">
        <v>0</v>
      </c>
      <c r="F864">
        <v>0</v>
      </c>
      <c r="G864" t="s">
        <v>860</v>
      </c>
      <c r="H864">
        <v>30</v>
      </c>
      <c r="I864">
        <v>5.7</v>
      </c>
      <c r="J864">
        <v>5.71</v>
      </c>
      <c r="K864">
        <v>-0.17</v>
      </c>
      <c r="L864">
        <v>0.61</v>
      </c>
      <c r="M864" t="s">
        <v>4086</v>
      </c>
      <c r="N864">
        <v>62.36</v>
      </c>
      <c r="O864" t="s">
        <v>244</v>
      </c>
      <c r="P864">
        <v>5.72</v>
      </c>
      <c r="Q864">
        <v>5.63</v>
      </c>
      <c r="R864">
        <v>5.7</v>
      </c>
      <c r="S864">
        <v>5.71</v>
      </c>
      <c r="T864">
        <v>1.58</v>
      </c>
      <c r="U864">
        <v>0.95</v>
      </c>
      <c r="V864">
        <v>30.9</v>
      </c>
      <c r="W864">
        <v>4749</v>
      </c>
      <c r="X864">
        <v>5.67</v>
      </c>
      <c r="Y864" t="s">
        <v>1428</v>
      </c>
      <c r="Z864" t="s">
        <v>1570</v>
      </c>
      <c r="AA864">
        <v>2.13</v>
      </c>
      <c r="AB864">
        <v>758</v>
      </c>
      <c r="AC864">
        <v>1254</v>
      </c>
      <c r="AD864">
        <v>2.08</v>
      </c>
      <c r="AE864" t="s">
        <v>1104</v>
      </c>
      <c r="AF864" t="s">
        <v>3001</v>
      </c>
      <c r="AG864" t="s">
        <v>3203</v>
      </c>
      <c r="AH864" t="s">
        <v>3125</v>
      </c>
      <c r="AI864">
        <v>-1.55</v>
      </c>
      <c r="AJ864">
        <v>0.18</v>
      </c>
      <c r="AK864">
        <v>1.96</v>
      </c>
      <c r="AL864">
        <v>3.78</v>
      </c>
    </row>
    <row r="865" spans="1:38" x14ac:dyDescent="0.25">
      <c r="A865">
        <v>864</v>
      </c>
      <c r="B865" t="str">
        <f xml:space="preserve"> "002048"</f>
        <v>002048</v>
      </c>
      <c r="C865" t="s">
        <v>4087</v>
      </c>
      <c r="D865">
        <v>26.03</v>
      </c>
      <c r="E865">
        <v>0.27</v>
      </c>
      <c r="F865">
        <v>7.0000000000000007E-2</v>
      </c>
      <c r="G865" t="s">
        <v>3385</v>
      </c>
      <c r="H865">
        <v>1000</v>
      </c>
      <c r="I865">
        <v>26.02</v>
      </c>
      <c r="J865">
        <v>26.03</v>
      </c>
      <c r="K865">
        <v>0</v>
      </c>
      <c r="L865">
        <v>0.72</v>
      </c>
      <c r="M865" t="s">
        <v>4088</v>
      </c>
      <c r="N865">
        <v>17.59</v>
      </c>
      <c r="O865" t="s">
        <v>169</v>
      </c>
      <c r="P865">
        <v>26.18</v>
      </c>
      <c r="Q865">
        <v>25.62</v>
      </c>
      <c r="R865">
        <v>25.92</v>
      </c>
      <c r="S865">
        <v>25.96</v>
      </c>
      <c r="T865">
        <v>2.16</v>
      </c>
      <c r="U865">
        <v>0.34</v>
      </c>
      <c r="V865">
        <v>0.08</v>
      </c>
      <c r="W865">
        <v>2</v>
      </c>
      <c r="X865">
        <v>25.93</v>
      </c>
      <c r="Y865" t="s">
        <v>1454</v>
      </c>
      <c r="Z865" t="s">
        <v>1799</v>
      </c>
      <c r="AA865">
        <v>1.63</v>
      </c>
      <c r="AB865">
        <v>487</v>
      </c>
      <c r="AC865">
        <v>452</v>
      </c>
      <c r="AD865">
        <v>2.4900000000000002</v>
      </c>
      <c r="AE865" t="s">
        <v>1212</v>
      </c>
      <c r="AF865" t="s">
        <v>3001</v>
      </c>
      <c r="AG865" t="s">
        <v>4089</v>
      </c>
      <c r="AH865" t="s">
        <v>3763</v>
      </c>
      <c r="AI865">
        <v>-1.96</v>
      </c>
      <c r="AJ865">
        <v>8.4600000000000009</v>
      </c>
      <c r="AK865">
        <v>3.58</v>
      </c>
      <c r="AL865">
        <v>11.53</v>
      </c>
    </row>
    <row r="866" spans="1:38" x14ac:dyDescent="0.25">
      <c r="A866">
        <v>865</v>
      </c>
      <c r="B866" t="str">
        <f xml:space="preserve"> "600803"</f>
        <v>600803</v>
      </c>
      <c r="C866" t="s">
        <v>4090</v>
      </c>
      <c r="D866">
        <v>13.99</v>
      </c>
      <c r="E866">
        <v>1.23</v>
      </c>
      <c r="F866">
        <v>0.17</v>
      </c>
      <c r="G866" t="s">
        <v>3045</v>
      </c>
      <c r="H866">
        <v>10</v>
      </c>
      <c r="I866">
        <v>13.99</v>
      </c>
      <c r="J866">
        <v>14</v>
      </c>
      <c r="K866">
        <v>7.0000000000000007E-2</v>
      </c>
      <c r="L866">
        <v>0.83</v>
      </c>
      <c r="M866" t="s">
        <v>2869</v>
      </c>
      <c r="N866">
        <v>69.56</v>
      </c>
      <c r="O866" t="s">
        <v>667</v>
      </c>
      <c r="P866">
        <v>14.03</v>
      </c>
      <c r="Q866">
        <v>13.71</v>
      </c>
      <c r="R866">
        <v>13.84</v>
      </c>
      <c r="S866">
        <v>13.82</v>
      </c>
      <c r="T866">
        <v>2.3199999999999998</v>
      </c>
      <c r="U866">
        <v>1.02</v>
      </c>
      <c r="V866">
        <v>-75.63</v>
      </c>
      <c r="W866">
        <v>-3793</v>
      </c>
      <c r="X866">
        <v>13.89</v>
      </c>
      <c r="Y866" t="s">
        <v>1074</v>
      </c>
      <c r="Z866" t="s">
        <v>2962</v>
      </c>
      <c r="AA866">
        <v>0.66</v>
      </c>
      <c r="AB866">
        <v>30</v>
      </c>
      <c r="AC866">
        <v>1014</v>
      </c>
      <c r="AD866">
        <v>3.04</v>
      </c>
      <c r="AE866" t="s">
        <v>4091</v>
      </c>
      <c r="AF866" t="s">
        <v>3001</v>
      </c>
      <c r="AG866" t="s">
        <v>4091</v>
      </c>
      <c r="AH866" t="s">
        <v>3001</v>
      </c>
      <c r="AI866">
        <v>1.23</v>
      </c>
      <c r="AJ866">
        <v>3.63</v>
      </c>
      <c r="AK866">
        <v>2.5299999999999998</v>
      </c>
      <c r="AL866">
        <v>4.88</v>
      </c>
    </row>
    <row r="867" spans="1:38" x14ac:dyDescent="0.25">
      <c r="A867">
        <v>866</v>
      </c>
      <c r="B867" t="str">
        <f xml:space="preserve"> "601799"</f>
        <v>601799</v>
      </c>
      <c r="C867" t="s">
        <v>4092</v>
      </c>
      <c r="D867">
        <v>49.91</v>
      </c>
      <c r="E867">
        <v>-1.81</v>
      </c>
      <c r="F867">
        <v>-0.92</v>
      </c>
      <c r="G867">
        <v>9201</v>
      </c>
      <c r="H867">
        <v>7</v>
      </c>
      <c r="I867">
        <v>49.87</v>
      </c>
      <c r="J867">
        <v>49.99</v>
      </c>
      <c r="K867">
        <v>-0.02</v>
      </c>
      <c r="L867">
        <v>0.33</v>
      </c>
      <c r="M867" t="s">
        <v>4093</v>
      </c>
      <c r="N867">
        <v>30.38</v>
      </c>
      <c r="O867" t="s">
        <v>169</v>
      </c>
      <c r="P867">
        <v>50.71</v>
      </c>
      <c r="Q867">
        <v>49.51</v>
      </c>
      <c r="R867">
        <v>50.71</v>
      </c>
      <c r="S867">
        <v>50.83</v>
      </c>
      <c r="T867">
        <v>2.36</v>
      </c>
      <c r="U867">
        <v>0.98</v>
      </c>
      <c r="V867">
        <v>-54.06</v>
      </c>
      <c r="W867">
        <v>-125</v>
      </c>
      <c r="X867">
        <v>50.01</v>
      </c>
      <c r="Y867">
        <v>6094</v>
      </c>
      <c r="Z867">
        <v>3107</v>
      </c>
      <c r="AA867">
        <v>1.96</v>
      </c>
      <c r="AB867">
        <v>10</v>
      </c>
      <c r="AC867">
        <v>9</v>
      </c>
      <c r="AD867">
        <v>3.65</v>
      </c>
      <c r="AE867" t="s">
        <v>4094</v>
      </c>
      <c r="AF867" t="s">
        <v>3001</v>
      </c>
      <c r="AG867" t="s">
        <v>4094</v>
      </c>
      <c r="AH867" t="s">
        <v>3001</v>
      </c>
      <c r="AI867">
        <v>1.03</v>
      </c>
      <c r="AJ867">
        <v>1.46</v>
      </c>
      <c r="AK867">
        <v>1.04</v>
      </c>
      <c r="AL867">
        <v>2.04</v>
      </c>
    </row>
    <row r="868" spans="1:38" x14ac:dyDescent="0.25">
      <c r="A868">
        <v>867</v>
      </c>
      <c r="B868" t="str">
        <f xml:space="preserve"> "600550"</f>
        <v>600550</v>
      </c>
      <c r="C868" t="s">
        <v>4095</v>
      </c>
      <c r="D868">
        <v>8.98</v>
      </c>
      <c r="E868">
        <v>1.24</v>
      </c>
      <c r="F868">
        <v>0.11</v>
      </c>
      <c r="G868" t="s">
        <v>102</v>
      </c>
      <c r="H868">
        <v>11</v>
      </c>
      <c r="I868">
        <v>8.98</v>
      </c>
      <c r="J868">
        <v>8.99</v>
      </c>
      <c r="K868">
        <v>0.11</v>
      </c>
      <c r="L868">
        <v>0.83</v>
      </c>
      <c r="M868" t="s">
        <v>2179</v>
      </c>
      <c r="N868">
        <v>99.48</v>
      </c>
      <c r="O868" t="s">
        <v>680</v>
      </c>
      <c r="P868">
        <v>9.0299999999999994</v>
      </c>
      <c r="Q868">
        <v>8.82</v>
      </c>
      <c r="R868">
        <v>8.8800000000000008</v>
      </c>
      <c r="S868">
        <v>8.8699999999999992</v>
      </c>
      <c r="T868">
        <v>2.37</v>
      </c>
      <c r="U868">
        <v>1.02</v>
      </c>
      <c r="V868">
        <v>-47.87</v>
      </c>
      <c r="W868">
        <v>-4119</v>
      </c>
      <c r="X868">
        <v>8.93</v>
      </c>
      <c r="Y868" t="s">
        <v>4096</v>
      </c>
      <c r="Z868" t="s">
        <v>4097</v>
      </c>
      <c r="AA868">
        <v>0.77</v>
      </c>
      <c r="AB868">
        <v>158</v>
      </c>
      <c r="AC868">
        <v>593</v>
      </c>
      <c r="AD868">
        <v>28.16</v>
      </c>
      <c r="AE868" t="s">
        <v>122</v>
      </c>
      <c r="AF868" t="s">
        <v>3001</v>
      </c>
      <c r="AG868" t="s">
        <v>1566</v>
      </c>
      <c r="AH868" t="s">
        <v>1741</v>
      </c>
      <c r="AI868">
        <v>-0.99</v>
      </c>
      <c r="AJ868">
        <v>2.98</v>
      </c>
      <c r="AK868">
        <v>2.25</v>
      </c>
      <c r="AL868">
        <v>4.92</v>
      </c>
    </row>
    <row r="869" spans="1:38" x14ac:dyDescent="0.25">
      <c r="A869">
        <v>868</v>
      </c>
      <c r="B869" t="str">
        <f xml:space="preserve"> "300285"</f>
        <v>300285</v>
      </c>
      <c r="C869" t="s">
        <v>4098</v>
      </c>
      <c r="D869" t="s">
        <v>616</v>
      </c>
      <c r="E869" t="s">
        <v>616</v>
      </c>
      <c r="F869" t="s">
        <v>616</v>
      </c>
      <c r="G869" t="s">
        <v>616</v>
      </c>
      <c r="H869" t="s">
        <v>616</v>
      </c>
      <c r="I869" t="s">
        <v>616</v>
      </c>
      <c r="J869" t="s">
        <v>616</v>
      </c>
      <c r="K869" t="s">
        <v>616</v>
      </c>
      <c r="L869" t="s">
        <v>616</v>
      </c>
      <c r="M869" t="s">
        <v>616</v>
      </c>
      <c r="N869">
        <v>60.81</v>
      </c>
      <c r="O869" t="s">
        <v>667</v>
      </c>
      <c r="P869" t="s">
        <v>616</v>
      </c>
      <c r="Q869" t="s">
        <v>616</v>
      </c>
      <c r="R869" t="s">
        <v>616</v>
      </c>
      <c r="S869">
        <v>23.03</v>
      </c>
      <c r="T869" t="s">
        <v>616</v>
      </c>
      <c r="U869" t="s">
        <v>616</v>
      </c>
      <c r="V869" t="s">
        <v>616</v>
      </c>
      <c r="W869" t="s">
        <v>616</v>
      </c>
      <c r="X869" t="s">
        <v>616</v>
      </c>
      <c r="Y869" t="s">
        <v>616</v>
      </c>
      <c r="Z869" t="s">
        <v>616</v>
      </c>
      <c r="AA869" t="s">
        <v>616</v>
      </c>
      <c r="AB869" t="s">
        <v>616</v>
      </c>
      <c r="AC869" t="s">
        <v>616</v>
      </c>
      <c r="AD869">
        <v>7.78</v>
      </c>
      <c r="AE869" t="s">
        <v>4099</v>
      </c>
      <c r="AF869" t="s">
        <v>3001</v>
      </c>
      <c r="AG869" t="s">
        <v>4100</v>
      </c>
      <c r="AH869" t="s">
        <v>3808</v>
      </c>
      <c r="AI869">
        <v>0</v>
      </c>
      <c r="AJ869">
        <v>0</v>
      </c>
      <c r="AK869">
        <v>0</v>
      </c>
      <c r="AL869">
        <v>0</v>
      </c>
    </row>
    <row r="870" spans="1:38" x14ac:dyDescent="0.25">
      <c r="A870">
        <v>869</v>
      </c>
      <c r="B870" t="str">
        <f xml:space="preserve"> "002461"</f>
        <v>002461</v>
      </c>
      <c r="C870" t="s">
        <v>4101</v>
      </c>
      <c r="D870">
        <v>12.44</v>
      </c>
      <c r="E870">
        <v>3.49</v>
      </c>
      <c r="F870">
        <v>0.42</v>
      </c>
      <c r="G870" t="s">
        <v>3534</v>
      </c>
      <c r="H870">
        <v>721</v>
      </c>
      <c r="I870">
        <v>12.43</v>
      </c>
      <c r="J870">
        <v>12.44</v>
      </c>
      <c r="K870">
        <v>0</v>
      </c>
      <c r="L870">
        <v>1.35</v>
      </c>
      <c r="M870" t="s">
        <v>2706</v>
      </c>
      <c r="N870">
        <v>82.24</v>
      </c>
      <c r="O870" t="s">
        <v>123</v>
      </c>
      <c r="P870">
        <v>12.66</v>
      </c>
      <c r="Q870">
        <v>12.04</v>
      </c>
      <c r="R870">
        <v>12.04</v>
      </c>
      <c r="S870">
        <v>12.02</v>
      </c>
      <c r="T870">
        <v>5.16</v>
      </c>
      <c r="U870">
        <v>2.62</v>
      </c>
      <c r="V870">
        <v>-0.95</v>
      </c>
      <c r="W870">
        <v>-18</v>
      </c>
      <c r="X870">
        <v>12.39</v>
      </c>
      <c r="Y870" t="s">
        <v>658</v>
      </c>
      <c r="Z870" t="s">
        <v>682</v>
      </c>
      <c r="AA870">
        <v>0.27</v>
      </c>
      <c r="AB870">
        <v>152</v>
      </c>
      <c r="AC870">
        <v>203</v>
      </c>
      <c r="AD870">
        <v>1.75</v>
      </c>
      <c r="AE870" t="s">
        <v>204</v>
      </c>
      <c r="AF870" t="s">
        <v>3001</v>
      </c>
      <c r="AG870" t="s">
        <v>4102</v>
      </c>
      <c r="AH870" t="s">
        <v>4103</v>
      </c>
      <c r="AI870">
        <v>2.98</v>
      </c>
      <c r="AJ870">
        <v>5.51</v>
      </c>
      <c r="AK870">
        <v>2.5099999999999998</v>
      </c>
      <c r="AL870">
        <v>3.92</v>
      </c>
    </row>
    <row r="871" spans="1:38" x14ac:dyDescent="0.25">
      <c r="A871">
        <v>870</v>
      </c>
      <c r="B871" t="str">
        <f xml:space="preserve"> "600172"</f>
        <v>600172</v>
      </c>
      <c r="C871" t="s">
        <v>4104</v>
      </c>
      <c r="D871">
        <v>9.65</v>
      </c>
      <c r="E871">
        <v>1.79</v>
      </c>
      <c r="F871">
        <v>0.17</v>
      </c>
      <c r="G871" t="s">
        <v>4105</v>
      </c>
      <c r="H871">
        <v>68</v>
      </c>
      <c r="I871">
        <v>9.6300000000000008</v>
      </c>
      <c r="J871">
        <v>9.64</v>
      </c>
      <c r="K871">
        <v>0.21</v>
      </c>
      <c r="L871">
        <v>3.01</v>
      </c>
      <c r="M871" t="s">
        <v>3522</v>
      </c>
      <c r="N871">
        <v>36.840000000000003</v>
      </c>
      <c r="O871" t="s">
        <v>859</v>
      </c>
      <c r="P871">
        <v>9.66</v>
      </c>
      <c r="Q871">
        <v>9.36</v>
      </c>
      <c r="R871">
        <v>9.52</v>
      </c>
      <c r="S871">
        <v>9.48</v>
      </c>
      <c r="T871">
        <v>3.16</v>
      </c>
      <c r="U871">
        <v>0.84</v>
      </c>
      <c r="V871">
        <v>-38.049999999999997</v>
      </c>
      <c r="W871">
        <v>-2099</v>
      </c>
      <c r="X871">
        <v>9.52</v>
      </c>
      <c r="Y871" t="s">
        <v>2292</v>
      </c>
      <c r="Z871" t="s">
        <v>1211</v>
      </c>
      <c r="AA871">
        <v>0.88</v>
      </c>
      <c r="AB871">
        <v>631</v>
      </c>
      <c r="AC871">
        <v>95</v>
      </c>
      <c r="AD871">
        <v>2.75</v>
      </c>
      <c r="AE871" t="s">
        <v>2246</v>
      </c>
      <c r="AF871" t="s">
        <v>3001</v>
      </c>
      <c r="AG871" t="s">
        <v>1572</v>
      </c>
      <c r="AH871" t="s">
        <v>2921</v>
      </c>
      <c r="AI871">
        <v>5.23</v>
      </c>
      <c r="AJ871">
        <v>15.85</v>
      </c>
      <c r="AK871">
        <v>11.38</v>
      </c>
      <c r="AL871">
        <v>20.98</v>
      </c>
    </row>
    <row r="872" spans="1:38" x14ac:dyDescent="0.25">
      <c r="A872">
        <v>871</v>
      </c>
      <c r="B872" t="str">
        <f xml:space="preserve"> "600006"</f>
        <v>600006</v>
      </c>
      <c r="C872" t="s">
        <v>4106</v>
      </c>
      <c r="D872">
        <v>6.88</v>
      </c>
      <c r="E872">
        <v>-0.57999999999999996</v>
      </c>
      <c r="F872">
        <v>-0.04</v>
      </c>
      <c r="G872" t="s">
        <v>4107</v>
      </c>
      <c r="H872">
        <v>31</v>
      </c>
      <c r="I872">
        <v>6.88</v>
      </c>
      <c r="J872">
        <v>6.89</v>
      </c>
      <c r="K872">
        <v>0</v>
      </c>
      <c r="L872">
        <v>1.36</v>
      </c>
      <c r="M872" t="s">
        <v>398</v>
      </c>
      <c r="N872">
        <v>51.05</v>
      </c>
      <c r="O872" t="s">
        <v>169</v>
      </c>
      <c r="P872">
        <v>6.99</v>
      </c>
      <c r="Q872">
        <v>6.81</v>
      </c>
      <c r="R872">
        <v>6.84</v>
      </c>
      <c r="S872">
        <v>6.92</v>
      </c>
      <c r="T872">
        <v>2.6</v>
      </c>
      <c r="U872">
        <v>0.43</v>
      </c>
      <c r="V872">
        <v>-11.02</v>
      </c>
      <c r="W872">
        <v>-1403</v>
      </c>
      <c r="X872">
        <v>6.89</v>
      </c>
      <c r="Y872" t="s">
        <v>184</v>
      </c>
      <c r="Z872" t="s">
        <v>1780</v>
      </c>
      <c r="AA872">
        <v>1.07</v>
      </c>
      <c r="AB872">
        <v>1211</v>
      </c>
      <c r="AC872">
        <v>1451</v>
      </c>
      <c r="AD872">
        <v>2.11</v>
      </c>
      <c r="AE872" t="s">
        <v>1063</v>
      </c>
      <c r="AF872" t="s">
        <v>3001</v>
      </c>
      <c r="AG872" t="s">
        <v>1063</v>
      </c>
      <c r="AH872" t="s">
        <v>3001</v>
      </c>
      <c r="AI872">
        <v>-2.69</v>
      </c>
      <c r="AJ872">
        <v>3.93</v>
      </c>
      <c r="AK872">
        <v>5.47</v>
      </c>
      <c r="AL872">
        <v>16.96</v>
      </c>
    </row>
    <row r="873" spans="1:38" x14ac:dyDescent="0.25">
      <c r="A873">
        <v>872</v>
      </c>
      <c r="B873" t="str">
        <f xml:space="preserve"> "002371"</f>
        <v>002371</v>
      </c>
      <c r="C873" t="s">
        <v>4108</v>
      </c>
      <c r="D873">
        <v>29.99</v>
      </c>
      <c r="E873">
        <v>3.06</v>
      </c>
      <c r="F873">
        <v>0.89</v>
      </c>
      <c r="G873" t="s">
        <v>1842</v>
      </c>
      <c r="H873">
        <v>475</v>
      </c>
      <c r="I873">
        <v>29.99</v>
      </c>
      <c r="J873">
        <v>30</v>
      </c>
      <c r="K873">
        <v>0</v>
      </c>
      <c r="L873">
        <v>1.78</v>
      </c>
      <c r="M873" t="s">
        <v>823</v>
      </c>
      <c r="N873">
        <v>130.1</v>
      </c>
      <c r="O873" t="s">
        <v>380</v>
      </c>
      <c r="P873">
        <v>30.2</v>
      </c>
      <c r="Q873">
        <v>29.1</v>
      </c>
      <c r="R873">
        <v>29.15</v>
      </c>
      <c r="S873">
        <v>29.1</v>
      </c>
      <c r="T873">
        <v>3.78</v>
      </c>
      <c r="U873">
        <v>0.93</v>
      </c>
      <c r="V873">
        <v>-25.94</v>
      </c>
      <c r="W873">
        <v>-206</v>
      </c>
      <c r="X873">
        <v>29.84</v>
      </c>
      <c r="Y873" t="s">
        <v>3272</v>
      </c>
      <c r="Z873" t="s">
        <v>3781</v>
      </c>
      <c r="AA873">
        <v>0.64</v>
      </c>
      <c r="AB873">
        <v>4</v>
      </c>
      <c r="AC873">
        <v>415</v>
      </c>
      <c r="AD873">
        <v>4.25</v>
      </c>
      <c r="AE873" t="s">
        <v>51</v>
      </c>
      <c r="AF873" t="s">
        <v>3116</v>
      </c>
      <c r="AG873" t="s">
        <v>4109</v>
      </c>
      <c r="AH873" t="s">
        <v>702</v>
      </c>
      <c r="AI873">
        <v>1.25</v>
      </c>
      <c r="AJ873">
        <v>1.21</v>
      </c>
      <c r="AK873">
        <v>5.69</v>
      </c>
      <c r="AL873">
        <v>11.34</v>
      </c>
    </row>
    <row r="874" spans="1:38" x14ac:dyDescent="0.25">
      <c r="A874">
        <v>873</v>
      </c>
      <c r="B874" t="str">
        <f xml:space="preserve"> "000676"</f>
        <v>000676</v>
      </c>
      <c r="C874" t="s">
        <v>4110</v>
      </c>
      <c r="D874">
        <v>14.2</v>
      </c>
      <c r="E874">
        <v>0.35</v>
      </c>
      <c r="F874">
        <v>0.05</v>
      </c>
      <c r="G874" t="s">
        <v>2088</v>
      </c>
      <c r="H874">
        <v>580</v>
      </c>
      <c r="I874">
        <v>14.19</v>
      </c>
      <c r="J874">
        <v>14.2</v>
      </c>
      <c r="K874">
        <v>-7.0000000000000007E-2</v>
      </c>
      <c r="L874">
        <v>0.73</v>
      </c>
      <c r="M874" t="s">
        <v>4111</v>
      </c>
      <c r="N874">
        <v>31.43</v>
      </c>
      <c r="O874" t="s">
        <v>553</v>
      </c>
      <c r="P874">
        <v>14.21</v>
      </c>
      <c r="Q874">
        <v>13.99</v>
      </c>
      <c r="R874">
        <v>14.15</v>
      </c>
      <c r="S874">
        <v>14.15</v>
      </c>
      <c r="T874">
        <v>1.55</v>
      </c>
      <c r="U874">
        <v>0.83</v>
      </c>
      <c r="V874">
        <v>-24.34</v>
      </c>
      <c r="W874">
        <v>-440</v>
      </c>
      <c r="X874">
        <v>14.13</v>
      </c>
      <c r="Y874" t="s">
        <v>4112</v>
      </c>
      <c r="Z874">
        <v>9132</v>
      </c>
      <c r="AA874">
        <v>1.52</v>
      </c>
      <c r="AB874">
        <v>119</v>
      </c>
      <c r="AC874">
        <v>1</v>
      </c>
      <c r="AD874">
        <v>2.86</v>
      </c>
      <c r="AE874" t="s">
        <v>3630</v>
      </c>
      <c r="AF874" t="s">
        <v>3116</v>
      </c>
      <c r="AG874" t="s">
        <v>2471</v>
      </c>
      <c r="AH874" t="s">
        <v>1446</v>
      </c>
      <c r="AI874">
        <v>0.5</v>
      </c>
      <c r="AJ874">
        <v>3.5</v>
      </c>
      <c r="AK874">
        <v>2.57</v>
      </c>
      <c r="AL874">
        <v>5.1100000000000003</v>
      </c>
    </row>
    <row r="875" spans="1:38" x14ac:dyDescent="0.25">
      <c r="A875">
        <v>874</v>
      </c>
      <c r="B875" t="str">
        <f xml:space="preserve"> "000025"</f>
        <v>000025</v>
      </c>
      <c r="C875" t="s">
        <v>4113</v>
      </c>
      <c r="D875">
        <v>46.12</v>
      </c>
      <c r="E875">
        <v>-4.32</v>
      </c>
      <c r="F875">
        <v>-2.08</v>
      </c>
      <c r="G875" t="s">
        <v>2943</v>
      </c>
      <c r="H875">
        <v>2050</v>
      </c>
      <c r="I875">
        <v>46.12</v>
      </c>
      <c r="J875">
        <v>46.13</v>
      </c>
      <c r="K875">
        <v>-7.0000000000000007E-2</v>
      </c>
      <c r="L875">
        <v>5.17</v>
      </c>
      <c r="M875" t="s">
        <v>4114</v>
      </c>
      <c r="N875">
        <v>278.70999999999998</v>
      </c>
      <c r="O875" t="s">
        <v>169</v>
      </c>
      <c r="P875">
        <v>47.47</v>
      </c>
      <c r="Q875">
        <v>45.75</v>
      </c>
      <c r="R875">
        <v>45.75</v>
      </c>
      <c r="S875">
        <v>48.2</v>
      </c>
      <c r="T875">
        <v>3.57</v>
      </c>
      <c r="U875">
        <v>1.43</v>
      </c>
      <c r="V875">
        <v>-3.47</v>
      </c>
      <c r="W875">
        <v>-58</v>
      </c>
      <c r="X875">
        <v>46.3</v>
      </c>
      <c r="Y875" t="s">
        <v>3978</v>
      </c>
      <c r="Z875" t="s">
        <v>2124</v>
      </c>
      <c r="AA875">
        <v>1.54</v>
      </c>
      <c r="AB875">
        <v>181</v>
      </c>
      <c r="AC875">
        <v>71</v>
      </c>
      <c r="AD875">
        <v>14.89</v>
      </c>
      <c r="AE875" t="s">
        <v>2923</v>
      </c>
      <c r="AF875" t="s">
        <v>3116</v>
      </c>
      <c r="AG875" t="s">
        <v>629</v>
      </c>
      <c r="AH875" t="s">
        <v>4115</v>
      </c>
      <c r="AI875">
        <v>4.99</v>
      </c>
      <c r="AJ875">
        <v>7.78</v>
      </c>
      <c r="AK875">
        <v>20.65</v>
      </c>
      <c r="AL875">
        <v>23.21</v>
      </c>
    </row>
    <row r="876" spans="1:38" x14ac:dyDescent="0.25">
      <c r="A876">
        <v>875</v>
      </c>
      <c r="B876" t="str">
        <f xml:space="preserve"> "300679"</f>
        <v>300679</v>
      </c>
      <c r="C876" t="s">
        <v>4116</v>
      </c>
      <c r="D876">
        <v>114.18</v>
      </c>
      <c r="E876">
        <v>0.11</v>
      </c>
      <c r="F876">
        <v>0.12</v>
      </c>
      <c r="G876" t="s">
        <v>3941</v>
      </c>
      <c r="H876">
        <v>180</v>
      </c>
      <c r="I876">
        <v>114.18</v>
      </c>
      <c r="J876">
        <v>114.3</v>
      </c>
      <c r="K876">
        <v>-0.31</v>
      </c>
      <c r="L876">
        <v>3.82</v>
      </c>
      <c r="M876" t="s">
        <v>2646</v>
      </c>
      <c r="N876">
        <v>36.96</v>
      </c>
      <c r="O876" t="s">
        <v>380</v>
      </c>
      <c r="P876">
        <v>115.6</v>
      </c>
      <c r="Q876">
        <v>113.68</v>
      </c>
      <c r="R876">
        <v>113.99</v>
      </c>
      <c r="S876">
        <v>114.06</v>
      </c>
      <c r="T876">
        <v>1.68</v>
      </c>
      <c r="U876">
        <v>0.96</v>
      </c>
      <c r="V876">
        <v>-56.47</v>
      </c>
      <c r="W876">
        <v>-32</v>
      </c>
      <c r="X876">
        <v>115.05</v>
      </c>
      <c r="Y876">
        <v>5703</v>
      </c>
      <c r="Z876">
        <v>5755</v>
      </c>
      <c r="AA876">
        <v>0.99</v>
      </c>
      <c r="AB876">
        <v>1</v>
      </c>
      <c r="AC876">
        <v>7</v>
      </c>
      <c r="AD876">
        <v>4.67</v>
      </c>
      <c r="AE876" t="s">
        <v>918</v>
      </c>
      <c r="AF876" t="s">
        <v>3116</v>
      </c>
      <c r="AG876" t="s">
        <v>3067</v>
      </c>
      <c r="AH876" t="s">
        <v>585</v>
      </c>
      <c r="AI876">
        <v>-2.75</v>
      </c>
      <c r="AJ876">
        <v>0.4</v>
      </c>
      <c r="AK876">
        <v>11.13</v>
      </c>
      <c r="AL876">
        <v>23.76</v>
      </c>
    </row>
    <row r="877" spans="1:38" x14ac:dyDescent="0.25">
      <c r="A877">
        <v>876</v>
      </c>
      <c r="B877" t="str">
        <f xml:space="preserve"> "600845"</f>
        <v>600845</v>
      </c>
      <c r="C877" t="s">
        <v>4117</v>
      </c>
      <c r="D877">
        <v>17.46</v>
      </c>
      <c r="E877">
        <v>-1.52</v>
      </c>
      <c r="F877">
        <v>-0.27</v>
      </c>
      <c r="G877" t="s">
        <v>3190</v>
      </c>
      <c r="H877">
        <v>20</v>
      </c>
      <c r="I877">
        <v>17.45</v>
      </c>
      <c r="J877">
        <v>17.47</v>
      </c>
      <c r="K877">
        <v>0.06</v>
      </c>
      <c r="L877">
        <v>0.56999999999999995</v>
      </c>
      <c r="M877" t="s">
        <v>3172</v>
      </c>
      <c r="N877">
        <v>33.44</v>
      </c>
      <c r="O877" t="s">
        <v>893</v>
      </c>
      <c r="P877">
        <v>17.73</v>
      </c>
      <c r="Q877">
        <v>17.309999999999999</v>
      </c>
      <c r="R877">
        <v>17.73</v>
      </c>
      <c r="S877">
        <v>17.73</v>
      </c>
      <c r="T877">
        <v>2.37</v>
      </c>
      <c r="U877">
        <v>0.9</v>
      </c>
      <c r="V877">
        <v>-53.09</v>
      </c>
      <c r="W877">
        <v>-1188</v>
      </c>
      <c r="X877">
        <v>17.440000000000001</v>
      </c>
      <c r="Y877" t="s">
        <v>4118</v>
      </c>
      <c r="Z877">
        <v>9623</v>
      </c>
      <c r="AA877">
        <v>2.12</v>
      </c>
      <c r="AB877">
        <v>178</v>
      </c>
      <c r="AC877">
        <v>74</v>
      </c>
      <c r="AD877">
        <v>3.22</v>
      </c>
      <c r="AE877" t="s">
        <v>1091</v>
      </c>
      <c r="AF877" t="s">
        <v>3116</v>
      </c>
      <c r="AG877" t="s">
        <v>4119</v>
      </c>
      <c r="AH877" t="s">
        <v>835</v>
      </c>
      <c r="AI877">
        <v>-0.91</v>
      </c>
      <c r="AJ877">
        <v>2.65</v>
      </c>
      <c r="AK877">
        <v>2.0699999999999998</v>
      </c>
      <c r="AL877">
        <v>3.77</v>
      </c>
    </row>
    <row r="878" spans="1:38" x14ac:dyDescent="0.25">
      <c r="A878">
        <v>877</v>
      </c>
      <c r="B878" t="str">
        <f xml:space="preserve"> "600198"</f>
        <v>600198</v>
      </c>
      <c r="C878" t="s">
        <v>4120</v>
      </c>
      <c r="D878">
        <v>15.49</v>
      </c>
      <c r="E878">
        <v>-0.26</v>
      </c>
      <c r="F878">
        <v>-0.04</v>
      </c>
      <c r="G878" t="s">
        <v>236</v>
      </c>
      <c r="H878">
        <v>22</v>
      </c>
      <c r="I878">
        <v>15.47</v>
      </c>
      <c r="J878">
        <v>15.48</v>
      </c>
      <c r="K878">
        <v>0.13</v>
      </c>
      <c r="L878">
        <v>1.56</v>
      </c>
      <c r="M878" t="s">
        <v>2519</v>
      </c>
      <c r="N878">
        <v>-21.22</v>
      </c>
      <c r="O878" t="s">
        <v>580</v>
      </c>
      <c r="P878">
        <v>15.54</v>
      </c>
      <c r="Q878">
        <v>15.25</v>
      </c>
      <c r="R878">
        <v>15.5</v>
      </c>
      <c r="S878">
        <v>15.53</v>
      </c>
      <c r="T878">
        <v>1.87</v>
      </c>
      <c r="U878">
        <v>0.39</v>
      </c>
      <c r="V878">
        <v>-14.02</v>
      </c>
      <c r="W878">
        <v>-261</v>
      </c>
      <c r="X878">
        <v>15.4</v>
      </c>
      <c r="Y878" t="s">
        <v>4121</v>
      </c>
      <c r="Z878" t="s">
        <v>4122</v>
      </c>
      <c r="AA878">
        <v>1.35</v>
      </c>
      <c r="AB878">
        <v>135</v>
      </c>
      <c r="AC878">
        <v>138</v>
      </c>
      <c r="AD878">
        <v>6.12</v>
      </c>
      <c r="AE878" t="s">
        <v>1987</v>
      </c>
      <c r="AF878" t="s">
        <v>3116</v>
      </c>
      <c r="AG878" t="s">
        <v>305</v>
      </c>
      <c r="AH878" t="s">
        <v>3125</v>
      </c>
      <c r="AI878">
        <v>-1.84</v>
      </c>
      <c r="AJ878">
        <v>-3.85</v>
      </c>
      <c r="AK878">
        <v>6.36</v>
      </c>
      <c r="AL878">
        <v>21.47</v>
      </c>
    </row>
    <row r="879" spans="1:38" x14ac:dyDescent="0.25">
      <c r="A879">
        <v>878</v>
      </c>
      <c r="B879" t="str">
        <f xml:space="preserve"> "600180"</f>
        <v>600180</v>
      </c>
      <c r="C879" t="s">
        <v>4123</v>
      </c>
      <c r="D879">
        <v>13.43</v>
      </c>
      <c r="E879">
        <v>0.37</v>
      </c>
      <c r="F879">
        <v>0.05</v>
      </c>
      <c r="G879" t="s">
        <v>3158</v>
      </c>
      <c r="H879">
        <v>20</v>
      </c>
      <c r="I879">
        <v>13.42</v>
      </c>
      <c r="J879">
        <v>13.44</v>
      </c>
      <c r="K879">
        <v>0.15</v>
      </c>
      <c r="L879">
        <v>0.21</v>
      </c>
      <c r="M879" t="s">
        <v>4124</v>
      </c>
      <c r="N879">
        <v>21.86</v>
      </c>
      <c r="O879" t="s">
        <v>274</v>
      </c>
      <c r="P879">
        <v>13.45</v>
      </c>
      <c r="Q879">
        <v>13.27</v>
      </c>
      <c r="R879">
        <v>13.36</v>
      </c>
      <c r="S879">
        <v>13.38</v>
      </c>
      <c r="T879">
        <v>1.35</v>
      </c>
      <c r="U879">
        <v>0.89</v>
      </c>
      <c r="V879">
        <v>23.47</v>
      </c>
      <c r="W879">
        <v>260</v>
      </c>
      <c r="X879">
        <v>13.39</v>
      </c>
      <c r="Y879">
        <v>8560</v>
      </c>
      <c r="Z879">
        <v>9820</v>
      </c>
      <c r="AA879">
        <v>0.87</v>
      </c>
      <c r="AB879">
        <v>1</v>
      </c>
      <c r="AC879">
        <v>11</v>
      </c>
      <c r="AD879">
        <v>2.83</v>
      </c>
      <c r="AE879" t="s">
        <v>1766</v>
      </c>
      <c r="AF879" t="s">
        <v>3116</v>
      </c>
      <c r="AG879" t="s">
        <v>1987</v>
      </c>
      <c r="AH879" t="s">
        <v>3690</v>
      </c>
      <c r="AI879">
        <v>-0.22</v>
      </c>
      <c r="AJ879">
        <v>2.75</v>
      </c>
      <c r="AK879">
        <v>0.76</v>
      </c>
      <c r="AL879">
        <v>1.38</v>
      </c>
    </row>
    <row r="880" spans="1:38" x14ac:dyDescent="0.25">
      <c r="A880">
        <v>879</v>
      </c>
      <c r="B880" t="str">
        <f xml:space="preserve"> "600702"</f>
        <v>600702</v>
      </c>
      <c r="C880" t="s">
        <v>4125</v>
      </c>
      <c r="D880">
        <v>40.47</v>
      </c>
      <c r="E880">
        <v>-0.81</v>
      </c>
      <c r="F880">
        <v>-0.33</v>
      </c>
      <c r="G880" t="s">
        <v>3192</v>
      </c>
      <c r="H880">
        <v>25</v>
      </c>
      <c r="I880">
        <v>40.520000000000003</v>
      </c>
      <c r="J880">
        <v>40.57</v>
      </c>
      <c r="K880">
        <v>0.05</v>
      </c>
      <c r="L880">
        <v>1.81</v>
      </c>
      <c r="M880" t="s">
        <v>4126</v>
      </c>
      <c r="N880">
        <v>109.49</v>
      </c>
      <c r="O880" t="s">
        <v>123</v>
      </c>
      <c r="P880">
        <v>41.3</v>
      </c>
      <c r="Q880">
        <v>39.909999999999997</v>
      </c>
      <c r="R880">
        <v>40.69</v>
      </c>
      <c r="S880">
        <v>40.799999999999997</v>
      </c>
      <c r="T880">
        <v>3.41</v>
      </c>
      <c r="U880">
        <v>0.81</v>
      </c>
      <c r="V880">
        <v>9.9700000000000006</v>
      </c>
      <c r="W880">
        <v>25</v>
      </c>
      <c r="X880">
        <v>40.5</v>
      </c>
      <c r="Y880" t="s">
        <v>3273</v>
      </c>
      <c r="Z880" t="s">
        <v>2966</v>
      </c>
      <c r="AA880">
        <v>1.43</v>
      </c>
      <c r="AB880">
        <v>5</v>
      </c>
      <c r="AC880">
        <v>7</v>
      </c>
      <c r="AD880">
        <v>5.78</v>
      </c>
      <c r="AE880" t="s">
        <v>4127</v>
      </c>
      <c r="AF880" t="s">
        <v>3116</v>
      </c>
      <c r="AG880" t="s">
        <v>4127</v>
      </c>
      <c r="AH880" t="s">
        <v>3116</v>
      </c>
      <c r="AI880">
        <v>3.03</v>
      </c>
      <c r="AJ880">
        <v>1.4</v>
      </c>
      <c r="AK880">
        <v>6.23</v>
      </c>
      <c r="AL880">
        <v>13.02</v>
      </c>
    </row>
    <row r="881" spans="1:38" x14ac:dyDescent="0.25">
      <c r="A881">
        <v>880</v>
      </c>
      <c r="B881" t="str">
        <f xml:space="preserve"> "603612"</f>
        <v>603612</v>
      </c>
      <c r="C881" t="s">
        <v>4128</v>
      </c>
      <c r="D881">
        <v>56.61</v>
      </c>
      <c r="E881">
        <v>-0.42</v>
      </c>
      <c r="F881">
        <v>-0.24</v>
      </c>
      <c r="G881" t="s">
        <v>4122</v>
      </c>
      <c r="H881">
        <v>14</v>
      </c>
      <c r="I881">
        <v>56.5</v>
      </c>
      <c r="J881">
        <v>56.63</v>
      </c>
      <c r="K881">
        <v>0.34</v>
      </c>
      <c r="L881">
        <v>9.57</v>
      </c>
      <c r="M881" t="s">
        <v>3905</v>
      </c>
      <c r="N881">
        <v>31.52</v>
      </c>
      <c r="O881" t="s">
        <v>859</v>
      </c>
      <c r="P881">
        <v>57.43</v>
      </c>
      <c r="Q881">
        <v>56.11</v>
      </c>
      <c r="R881">
        <v>56.31</v>
      </c>
      <c r="S881">
        <v>56.85</v>
      </c>
      <c r="T881">
        <v>2.3199999999999998</v>
      </c>
      <c r="U881">
        <v>0.69</v>
      </c>
      <c r="V881">
        <v>15.53</v>
      </c>
      <c r="W881">
        <v>68</v>
      </c>
      <c r="X881">
        <v>56.65</v>
      </c>
      <c r="Y881" t="s">
        <v>1532</v>
      </c>
      <c r="Z881" t="s">
        <v>3272</v>
      </c>
      <c r="AA881">
        <v>1.37</v>
      </c>
      <c r="AB881">
        <v>107</v>
      </c>
      <c r="AC881">
        <v>8</v>
      </c>
      <c r="AD881">
        <v>6.69</v>
      </c>
      <c r="AE881" t="s">
        <v>4129</v>
      </c>
      <c r="AF881" t="s">
        <v>426</v>
      </c>
      <c r="AG881" t="s">
        <v>4130</v>
      </c>
      <c r="AH881" t="s">
        <v>4131</v>
      </c>
      <c r="AI881">
        <v>-16.5</v>
      </c>
      <c r="AJ881">
        <v>-20.51</v>
      </c>
      <c r="AK881">
        <v>48.29</v>
      </c>
      <c r="AL881">
        <v>79.17</v>
      </c>
    </row>
    <row r="882" spans="1:38" x14ac:dyDescent="0.25">
      <c r="A882">
        <v>881</v>
      </c>
      <c r="B882" t="str">
        <f xml:space="preserve"> "600273"</f>
        <v>600273</v>
      </c>
      <c r="C882" t="s">
        <v>4132</v>
      </c>
      <c r="D882">
        <v>9.1199999999999992</v>
      </c>
      <c r="E882">
        <v>0.55000000000000004</v>
      </c>
      <c r="F882">
        <v>0.05</v>
      </c>
      <c r="G882" t="s">
        <v>4133</v>
      </c>
      <c r="H882">
        <v>57</v>
      </c>
      <c r="I882">
        <v>9.11</v>
      </c>
      <c r="J882">
        <v>9.1199999999999992</v>
      </c>
      <c r="K882">
        <v>0.11</v>
      </c>
      <c r="L882">
        <v>0.49</v>
      </c>
      <c r="M882" t="s">
        <v>4134</v>
      </c>
      <c r="N882">
        <v>14.85</v>
      </c>
      <c r="O882" t="s">
        <v>667</v>
      </c>
      <c r="P882">
        <v>9.1199999999999992</v>
      </c>
      <c r="Q882">
        <v>9.0500000000000007</v>
      </c>
      <c r="R882">
        <v>9.06</v>
      </c>
      <c r="S882">
        <v>9.07</v>
      </c>
      <c r="T882">
        <v>0.77</v>
      </c>
      <c r="U882">
        <v>0.72</v>
      </c>
      <c r="V882">
        <v>-47.34</v>
      </c>
      <c r="W882">
        <v>-9234</v>
      </c>
      <c r="X882">
        <v>9.1</v>
      </c>
      <c r="Y882" t="s">
        <v>3931</v>
      </c>
      <c r="Z882" t="s">
        <v>2147</v>
      </c>
      <c r="AA882">
        <v>0.6</v>
      </c>
      <c r="AB882">
        <v>573</v>
      </c>
      <c r="AC882">
        <v>547</v>
      </c>
      <c r="AD882">
        <v>2.27</v>
      </c>
      <c r="AE882" t="s">
        <v>2945</v>
      </c>
      <c r="AF882" t="s">
        <v>426</v>
      </c>
      <c r="AG882" t="s">
        <v>1510</v>
      </c>
      <c r="AH882" t="s">
        <v>593</v>
      </c>
      <c r="AI882">
        <v>0.11</v>
      </c>
      <c r="AJ882">
        <v>1.9</v>
      </c>
      <c r="AK882">
        <v>1.59</v>
      </c>
      <c r="AL882">
        <v>3.9</v>
      </c>
    </row>
    <row r="883" spans="1:38" x14ac:dyDescent="0.25">
      <c r="A883">
        <v>882</v>
      </c>
      <c r="B883" t="str">
        <f xml:space="preserve"> "300253"</f>
        <v>300253</v>
      </c>
      <c r="C883" t="s">
        <v>4135</v>
      </c>
      <c r="D883">
        <v>8.5</v>
      </c>
      <c r="E883">
        <v>0</v>
      </c>
      <c r="F883">
        <v>0</v>
      </c>
      <c r="G883" t="s">
        <v>4136</v>
      </c>
      <c r="H883">
        <v>4505</v>
      </c>
      <c r="I883">
        <v>8.49</v>
      </c>
      <c r="J883">
        <v>8.5</v>
      </c>
      <c r="K883">
        <v>0.12</v>
      </c>
      <c r="L883">
        <v>2.57</v>
      </c>
      <c r="M883" t="s">
        <v>424</v>
      </c>
      <c r="N883">
        <v>76.430000000000007</v>
      </c>
      <c r="O883" t="s">
        <v>893</v>
      </c>
      <c r="P883">
        <v>8.7200000000000006</v>
      </c>
      <c r="Q883">
        <v>8.4499999999999993</v>
      </c>
      <c r="R883">
        <v>8.51</v>
      </c>
      <c r="S883">
        <v>8.5</v>
      </c>
      <c r="T883">
        <v>3.18</v>
      </c>
      <c r="U883">
        <v>0.65</v>
      </c>
      <c r="V883">
        <v>-18.68</v>
      </c>
      <c r="W883">
        <v>-3256</v>
      </c>
      <c r="X883">
        <v>8.58</v>
      </c>
      <c r="Y883" t="s">
        <v>4137</v>
      </c>
      <c r="Z883" t="s">
        <v>1237</v>
      </c>
      <c r="AA883">
        <v>1.1499999999999999</v>
      </c>
      <c r="AB883">
        <v>612</v>
      </c>
      <c r="AC883">
        <v>9199</v>
      </c>
      <c r="AD883">
        <v>5.62</v>
      </c>
      <c r="AE883" t="s">
        <v>1147</v>
      </c>
      <c r="AF883" t="s">
        <v>426</v>
      </c>
      <c r="AG883" t="s">
        <v>2388</v>
      </c>
      <c r="AH883" t="s">
        <v>4138</v>
      </c>
      <c r="AI883">
        <v>-2.52</v>
      </c>
      <c r="AJ883">
        <v>10.39</v>
      </c>
      <c r="AK883">
        <v>13.93</v>
      </c>
      <c r="AL883">
        <v>22.2</v>
      </c>
    </row>
    <row r="884" spans="1:38" x14ac:dyDescent="0.25">
      <c r="A884">
        <v>883</v>
      </c>
      <c r="B884" t="str">
        <f xml:space="preserve"> "603377"</f>
        <v>603377</v>
      </c>
      <c r="C884" t="s">
        <v>4139</v>
      </c>
      <c r="D884">
        <v>32.43</v>
      </c>
      <c r="E884">
        <v>-0.49</v>
      </c>
      <c r="F884">
        <v>-0.16</v>
      </c>
      <c r="G884">
        <v>5903</v>
      </c>
      <c r="H884">
        <v>2</v>
      </c>
      <c r="I884">
        <v>32.43</v>
      </c>
      <c r="J884">
        <v>32.44</v>
      </c>
      <c r="K884">
        <v>-0.03</v>
      </c>
      <c r="L884">
        <v>0.5</v>
      </c>
      <c r="M884" t="s">
        <v>4140</v>
      </c>
      <c r="N884">
        <v>60.35</v>
      </c>
      <c r="O884" t="s">
        <v>274</v>
      </c>
      <c r="P884">
        <v>32.79</v>
      </c>
      <c r="Q884">
        <v>32.42</v>
      </c>
      <c r="R884">
        <v>32.65</v>
      </c>
      <c r="S884">
        <v>32.590000000000003</v>
      </c>
      <c r="T884">
        <v>1.1399999999999999</v>
      </c>
      <c r="U884">
        <v>0.95</v>
      </c>
      <c r="V884">
        <v>-66.73</v>
      </c>
      <c r="W884">
        <v>-521</v>
      </c>
      <c r="X884">
        <v>32.5</v>
      </c>
      <c r="Y884">
        <v>1834</v>
      </c>
      <c r="Z884">
        <v>4069</v>
      </c>
      <c r="AA884">
        <v>0.45</v>
      </c>
      <c r="AB884">
        <v>27</v>
      </c>
      <c r="AC884">
        <v>20</v>
      </c>
      <c r="AD884">
        <v>8.42</v>
      </c>
      <c r="AE884" t="s">
        <v>1893</v>
      </c>
      <c r="AF884" t="s">
        <v>426</v>
      </c>
      <c r="AG884" t="s">
        <v>1606</v>
      </c>
      <c r="AH884" t="s">
        <v>1800</v>
      </c>
      <c r="AI884">
        <v>-1.07</v>
      </c>
      <c r="AJ884">
        <v>2.4</v>
      </c>
      <c r="AK884">
        <v>1.38</v>
      </c>
      <c r="AL884">
        <v>3.15</v>
      </c>
    </row>
    <row r="885" spans="1:38" x14ac:dyDescent="0.25">
      <c r="A885">
        <v>884</v>
      </c>
      <c r="B885" t="str">
        <f xml:space="preserve"> "603883"</f>
        <v>603883</v>
      </c>
      <c r="C885" t="s">
        <v>4141</v>
      </c>
      <c r="D885">
        <v>50.91</v>
      </c>
      <c r="E885">
        <v>-0.16</v>
      </c>
      <c r="F885">
        <v>-0.08</v>
      </c>
      <c r="G885">
        <v>8534</v>
      </c>
      <c r="H885">
        <v>1</v>
      </c>
      <c r="I885">
        <v>50.81</v>
      </c>
      <c r="J885">
        <v>50.9</v>
      </c>
      <c r="K885">
        <v>-0.08</v>
      </c>
      <c r="L885">
        <v>1.01</v>
      </c>
      <c r="M885" t="s">
        <v>4142</v>
      </c>
      <c r="N885">
        <v>35.520000000000003</v>
      </c>
      <c r="O885" t="s">
        <v>392</v>
      </c>
      <c r="P885">
        <v>51.2</v>
      </c>
      <c r="Q885">
        <v>50.01</v>
      </c>
      <c r="R885">
        <v>50.74</v>
      </c>
      <c r="S885">
        <v>50.99</v>
      </c>
      <c r="T885">
        <v>2.33</v>
      </c>
      <c r="U885">
        <v>0.92</v>
      </c>
      <c r="V885">
        <v>-35.28</v>
      </c>
      <c r="W885">
        <v>-43</v>
      </c>
      <c r="X885">
        <v>50.55</v>
      </c>
      <c r="Y885">
        <v>4974</v>
      </c>
      <c r="Z885">
        <v>3560</v>
      </c>
      <c r="AA885">
        <v>1.4</v>
      </c>
      <c r="AB885">
        <v>19</v>
      </c>
      <c r="AC885">
        <v>4</v>
      </c>
      <c r="AD885">
        <v>6.94</v>
      </c>
      <c r="AE885" t="s">
        <v>4143</v>
      </c>
      <c r="AF885" t="s">
        <v>426</v>
      </c>
      <c r="AG885" t="s">
        <v>4144</v>
      </c>
      <c r="AH885" t="s">
        <v>2903</v>
      </c>
      <c r="AI885">
        <v>1.03</v>
      </c>
      <c r="AJ885">
        <v>6.84</v>
      </c>
      <c r="AK885">
        <v>3.48</v>
      </c>
      <c r="AL885">
        <v>6.56</v>
      </c>
    </row>
    <row r="886" spans="1:38" x14ac:dyDescent="0.25">
      <c r="A886">
        <v>885</v>
      </c>
      <c r="B886" t="str">
        <f xml:space="preserve"> "600329"</f>
        <v>600329</v>
      </c>
      <c r="C886" t="s">
        <v>4145</v>
      </c>
      <c r="D886">
        <v>17.670000000000002</v>
      </c>
      <c r="E886">
        <v>-0.11</v>
      </c>
      <c r="F886">
        <v>-0.02</v>
      </c>
      <c r="G886" t="s">
        <v>1420</v>
      </c>
      <c r="H886">
        <v>8</v>
      </c>
      <c r="I886">
        <v>17.66</v>
      </c>
      <c r="J886">
        <v>17.670000000000002</v>
      </c>
      <c r="K886">
        <v>0.06</v>
      </c>
      <c r="L886">
        <v>0.38</v>
      </c>
      <c r="M886" t="s">
        <v>4146</v>
      </c>
      <c r="N886">
        <v>24.48</v>
      </c>
      <c r="O886" t="s">
        <v>392</v>
      </c>
      <c r="P886">
        <v>17.75</v>
      </c>
      <c r="Q886">
        <v>17.579999999999998</v>
      </c>
      <c r="R886">
        <v>17.690000000000001</v>
      </c>
      <c r="S886">
        <v>17.690000000000001</v>
      </c>
      <c r="T886">
        <v>0.96</v>
      </c>
      <c r="U886">
        <v>0.63</v>
      </c>
      <c r="V886">
        <v>-54.22</v>
      </c>
      <c r="W886">
        <v>-353</v>
      </c>
      <c r="X886">
        <v>17.66</v>
      </c>
      <c r="Y886" t="s">
        <v>2453</v>
      </c>
      <c r="Z886">
        <v>6672</v>
      </c>
      <c r="AA886">
        <v>2.21</v>
      </c>
      <c r="AB886">
        <v>67</v>
      </c>
      <c r="AC886">
        <v>60</v>
      </c>
      <c r="AD886">
        <v>3.25</v>
      </c>
      <c r="AE886" t="s">
        <v>3988</v>
      </c>
      <c r="AF886" t="s">
        <v>426</v>
      </c>
      <c r="AG886" t="s">
        <v>3239</v>
      </c>
      <c r="AH886" t="s">
        <v>4147</v>
      </c>
      <c r="AI886">
        <v>-1.17</v>
      </c>
      <c r="AJ886">
        <v>3.51</v>
      </c>
      <c r="AK886">
        <v>1.62</v>
      </c>
      <c r="AL886">
        <v>3.41</v>
      </c>
    </row>
    <row r="887" spans="1:38" x14ac:dyDescent="0.25">
      <c r="A887">
        <v>886</v>
      </c>
      <c r="B887" t="str">
        <f xml:space="preserve"> "603501"</f>
        <v>603501</v>
      </c>
      <c r="C887" t="s">
        <v>4148</v>
      </c>
      <c r="D887">
        <v>32.630000000000003</v>
      </c>
      <c r="E887">
        <v>-8.6300000000000008</v>
      </c>
      <c r="F887">
        <v>-3.08</v>
      </c>
      <c r="G887" t="s">
        <v>206</v>
      </c>
      <c r="H887">
        <v>17</v>
      </c>
      <c r="I887">
        <v>32.549999999999997</v>
      </c>
      <c r="J887">
        <v>32.6</v>
      </c>
      <c r="K887">
        <v>0.65</v>
      </c>
      <c r="L887">
        <v>41.54</v>
      </c>
      <c r="M887" t="s">
        <v>2789</v>
      </c>
      <c r="N887">
        <v>115.41</v>
      </c>
      <c r="O887" t="s">
        <v>380</v>
      </c>
      <c r="P887">
        <v>35.36</v>
      </c>
      <c r="Q887">
        <v>32.24</v>
      </c>
      <c r="R887">
        <v>35.1</v>
      </c>
      <c r="S887">
        <v>35.71</v>
      </c>
      <c r="T887">
        <v>8.74</v>
      </c>
      <c r="U887">
        <v>2.21</v>
      </c>
      <c r="V887">
        <v>-6.97</v>
      </c>
      <c r="W887">
        <v>-20</v>
      </c>
      <c r="X887">
        <v>33.56</v>
      </c>
      <c r="Y887" t="s">
        <v>2394</v>
      </c>
      <c r="Z887" t="s">
        <v>2031</v>
      </c>
      <c r="AA887">
        <v>1.36</v>
      </c>
      <c r="AB887">
        <v>39</v>
      </c>
      <c r="AC887">
        <v>21</v>
      </c>
      <c r="AD887">
        <v>12.5</v>
      </c>
      <c r="AE887" t="s">
        <v>4149</v>
      </c>
      <c r="AF887" t="s">
        <v>426</v>
      </c>
      <c r="AG887" t="s">
        <v>3529</v>
      </c>
      <c r="AH887" t="s">
        <v>1434</v>
      </c>
      <c r="AI887">
        <v>10.57</v>
      </c>
      <c r="AJ887">
        <v>33.78</v>
      </c>
      <c r="AK887">
        <v>129.72999999999999</v>
      </c>
      <c r="AL887">
        <v>134.13</v>
      </c>
    </row>
    <row r="888" spans="1:38" x14ac:dyDescent="0.25">
      <c r="A888">
        <v>887</v>
      </c>
      <c r="B888" t="str">
        <f xml:space="preserve"> "300026"</f>
        <v>300026</v>
      </c>
      <c r="C888" t="s">
        <v>4150</v>
      </c>
      <c r="D888">
        <v>4.5</v>
      </c>
      <c r="E888">
        <v>0.67</v>
      </c>
      <c r="F888">
        <v>0.03</v>
      </c>
      <c r="G888" t="s">
        <v>236</v>
      </c>
      <c r="H888">
        <v>851</v>
      </c>
      <c r="I888">
        <v>4.49</v>
      </c>
      <c r="J888">
        <v>4.5</v>
      </c>
      <c r="K888">
        <v>0</v>
      </c>
      <c r="L888">
        <v>0.61</v>
      </c>
      <c r="M888" t="s">
        <v>4151</v>
      </c>
      <c r="N888">
        <v>23.99</v>
      </c>
      <c r="O888" t="s">
        <v>392</v>
      </c>
      <c r="P888">
        <v>4.5199999999999996</v>
      </c>
      <c r="Q888">
        <v>4.45</v>
      </c>
      <c r="R888">
        <v>4.47</v>
      </c>
      <c r="S888">
        <v>4.47</v>
      </c>
      <c r="T888">
        <v>1.57</v>
      </c>
      <c r="U888">
        <v>0.69</v>
      </c>
      <c r="V888">
        <v>-7.36</v>
      </c>
      <c r="W888">
        <v>-7255</v>
      </c>
      <c r="X888">
        <v>4.49</v>
      </c>
      <c r="Y888" t="s">
        <v>4152</v>
      </c>
      <c r="Z888" t="s">
        <v>4153</v>
      </c>
      <c r="AA888">
        <v>0.74</v>
      </c>
      <c r="AB888">
        <v>4028</v>
      </c>
      <c r="AC888">
        <v>7891</v>
      </c>
      <c r="AD888">
        <v>2.19</v>
      </c>
      <c r="AE888" t="s">
        <v>3355</v>
      </c>
      <c r="AF888" t="s">
        <v>3125</v>
      </c>
      <c r="AG888" t="s">
        <v>4084</v>
      </c>
      <c r="AH888" t="s">
        <v>475</v>
      </c>
      <c r="AI888">
        <v>-0.44</v>
      </c>
      <c r="AJ888">
        <v>3.21</v>
      </c>
      <c r="AK888">
        <v>2.23</v>
      </c>
      <c r="AL888">
        <v>5.01</v>
      </c>
    </row>
    <row r="889" spans="1:38" x14ac:dyDescent="0.25">
      <c r="A889">
        <v>888</v>
      </c>
      <c r="B889" t="str">
        <f xml:space="preserve"> "002711"</f>
        <v>002711</v>
      </c>
      <c r="C889" t="s">
        <v>4154</v>
      </c>
      <c r="D889">
        <v>12.82</v>
      </c>
      <c r="E889">
        <v>0.16</v>
      </c>
      <c r="F889">
        <v>0.02</v>
      </c>
      <c r="G889" t="s">
        <v>3745</v>
      </c>
      <c r="H889">
        <v>2371</v>
      </c>
      <c r="I889">
        <v>12.81</v>
      </c>
      <c r="J889">
        <v>12.82</v>
      </c>
      <c r="K889">
        <v>0.08</v>
      </c>
      <c r="L889">
        <v>1.75</v>
      </c>
      <c r="M889" t="s">
        <v>4011</v>
      </c>
      <c r="N889">
        <v>28.63</v>
      </c>
      <c r="O889" t="s">
        <v>274</v>
      </c>
      <c r="P889">
        <v>12.87</v>
      </c>
      <c r="Q889">
        <v>12.7</v>
      </c>
      <c r="R889">
        <v>12.82</v>
      </c>
      <c r="S889">
        <v>12.8</v>
      </c>
      <c r="T889">
        <v>1.33</v>
      </c>
      <c r="U889">
        <v>1.1599999999999999</v>
      </c>
      <c r="V889">
        <v>-3.03</v>
      </c>
      <c r="W889">
        <v>-272</v>
      </c>
      <c r="X889">
        <v>12.79</v>
      </c>
      <c r="Y889" t="s">
        <v>4155</v>
      </c>
      <c r="Z889" t="s">
        <v>873</v>
      </c>
      <c r="AA889">
        <v>0.51</v>
      </c>
      <c r="AB889">
        <v>339</v>
      </c>
      <c r="AC889">
        <v>593</v>
      </c>
      <c r="AD889">
        <v>8.58</v>
      </c>
      <c r="AE889" t="s">
        <v>1554</v>
      </c>
      <c r="AF889" t="s">
        <v>3125</v>
      </c>
      <c r="AG889" t="s">
        <v>2066</v>
      </c>
      <c r="AH889" t="s">
        <v>683</v>
      </c>
      <c r="AI889">
        <v>1.91</v>
      </c>
      <c r="AJ889">
        <v>3.81</v>
      </c>
      <c r="AK889">
        <v>5.92</v>
      </c>
      <c r="AL889">
        <v>9.2799999999999994</v>
      </c>
    </row>
    <row r="890" spans="1:38" x14ac:dyDescent="0.25">
      <c r="A890">
        <v>889</v>
      </c>
      <c r="B890" t="str">
        <f xml:space="preserve"> "000018"</f>
        <v>000018</v>
      </c>
      <c r="C890" t="s">
        <v>4156</v>
      </c>
      <c r="D890">
        <v>7.97</v>
      </c>
      <c r="E890">
        <v>0.13</v>
      </c>
      <c r="F890">
        <v>0.01</v>
      </c>
      <c r="G890" t="s">
        <v>2379</v>
      </c>
      <c r="H890">
        <v>2285</v>
      </c>
      <c r="I890">
        <v>7.97</v>
      </c>
      <c r="J890">
        <v>7.98</v>
      </c>
      <c r="K890">
        <v>-0.13</v>
      </c>
      <c r="L890">
        <v>1.03</v>
      </c>
      <c r="M890" t="s">
        <v>4157</v>
      </c>
      <c r="N890">
        <v>25.19</v>
      </c>
      <c r="O890" t="s">
        <v>2309</v>
      </c>
      <c r="P890">
        <v>7.99</v>
      </c>
      <c r="Q890">
        <v>7.9</v>
      </c>
      <c r="R890">
        <v>7.98</v>
      </c>
      <c r="S890">
        <v>7.96</v>
      </c>
      <c r="T890">
        <v>1.1299999999999999</v>
      </c>
      <c r="U890">
        <v>0.76</v>
      </c>
      <c r="V890">
        <v>31.07</v>
      </c>
      <c r="W890">
        <v>9764</v>
      </c>
      <c r="X890">
        <v>7.95</v>
      </c>
      <c r="Y890" t="s">
        <v>753</v>
      </c>
      <c r="Z890" t="s">
        <v>2266</v>
      </c>
      <c r="AA890">
        <v>1.21</v>
      </c>
      <c r="AB890">
        <v>2542</v>
      </c>
      <c r="AC890">
        <v>3401</v>
      </c>
      <c r="AD890">
        <v>7.3</v>
      </c>
      <c r="AE890" t="s">
        <v>909</v>
      </c>
      <c r="AF890" t="s">
        <v>3125</v>
      </c>
      <c r="AG890" t="s">
        <v>4158</v>
      </c>
      <c r="AH890" t="s">
        <v>1979</v>
      </c>
      <c r="AI890">
        <v>-0.5</v>
      </c>
      <c r="AJ890">
        <v>1.1399999999999999</v>
      </c>
      <c r="AK890">
        <v>3.39</v>
      </c>
      <c r="AL890">
        <v>7.83</v>
      </c>
    </row>
    <row r="891" spans="1:38" x14ac:dyDescent="0.25">
      <c r="A891">
        <v>890</v>
      </c>
      <c r="B891" t="str">
        <f xml:space="preserve"> "300287"</f>
        <v>300287</v>
      </c>
      <c r="C891" t="s">
        <v>4159</v>
      </c>
      <c r="D891">
        <v>9.42</v>
      </c>
      <c r="E891">
        <v>-1.77</v>
      </c>
      <c r="F891">
        <v>-0.17</v>
      </c>
      <c r="G891" t="s">
        <v>96</v>
      </c>
      <c r="H891">
        <v>5103</v>
      </c>
      <c r="I891">
        <v>9.42</v>
      </c>
      <c r="J891">
        <v>9.43</v>
      </c>
      <c r="K891">
        <v>-0.21</v>
      </c>
      <c r="L891">
        <v>2.41</v>
      </c>
      <c r="M891" t="s">
        <v>1197</v>
      </c>
      <c r="N891">
        <v>43.8</v>
      </c>
      <c r="O891" t="s">
        <v>893</v>
      </c>
      <c r="P891">
        <v>9.6</v>
      </c>
      <c r="Q891">
        <v>9.36</v>
      </c>
      <c r="R891">
        <v>9.5500000000000007</v>
      </c>
      <c r="S891">
        <v>9.59</v>
      </c>
      <c r="T891">
        <v>2.5</v>
      </c>
      <c r="U891">
        <v>0.99</v>
      </c>
      <c r="V891">
        <v>-14.35</v>
      </c>
      <c r="W891">
        <v>-965</v>
      </c>
      <c r="X891">
        <v>9.4700000000000006</v>
      </c>
      <c r="Y891" t="s">
        <v>59</v>
      </c>
      <c r="Z891" t="s">
        <v>1222</v>
      </c>
      <c r="AA891">
        <v>1.46</v>
      </c>
      <c r="AB891">
        <v>8</v>
      </c>
      <c r="AC891">
        <v>1287</v>
      </c>
      <c r="AD891">
        <v>2.4300000000000002</v>
      </c>
      <c r="AE891" t="s">
        <v>2100</v>
      </c>
      <c r="AF891" t="s">
        <v>3125</v>
      </c>
      <c r="AG891" t="s">
        <v>755</v>
      </c>
      <c r="AH891" t="s">
        <v>4160</v>
      </c>
      <c r="AI891">
        <v>-1.05</v>
      </c>
      <c r="AJ891">
        <v>4.43</v>
      </c>
      <c r="AK891">
        <v>7.15</v>
      </c>
      <c r="AL891">
        <v>14.64</v>
      </c>
    </row>
    <row r="892" spans="1:38" x14ac:dyDescent="0.25">
      <c r="A892">
        <v>891</v>
      </c>
      <c r="B892" t="str">
        <f xml:space="preserve"> "000766"</f>
        <v>000766</v>
      </c>
      <c r="C892" t="s">
        <v>4161</v>
      </c>
      <c r="D892" t="s">
        <v>616</v>
      </c>
      <c r="E892" t="s">
        <v>616</v>
      </c>
      <c r="F892" t="s">
        <v>616</v>
      </c>
      <c r="G892" t="s">
        <v>616</v>
      </c>
      <c r="H892" t="s">
        <v>616</v>
      </c>
      <c r="I892" t="s">
        <v>616</v>
      </c>
      <c r="J892" t="s">
        <v>616</v>
      </c>
      <c r="K892" t="s">
        <v>616</v>
      </c>
      <c r="L892" t="s">
        <v>616</v>
      </c>
      <c r="M892" t="s">
        <v>616</v>
      </c>
      <c r="N892">
        <v>54.18</v>
      </c>
      <c r="O892" t="s">
        <v>392</v>
      </c>
      <c r="P892" t="s">
        <v>616</v>
      </c>
      <c r="Q892" t="s">
        <v>616</v>
      </c>
      <c r="R892" t="s">
        <v>616</v>
      </c>
      <c r="S892">
        <v>13.98</v>
      </c>
      <c r="T892" t="s">
        <v>616</v>
      </c>
      <c r="U892" t="s">
        <v>616</v>
      </c>
      <c r="V892" t="s">
        <v>616</v>
      </c>
      <c r="W892" t="s">
        <v>616</v>
      </c>
      <c r="X892" t="s">
        <v>616</v>
      </c>
      <c r="Y892" t="s">
        <v>616</v>
      </c>
      <c r="Z892" t="s">
        <v>616</v>
      </c>
      <c r="AA892" t="s">
        <v>616</v>
      </c>
      <c r="AB892" t="s">
        <v>616</v>
      </c>
      <c r="AC892" t="s">
        <v>616</v>
      </c>
      <c r="AD892">
        <v>3.18</v>
      </c>
      <c r="AE892" t="s">
        <v>3630</v>
      </c>
      <c r="AF892" t="s">
        <v>3125</v>
      </c>
      <c r="AG892" t="s">
        <v>1676</v>
      </c>
      <c r="AH892" t="s">
        <v>4162</v>
      </c>
      <c r="AI892">
        <v>0</v>
      </c>
      <c r="AJ892">
        <v>0</v>
      </c>
      <c r="AK892">
        <v>0</v>
      </c>
      <c r="AL892">
        <v>0</v>
      </c>
    </row>
    <row r="893" spans="1:38" x14ac:dyDescent="0.25">
      <c r="A893">
        <v>892</v>
      </c>
      <c r="B893" t="str">
        <f xml:space="preserve"> "002303"</f>
        <v>002303</v>
      </c>
      <c r="C893" t="s">
        <v>4163</v>
      </c>
      <c r="D893">
        <v>8.75</v>
      </c>
      <c r="E893">
        <v>0.11</v>
      </c>
      <c r="F893">
        <v>0.01</v>
      </c>
      <c r="G893" t="s">
        <v>4164</v>
      </c>
      <c r="H893">
        <v>891</v>
      </c>
      <c r="I893">
        <v>8.74</v>
      </c>
      <c r="J893">
        <v>8.75</v>
      </c>
      <c r="K893">
        <v>0</v>
      </c>
      <c r="L893">
        <v>0.36</v>
      </c>
      <c r="M893" t="s">
        <v>4165</v>
      </c>
      <c r="N893">
        <v>46.74</v>
      </c>
      <c r="O893" t="s">
        <v>3873</v>
      </c>
      <c r="P893">
        <v>8.7899999999999991</v>
      </c>
      <c r="Q893">
        <v>8.6300000000000008</v>
      </c>
      <c r="R893">
        <v>8.75</v>
      </c>
      <c r="S893">
        <v>8.74</v>
      </c>
      <c r="T893">
        <v>1.83</v>
      </c>
      <c r="U893">
        <v>0.43</v>
      </c>
      <c r="V893">
        <v>-34.36</v>
      </c>
      <c r="W893">
        <v>-2123</v>
      </c>
      <c r="X893">
        <v>8.7200000000000006</v>
      </c>
      <c r="Y893" t="s">
        <v>1705</v>
      </c>
      <c r="Z893" t="s">
        <v>3931</v>
      </c>
      <c r="AA893">
        <v>1.1200000000000001</v>
      </c>
      <c r="AB893">
        <v>313</v>
      </c>
      <c r="AC893">
        <v>925</v>
      </c>
      <c r="AD893">
        <v>3.31</v>
      </c>
      <c r="AE893" t="s">
        <v>2422</v>
      </c>
      <c r="AF893" t="s">
        <v>3125</v>
      </c>
      <c r="AG893" t="s">
        <v>2246</v>
      </c>
      <c r="AH893" t="s">
        <v>3121</v>
      </c>
      <c r="AI893">
        <v>-1.35</v>
      </c>
      <c r="AJ893">
        <v>6.58</v>
      </c>
      <c r="AK893">
        <v>1.71</v>
      </c>
      <c r="AL893">
        <v>4.54</v>
      </c>
    </row>
    <row r="894" spans="1:38" x14ac:dyDescent="0.25">
      <c r="A894">
        <v>893</v>
      </c>
      <c r="B894" t="str">
        <f xml:space="preserve"> "600072"</f>
        <v>600072</v>
      </c>
      <c r="C894" t="s">
        <v>4166</v>
      </c>
      <c r="D894">
        <v>18.3</v>
      </c>
      <c r="E894">
        <v>-0.92</v>
      </c>
      <c r="F894">
        <v>-0.17</v>
      </c>
      <c r="G894" t="s">
        <v>4122</v>
      </c>
      <c r="H894">
        <v>157</v>
      </c>
      <c r="I894">
        <v>18.3</v>
      </c>
      <c r="J894">
        <v>18.32</v>
      </c>
      <c r="K894">
        <v>-0.16</v>
      </c>
      <c r="L894">
        <v>1.86</v>
      </c>
      <c r="M894" t="s">
        <v>1907</v>
      </c>
      <c r="N894">
        <v>502.18</v>
      </c>
      <c r="O894" t="s">
        <v>635</v>
      </c>
      <c r="P894">
        <v>18.399999999999999</v>
      </c>
      <c r="Q894">
        <v>18.23</v>
      </c>
      <c r="R894">
        <v>18.399999999999999</v>
      </c>
      <c r="S894">
        <v>18.47</v>
      </c>
      <c r="T894">
        <v>0.92</v>
      </c>
      <c r="U894">
        <v>0.52</v>
      </c>
      <c r="V894">
        <v>20.350000000000001</v>
      </c>
      <c r="W894">
        <v>318</v>
      </c>
      <c r="X894">
        <v>18.3</v>
      </c>
      <c r="Y894" t="s">
        <v>1712</v>
      </c>
      <c r="Z894" t="s">
        <v>468</v>
      </c>
      <c r="AA894">
        <v>1.71</v>
      </c>
      <c r="AB894">
        <v>57</v>
      </c>
      <c r="AC894">
        <v>3</v>
      </c>
      <c r="AD894">
        <v>3.7</v>
      </c>
      <c r="AE894" t="s">
        <v>4167</v>
      </c>
      <c r="AF894" t="s">
        <v>3125</v>
      </c>
      <c r="AG894" t="s">
        <v>4168</v>
      </c>
      <c r="AH894" t="s">
        <v>4169</v>
      </c>
      <c r="AI894">
        <v>-2.4500000000000002</v>
      </c>
      <c r="AJ894">
        <v>-4.54</v>
      </c>
      <c r="AK894">
        <v>7.94</v>
      </c>
      <c r="AL894">
        <v>19.559999999999999</v>
      </c>
    </row>
    <row r="895" spans="1:38" x14ac:dyDescent="0.25">
      <c r="A895">
        <v>894</v>
      </c>
      <c r="B895" t="str">
        <f xml:space="preserve"> "000727"</f>
        <v>000727</v>
      </c>
      <c r="C895" t="s">
        <v>4170</v>
      </c>
      <c r="D895">
        <v>2.97</v>
      </c>
      <c r="E895">
        <v>2.41</v>
      </c>
      <c r="F895">
        <v>7.0000000000000007E-2</v>
      </c>
      <c r="G895" t="s">
        <v>4171</v>
      </c>
      <c r="H895">
        <v>8835</v>
      </c>
      <c r="I895">
        <v>2.96</v>
      </c>
      <c r="J895">
        <v>2.97</v>
      </c>
      <c r="K895">
        <v>0</v>
      </c>
      <c r="L895">
        <v>3.69</v>
      </c>
      <c r="M895" t="s">
        <v>3198</v>
      </c>
      <c r="N895">
        <v>-30.18</v>
      </c>
      <c r="O895" t="s">
        <v>380</v>
      </c>
      <c r="P895">
        <v>2.98</v>
      </c>
      <c r="Q895">
        <v>2.88</v>
      </c>
      <c r="R895">
        <v>2.9</v>
      </c>
      <c r="S895">
        <v>2.9</v>
      </c>
      <c r="T895">
        <v>3.45</v>
      </c>
      <c r="U895">
        <v>1.17</v>
      </c>
      <c r="V895">
        <v>-41.65</v>
      </c>
      <c r="W895" t="s">
        <v>4172</v>
      </c>
      <c r="X895">
        <v>2.94</v>
      </c>
      <c r="Y895" t="s">
        <v>3581</v>
      </c>
      <c r="Z895" t="s">
        <v>1042</v>
      </c>
      <c r="AA895">
        <v>0.68</v>
      </c>
      <c r="AB895">
        <v>7419</v>
      </c>
      <c r="AC895" t="s">
        <v>1500</v>
      </c>
      <c r="AD895">
        <v>1.28</v>
      </c>
      <c r="AE895" t="s">
        <v>3677</v>
      </c>
      <c r="AF895" t="s">
        <v>3125</v>
      </c>
      <c r="AG895" t="s">
        <v>903</v>
      </c>
      <c r="AH895" t="s">
        <v>4173</v>
      </c>
      <c r="AI895">
        <v>1.71</v>
      </c>
      <c r="AJ895">
        <v>4.95</v>
      </c>
      <c r="AK895">
        <v>8.93</v>
      </c>
      <c r="AL895">
        <v>19.45</v>
      </c>
    </row>
    <row r="896" spans="1:38" x14ac:dyDescent="0.25">
      <c r="A896">
        <v>895</v>
      </c>
      <c r="B896" t="str">
        <f xml:space="preserve"> "600331"</f>
        <v>600331</v>
      </c>
      <c r="C896" t="s">
        <v>4174</v>
      </c>
      <c r="D896" t="s">
        <v>616</v>
      </c>
      <c r="E896" t="s">
        <v>616</v>
      </c>
      <c r="F896" t="s">
        <v>616</v>
      </c>
      <c r="G896" t="s">
        <v>616</v>
      </c>
      <c r="H896" t="s">
        <v>616</v>
      </c>
      <c r="I896" t="s">
        <v>616</v>
      </c>
      <c r="J896" t="s">
        <v>616</v>
      </c>
      <c r="K896" t="s">
        <v>616</v>
      </c>
      <c r="L896" t="s">
        <v>616</v>
      </c>
      <c r="M896" t="s">
        <v>616</v>
      </c>
      <c r="N896">
        <v>53.67</v>
      </c>
      <c r="O896" t="s">
        <v>449</v>
      </c>
      <c r="P896" t="s">
        <v>616</v>
      </c>
      <c r="Q896" t="s">
        <v>616</v>
      </c>
      <c r="R896" t="s">
        <v>616</v>
      </c>
      <c r="S896">
        <v>6.61</v>
      </c>
      <c r="T896" t="s">
        <v>616</v>
      </c>
      <c r="U896" t="s">
        <v>616</v>
      </c>
      <c r="V896" t="s">
        <v>616</v>
      </c>
      <c r="W896" t="s">
        <v>616</v>
      </c>
      <c r="X896" t="s">
        <v>616</v>
      </c>
      <c r="Y896" t="s">
        <v>616</v>
      </c>
      <c r="Z896" t="s">
        <v>616</v>
      </c>
      <c r="AA896" t="s">
        <v>616</v>
      </c>
      <c r="AB896" t="s">
        <v>616</v>
      </c>
      <c r="AC896" t="s">
        <v>616</v>
      </c>
      <c r="AD896">
        <v>2.77</v>
      </c>
      <c r="AE896" t="s">
        <v>1761</v>
      </c>
      <c r="AF896" t="s">
        <v>683</v>
      </c>
      <c r="AG896" t="s">
        <v>1761</v>
      </c>
      <c r="AH896" t="s">
        <v>683</v>
      </c>
      <c r="AI896">
        <v>0</v>
      </c>
      <c r="AJ896">
        <v>0</v>
      </c>
      <c r="AK896">
        <v>0</v>
      </c>
      <c r="AL896">
        <v>0</v>
      </c>
    </row>
    <row r="897" spans="1:38" x14ac:dyDescent="0.25">
      <c r="A897">
        <v>896</v>
      </c>
      <c r="B897" t="str">
        <f xml:space="preserve"> "603939"</f>
        <v>603939</v>
      </c>
      <c r="C897" t="s">
        <v>4175</v>
      </c>
      <c r="D897">
        <v>37</v>
      </c>
      <c r="E897">
        <v>1.29</v>
      </c>
      <c r="F897">
        <v>0.47</v>
      </c>
      <c r="G897" t="s">
        <v>3579</v>
      </c>
      <c r="H897">
        <v>1</v>
      </c>
      <c r="I897">
        <v>37</v>
      </c>
      <c r="J897">
        <v>37.01</v>
      </c>
      <c r="K897">
        <v>0.19</v>
      </c>
      <c r="L897">
        <v>1.0900000000000001</v>
      </c>
      <c r="M897" t="s">
        <v>4176</v>
      </c>
      <c r="N897">
        <v>43.35</v>
      </c>
      <c r="O897" t="s">
        <v>392</v>
      </c>
      <c r="P897">
        <v>37.4</v>
      </c>
      <c r="Q897">
        <v>36.36</v>
      </c>
      <c r="R897">
        <v>36.380000000000003</v>
      </c>
      <c r="S897">
        <v>36.53</v>
      </c>
      <c r="T897">
        <v>2.85</v>
      </c>
      <c r="U897">
        <v>1.75</v>
      </c>
      <c r="V897">
        <v>-24.91</v>
      </c>
      <c r="W897">
        <v>-67</v>
      </c>
      <c r="X897">
        <v>36.96</v>
      </c>
      <c r="Y897" t="s">
        <v>75</v>
      </c>
      <c r="Z897" t="s">
        <v>1869</v>
      </c>
      <c r="AA897">
        <v>0.89</v>
      </c>
      <c r="AB897">
        <v>15</v>
      </c>
      <c r="AC897">
        <v>7</v>
      </c>
      <c r="AD897">
        <v>4.46</v>
      </c>
      <c r="AE897" t="s">
        <v>474</v>
      </c>
      <c r="AF897" t="s">
        <v>683</v>
      </c>
      <c r="AG897" t="s">
        <v>3339</v>
      </c>
      <c r="AH897" t="s">
        <v>3365</v>
      </c>
      <c r="AI897">
        <v>3.64</v>
      </c>
      <c r="AJ897">
        <v>6.32</v>
      </c>
      <c r="AK897">
        <v>2.68</v>
      </c>
      <c r="AL897">
        <v>4.18</v>
      </c>
    </row>
    <row r="898" spans="1:38" x14ac:dyDescent="0.25">
      <c r="A898">
        <v>897</v>
      </c>
      <c r="B898" t="str">
        <f xml:space="preserve"> "002568"</f>
        <v>002568</v>
      </c>
      <c r="C898" t="s">
        <v>4177</v>
      </c>
      <c r="D898">
        <v>19.13</v>
      </c>
      <c r="E898">
        <v>0.53</v>
      </c>
      <c r="F898">
        <v>0.1</v>
      </c>
      <c r="G898" t="s">
        <v>2313</v>
      </c>
      <c r="H898">
        <v>88</v>
      </c>
      <c r="I898">
        <v>19.13</v>
      </c>
      <c r="J898">
        <v>19.149999999999999</v>
      </c>
      <c r="K898">
        <v>0.16</v>
      </c>
      <c r="L898">
        <v>0.41</v>
      </c>
      <c r="M898" t="s">
        <v>4178</v>
      </c>
      <c r="N898">
        <v>85.69</v>
      </c>
      <c r="O898" t="s">
        <v>406</v>
      </c>
      <c r="P898">
        <v>19.170000000000002</v>
      </c>
      <c r="Q898">
        <v>19.03</v>
      </c>
      <c r="R898">
        <v>19.03</v>
      </c>
      <c r="S898">
        <v>19.03</v>
      </c>
      <c r="T898">
        <v>0.74</v>
      </c>
      <c r="U898">
        <v>0.83</v>
      </c>
      <c r="V898">
        <v>-10.84</v>
      </c>
      <c r="W898">
        <v>-89</v>
      </c>
      <c r="X898">
        <v>19.100000000000001</v>
      </c>
      <c r="Y898">
        <v>9423</v>
      </c>
      <c r="Z898">
        <v>6244</v>
      </c>
      <c r="AA898">
        <v>1.51</v>
      </c>
      <c r="AB898">
        <v>16</v>
      </c>
      <c r="AC898">
        <v>20</v>
      </c>
      <c r="AD898">
        <v>7.98</v>
      </c>
      <c r="AE898" t="s">
        <v>1866</v>
      </c>
      <c r="AF898" t="s">
        <v>683</v>
      </c>
      <c r="AG898" t="s">
        <v>497</v>
      </c>
      <c r="AH898" t="s">
        <v>3365</v>
      </c>
      <c r="AI898">
        <v>1.65</v>
      </c>
      <c r="AJ898">
        <v>7.47</v>
      </c>
      <c r="AK898">
        <v>1.25</v>
      </c>
      <c r="AL898">
        <v>2.85</v>
      </c>
    </row>
    <row r="899" spans="1:38" x14ac:dyDescent="0.25">
      <c r="A899">
        <v>898</v>
      </c>
      <c r="B899" t="str">
        <f xml:space="preserve"> "002647"</f>
        <v>002647</v>
      </c>
      <c r="C899" t="s">
        <v>4179</v>
      </c>
      <c r="D899">
        <v>35.880000000000003</v>
      </c>
      <c r="E899">
        <v>-0.14000000000000001</v>
      </c>
      <c r="F899">
        <v>-0.05</v>
      </c>
      <c r="G899">
        <v>4718</v>
      </c>
      <c r="H899">
        <v>8</v>
      </c>
      <c r="I899">
        <v>35.85</v>
      </c>
      <c r="J899">
        <v>35.880000000000003</v>
      </c>
      <c r="K899">
        <v>-0.08</v>
      </c>
      <c r="L899">
        <v>0.13</v>
      </c>
      <c r="M899" t="s">
        <v>4180</v>
      </c>
      <c r="N899">
        <v>5975.39</v>
      </c>
      <c r="O899" t="s">
        <v>553</v>
      </c>
      <c r="P899">
        <v>36.79</v>
      </c>
      <c r="Q899">
        <v>35.700000000000003</v>
      </c>
      <c r="R899">
        <v>36.049999999999997</v>
      </c>
      <c r="S899">
        <v>35.93</v>
      </c>
      <c r="T899">
        <v>3.03</v>
      </c>
      <c r="U899">
        <v>1.37</v>
      </c>
      <c r="V899">
        <v>-30.76</v>
      </c>
      <c r="W899">
        <v>-61</v>
      </c>
      <c r="X899">
        <v>36.229999999999997</v>
      </c>
      <c r="Y899">
        <v>1861</v>
      </c>
      <c r="Z899">
        <v>2857</v>
      </c>
      <c r="AA899">
        <v>0.65</v>
      </c>
      <c r="AB899">
        <v>22</v>
      </c>
      <c r="AC899">
        <v>13</v>
      </c>
      <c r="AD899">
        <v>13.56</v>
      </c>
      <c r="AE899" t="s">
        <v>4181</v>
      </c>
      <c r="AF899" t="s">
        <v>683</v>
      </c>
      <c r="AG899" t="s">
        <v>4181</v>
      </c>
      <c r="AH899" t="s">
        <v>683</v>
      </c>
      <c r="AI899">
        <v>-0.19</v>
      </c>
      <c r="AJ899">
        <v>-0.86</v>
      </c>
      <c r="AK899">
        <v>0.33</v>
      </c>
      <c r="AL899">
        <v>0.59</v>
      </c>
    </row>
    <row r="900" spans="1:38" x14ac:dyDescent="0.25">
      <c r="A900">
        <v>899</v>
      </c>
      <c r="B900" t="str">
        <f xml:space="preserve"> "600996"</f>
        <v>600996</v>
      </c>
      <c r="C900" t="s">
        <v>4182</v>
      </c>
      <c r="D900">
        <v>12.83</v>
      </c>
      <c r="E900">
        <v>1.83</v>
      </c>
      <c r="F900">
        <v>0.23</v>
      </c>
      <c r="G900" t="s">
        <v>371</v>
      </c>
      <c r="H900">
        <v>12</v>
      </c>
      <c r="I900">
        <v>12.83</v>
      </c>
      <c r="J900">
        <v>12.84</v>
      </c>
      <c r="K900">
        <v>0</v>
      </c>
      <c r="L900">
        <v>5.37</v>
      </c>
      <c r="M900" t="s">
        <v>2106</v>
      </c>
      <c r="N900">
        <v>20.9</v>
      </c>
      <c r="O900" t="s">
        <v>1126</v>
      </c>
      <c r="P900">
        <v>12.85</v>
      </c>
      <c r="Q900">
        <v>12.53</v>
      </c>
      <c r="R900">
        <v>12.55</v>
      </c>
      <c r="S900">
        <v>12.6</v>
      </c>
      <c r="T900">
        <v>2.54</v>
      </c>
      <c r="U900">
        <v>1.72</v>
      </c>
      <c r="V900">
        <v>-77.260000000000005</v>
      </c>
      <c r="W900">
        <v>-5280</v>
      </c>
      <c r="X900">
        <v>12.74</v>
      </c>
      <c r="Y900" t="s">
        <v>336</v>
      </c>
      <c r="Z900" t="s">
        <v>4183</v>
      </c>
      <c r="AA900">
        <v>0.72</v>
      </c>
      <c r="AB900">
        <v>2</v>
      </c>
      <c r="AC900">
        <v>930</v>
      </c>
      <c r="AD900">
        <v>3.28</v>
      </c>
      <c r="AE900" t="s">
        <v>755</v>
      </c>
      <c r="AF900" t="s">
        <v>683</v>
      </c>
      <c r="AG900" t="s">
        <v>1538</v>
      </c>
      <c r="AH900" t="s">
        <v>1053</v>
      </c>
      <c r="AI900">
        <v>1.58</v>
      </c>
      <c r="AJ900">
        <v>4.3099999999999996</v>
      </c>
      <c r="AK900">
        <v>11.23</v>
      </c>
      <c r="AL900">
        <v>20.94</v>
      </c>
    </row>
    <row r="901" spans="1:38" x14ac:dyDescent="0.25">
      <c r="A901">
        <v>900</v>
      </c>
      <c r="B901" t="str">
        <f xml:space="preserve"> "002501"</f>
        <v>002501</v>
      </c>
      <c r="C901" t="s">
        <v>4184</v>
      </c>
      <c r="D901">
        <v>11.01</v>
      </c>
      <c r="E901">
        <v>0.82</v>
      </c>
      <c r="F901">
        <v>0.09</v>
      </c>
      <c r="G901" t="s">
        <v>4185</v>
      </c>
      <c r="H901">
        <v>826</v>
      </c>
      <c r="I901">
        <v>11</v>
      </c>
      <c r="J901">
        <v>11.01</v>
      </c>
      <c r="K901">
        <v>0.09</v>
      </c>
      <c r="L901">
        <v>0.86</v>
      </c>
      <c r="M901" t="s">
        <v>4186</v>
      </c>
      <c r="N901">
        <v>21.36</v>
      </c>
      <c r="O901" t="s">
        <v>449</v>
      </c>
      <c r="P901">
        <v>11.01</v>
      </c>
      <c r="Q901">
        <v>10.84</v>
      </c>
      <c r="R901">
        <v>10.88</v>
      </c>
      <c r="S901">
        <v>10.92</v>
      </c>
      <c r="T901">
        <v>1.56</v>
      </c>
      <c r="U901">
        <v>1.01</v>
      </c>
      <c r="V901">
        <v>-40.520000000000003</v>
      </c>
      <c r="W901">
        <v>-1849</v>
      </c>
      <c r="X901">
        <v>10.92</v>
      </c>
      <c r="Y901" t="s">
        <v>2754</v>
      </c>
      <c r="Z901" t="s">
        <v>1602</v>
      </c>
      <c r="AA901">
        <v>0.89</v>
      </c>
      <c r="AB901">
        <v>896</v>
      </c>
      <c r="AC901">
        <v>455</v>
      </c>
      <c r="AD901">
        <v>1.72</v>
      </c>
      <c r="AE901" t="s">
        <v>2071</v>
      </c>
      <c r="AF901" t="s">
        <v>683</v>
      </c>
      <c r="AG901" t="s">
        <v>1792</v>
      </c>
      <c r="AH901" t="s">
        <v>4187</v>
      </c>
      <c r="AI901">
        <v>-0.27</v>
      </c>
      <c r="AJ901">
        <v>1.76</v>
      </c>
      <c r="AK901">
        <v>2.37</v>
      </c>
      <c r="AL901">
        <v>5.14</v>
      </c>
    </row>
    <row r="902" spans="1:38" x14ac:dyDescent="0.25">
      <c r="A902">
        <v>901</v>
      </c>
      <c r="B902" t="str">
        <f xml:space="preserve"> "600619"</f>
        <v>600619</v>
      </c>
      <c r="C902" t="s">
        <v>4188</v>
      </c>
      <c r="D902">
        <v>15.42</v>
      </c>
      <c r="E902">
        <v>0.46</v>
      </c>
      <c r="F902">
        <v>7.0000000000000007E-2</v>
      </c>
      <c r="G902" t="s">
        <v>720</v>
      </c>
      <c r="H902">
        <v>5</v>
      </c>
      <c r="I902">
        <v>15.47</v>
      </c>
      <c r="J902">
        <v>15.48</v>
      </c>
      <c r="K902">
        <v>0.46</v>
      </c>
      <c r="L902">
        <v>1.95</v>
      </c>
      <c r="M902" t="s">
        <v>3923</v>
      </c>
      <c r="N902">
        <v>58.41</v>
      </c>
      <c r="O902" t="s">
        <v>648</v>
      </c>
      <c r="P902">
        <v>15.65</v>
      </c>
      <c r="Q902">
        <v>15.29</v>
      </c>
      <c r="R902">
        <v>15.4</v>
      </c>
      <c r="S902">
        <v>15.35</v>
      </c>
      <c r="T902">
        <v>2.35</v>
      </c>
      <c r="U902">
        <v>0.68</v>
      </c>
      <c r="V902">
        <v>26.4</v>
      </c>
      <c r="W902">
        <v>447</v>
      </c>
      <c r="X902">
        <v>15.44</v>
      </c>
      <c r="Y902" t="s">
        <v>151</v>
      </c>
      <c r="Z902" t="s">
        <v>4189</v>
      </c>
      <c r="AA902">
        <v>1.21</v>
      </c>
      <c r="AB902">
        <v>5</v>
      </c>
      <c r="AC902">
        <v>350</v>
      </c>
      <c r="AD902">
        <v>3.39</v>
      </c>
      <c r="AE902" t="s">
        <v>1438</v>
      </c>
      <c r="AF902" t="s">
        <v>683</v>
      </c>
      <c r="AG902" t="s">
        <v>4190</v>
      </c>
      <c r="AH902" t="s">
        <v>3196</v>
      </c>
      <c r="AI902">
        <v>-1.34</v>
      </c>
      <c r="AJ902">
        <v>-4.34</v>
      </c>
      <c r="AK902">
        <v>6.3</v>
      </c>
      <c r="AL902">
        <v>16.32</v>
      </c>
    </row>
    <row r="903" spans="1:38" x14ac:dyDescent="0.25">
      <c r="A903">
        <v>902</v>
      </c>
      <c r="B903" t="str">
        <f xml:space="preserve"> "603555"</f>
        <v>603555</v>
      </c>
      <c r="C903" t="s">
        <v>4191</v>
      </c>
      <c r="D903">
        <v>21.25</v>
      </c>
      <c r="E903">
        <v>-0.42</v>
      </c>
      <c r="F903">
        <v>-0.09</v>
      </c>
      <c r="G903" t="s">
        <v>2365</v>
      </c>
      <c r="H903">
        <v>1</v>
      </c>
      <c r="I903">
        <v>21.23</v>
      </c>
      <c r="J903">
        <v>21.26</v>
      </c>
      <c r="K903">
        <v>0.14000000000000001</v>
      </c>
      <c r="L903">
        <v>0.24</v>
      </c>
      <c r="M903" t="s">
        <v>4192</v>
      </c>
      <c r="N903">
        <v>51.4</v>
      </c>
      <c r="O903" t="s">
        <v>1443</v>
      </c>
      <c r="P903">
        <v>21.35</v>
      </c>
      <c r="Q903">
        <v>21.18</v>
      </c>
      <c r="R903">
        <v>21.34</v>
      </c>
      <c r="S903">
        <v>21.34</v>
      </c>
      <c r="T903">
        <v>0.8</v>
      </c>
      <c r="U903">
        <v>1.17</v>
      </c>
      <c r="V903">
        <v>-29.25</v>
      </c>
      <c r="W903">
        <v>-320</v>
      </c>
      <c r="X903">
        <v>21.24</v>
      </c>
      <c r="Y903">
        <v>8636</v>
      </c>
      <c r="Z903">
        <v>6397</v>
      </c>
      <c r="AA903">
        <v>1.35</v>
      </c>
      <c r="AB903">
        <v>5</v>
      </c>
      <c r="AC903">
        <v>7</v>
      </c>
      <c r="AD903">
        <v>5.67</v>
      </c>
      <c r="AE903" t="s">
        <v>3564</v>
      </c>
      <c r="AF903" t="s">
        <v>683</v>
      </c>
      <c r="AG903" t="s">
        <v>4193</v>
      </c>
      <c r="AH903" t="s">
        <v>454</v>
      </c>
      <c r="AI903">
        <v>-0.61</v>
      </c>
      <c r="AJ903">
        <v>-1.44</v>
      </c>
      <c r="AK903">
        <v>0.7</v>
      </c>
      <c r="AL903">
        <v>1.3</v>
      </c>
    </row>
    <row r="904" spans="1:38" x14ac:dyDescent="0.25">
      <c r="A904">
        <v>903</v>
      </c>
      <c r="B904" t="str">
        <f xml:space="preserve"> "002157"</f>
        <v>002157</v>
      </c>
      <c r="C904" t="s">
        <v>4194</v>
      </c>
      <c r="D904">
        <v>5.72</v>
      </c>
      <c r="E904">
        <v>-0.87</v>
      </c>
      <c r="F904">
        <v>-0.05</v>
      </c>
      <c r="G904" t="s">
        <v>1028</v>
      </c>
      <c r="H904">
        <v>2825</v>
      </c>
      <c r="I904">
        <v>5.72</v>
      </c>
      <c r="J904">
        <v>5.73</v>
      </c>
      <c r="K904">
        <v>-0.17</v>
      </c>
      <c r="L904">
        <v>0.89</v>
      </c>
      <c r="M904" t="s">
        <v>4195</v>
      </c>
      <c r="N904">
        <v>24.29</v>
      </c>
      <c r="O904" t="s">
        <v>622</v>
      </c>
      <c r="P904">
        <v>5.79</v>
      </c>
      <c r="Q904">
        <v>5.66</v>
      </c>
      <c r="R904">
        <v>5.75</v>
      </c>
      <c r="S904">
        <v>5.77</v>
      </c>
      <c r="T904">
        <v>2.25</v>
      </c>
      <c r="U904">
        <v>0.55000000000000004</v>
      </c>
      <c r="V904">
        <v>-8.15</v>
      </c>
      <c r="W904">
        <v>-1229</v>
      </c>
      <c r="X904">
        <v>5.73</v>
      </c>
      <c r="Y904" t="s">
        <v>1213</v>
      </c>
      <c r="Z904" t="s">
        <v>4196</v>
      </c>
      <c r="AA904">
        <v>1.34</v>
      </c>
      <c r="AB904">
        <v>715</v>
      </c>
      <c r="AC904">
        <v>1041</v>
      </c>
      <c r="AD904">
        <v>2.19</v>
      </c>
      <c r="AE904" t="s">
        <v>3142</v>
      </c>
      <c r="AF904" t="s">
        <v>834</v>
      </c>
      <c r="AG904" t="s">
        <v>1362</v>
      </c>
      <c r="AH904" t="s">
        <v>1037</v>
      </c>
      <c r="AI904">
        <v>-0.35</v>
      </c>
      <c r="AJ904">
        <v>6.92</v>
      </c>
      <c r="AK904">
        <v>4.46</v>
      </c>
      <c r="AL904">
        <v>8.94</v>
      </c>
    </row>
    <row r="905" spans="1:38" x14ac:dyDescent="0.25">
      <c r="A905">
        <v>904</v>
      </c>
      <c r="B905" t="str">
        <f xml:space="preserve"> "000090"</f>
        <v>000090</v>
      </c>
      <c r="C905" t="s">
        <v>4197</v>
      </c>
      <c r="D905">
        <v>11.13</v>
      </c>
      <c r="E905">
        <v>0</v>
      </c>
      <c r="F905">
        <v>0</v>
      </c>
      <c r="G905" t="s">
        <v>4198</v>
      </c>
      <c r="H905">
        <v>248</v>
      </c>
      <c r="I905">
        <v>11.12</v>
      </c>
      <c r="J905">
        <v>11.13</v>
      </c>
      <c r="K905">
        <v>0.09</v>
      </c>
      <c r="L905">
        <v>0.64</v>
      </c>
      <c r="M905" t="s">
        <v>4199</v>
      </c>
      <c r="N905">
        <v>19.260000000000002</v>
      </c>
      <c r="O905" t="s">
        <v>263</v>
      </c>
      <c r="P905">
        <v>11.18</v>
      </c>
      <c r="Q905">
        <v>11.09</v>
      </c>
      <c r="R905">
        <v>11.16</v>
      </c>
      <c r="S905">
        <v>11.13</v>
      </c>
      <c r="T905">
        <v>0.81</v>
      </c>
      <c r="U905">
        <v>0.69</v>
      </c>
      <c r="V905">
        <v>34.56</v>
      </c>
      <c r="W905">
        <v>2923</v>
      </c>
      <c r="X905">
        <v>11.13</v>
      </c>
      <c r="Y905" t="s">
        <v>4200</v>
      </c>
      <c r="Z905" t="s">
        <v>3483</v>
      </c>
      <c r="AA905">
        <v>1.4</v>
      </c>
      <c r="AB905">
        <v>659</v>
      </c>
      <c r="AC905">
        <v>408</v>
      </c>
      <c r="AD905">
        <v>2.1</v>
      </c>
      <c r="AE905" t="s">
        <v>177</v>
      </c>
      <c r="AF905" t="s">
        <v>834</v>
      </c>
      <c r="AG905" t="s">
        <v>4201</v>
      </c>
      <c r="AH905" t="s">
        <v>4202</v>
      </c>
      <c r="AI905">
        <v>1.27</v>
      </c>
      <c r="AJ905">
        <v>4.0199999999999996</v>
      </c>
      <c r="AK905">
        <v>2.81</v>
      </c>
      <c r="AL905">
        <v>5.26</v>
      </c>
    </row>
    <row r="906" spans="1:38" x14ac:dyDescent="0.25">
      <c r="A906">
        <v>905</v>
      </c>
      <c r="B906" t="str">
        <f xml:space="preserve"> "300297"</f>
        <v>300297</v>
      </c>
      <c r="C906" t="s">
        <v>4203</v>
      </c>
      <c r="D906">
        <v>11.33</v>
      </c>
      <c r="E906">
        <v>1.52</v>
      </c>
      <c r="F906">
        <v>0.17</v>
      </c>
      <c r="G906" t="s">
        <v>4204</v>
      </c>
      <c r="H906">
        <v>1533</v>
      </c>
      <c r="I906">
        <v>11.33</v>
      </c>
      <c r="J906">
        <v>11.34</v>
      </c>
      <c r="K906">
        <v>0</v>
      </c>
      <c r="L906">
        <v>1.17</v>
      </c>
      <c r="M906" t="s">
        <v>4205</v>
      </c>
      <c r="N906">
        <v>47.28</v>
      </c>
      <c r="O906" t="s">
        <v>893</v>
      </c>
      <c r="P906">
        <v>11.36</v>
      </c>
      <c r="Q906">
        <v>11.08</v>
      </c>
      <c r="R906">
        <v>11.2</v>
      </c>
      <c r="S906">
        <v>11.16</v>
      </c>
      <c r="T906">
        <v>2.5099999999999998</v>
      </c>
      <c r="U906">
        <v>1.26</v>
      </c>
      <c r="V906">
        <v>-39.85</v>
      </c>
      <c r="W906">
        <v>-3311</v>
      </c>
      <c r="X906">
        <v>11.26</v>
      </c>
      <c r="Y906" t="s">
        <v>2621</v>
      </c>
      <c r="Z906" t="s">
        <v>1356</v>
      </c>
      <c r="AA906">
        <v>0.65</v>
      </c>
      <c r="AB906">
        <v>981</v>
      </c>
      <c r="AC906">
        <v>618</v>
      </c>
      <c r="AD906">
        <v>3.64</v>
      </c>
      <c r="AE906" t="s">
        <v>896</v>
      </c>
      <c r="AF906" t="s">
        <v>834</v>
      </c>
      <c r="AG906" t="s">
        <v>4206</v>
      </c>
      <c r="AH906" t="s">
        <v>4207</v>
      </c>
      <c r="AI906">
        <v>0.09</v>
      </c>
      <c r="AJ906">
        <v>4.33</v>
      </c>
      <c r="AK906">
        <v>3.17</v>
      </c>
      <c r="AL906">
        <v>5.81</v>
      </c>
    </row>
    <row r="907" spans="1:38" x14ac:dyDescent="0.25">
      <c r="A907">
        <v>906</v>
      </c>
      <c r="B907" t="str">
        <f xml:space="preserve"> "000930"</f>
        <v>000930</v>
      </c>
      <c r="C907" t="s">
        <v>4208</v>
      </c>
      <c r="D907">
        <v>13.8</v>
      </c>
      <c r="E907">
        <v>-1.36</v>
      </c>
      <c r="F907">
        <v>-0.19</v>
      </c>
      <c r="G907" t="s">
        <v>2053</v>
      </c>
      <c r="H907">
        <v>3832</v>
      </c>
      <c r="I907">
        <v>13.8</v>
      </c>
      <c r="J907">
        <v>13.81</v>
      </c>
      <c r="K907">
        <v>-7.0000000000000007E-2</v>
      </c>
      <c r="L907">
        <v>2.99</v>
      </c>
      <c r="M907" t="s">
        <v>3245</v>
      </c>
      <c r="N907">
        <v>29.68</v>
      </c>
      <c r="O907" t="s">
        <v>622</v>
      </c>
      <c r="P907">
        <v>14.02</v>
      </c>
      <c r="Q907">
        <v>13.65</v>
      </c>
      <c r="R907">
        <v>13.99</v>
      </c>
      <c r="S907">
        <v>13.99</v>
      </c>
      <c r="T907">
        <v>2.64</v>
      </c>
      <c r="U907">
        <v>0.72</v>
      </c>
      <c r="V907">
        <v>45.36</v>
      </c>
      <c r="W907">
        <v>3933</v>
      </c>
      <c r="X907">
        <v>13.78</v>
      </c>
      <c r="Y907" t="s">
        <v>554</v>
      </c>
      <c r="Z907" t="s">
        <v>2003</v>
      </c>
      <c r="AA907">
        <v>1.61</v>
      </c>
      <c r="AB907">
        <v>1353</v>
      </c>
      <c r="AC907">
        <v>878</v>
      </c>
      <c r="AD907">
        <v>7.45</v>
      </c>
      <c r="AE907" t="s">
        <v>3852</v>
      </c>
      <c r="AF907" t="s">
        <v>834</v>
      </c>
      <c r="AG907" t="s">
        <v>3852</v>
      </c>
      <c r="AH907" t="s">
        <v>834</v>
      </c>
      <c r="AI907">
        <v>-3.7</v>
      </c>
      <c r="AJ907">
        <v>-0.22</v>
      </c>
      <c r="AK907">
        <v>9.52</v>
      </c>
      <c r="AL907">
        <v>23.75</v>
      </c>
    </row>
    <row r="908" spans="1:38" x14ac:dyDescent="0.25">
      <c r="A908">
        <v>907</v>
      </c>
      <c r="B908" t="str">
        <f xml:space="preserve"> "601069"</f>
        <v>601069</v>
      </c>
      <c r="C908" t="s">
        <v>4209</v>
      </c>
      <c r="D908">
        <v>20.91</v>
      </c>
      <c r="E908">
        <v>-0.33</v>
      </c>
      <c r="F908">
        <v>-7.0000000000000007E-2</v>
      </c>
      <c r="G908" t="s">
        <v>399</v>
      </c>
      <c r="H908">
        <v>16</v>
      </c>
      <c r="I908">
        <v>20.9</v>
      </c>
      <c r="J908">
        <v>20.91</v>
      </c>
      <c r="K908">
        <v>-0.05</v>
      </c>
      <c r="L908">
        <v>2.97</v>
      </c>
      <c r="M908" t="s">
        <v>1606</v>
      </c>
      <c r="N908">
        <v>71.8</v>
      </c>
      <c r="O908" t="s">
        <v>788</v>
      </c>
      <c r="P908">
        <v>21</v>
      </c>
      <c r="Q908">
        <v>20.84</v>
      </c>
      <c r="R908">
        <v>20.99</v>
      </c>
      <c r="S908">
        <v>20.98</v>
      </c>
      <c r="T908">
        <v>0.76</v>
      </c>
      <c r="U908">
        <v>0.68</v>
      </c>
      <c r="V908">
        <v>-1.78</v>
      </c>
      <c r="W908">
        <v>-37</v>
      </c>
      <c r="X908">
        <v>20.9</v>
      </c>
      <c r="Y908" t="s">
        <v>2732</v>
      </c>
      <c r="Z908" t="s">
        <v>3042</v>
      </c>
      <c r="AA908">
        <v>1.81</v>
      </c>
      <c r="AB908">
        <v>322</v>
      </c>
      <c r="AC908">
        <v>332</v>
      </c>
      <c r="AD908">
        <v>7.59</v>
      </c>
      <c r="AE908" t="s">
        <v>4210</v>
      </c>
      <c r="AF908" t="s">
        <v>834</v>
      </c>
      <c r="AG908" t="s">
        <v>2146</v>
      </c>
      <c r="AH908" t="s">
        <v>3678</v>
      </c>
      <c r="AI908">
        <v>-1.1299999999999999</v>
      </c>
      <c r="AJ908">
        <v>1.06</v>
      </c>
      <c r="AK908">
        <v>10.88</v>
      </c>
      <c r="AL908">
        <v>24.73</v>
      </c>
    </row>
    <row r="909" spans="1:38" x14ac:dyDescent="0.25">
      <c r="A909">
        <v>908</v>
      </c>
      <c r="B909" t="str">
        <f xml:space="preserve"> "000006"</f>
        <v>000006</v>
      </c>
      <c r="C909" t="s">
        <v>4211</v>
      </c>
      <c r="D909" t="s">
        <v>616</v>
      </c>
      <c r="E909" t="s">
        <v>616</v>
      </c>
      <c r="F909" t="s">
        <v>616</v>
      </c>
      <c r="G909" t="s">
        <v>616</v>
      </c>
      <c r="H909" t="s">
        <v>616</v>
      </c>
      <c r="I909" t="s">
        <v>616</v>
      </c>
      <c r="J909" t="s">
        <v>616</v>
      </c>
      <c r="K909" t="s">
        <v>616</v>
      </c>
      <c r="L909" t="s">
        <v>616</v>
      </c>
      <c r="M909" t="s">
        <v>616</v>
      </c>
      <c r="N909">
        <v>26.64</v>
      </c>
      <c r="O909" t="s">
        <v>244</v>
      </c>
      <c r="P909" t="s">
        <v>616</v>
      </c>
      <c r="Q909" t="s">
        <v>616</v>
      </c>
      <c r="R909" t="s">
        <v>616</v>
      </c>
      <c r="S909">
        <v>9.85</v>
      </c>
      <c r="T909" t="s">
        <v>616</v>
      </c>
      <c r="U909" t="s">
        <v>616</v>
      </c>
      <c r="V909" t="s">
        <v>616</v>
      </c>
      <c r="W909" t="s">
        <v>616</v>
      </c>
      <c r="X909" t="s">
        <v>616</v>
      </c>
      <c r="Y909" t="s">
        <v>616</v>
      </c>
      <c r="Z909" t="s">
        <v>616</v>
      </c>
      <c r="AA909" t="s">
        <v>616</v>
      </c>
      <c r="AB909" t="s">
        <v>616</v>
      </c>
      <c r="AC909" t="s">
        <v>616</v>
      </c>
      <c r="AD909">
        <v>2.65</v>
      </c>
      <c r="AE909" t="s">
        <v>1587</v>
      </c>
      <c r="AF909" t="s">
        <v>834</v>
      </c>
      <c r="AG909" t="s">
        <v>1587</v>
      </c>
      <c r="AH909" t="s">
        <v>869</v>
      </c>
      <c r="AI909">
        <v>0</v>
      </c>
      <c r="AJ909">
        <v>0</v>
      </c>
      <c r="AK909">
        <v>0</v>
      </c>
      <c r="AL909">
        <v>0</v>
      </c>
    </row>
    <row r="910" spans="1:38" x14ac:dyDescent="0.25">
      <c r="A910">
        <v>909</v>
      </c>
      <c r="B910" t="str">
        <f xml:space="preserve"> "600093"</f>
        <v>600093</v>
      </c>
      <c r="C910" t="s">
        <v>4212</v>
      </c>
      <c r="D910">
        <v>11.84</v>
      </c>
      <c r="E910">
        <v>-2.31</v>
      </c>
      <c r="F910">
        <v>-0.28000000000000003</v>
      </c>
      <c r="G910" t="s">
        <v>4213</v>
      </c>
      <c r="H910">
        <v>10</v>
      </c>
      <c r="I910">
        <v>11.83</v>
      </c>
      <c r="J910">
        <v>11.84</v>
      </c>
      <c r="K910">
        <v>0.08</v>
      </c>
      <c r="L910">
        <v>2.73</v>
      </c>
      <c r="M910" t="s">
        <v>1718</v>
      </c>
      <c r="N910">
        <v>17.149999999999999</v>
      </c>
      <c r="O910" t="s">
        <v>482</v>
      </c>
      <c r="P910">
        <v>12.05</v>
      </c>
      <c r="Q910">
        <v>11.77</v>
      </c>
      <c r="R910">
        <v>11.89</v>
      </c>
      <c r="S910">
        <v>12.12</v>
      </c>
      <c r="T910">
        <v>2.31</v>
      </c>
      <c r="U910">
        <v>3.49</v>
      </c>
      <c r="V910">
        <v>23.77</v>
      </c>
      <c r="W910">
        <v>424</v>
      </c>
      <c r="X910">
        <v>11.87</v>
      </c>
      <c r="Y910" t="s">
        <v>2605</v>
      </c>
      <c r="Z910" t="s">
        <v>3086</v>
      </c>
      <c r="AA910">
        <v>2.2200000000000002</v>
      </c>
      <c r="AB910">
        <v>288</v>
      </c>
      <c r="AC910">
        <v>58</v>
      </c>
      <c r="AD910">
        <v>2.13</v>
      </c>
      <c r="AE910" t="s">
        <v>2328</v>
      </c>
      <c r="AF910" t="s">
        <v>834</v>
      </c>
      <c r="AG910" t="s">
        <v>391</v>
      </c>
      <c r="AH910" t="s">
        <v>1800</v>
      </c>
      <c r="AI910">
        <v>-3.9</v>
      </c>
      <c r="AJ910">
        <v>-1.58</v>
      </c>
      <c r="AK910">
        <v>4.24</v>
      </c>
      <c r="AL910">
        <v>6.63</v>
      </c>
    </row>
    <row r="911" spans="1:38" x14ac:dyDescent="0.25">
      <c r="A911">
        <v>910</v>
      </c>
      <c r="B911" t="str">
        <f xml:space="preserve"> "002668"</f>
        <v>002668</v>
      </c>
      <c r="C911" t="s">
        <v>4214</v>
      </c>
      <c r="D911">
        <v>20.9</v>
      </c>
      <c r="E911">
        <v>-0.99</v>
      </c>
      <c r="F911">
        <v>-0.21</v>
      </c>
      <c r="G911" t="s">
        <v>1142</v>
      </c>
      <c r="H911">
        <v>907</v>
      </c>
      <c r="I911">
        <v>20.88</v>
      </c>
      <c r="J911">
        <v>20.9</v>
      </c>
      <c r="K911">
        <v>0.19</v>
      </c>
      <c r="L911">
        <v>1.57</v>
      </c>
      <c r="M911" t="s">
        <v>2239</v>
      </c>
      <c r="N911">
        <v>35.369999999999997</v>
      </c>
      <c r="O911" t="s">
        <v>215</v>
      </c>
      <c r="P911">
        <v>21.46</v>
      </c>
      <c r="Q911">
        <v>20.68</v>
      </c>
      <c r="R911">
        <v>21.12</v>
      </c>
      <c r="S911">
        <v>21.11</v>
      </c>
      <c r="T911">
        <v>3.69</v>
      </c>
      <c r="U911">
        <v>0.7</v>
      </c>
      <c r="V911">
        <v>50.77</v>
      </c>
      <c r="W911">
        <v>853</v>
      </c>
      <c r="X911">
        <v>20.96</v>
      </c>
      <c r="Y911" t="s">
        <v>2273</v>
      </c>
      <c r="Z911" t="s">
        <v>1190</v>
      </c>
      <c r="AA911">
        <v>1.08</v>
      </c>
      <c r="AB911">
        <v>30</v>
      </c>
      <c r="AC911">
        <v>23</v>
      </c>
      <c r="AD911">
        <v>4.09</v>
      </c>
      <c r="AE911" t="s">
        <v>4215</v>
      </c>
      <c r="AF911" t="s">
        <v>834</v>
      </c>
      <c r="AG911" t="s">
        <v>431</v>
      </c>
      <c r="AH911" t="s">
        <v>4216</v>
      </c>
      <c r="AI911">
        <v>2.4500000000000002</v>
      </c>
      <c r="AJ911">
        <v>8.01</v>
      </c>
      <c r="AK911">
        <v>6.92</v>
      </c>
      <c r="AL911">
        <v>12.71</v>
      </c>
    </row>
    <row r="912" spans="1:38" x14ac:dyDescent="0.25">
      <c r="A912">
        <v>911</v>
      </c>
      <c r="B912" t="str">
        <f xml:space="preserve"> "600017"</f>
        <v>600017</v>
      </c>
      <c r="C912" t="s">
        <v>4217</v>
      </c>
      <c r="D912">
        <v>4.3099999999999996</v>
      </c>
      <c r="E912">
        <v>0.23</v>
      </c>
      <c r="F912">
        <v>0.01</v>
      </c>
      <c r="G912" t="s">
        <v>3309</v>
      </c>
      <c r="H912">
        <v>1</v>
      </c>
      <c r="I912">
        <v>4.3</v>
      </c>
      <c r="J912">
        <v>4.3099999999999996</v>
      </c>
      <c r="K912">
        <v>0.23</v>
      </c>
      <c r="L912">
        <v>0.27</v>
      </c>
      <c r="M912" t="s">
        <v>4218</v>
      </c>
      <c r="N912">
        <v>29.18</v>
      </c>
      <c r="O912" t="s">
        <v>440</v>
      </c>
      <c r="P912">
        <v>4.3099999999999996</v>
      </c>
      <c r="Q912">
        <v>4.2699999999999996</v>
      </c>
      <c r="R912">
        <v>4.29</v>
      </c>
      <c r="S912">
        <v>4.3</v>
      </c>
      <c r="T912">
        <v>0.93</v>
      </c>
      <c r="U912">
        <v>0.74</v>
      </c>
      <c r="V912">
        <v>-3.45</v>
      </c>
      <c r="W912">
        <v>-1401</v>
      </c>
      <c r="X912">
        <v>4.29</v>
      </c>
      <c r="Y912" t="s">
        <v>370</v>
      </c>
      <c r="Z912" t="s">
        <v>2433</v>
      </c>
      <c r="AA912">
        <v>1.67</v>
      </c>
      <c r="AB912">
        <v>1129</v>
      </c>
      <c r="AC912">
        <v>3423</v>
      </c>
      <c r="AD912">
        <v>1.26</v>
      </c>
      <c r="AE912" t="s">
        <v>4219</v>
      </c>
      <c r="AF912" t="s">
        <v>834</v>
      </c>
      <c r="AG912" t="s">
        <v>4219</v>
      </c>
      <c r="AH912" t="s">
        <v>834</v>
      </c>
      <c r="AI912">
        <v>-0.23</v>
      </c>
      <c r="AJ912">
        <v>2.38</v>
      </c>
      <c r="AK912">
        <v>0.92</v>
      </c>
      <c r="AL912">
        <v>2.09</v>
      </c>
    </row>
    <row r="913" spans="1:38" x14ac:dyDescent="0.25">
      <c r="A913">
        <v>912</v>
      </c>
      <c r="B913" t="str">
        <f xml:space="preserve"> "601717"</f>
        <v>601717</v>
      </c>
      <c r="C913" t="s">
        <v>4220</v>
      </c>
      <c r="D913">
        <v>7.65</v>
      </c>
      <c r="E913">
        <v>-0.52</v>
      </c>
      <c r="F913">
        <v>-0.04</v>
      </c>
      <c r="G913" t="s">
        <v>4221</v>
      </c>
      <c r="H913">
        <v>2</v>
      </c>
      <c r="I913">
        <v>7.64</v>
      </c>
      <c r="J913">
        <v>7.65</v>
      </c>
      <c r="K913">
        <v>-0.52</v>
      </c>
      <c r="L913">
        <v>2.64</v>
      </c>
      <c r="M913" t="s">
        <v>4222</v>
      </c>
      <c r="N913">
        <v>40.65</v>
      </c>
      <c r="O913" t="s">
        <v>648</v>
      </c>
      <c r="P913">
        <v>7.77</v>
      </c>
      <c r="Q913">
        <v>7.26</v>
      </c>
      <c r="R913">
        <v>7.55</v>
      </c>
      <c r="S913">
        <v>7.69</v>
      </c>
      <c r="T913">
        <v>6.63</v>
      </c>
      <c r="U913">
        <v>1.1599999999999999</v>
      </c>
      <c r="V913">
        <v>-43.13</v>
      </c>
      <c r="W913">
        <v>-742</v>
      </c>
      <c r="X913">
        <v>7.54</v>
      </c>
      <c r="Y913" t="s">
        <v>496</v>
      </c>
      <c r="Z913" t="s">
        <v>2564</v>
      </c>
      <c r="AA913">
        <v>1.26</v>
      </c>
      <c r="AB913">
        <v>118</v>
      </c>
      <c r="AC913">
        <v>4</v>
      </c>
      <c r="AD913">
        <v>1.24</v>
      </c>
      <c r="AE913" t="s">
        <v>531</v>
      </c>
      <c r="AF913" t="s">
        <v>834</v>
      </c>
      <c r="AG913" t="s">
        <v>1047</v>
      </c>
      <c r="AH913" t="s">
        <v>702</v>
      </c>
      <c r="AI913">
        <v>-1.66</v>
      </c>
      <c r="AJ913">
        <v>-1.66</v>
      </c>
      <c r="AK913">
        <v>6.71</v>
      </c>
      <c r="AL913">
        <v>6.71</v>
      </c>
    </row>
    <row r="914" spans="1:38" x14ac:dyDescent="0.25">
      <c r="A914">
        <v>913</v>
      </c>
      <c r="B914" t="str">
        <f xml:space="preserve"> "600486"</f>
        <v>600486</v>
      </c>
      <c r="C914" t="s">
        <v>4223</v>
      </c>
      <c r="D914">
        <v>42.68</v>
      </c>
      <c r="E914">
        <v>2.37</v>
      </c>
      <c r="F914">
        <v>0.99</v>
      </c>
      <c r="G914" t="s">
        <v>4224</v>
      </c>
      <c r="H914">
        <v>46</v>
      </c>
      <c r="I914">
        <v>42.71</v>
      </c>
      <c r="J914">
        <v>42.72</v>
      </c>
      <c r="K914">
        <v>-0.09</v>
      </c>
      <c r="L914">
        <v>0.98</v>
      </c>
      <c r="M914" t="s">
        <v>3398</v>
      </c>
      <c r="N914">
        <v>26.13</v>
      </c>
      <c r="O914" t="s">
        <v>2060</v>
      </c>
      <c r="P914">
        <v>43.12</v>
      </c>
      <c r="Q914">
        <v>41.5</v>
      </c>
      <c r="R914">
        <v>41.58</v>
      </c>
      <c r="S914">
        <v>41.69</v>
      </c>
      <c r="T914">
        <v>3.89</v>
      </c>
      <c r="U914">
        <v>0.78</v>
      </c>
      <c r="V914">
        <v>8.61</v>
      </c>
      <c r="W914">
        <v>13</v>
      </c>
      <c r="X914">
        <v>42.65</v>
      </c>
      <c r="Y914">
        <v>8646</v>
      </c>
      <c r="Z914" t="s">
        <v>1805</v>
      </c>
      <c r="AA914">
        <v>0.4</v>
      </c>
      <c r="AB914">
        <v>27</v>
      </c>
      <c r="AC914">
        <v>18</v>
      </c>
      <c r="AD914">
        <v>3.84</v>
      </c>
      <c r="AE914" t="s">
        <v>4168</v>
      </c>
      <c r="AF914" t="s">
        <v>869</v>
      </c>
      <c r="AG914" t="s">
        <v>4168</v>
      </c>
      <c r="AH914" t="s">
        <v>869</v>
      </c>
      <c r="AI914">
        <v>2.99</v>
      </c>
      <c r="AJ914">
        <v>9.2100000000000009</v>
      </c>
      <c r="AK914">
        <v>3.21</v>
      </c>
      <c r="AL914">
        <v>7.29</v>
      </c>
    </row>
    <row r="915" spans="1:38" x14ac:dyDescent="0.25">
      <c r="A915">
        <v>914</v>
      </c>
      <c r="B915" t="str">
        <f xml:space="preserve"> "600936"</f>
        <v>600936</v>
      </c>
      <c r="C915" t="s">
        <v>4225</v>
      </c>
      <c r="D915">
        <v>7.9</v>
      </c>
      <c r="E915">
        <v>0.77</v>
      </c>
      <c r="F915">
        <v>0.06</v>
      </c>
      <c r="G915" t="s">
        <v>1712</v>
      </c>
      <c r="H915">
        <v>126</v>
      </c>
      <c r="I915">
        <v>7.89</v>
      </c>
      <c r="J915">
        <v>7.9</v>
      </c>
      <c r="K915">
        <v>0.25</v>
      </c>
      <c r="L915">
        <v>0.3</v>
      </c>
      <c r="M915" t="s">
        <v>4226</v>
      </c>
      <c r="N915">
        <v>53.23</v>
      </c>
      <c r="O915" t="s">
        <v>1126</v>
      </c>
      <c r="P915">
        <v>7.9</v>
      </c>
      <c r="Q915">
        <v>7.81</v>
      </c>
      <c r="R915">
        <v>7.83</v>
      </c>
      <c r="S915">
        <v>7.84</v>
      </c>
      <c r="T915">
        <v>1.1499999999999999</v>
      </c>
      <c r="U915">
        <v>1.19</v>
      </c>
      <c r="V915">
        <v>-40.33</v>
      </c>
      <c r="W915">
        <v>-1881</v>
      </c>
      <c r="X915">
        <v>7.86</v>
      </c>
      <c r="Y915" t="s">
        <v>3950</v>
      </c>
      <c r="Z915" t="s">
        <v>1724</v>
      </c>
      <c r="AA915">
        <v>0.74</v>
      </c>
      <c r="AB915">
        <v>149</v>
      </c>
      <c r="AC915">
        <v>784</v>
      </c>
      <c r="AD915">
        <v>3.69</v>
      </c>
      <c r="AE915" t="s">
        <v>1375</v>
      </c>
      <c r="AF915" t="s">
        <v>869</v>
      </c>
      <c r="AG915" t="s">
        <v>177</v>
      </c>
      <c r="AH915" t="s">
        <v>4227</v>
      </c>
      <c r="AI915">
        <v>0.25</v>
      </c>
      <c r="AJ915">
        <v>2.2000000000000002</v>
      </c>
      <c r="AK915">
        <v>0.87</v>
      </c>
      <c r="AL915">
        <v>1.57</v>
      </c>
    </row>
    <row r="916" spans="1:38" x14ac:dyDescent="0.25">
      <c r="A916">
        <v>915</v>
      </c>
      <c r="B916" t="str">
        <f xml:space="preserve"> "600400"</f>
        <v>600400</v>
      </c>
      <c r="C916" t="s">
        <v>4228</v>
      </c>
      <c r="D916">
        <v>7.29</v>
      </c>
      <c r="E916">
        <v>-1.22</v>
      </c>
      <c r="F916">
        <v>-0.09</v>
      </c>
      <c r="G916" t="s">
        <v>1884</v>
      </c>
      <c r="H916">
        <v>90</v>
      </c>
      <c r="I916">
        <v>7.3</v>
      </c>
      <c r="J916">
        <v>7.31</v>
      </c>
      <c r="K916">
        <v>-0.27</v>
      </c>
      <c r="L916">
        <v>0.28000000000000003</v>
      </c>
      <c r="M916" t="s">
        <v>4229</v>
      </c>
      <c r="N916">
        <v>13.23</v>
      </c>
      <c r="O916" t="s">
        <v>1443</v>
      </c>
      <c r="P916">
        <v>7.36</v>
      </c>
      <c r="Q916">
        <v>7.25</v>
      </c>
      <c r="R916">
        <v>7.34</v>
      </c>
      <c r="S916">
        <v>7.38</v>
      </c>
      <c r="T916">
        <v>1.49</v>
      </c>
      <c r="U916">
        <v>0.5</v>
      </c>
      <c r="V916">
        <v>-24.08</v>
      </c>
      <c r="W916">
        <v>-952</v>
      </c>
      <c r="X916">
        <v>7.29</v>
      </c>
      <c r="Y916" t="s">
        <v>1745</v>
      </c>
      <c r="Z916" t="s">
        <v>3158</v>
      </c>
      <c r="AA916">
        <v>1.21</v>
      </c>
      <c r="AB916">
        <v>60</v>
      </c>
      <c r="AC916">
        <v>171</v>
      </c>
      <c r="AD916">
        <v>2.97</v>
      </c>
      <c r="AE916" t="s">
        <v>1046</v>
      </c>
      <c r="AF916" t="s">
        <v>869</v>
      </c>
      <c r="AG916" t="s">
        <v>2387</v>
      </c>
      <c r="AH916" t="s">
        <v>1459</v>
      </c>
      <c r="AI916">
        <v>-2.02</v>
      </c>
      <c r="AJ916">
        <v>3.7</v>
      </c>
      <c r="AK916">
        <v>1.07</v>
      </c>
      <c r="AL916">
        <v>3.1</v>
      </c>
    </row>
    <row r="917" spans="1:38" x14ac:dyDescent="0.25">
      <c r="A917">
        <v>916</v>
      </c>
      <c r="B917" t="str">
        <f xml:space="preserve"> "600783"</f>
        <v>600783</v>
      </c>
      <c r="C917" t="s">
        <v>4230</v>
      </c>
      <c r="D917">
        <v>17.71</v>
      </c>
      <c r="E917">
        <v>0.23</v>
      </c>
      <c r="F917">
        <v>0.04</v>
      </c>
      <c r="G917" t="s">
        <v>1494</v>
      </c>
      <c r="H917">
        <v>18</v>
      </c>
      <c r="I917">
        <v>17.690000000000001</v>
      </c>
      <c r="J917">
        <v>17.7</v>
      </c>
      <c r="K917">
        <v>0.11</v>
      </c>
      <c r="L917">
        <v>0.57999999999999996</v>
      </c>
      <c r="M917" t="s">
        <v>4231</v>
      </c>
      <c r="N917">
        <v>34.979999999999997</v>
      </c>
      <c r="O917" t="s">
        <v>3277</v>
      </c>
      <c r="P917">
        <v>17.989999999999998</v>
      </c>
      <c r="Q917">
        <v>17.55</v>
      </c>
      <c r="R917">
        <v>17.55</v>
      </c>
      <c r="S917">
        <v>17.670000000000002</v>
      </c>
      <c r="T917">
        <v>2.4900000000000002</v>
      </c>
      <c r="U917">
        <v>0.83</v>
      </c>
      <c r="V917">
        <v>60.93</v>
      </c>
      <c r="W917">
        <v>1176</v>
      </c>
      <c r="X917">
        <v>17.71</v>
      </c>
      <c r="Y917" t="s">
        <v>3042</v>
      </c>
      <c r="Z917" t="s">
        <v>2202</v>
      </c>
      <c r="AA917">
        <v>0.85</v>
      </c>
      <c r="AB917">
        <v>538</v>
      </c>
      <c r="AC917">
        <v>77</v>
      </c>
      <c r="AD917">
        <v>3.51</v>
      </c>
      <c r="AE917" t="s">
        <v>4232</v>
      </c>
      <c r="AF917" t="s">
        <v>869</v>
      </c>
      <c r="AG917" t="s">
        <v>4232</v>
      </c>
      <c r="AH917" t="s">
        <v>869</v>
      </c>
      <c r="AI917">
        <v>-3.85</v>
      </c>
      <c r="AJ917">
        <v>-0.84</v>
      </c>
      <c r="AK917">
        <v>1.9</v>
      </c>
      <c r="AL917">
        <v>4.09</v>
      </c>
    </row>
    <row r="918" spans="1:38" x14ac:dyDescent="0.25">
      <c r="A918">
        <v>917</v>
      </c>
      <c r="B918" t="str">
        <f xml:space="preserve"> "000620"</f>
        <v>000620</v>
      </c>
      <c r="C918" t="s">
        <v>4233</v>
      </c>
      <c r="D918">
        <v>6.95</v>
      </c>
      <c r="E918">
        <v>-0.86</v>
      </c>
      <c r="F918">
        <v>-0.06</v>
      </c>
      <c r="G918" t="s">
        <v>1843</v>
      </c>
      <c r="H918">
        <v>711</v>
      </c>
      <c r="I918">
        <v>6.95</v>
      </c>
      <c r="J918">
        <v>6.97</v>
      </c>
      <c r="K918">
        <v>-0.14000000000000001</v>
      </c>
      <c r="L918">
        <v>0.19</v>
      </c>
      <c r="M918" t="s">
        <v>4234</v>
      </c>
      <c r="N918">
        <v>35.409999999999997</v>
      </c>
      <c r="O918" t="s">
        <v>244</v>
      </c>
      <c r="P918">
        <v>7.03</v>
      </c>
      <c r="Q918">
        <v>6.9</v>
      </c>
      <c r="R918">
        <v>7.02</v>
      </c>
      <c r="S918">
        <v>7.01</v>
      </c>
      <c r="T918">
        <v>1.85</v>
      </c>
      <c r="U918">
        <v>0.85</v>
      </c>
      <c r="V918">
        <v>9.73</v>
      </c>
      <c r="W918">
        <v>558</v>
      </c>
      <c r="X918">
        <v>6.98</v>
      </c>
      <c r="Y918" t="s">
        <v>1420</v>
      </c>
      <c r="Z918" t="s">
        <v>1799</v>
      </c>
      <c r="AA918">
        <v>1.68</v>
      </c>
      <c r="AB918">
        <v>988</v>
      </c>
      <c r="AC918">
        <v>433</v>
      </c>
      <c r="AD918">
        <v>2.2000000000000002</v>
      </c>
      <c r="AE918" t="s">
        <v>493</v>
      </c>
      <c r="AF918" t="s">
        <v>869</v>
      </c>
      <c r="AG918" t="s">
        <v>2856</v>
      </c>
      <c r="AH918" t="s">
        <v>632</v>
      </c>
      <c r="AI918">
        <v>-3.07</v>
      </c>
      <c r="AJ918">
        <v>-2.39</v>
      </c>
      <c r="AK918">
        <v>0.62</v>
      </c>
      <c r="AL918">
        <v>1.27</v>
      </c>
    </row>
    <row r="919" spans="1:38" x14ac:dyDescent="0.25">
      <c r="A919">
        <v>918</v>
      </c>
      <c r="B919" t="str">
        <f xml:space="preserve"> "000828"</f>
        <v>000828</v>
      </c>
      <c r="C919" t="s">
        <v>4235</v>
      </c>
      <c r="D919">
        <v>12.68</v>
      </c>
      <c r="E919">
        <v>-0.08</v>
      </c>
      <c r="F919">
        <v>-0.01</v>
      </c>
      <c r="G919" t="s">
        <v>2950</v>
      </c>
      <c r="H919">
        <v>369</v>
      </c>
      <c r="I919">
        <v>12.67</v>
      </c>
      <c r="J919">
        <v>12.68</v>
      </c>
      <c r="K919">
        <v>0.08</v>
      </c>
      <c r="L919">
        <v>0.28000000000000003</v>
      </c>
      <c r="M919" t="s">
        <v>4236</v>
      </c>
      <c r="N919">
        <v>14.28</v>
      </c>
      <c r="O919" t="s">
        <v>1348</v>
      </c>
      <c r="P919">
        <v>12.7</v>
      </c>
      <c r="Q919">
        <v>12.62</v>
      </c>
      <c r="R919">
        <v>12.64</v>
      </c>
      <c r="S919">
        <v>12.69</v>
      </c>
      <c r="T919">
        <v>0.63</v>
      </c>
      <c r="U919">
        <v>0.61</v>
      </c>
      <c r="V919">
        <v>-21.31</v>
      </c>
      <c r="W919">
        <v>-591</v>
      </c>
      <c r="X919">
        <v>12.66</v>
      </c>
      <c r="Y919" t="s">
        <v>4237</v>
      </c>
      <c r="Z919" t="s">
        <v>480</v>
      </c>
      <c r="AA919">
        <v>1.17</v>
      </c>
      <c r="AB919">
        <v>503</v>
      </c>
      <c r="AC919">
        <v>120</v>
      </c>
      <c r="AD919">
        <v>2.52</v>
      </c>
      <c r="AE919" t="s">
        <v>755</v>
      </c>
      <c r="AF919" t="s">
        <v>869</v>
      </c>
      <c r="AG919" t="s">
        <v>755</v>
      </c>
      <c r="AH919" t="s">
        <v>869</v>
      </c>
      <c r="AI919">
        <v>-1.25</v>
      </c>
      <c r="AJ919">
        <v>1.2</v>
      </c>
      <c r="AK919">
        <v>0.97</v>
      </c>
      <c r="AL919">
        <v>2.54</v>
      </c>
    </row>
    <row r="920" spans="1:38" x14ac:dyDescent="0.25">
      <c r="A920">
        <v>919</v>
      </c>
      <c r="B920" t="str">
        <f xml:space="preserve"> "600395"</f>
        <v>600395</v>
      </c>
      <c r="C920" t="s">
        <v>4238</v>
      </c>
      <c r="D920">
        <v>7.96</v>
      </c>
      <c r="E920">
        <v>0.63</v>
      </c>
      <c r="F920">
        <v>0.05</v>
      </c>
      <c r="G920" t="s">
        <v>4239</v>
      </c>
      <c r="H920">
        <v>50</v>
      </c>
      <c r="I920">
        <v>7.95</v>
      </c>
      <c r="J920">
        <v>7.96</v>
      </c>
      <c r="K920">
        <v>0</v>
      </c>
      <c r="L920">
        <v>0.51</v>
      </c>
      <c r="M920" t="s">
        <v>4240</v>
      </c>
      <c r="N920">
        <v>14.29</v>
      </c>
      <c r="O920" t="s">
        <v>150</v>
      </c>
      <c r="P920">
        <v>7.98</v>
      </c>
      <c r="Q920">
        <v>7.89</v>
      </c>
      <c r="R920">
        <v>7.91</v>
      </c>
      <c r="S920">
        <v>7.91</v>
      </c>
      <c r="T920">
        <v>1.1399999999999999</v>
      </c>
      <c r="U920">
        <v>0.73</v>
      </c>
      <c r="V920">
        <v>-29.35</v>
      </c>
      <c r="W920">
        <v>-4310</v>
      </c>
      <c r="X920">
        <v>7.94</v>
      </c>
      <c r="Y920" t="s">
        <v>1960</v>
      </c>
      <c r="Z920" t="s">
        <v>573</v>
      </c>
      <c r="AA920">
        <v>0.84</v>
      </c>
      <c r="AB920">
        <v>87</v>
      </c>
      <c r="AC920">
        <v>261</v>
      </c>
      <c r="AD920">
        <v>2.2000000000000002</v>
      </c>
      <c r="AE920" t="s">
        <v>2999</v>
      </c>
      <c r="AF920" t="s">
        <v>869</v>
      </c>
      <c r="AG920" t="s">
        <v>2999</v>
      </c>
      <c r="AH920" t="s">
        <v>869</v>
      </c>
      <c r="AI920">
        <v>-0.5</v>
      </c>
      <c r="AJ920">
        <v>-0.62</v>
      </c>
      <c r="AK920">
        <v>2.08</v>
      </c>
      <c r="AL920">
        <v>3.98</v>
      </c>
    </row>
    <row r="921" spans="1:38" x14ac:dyDescent="0.25">
      <c r="A921">
        <v>920</v>
      </c>
      <c r="B921" t="str">
        <f xml:space="preserve"> "002413"</f>
        <v>002413</v>
      </c>
      <c r="C921" t="s">
        <v>4241</v>
      </c>
      <c r="D921">
        <v>11.94</v>
      </c>
      <c r="E921">
        <v>-0.5</v>
      </c>
      <c r="F921">
        <v>-0.06</v>
      </c>
      <c r="G921" t="s">
        <v>4242</v>
      </c>
      <c r="H921">
        <v>1021</v>
      </c>
      <c r="I921">
        <v>11.93</v>
      </c>
      <c r="J921">
        <v>11.94</v>
      </c>
      <c r="K921">
        <v>0</v>
      </c>
      <c r="L921">
        <v>0.72</v>
      </c>
      <c r="M921" t="s">
        <v>4243</v>
      </c>
      <c r="N921">
        <v>130.44</v>
      </c>
      <c r="O921" t="s">
        <v>553</v>
      </c>
      <c r="P921">
        <v>12.03</v>
      </c>
      <c r="Q921">
        <v>11.83</v>
      </c>
      <c r="R921">
        <v>11.91</v>
      </c>
      <c r="S921">
        <v>12</v>
      </c>
      <c r="T921">
        <v>1.67</v>
      </c>
      <c r="U921">
        <v>0.61</v>
      </c>
      <c r="V921">
        <v>22.24</v>
      </c>
      <c r="W921">
        <v>372</v>
      </c>
      <c r="X921">
        <v>11.91</v>
      </c>
      <c r="Y921" t="s">
        <v>1090</v>
      </c>
      <c r="Z921" t="s">
        <v>2383</v>
      </c>
      <c r="AA921">
        <v>2</v>
      </c>
      <c r="AB921">
        <v>368</v>
      </c>
      <c r="AC921">
        <v>143</v>
      </c>
      <c r="AD921">
        <v>3.73</v>
      </c>
      <c r="AE921" t="s">
        <v>2501</v>
      </c>
      <c r="AF921" t="s">
        <v>869</v>
      </c>
      <c r="AG921" t="s">
        <v>4244</v>
      </c>
      <c r="AH921" t="s">
        <v>4245</v>
      </c>
      <c r="AI921">
        <v>3.02</v>
      </c>
      <c r="AJ921">
        <v>1.36</v>
      </c>
      <c r="AK921">
        <v>3.53</v>
      </c>
      <c r="AL921">
        <v>6.66</v>
      </c>
    </row>
    <row r="922" spans="1:38" x14ac:dyDescent="0.25">
      <c r="A922">
        <v>921</v>
      </c>
      <c r="B922" t="str">
        <f xml:space="preserve"> "000902"</f>
        <v>000902</v>
      </c>
      <c r="C922" t="s">
        <v>4246</v>
      </c>
      <c r="D922">
        <v>10.09</v>
      </c>
      <c r="E922">
        <v>-2.04</v>
      </c>
      <c r="F922">
        <v>-0.21</v>
      </c>
      <c r="G922" t="s">
        <v>3155</v>
      </c>
      <c r="H922">
        <v>1351</v>
      </c>
      <c r="I922">
        <v>10.09</v>
      </c>
      <c r="J922">
        <v>10.1</v>
      </c>
      <c r="K922">
        <v>-0.2</v>
      </c>
      <c r="L922">
        <v>0.49</v>
      </c>
      <c r="M922" t="s">
        <v>3902</v>
      </c>
      <c r="N922">
        <v>15.29</v>
      </c>
      <c r="O922" t="s">
        <v>1936</v>
      </c>
      <c r="P922">
        <v>10.34</v>
      </c>
      <c r="Q922">
        <v>10.01</v>
      </c>
      <c r="R922">
        <v>10.34</v>
      </c>
      <c r="S922">
        <v>10.3</v>
      </c>
      <c r="T922">
        <v>3.2</v>
      </c>
      <c r="U922">
        <v>0.86</v>
      </c>
      <c r="V922">
        <v>-31.82</v>
      </c>
      <c r="W922">
        <v>-1035</v>
      </c>
      <c r="X922">
        <v>10.18</v>
      </c>
      <c r="Y922" t="s">
        <v>1090</v>
      </c>
      <c r="Z922" t="s">
        <v>1454</v>
      </c>
      <c r="AA922">
        <v>1.79</v>
      </c>
      <c r="AB922">
        <v>250</v>
      </c>
      <c r="AC922">
        <v>134</v>
      </c>
      <c r="AD922">
        <v>2.4300000000000002</v>
      </c>
      <c r="AE922" t="s">
        <v>2828</v>
      </c>
      <c r="AF922" t="s">
        <v>869</v>
      </c>
      <c r="AG922" t="s">
        <v>1132</v>
      </c>
      <c r="AH922" t="s">
        <v>3690</v>
      </c>
      <c r="AI922">
        <v>-0.98</v>
      </c>
      <c r="AJ922">
        <v>0.1</v>
      </c>
      <c r="AK922">
        <v>1.65</v>
      </c>
      <c r="AL922">
        <v>3.35</v>
      </c>
    </row>
    <row r="923" spans="1:38" x14ac:dyDescent="0.25">
      <c r="A923">
        <v>922</v>
      </c>
      <c r="B923" t="str">
        <f xml:space="preserve"> "603678"</f>
        <v>603678</v>
      </c>
      <c r="C923" t="s">
        <v>4247</v>
      </c>
      <c r="D923">
        <v>29.01</v>
      </c>
      <c r="E923">
        <v>-2.4900000000000002</v>
      </c>
      <c r="F923">
        <v>-0.74</v>
      </c>
      <c r="G923" t="s">
        <v>2444</v>
      </c>
      <c r="H923">
        <v>13</v>
      </c>
      <c r="I923">
        <v>29.01</v>
      </c>
      <c r="J923">
        <v>29.04</v>
      </c>
      <c r="K923">
        <v>7.0000000000000007E-2</v>
      </c>
      <c r="L923">
        <v>0.98</v>
      </c>
      <c r="M923" t="s">
        <v>1284</v>
      </c>
      <c r="N923">
        <v>56.41</v>
      </c>
      <c r="O923" t="s">
        <v>380</v>
      </c>
      <c r="P923">
        <v>29.75</v>
      </c>
      <c r="Q923">
        <v>28.98</v>
      </c>
      <c r="R923">
        <v>29.51</v>
      </c>
      <c r="S923">
        <v>29.75</v>
      </c>
      <c r="T923">
        <v>2.59</v>
      </c>
      <c r="U923">
        <v>0.7</v>
      </c>
      <c r="V923">
        <v>31.96</v>
      </c>
      <c r="W923">
        <v>78</v>
      </c>
      <c r="X923">
        <v>29.19</v>
      </c>
      <c r="Y923" t="s">
        <v>2252</v>
      </c>
      <c r="Z923">
        <v>5416</v>
      </c>
      <c r="AA923">
        <v>3.32</v>
      </c>
      <c r="AB923">
        <v>6</v>
      </c>
      <c r="AC923">
        <v>32</v>
      </c>
      <c r="AD923">
        <v>5.47</v>
      </c>
      <c r="AE923" t="s">
        <v>112</v>
      </c>
      <c r="AF923" t="s">
        <v>880</v>
      </c>
      <c r="AG923" t="s">
        <v>1197</v>
      </c>
      <c r="AH923" t="s">
        <v>4248</v>
      </c>
      <c r="AI923">
        <v>-2.78</v>
      </c>
      <c r="AJ923">
        <v>4.8</v>
      </c>
      <c r="AK923">
        <v>3.87</v>
      </c>
      <c r="AL923">
        <v>7.98</v>
      </c>
    </row>
    <row r="924" spans="1:38" x14ac:dyDescent="0.25">
      <c r="A924">
        <v>923</v>
      </c>
      <c r="B924" t="str">
        <f xml:space="preserve"> "600090"</f>
        <v>600090</v>
      </c>
      <c r="C924" t="s">
        <v>4249</v>
      </c>
      <c r="D924">
        <v>9.09</v>
      </c>
      <c r="E924">
        <v>0.89</v>
      </c>
      <c r="F924">
        <v>0.08</v>
      </c>
      <c r="G924" t="s">
        <v>226</v>
      </c>
      <c r="H924">
        <v>10</v>
      </c>
      <c r="I924">
        <v>9.09</v>
      </c>
      <c r="J924">
        <v>9.1</v>
      </c>
      <c r="K924">
        <v>0</v>
      </c>
      <c r="L924">
        <v>1.02</v>
      </c>
      <c r="M924" t="s">
        <v>4250</v>
      </c>
      <c r="N924">
        <v>26.65</v>
      </c>
      <c r="O924" t="s">
        <v>1552</v>
      </c>
      <c r="P924">
        <v>9.1199999999999992</v>
      </c>
      <c r="Q924">
        <v>8.98</v>
      </c>
      <c r="R924">
        <v>9.01</v>
      </c>
      <c r="S924">
        <v>9.01</v>
      </c>
      <c r="T924">
        <v>1.55</v>
      </c>
      <c r="U924">
        <v>1.0900000000000001</v>
      </c>
      <c r="V924">
        <v>-54.41</v>
      </c>
      <c r="W924">
        <v>-5167</v>
      </c>
      <c r="X924">
        <v>9.07</v>
      </c>
      <c r="Y924" t="s">
        <v>3039</v>
      </c>
      <c r="Z924" t="s">
        <v>1553</v>
      </c>
      <c r="AA924">
        <v>0.85</v>
      </c>
      <c r="AB924">
        <v>192</v>
      </c>
      <c r="AC924">
        <v>1248</v>
      </c>
      <c r="AD924">
        <v>2.36</v>
      </c>
      <c r="AE924" t="s">
        <v>2100</v>
      </c>
      <c r="AF924" t="s">
        <v>880</v>
      </c>
      <c r="AG924" t="s">
        <v>448</v>
      </c>
      <c r="AH924" t="s">
        <v>4251</v>
      </c>
      <c r="AI924">
        <v>0.89</v>
      </c>
      <c r="AJ924">
        <v>4.12</v>
      </c>
      <c r="AK924">
        <v>3.67</v>
      </c>
      <c r="AL924">
        <v>5.7</v>
      </c>
    </row>
    <row r="925" spans="1:38" x14ac:dyDescent="0.25">
      <c r="A925">
        <v>924</v>
      </c>
      <c r="B925" t="str">
        <f xml:space="preserve"> "002522"</f>
        <v>002522</v>
      </c>
      <c r="C925" t="s">
        <v>4252</v>
      </c>
      <c r="D925">
        <v>14.44</v>
      </c>
      <c r="E925">
        <v>0.14000000000000001</v>
      </c>
      <c r="F925">
        <v>0.02</v>
      </c>
      <c r="G925" t="s">
        <v>3707</v>
      </c>
      <c r="H925">
        <v>1010</v>
      </c>
      <c r="I925">
        <v>14.43</v>
      </c>
      <c r="J925">
        <v>14.44</v>
      </c>
      <c r="K925">
        <v>0</v>
      </c>
      <c r="L925">
        <v>0.61</v>
      </c>
      <c r="M925" t="s">
        <v>4253</v>
      </c>
      <c r="N925">
        <v>157.35</v>
      </c>
      <c r="O925" t="s">
        <v>3873</v>
      </c>
      <c r="P925">
        <v>14.64</v>
      </c>
      <c r="Q925">
        <v>14.33</v>
      </c>
      <c r="R925">
        <v>14.33</v>
      </c>
      <c r="S925">
        <v>14.42</v>
      </c>
      <c r="T925">
        <v>2.15</v>
      </c>
      <c r="U925">
        <v>0.78</v>
      </c>
      <c r="V925">
        <v>17.37</v>
      </c>
      <c r="W925">
        <v>659</v>
      </c>
      <c r="X925">
        <v>14.47</v>
      </c>
      <c r="Y925" t="s">
        <v>3814</v>
      </c>
      <c r="Z925" t="s">
        <v>2509</v>
      </c>
      <c r="AA925">
        <v>1.5</v>
      </c>
      <c r="AB925">
        <v>259</v>
      </c>
      <c r="AC925">
        <v>837</v>
      </c>
      <c r="AD925">
        <v>7.32</v>
      </c>
      <c r="AE925" t="s">
        <v>4254</v>
      </c>
      <c r="AF925" t="s">
        <v>880</v>
      </c>
      <c r="AG925" t="s">
        <v>4255</v>
      </c>
      <c r="AH925" t="s">
        <v>3763</v>
      </c>
      <c r="AI925">
        <v>1.1200000000000001</v>
      </c>
      <c r="AJ925">
        <v>5.79</v>
      </c>
      <c r="AK925">
        <v>2.78</v>
      </c>
      <c r="AL925">
        <v>4.5199999999999996</v>
      </c>
    </row>
    <row r="926" spans="1:38" x14ac:dyDescent="0.25">
      <c r="A926">
        <v>925</v>
      </c>
      <c r="B926" t="str">
        <f xml:space="preserve"> "600611"</f>
        <v>600611</v>
      </c>
      <c r="C926" t="s">
        <v>4256</v>
      </c>
      <c r="D926">
        <v>5.52</v>
      </c>
      <c r="E926">
        <v>0.55000000000000004</v>
      </c>
      <c r="F926">
        <v>0.03</v>
      </c>
      <c r="G926" t="s">
        <v>2307</v>
      </c>
      <c r="H926">
        <v>93</v>
      </c>
      <c r="I926">
        <v>5.51</v>
      </c>
      <c r="J926">
        <v>5.52</v>
      </c>
      <c r="K926">
        <v>0.36</v>
      </c>
      <c r="L926">
        <v>0.51</v>
      </c>
      <c r="M926" t="s">
        <v>4257</v>
      </c>
      <c r="N926">
        <v>23.85</v>
      </c>
      <c r="O926" t="s">
        <v>274</v>
      </c>
      <c r="P926">
        <v>5.52</v>
      </c>
      <c r="Q926">
        <v>5.46</v>
      </c>
      <c r="R926">
        <v>5.49</v>
      </c>
      <c r="S926">
        <v>5.49</v>
      </c>
      <c r="T926">
        <v>1.0900000000000001</v>
      </c>
      <c r="U926">
        <v>0.96</v>
      </c>
      <c r="V926">
        <v>-15.79</v>
      </c>
      <c r="W926">
        <v>-6174</v>
      </c>
      <c r="X926">
        <v>5.49</v>
      </c>
      <c r="Y926" t="s">
        <v>712</v>
      </c>
      <c r="Z926" t="s">
        <v>2417</v>
      </c>
      <c r="AA926">
        <v>0.55000000000000004</v>
      </c>
      <c r="AB926">
        <v>1771</v>
      </c>
      <c r="AC926" t="s">
        <v>1785</v>
      </c>
      <c r="AD926">
        <v>1.43</v>
      </c>
      <c r="AE926" t="s">
        <v>3762</v>
      </c>
      <c r="AF926" t="s">
        <v>454</v>
      </c>
      <c r="AG926" t="s">
        <v>1897</v>
      </c>
      <c r="AH926" t="s">
        <v>4258</v>
      </c>
      <c r="AI926">
        <v>0.91</v>
      </c>
      <c r="AJ926">
        <v>3.18</v>
      </c>
      <c r="AK926">
        <v>1.61</v>
      </c>
      <c r="AL926">
        <v>3.13</v>
      </c>
    </row>
    <row r="927" spans="1:38" x14ac:dyDescent="0.25">
      <c r="A927">
        <v>926</v>
      </c>
      <c r="B927" t="str">
        <f xml:space="preserve"> "600876"</f>
        <v>600876</v>
      </c>
      <c r="C927" t="s">
        <v>4259</v>
      </c>
      <c r="D927">
        <v>24.77</v>
      </c>
      <c r="E927">
        <v>-2.36</v>
      </c>
      <c r="F927">
        <v>-0.6</v>
      </c>
      <c r="G927" t="s">
        <v>1270</v>
      </c>
      <c r="H927">
        <v>5</v>
      </c>
      <c r="I927">
        <v>24.77</v>
      </c>
      <c r="J927">
        <v>24.78</v>
      </c>
      <c r="K927">
        <v>0.16</v>
      </c>
      <c r="L927">
        <v>4.0199999999999996</v>
      </c>
      <c r="M927" t="s">
        <v>488</v>
      </c>
      <c r="N927">
        <v>5538.4</v>
      </c>
      <c r="O927" t="s">
        <v>1058</v>
      </c>
      <c r="P927">
        <v>25.3</v>
      </c>
      <c r="Q927">
        <v>24.58</v>
      </c>
      <c r="R927">
        <v>25.3</v>
      </c>
      <c r="S927">
        <v>25.37</v>
      </c>
      <c r="T927">
        <v>2.84</v>
      </c>
      <c r="U927">
        <v>0.79</v>
      </c>
      <c r="V927">
        <v>-4.62</v>
      </c>
      <c r="W927">
        <v>-40</v>
      </c>
      <c r="X927">
        <v>24.82</v>
      </c>
      <c r="Y927" t="s">
        <v>1294</v>
      </c>
      <c r="Z927" t="s">
        <v>2124</v>
      </c>
      <c r="AA927">
        <v>1.67</v>
      </c>
      <c r="AB927">
        <v>158</v>
      </c>
      <c r="AC927">
        <v>133</v>
      </c>
      <c r="AD927">
        <v>24.88</v>
      </c>
      <c r="AE927" t="s">
        <v>4260</v>
      </c>
      <c r="AF927" t="s">
        <v>454</v>
      </c>
      <c r="AG927" t="s">
        <v>488</v>
      </c>
      <c r="AH927" t="s">
        <v>2362</v>
      </c>
      <c r="AI927">
        <v>4.08</v>
      </c>
      <c r="AJ927">
        <v>9.2200000000000006</v>
      </c>
      <c r="AK927">
        <v>21.29</v>
      </c>
      <c r="AL927">
        <v>29.49</v>
      </c>
    </row>
    <row r="928" spans="1:38" x14ac:dyDescent="0.25">
      <c r="A928">
        <v>927</v>
      </c>
      <c r="B928" t="str">
        <f xml:space="preserve"> "002451"</f>
        <v>002451</v>
      </c>
      <c r="C928" t="s">
        <v>4261</v>
      </c>
      <c r="D928">
        <v>29.7</v>
      </c>
      <c r="E928">
        <v>2.66</v>
      </c>
      <c r="F928">
        <v>0.77</v>
      </c>
      <c r="G928" t="s">
        <v>2548</v>
      </c>
      <c r="H928">
        <v>498</v>
      </c>
      <c r="I928">
        <v>29.69</v>
      </c>
      <c r="J928">
        <v>29.7</v>
      </c>
      <c r="K928">
        <v>-0.03</v>
      </c>
      <c r="L928">
        <v>0.68</v>
      </c>
      <c r="M928" t="s">
        <v>4262</v>
      </c>
      <c r="N928">
        <v>305.10000000000002</v>
      </c>
      <c r="O928" t="s">
        <v>680</v>
      </c>
      <c r="P928">
        <v>29.97</v>
      </c>
      <c r="Q928">
        <v>28.82</v>
      </c>
      <c r="R928">
        <v>29</v>
      </c>
      <c r="S928">
        <v>28.93</v>
      </c>
      <c r="T928">
        <v>3.98</v>
      </c>
      <c r="U928">
        <v>1.1599999999999999</v>
      </c>
      <c r="V928">
        <v>-94.84</v>
      </c>
      <c r="W928">
        <v>-2281</v>
      </c>
      <c r="X928">
        <v>29.69</v>
      </c>
      <c r="Y928" t="s">
        <v>2241</v>
      </c>
      <c r="Z928" t="s">
        <v>3946</v>
      </c>
      <c r="AA928">
        <v>0.67</v>
      </c>
      <c r="AB928">
        <v>5</v>
      </c>
      <c r="AC928">
        <v>431</v>
      </c>
      <c r="AD928">
        <v>24.26</v>
      </c>
      <c r="AE928" t="s">
        <v>2259</v>
      </c>
      <c r="AF928" t="s">
        <v>454</v>
      </c>
      <c r="AG928" t="s">
        <v>3080</v>
      </c>
      <c r="AH928" t="s">
        <v>1741</v>
      </c>
      <c r="AI928">
        <v>2.59</v>
      </c>
      <c r="AJ928">
        <v>8.9499999999999993</v>
      </c>
      <c r="AK928">
        <v>1.41</v>
      </c>
      <c r="AL928">
        <v>3.6</v>
      </c>
    </row>
    <row r="929" spans="1:38" x14ac:dyDescent="0.25">
      <c r="A929">
        <v>928</v>
      </c>
      <c r="B929" t="str">
        <f xml:space="preserve"> "000155"</f>
        <v>000155</v>
      </c>
      <c r="C929" t="s">
        <v>4263</v>
      </c>
      <c r="D929" t="s">
        <v>616</v>
      </c>
      <c r="E929" t="s">
        <v>616</v>
      </c>
      <c r="F929" t="s">
        <v>616</v>
      </c>
      <c r="G929" t="s">
        <v>616</v>
      </c>
      <c r="H929" t="s">
        <v>616</v>
      </c>
      <c r="I929" t="s">
        <v>616</v>
      </c>
      <c r="J929" t="s">
        <v>616</v>
      </c>
      <c r="K929" t="s">
        <v>616</v>
      </c>
      <c r="L929" t="s">
        <v>616</v>
      </c>
      <c r="M929" t="s">
        <v>616</v>
      </c>
      <c r="N929">
        <v>79.36</v>
      </c>
      <c r="O929" t="s">
        <v>1936</v>
      </c>
      <c r="P929" t="s">
        <v>616</v>
      </c>
      <c r="Q929" t="s">
        <v>616</v>
      </c>
      <c r="R929" t="s">
        <v>616</v>
      </c>
      <c r="S929">
        <v>10.27</v>
      </c>
      <c r="T929" t="s">
        <v>616</v>
      </c>
      <c r="U929" t="s">
        <v>616</v>
      </c>
      <c r="V929" t="s">
        <v>616</v>
      </c>
      <c r="W929" t="s">
        <v>616</v>
      </c>
      <c r="X929" t="s">
        <v>616</v>
      </c>
      <c r="Y929" t="s">
        <v>616</v>
      </c>
      <c r="Z929" t="s">
        <v>616</v>
      </c>
      <c r="AA929" t="s">
        <v>616</v>
      </c>
      <c r="AB929" t="s">
        <v>616</v>
      </c>
      <c r="AC929" t="s">
        <v>616</v>
      </c>
      <c r="AD929">
        <v>4.4400000000000004</v>
      </c>
      <c r="AE929" t="s">
        <v>1483</v>
      </c>
      <c r="AF929" t="s">
        <v>454</v>
      </c>
      <c r="AG929" t="s">
        <v>4264</v>
      </c>
      <c r="AH929" t="s">
        <v>4265</v>
      </c>
      <c r="AI929">
        <v>0</v>
      </c>
      <c r="AJ929">
        <v>0</v>
      </c>
      <c r="AK929">
        <v>0</v>
      </c>
      <c r="AL929">
        <v>0</v>
      </c>
    </row>
    <row r="930" spans="1:38" x14ac:dyDescent="0.25">
      <c r="A930">
        <v>929</v>
      </c>
      <c r="B930" t="str">
        <f xml:space="preserve"> "600478"</f>
        <v>600478</v>
      </c>
      <c r="C930" t="s">
        <v>4266</v>
      </c>
      <c r="D930">
        <v>9.3699999999999992</v>
      </c>
      <c r="E930">
        <v>-0.21</v>
      </c>
      <c r="F930">
        <v>-0.02</v>
      </c>
      <c r="G930" t="s">
        <v>1834</v>
      </c>
      <c r="H930">
        <v>1</v>
      </c>
      <c r="I930">
        <v>9.3699999999999992</v>
      </c>
      <c r="J930">
        <v>9.3800000000000008</v>
      </c>
      <c r="K930">
        <v>0</v>
      </c>
      <c r="L930">
        <v>1.05</v>
      </c>
      <c r="M930" t="s">
        <v>3361</v>
      </c>
      <c r="N930">
        <v>-84.13</v>
      </c>
      <c r="O930" t="s">
        <v>380</v>
      </c>
      <c r="P930">
        <v>9.49</v>
      </c>
      <c r="Q930">
        <v>9.31</v>
      </c>
      <c r="R930">
        <v>9.3800000000000008</v>
      </c>
      <c r="S930">
        <v>9.39</v>
      </c>
      <c r="T930">
        <v>1.92</v>
      </c>
      <c r="U930">
        <v>0.59</v>
      </c>
      <c r="V930">
        <v>-52.68</v>
      </c>
      <c r="W930">
        <v>-5974</v>
      </c>
      <c r="X930">
        <v>9.4</v>
      </c>
      <c r="Y930" t="s">
        <v>3177</v>
      </c>
      <c r="Z930" t="s">
        <v>3471</v>
      </c>
      <c r="AA930">
        <v>0.63</v>
      </c>
      <c r="AB930">
        <v>28</v>
      </c>
      <c r="AC930">
        <v>167</v>
      </c>
      <c r="AD930">
        <v>10.58</v>
      </c>
      <c r="AE930" t="s">
        <v>895</v>
      </c>
      <c r="AF930" t="s">
        <v>454</v>
      </c>
      <c r="AG930" t="s">
        <v>1376</v>
      </c>
      <c r="AH930" t="s">
        <v>593</v>
      </c>
      <c r="AI930">
        <v>-3.9</v>
      </c>
      <c r="AJ930">
        <v>-6.49</v>
      </c>
      <c r="AK930">
        <v>5.63</v>
      </c>
      <c r="AL930">
        <v>9.98</v>
      </c>
    </row>
    <row r="931" spans="1:38" x14ac:dyDescent="0.25">
      <c r="A931">
        <v>930</v>
      </c>
      <c r="B931" t="str">
        <f xml:space="preserve"> "002694"</f>
        <v>002694</v>
      </c>
      <c r="C931" t="s">
        <v>4267</v>
      </c>
      <c r="D931" t="s">
        <v>616</v>
      </c>
      <c r="E931" t="s">
        <v>616</v>
      </c>
      <c r="F931" t="s">
        <v>616</v>
      </c>
      <c r="G931" t="s">
        <v>616</v>
      </c>
      <c r="H931" t="s">
        <v>616</v>
      </c>
      <c r="I931" t="s">
        <v>616</v>
      </c>
      <c r="J931" t="s">
        <v>616</v>
      </c>
      <c r="K931" t="s">
        <v>616</v>
      </c>
      <c r="L931" t="s">
        <v>616</v>
      </c>
      <c r="M931" t="s">
        <v>616</v>
      </c>
      <c r="N931">
        <v>1037.6500000000001</v>
      </c>
      <c r="O931" t="s">
        <v>2128</v>
      </c>
      <c r="P931" t="s">
        <v>616</v>
      </c>
      <c r="Q931" t="s">
        <v>616</v>
      </c>
      <c r="R931" t="s">
        <v>616</v>
      </c>
      <c r="S931">
        <v>21.81</v>
      </c>
      <c r="T931" t="s">
        <v>616</v>
      </c>
      <c r="U931" t="s">
        <v>616</v>
      </c>
      <c r="V931" t="s">
        <v>616</v>
      </c>
      <c r="W931" t="s">
        <v>616</v>
      </c>
      <c r="X931" t="s">
        <v>616</v>
      </c>
      <c r="Y931" t="s">
        <v>616</v>
      </c>
      <c r="Z931" t="s">
        <v>616</v>
      </c>
      <c r="AA931" t="s">
        <v>616</v>
      </c>
      <c r="AB931" t="s">
        <v>616</v>
      </c>
      <c r="AC931" t="s">
        <v>616</v>
      </c>
      <c r="AD931">
        <v>13.28</v>
      </c>
      <c r="AE931" t="s">
        <v>4268</v>
      </c>
      <c r="AF931" t="s">
        <v>454</v>
      </c>
      <c r="AG931" t="s">
        <v>4269</v>
      </c>
      <c r="AH931" t="s">
        <v>99</v>
      </c>
      <c r="AI931">
        <v>0</v>
      </c>
      <c r="AJ931">
        <v>0</v>
      </c>
      <c r="AK931">
        <v>0</v>
      </c>
      <c r="AL931">
        <v>0</v>
      </c>
    </row>
    <row r="932" spans="1:38" x14ac:dyDescent="0.25">
      <c r="A932">
        <v>931</v>
      </c>
      <c r="B932" t="str">
        <f xml:space="preserve"> "300009"</f>
        <v>300009</v>
      </c>
      <c r="C932" t="s">
        <v>4270</v>
      </c>
      <c r="D932">
        <v>18.239999999999998</v>
      </c>
      <c r="E932">
        <v>2.82</v>
      </c>
      <c r="F932">
        <v>0.5</v>
      </c>
      <c r="G932" t="s">
        <v>2475</v>
      </c>
      <c r="H932">
        <v>972</v>
      </c>
      <c r="I932">
        <v>18.239999999999998</v>
      </c>
      <c r="J932">
        <v>18.25</v>
      </c>
      <c r="K932">
        <v>-0.05</v>
      </c>
      <c r="L932">
        <v>1.83</v>
      </c>
      <c r="M932" t="s">
        <v>4271</v>
      </c>
      <c r="N932">
        <v>56.15</v>
      </c>
      <c r="O932" t="s">
        <v>392</v>
      </c>
      <c r="P932">
        <v>18.39</v>
      </c>
      <c r="Q932">
        <v>17.899999999999999</v>
      </c>
      <c r="R932">
        <v>18.02</v>
      </c>
      <c r="S932">
        <v>17.739999999999998</v>
      </c>
      <c r="T932">
        <v>2.76</v>
      </c>
      <c r="U932">
        <v>1.04</v>
      </c>
      <c r="V932">
        <v>47.9</v>
      </c>
      <c r="W932">
        <v>1006</v>
      </c>
      <c r="X932">
        <v>18.21</v>
      </c>
      <c r="Y932" t="s">
        <v>1908</v>
      </c>
      <c r="Z932" t="s">
        <v>4272</v>
      </c>
      <c r="AA932">
        <v>0.61</v>
      </c>
      <c r="AB932">
        <v>364</v>
      </c>
      <c r="AC932">
        <v>122</v>
      </c>
      <c r="AD932">
        <v>9.2100000000000009</v>
      </c>
      <c r="AE932" t="s">
        <v>4273</v>
      </c>
      <c r="AF932" t="s">
        <v>454</v>
      </c>
      <c r="AG932" t="s">
        <v>4190</v>
      </c>
      <c r="AH932" t="s">
        <v>4274</v>
      </c>
      <c r="AI932">
        <v>-1.08</v>
      </c>
      <c r="AJ932">
        <v>3.52</v>
      </c>
      <c r="AK932">
        <v>5.71</v>
      </c>
      <c r="AL932">
        <v>10.62</v>
      </c>
    </row>
    <row r="933" spans="1:38" x14ac:dyDescent="0.25">
      <c r="A933">
        <v>932</v>
      </c>
      <c r="B933" t="str">
        <f xml:space="preserve"> "300237"</f>
        <v>300237</v>
      </c>
      <c r="C933" t="s">
        <v>4275</v>
      </c>
      <c r="D933">
        <v>16.09</v>
      </c>
      <c r="E933">
        <v>2.81</v>
      </c>
      <c r="F933">
        <v>0.44</v>
      </c>
      <c r="G933" t="s">
        <v>3185</v>
      </c>
      <c r="H933">
        <v>885</v>
      </c>
      <c r="I933">
        <v>16.09</v>
      </c>
      <c r="J933">
        <v>16.100000000000001</v>
      </c>
      <c r="K933">
        <v>0.06</v>
      </c>
      <c r="L933">
        <v>1.07</v>
      </c>
      <c r="M933" t="s">
        <v>4276</v>
      </c>
      <c r="N933">
        <v>27.43</v>
      </c>
      <c r="O933" t="s">
        <v>1221</v>
      </c>
      <c r="P933">
        <v>16.21</v>
      </c>
      <c r="Q933">
        <v>15.59</v>
      </c>
      <c r="R933">
        <v>15.65</v>
      </c>
      <c r="S933">
        <v>15.65</v>
      </c>
      <c r="T933">
        <v>3.96</v>
      </c>
      <c r="U933">
        <v>2.78</v>
      </c>
      <c r="V933">
        <v>39</v>
      </c>
      <c r="W933">
        <v>606</v>
      </c>
      <c r="X933">
        <v>15.92</v>
      </c>
      <c r="Y933" t="s">
        <v>1454</v>
      </c>
      <c r="Z933" t="s">
        <v>2402</v>
      </c>
      <c r="AA933">
        <v>0.51</v>
      </c>
      <c r="AB933">
        <v>263</v>
      </c>
      <c r="AC933">
        <v>160</v>
      </c>
      <c r="AD933">
        <v>4.67</v>
      </c>
      <c r="AE933" t="s">
        <v>3140</v>
      </c>
      <c r="AF933" t="s">
        <v>454</v>
      </c>
      <c r="AG933" t="s">
        <v>1747</v>
      </c>
      <c r="AH933" t="s">
        <v>1625</v>
      </c>
      <c r="AI933">
        <v>3.87</v>
      </c>
      <c r="AJ933">
        <v>7.34</v>
      </c>
      <c r="AK933">
        <v>2.0099999999999998</v>
      </c>
      <c r="AL933">
        <v>2.99</v>
      </c>
    </row>
    <row r="934" spans="1:38" x14ac:dyDescent="0.25">
      <c r="A934">
        <v>933</v>
      </c>
      <c r="B934" t="str">
        <f xml:space="preserve"> "600748"</f>
        <v>600748</v>
      </c>
      <c r="C934" t="s">
        <v>4277</v>
      </c>
      <c r="D934">
        <v>7.03</v>
      </c>
      <c r="E934">
        <v>0.14000000000000001</v>
      </c>
      <c r="F934">
        <v>0.01</v>
      </c>
      <c r="G934" t="s">
        <v>1199</v>
      </c>
      <c r="H934">
        <v>21</v>
      </c>
      <c r="I934">
        <v>7.03</v>
      </c>
      <c r="J934">
        <v>7.04</v>
      </c>
      <c r="K934">
        <v>0</v>
      </c>
      <c r="L934">
        <v>0.21</v>
      </c>
      <c r="M934" t="s">
        <v>4278</v>
      </c>
      <c r="N934">
        <v>28.49</v>
      </c>
      <c r="O934" t="s">
        <v>244</v>
      </c>
      <c r="P934">
        <v>7.05</v>
      </c>
      <c r="Q934">
        <v>7</v>
      </c>
      <c r="R934">
        <v>7.01</v>
      </c>
      <c r="S934">
        <v>7.02</v>
      </c>
      <c r="T934">
        <v>0.71</v>
      </c>
      <c r="U934">
        <v>0.78</v>
      </c>
      <c r="V934">
        <v>8.4700000000000006</v>
      </c>
      <c r="W934">
        <v>867</v>
      </c>
      <c r="X934">
        <v>7.03</v>
      </c>
      <c r="Y934" t="s">
        <v>2509</v>
      </c>
      <c r="Z934">
        <v>9312</v>
      </c>
      <c r="AA934">
        <v>2.1800000000000002</v>
      </c>
      <c r="AB934">
        <v>31</v>
      </c>
      <c r="AC934">
        <v>1692</v>
      </c>
      <c r="AD934">
        <v>1.4</v>
      </c>
      <c r="AE934" t="s">
        <v>2856</v>
      </c>
      <c r="AF934" t="s">
        <v>454</v>
      </c>
      <c r="AG934" t="s">
        <v>1715</v>
      </c>
      <c r="AH934" t="s">
        <v>4279</v>
      </c>
      <c r="AI934">
        <v>-0.99</v>
      </c>
      <c r="AJ934">
        <v>1.01</v>
      </c>
      <c r="AK934">
        <v>0.71</v>
      </c>
      <c r="AL934">
        <v>1.56</v>
      </c>
    </row>
    <row r="935" spans="1:38" x14ac:dyDescent="0.25">
      <c r="A935">
        <v>934</v>
      </c>
      <c r="B935" t="str">
        <f xml:space="preserve"> "603569"</f>
        <v>603569</v>
      </c>
      <c r="C935" t="s">
        <v>4280</v>
      </c>
      <c r="D935">
        <v>32.409999999999997</v>
      </c>
      <c r="E935">
        <v>-0.34</v>
      </c>
      <c r="F935">
        <v>-0.11</v>
      </c>
      <c r="G935" t="s">
        <v>2695</v>
      </c>
      <c r="H935">
        <v>50</v>
      </c>
      <c r="I935">
        <v>32.42</v>
      </c>
      <c r="J935">
        <v>32.43</v>
      </c>
      <c r="K935">
        <v>0.03</v>
      </c>
      <c r="L935">
        <v>4.4000000000000004</v>
      </c>
      <c r="M935" t="s">
        <v>4281</v>
      </c>
      <c r="N935">
        <v>45.84</v>
      </c>
      <c r="O935" t="s">
        <v>274</v>
      </c>
      <c r="P935">
        <v>32.83</v>
      </c>
      <c r="Q935">
        <v>32.229999999999997</v>
      </c>
      <c r="R935">
        <v>32.700000000000003</v>
      </c>
      <c r="S935">
        <v>32.520000000000003</v>
      </c>
      <c r="T935">
        <v>1.85</v>
      </c>
      <c r="U935">
        <v>0.88</v>
      </c>
      <c r="V935">
        <v>-7.17</v>
      </c>
      <c r="W935">
        <v>-17</v>
      </c>
      <c r="X935">
        <v>32.51</v>
      </c>
      <c r="Y935" t="s">
        <v>2551</v>
      </c>
      <c r="Z935" t="s">
        <v>1869</v>
      </c>
      <c r="AA935">
        <v>1.21</v>
      </c>
      <c r="AB935">
        <v>8</v>
      </c>
      <c r="AC935">
        <v>49</v>
      </c>
      <c r="AD935">
        <v>6.73</v>
      </c>
      <c r="AE935" t="s">
        <v>1000</v>
      </c>
      <c r="AF935" t="s">
        <v>454</v>
      </c>
      <c r="AG935" t="s">
        <v>4282</v>
      </c>
      <c r="AH935" t="s">
        <v>1200</v>
      </c>
      <c r="AI935">
        <v>1.5</v>
      </c>
      <c r="AJ935">
        <v>4.1500000000000004</v>
      </c>
      <c r="AK935">
        <v>20.74</v>
      </c>
      <c r="AL935">
        <v>29.33</v>
      </c>
    </row>
    <row r="936" spans="1:38" x14ac:dyDescent="0.25">
      <c r="A936">
        <v>935</v>
      </c>
      <c r="B936" t="str">
        <f xml:space="preserve"> "002419"</f>
        <v>002419</v>
      </c>
      <c r="C936" t="s">
        <v>4283</v>
      </c>
      <c r="D936">
        <v>16.2</v>
      </c>
      <c r="E936">
        <v>-0.06</v>
      </c>
      <c r="F936">
        <v>-0.01</v>
      </c>
      <c r="G936" t="s">
        <v>1516</v>
      </c>
      <c r="H936">
        <v>597</v>
      </c>
      <c r="I936">
        <v>16.190000000000001</v>
      </c>
      <c r="J936">
        <v>16.2</v>
      </c>
      <c r="K936">
        <v>0</v>
      </c>
      <c r="L936">
        <v>0.89</v>
      </c>
      <c r="M936" t="s">
        <v>485</v>
      </c>
      <c r="N936">
        <v>17.29</v>
      </c>
      <c r="O936" t="s">
        <v>532</v>
      </c>
      <c r="P936">
        <v>16.37</v>
      </c>
      <c r="Q936">
        <v>16.03</v>
      </c>
      <c r="R936">
        <v>16.12</v>
      </c>
      <c r="S936">
        <v>16.21</v>
      </c>
      <c r="T936">
        <v>2.1</v>
      </c>
      <c r="U936">
        <v>0.67</v>
      </c>
      <c r="V936">
        <v>-31.64</v>
      </c>
      <c r="W936">
        <v>-488</v>
      </c>
      <c r="X936">
        <v>16.2</v>
      </c>
      <c r="Y936" t="s">
        <v>3524</v>
      </c>
      <c r="Z936" t="s">
        <v>3385</v>
      </c>
      <c r="AA936">
        <v>1.1299999999999999</v>
      </c>
      <c r="AB936">
        <v>239</v>
      </c>
      <c r="AC936">
        <v>462</v>
      </c>
      <c r="AD936">
        <v>2.2799999999999998</v>
      </c>
      <c r="AE936" t="s">
        <v>1754</v>
      </c>
      <c r="AF936" t="s">
        <v>454</v>
      </c>
      <c r="AG936" t="s">
        <v>1754</v>
      </c>
      <c r="AH936" t="s">
        <v>454</v>
      </c>
      <c r="AI936">
        <v>-1.1599999999999999</v>
      </c>
      <c r="AJ936">
        <v>2.5299999999999998</v>
      </c>
      <c r="AK936">
        <v>3.53</v>
      </c>
      <c r="AL936">
        <v>7.54</v>
      </c>
    </row>
    <row r="937" spans="1:38" x14ac:dyDescent="0.25">
      <c r="A937">
        <v>936</v>
      </c>
      <c r="B937" t="str">
        <f xml:space="preserve"> "600562"</f>
        <v>600562</v>
      </c>
      <c r="C937" t="s">
        <v>4284</v>
      </c>
      <c r="D937">
        <v>27.07</v>
      </c>
      <c r="E937">
        <v>-1.02</v>
      </c>
      <c r="F937">
        <v>-0.28000000000000003</v>
      </c>
      <c r="G937" t="s">
        <v>1507</v>
      </c>
      <c r="H937">
        <v>3</v>
      </c>
      <c r="I937">
        <v>27.08</v>
      </c>
      <c r="J937">
        <v>27.09</v>
      </c>
      <c r="K937">
        <v>0.22</v>
      </c>
      <c r="L937">
        <v>1.26</v>
      </c>
      <c r="M937" t="s">
        <v>2114</v>
      </c>
      <c r="N937">
        <v>82.11</v>
      </c>
      <c r="O937" t="s">
        <v>648</v>
      </c>
      <c r="P937">
        <v>27.38</v>
      </c>
      <c r="Q937">
        <v>26.91</v>
      </c>
      <c r="R937">
        <v>27.24</v>
      </c>
      <c r="S937">
        <v>27.35</v>
      </c>
      <c r="T937">
        <v>1.72</v>
      </c>
      <c r="U937">
        <v>0.72</v>
      </c>
      <c r="V937">
        <v>-63.78</v>
      </c>
      <c r="W937">
        <v>-412</v>
      </c>
      <c r="X937">
        <v>27.08</v>
      </c>
      <c r="Y937" t="s">
        <v>3357</v>
      </c>
      <c r="Z937" t="s">
        <v>2968</v>
      </c>
      <c r="AA937">
        <v>1.52</v>
      </c>
      <c r="AB937">
        <v>2</v>
      </c>
      <c r="AC937">
        <v>168</v>
      </c>
      <c r="AD937">
        <v>7.63</v>
      </c>
      <c r="AE937" t="s">
        <v>4285</v>
      </c>
      <c r="AF937" t="s">
        <v>454</v>
      </c>
      <c r="AG937" t="s">
        <v>3728</v>
      </c>
      <c r="AH937" t="s">
        <v>4286</v>
      </c>
      <c r="AI937">
        <v>0.56000000000000005</v>
      </c>
      <c r="AJ937">
        <v>2.15</v>
      </c>
      <c r="AK937">
        <v>5.7</v>
      </c>
      <c r="AL937">
        <v>9.9600000000000009</v>
      </c>
    </row>
    <row r="938" spans="1:38" x14ac:dyDescent="0.25">
      <c r="A938">
        <v>937</v>
      </c>
      <c r="B938" t="str">
        <f xml:space="preserve"> "000918"</f>
        <v>000918</v>
      </c>
      <c r="C938" t="s">
        <v>4287</v>
      </c>
      <c r="D938">
        <v>7.18</v>
      </c>
      <c r="E938">
        <v>1.27</v>
      </c>
      <c r="F938">
        <v>0.09</v>
      </c>
      <c r="G938" t="s">
        <v>4288</v>
      </c>
      <c r="H938">
        <v>3202</v>
      </c>
      <c r="I938">
        <v>7.17</v>
      </c>
      <c r="J938">
        <v>7.18</v>
      </c>
      <c r="K938">
        <v>0</v>
      </c>
      <c r="L938">
        <v>0.5</v>
      </c>
      <c r="M938" t="s">
        <v>4289</v>
      </c>
      <c r="N938">
        <v>-9.0399999999999991</v>
      </c>
      <c r="O938" t="s">
        <v>244</v>
      </c>
      <c r="P938">
        <v>7.35</v>
      </c>
      <c r="Q938">
        <v>7.02</v>
      </c>
      <c r="R938">
        <v>7.08</v>
      </c>
      <c r="S938">
        <v>7.09</v>
      </c>
      <c r="T938">
        <v>4.6500000000000004</v>
      </c>
      <c r="U938">
        <v>1.68</v>
      </c>
      <c r="V938">
        <v>-38.409999999999997</v>
      </c>
      <c r="W938">
        <v>-2352</v>
      </c>
      <c r="X938">
        <v>7.15</v>
      </c>
      <c r="Y938" t="s">
        <v>2147</v>
      </c>
      <c r="Z938" t="s">
        <v>1230</v>
      </c>
      <c r="AA938">
        <v>0.8</v>
      </c>
      <c r="AB938">
        <v>418</v>
      </c>
      <c r="AC938">
        <v>32</v>
      </c>
      <c r="AD938">
        <v>6.68</v>
      </c>
      <c r="AE938" t="s">
        <v>2434</v>
      </c>
      <c r="AF938" t="s">
        <v>454</v>
      </c>
      <c r="AG938" t="s">
        <v>2434</v>
      </c>
      <c r="AH938" t="s">
        <v>454</v>
      </c>
      <c r="AI938">
        <v>0.14000000000000001</v>
      </c>
      <c r="AJ938">
        <v>2.87</v>
      </c>
      <c r="AK938">
        <v>1.04</v>
      </c>
      <c r="AL938">
        <v>1.98</v>
      </c>
    </row>
    <row r="939" spans="1:38" x14ac:dyDescent="0.25">
      <c r="A939">
        <v>938</v>
      </c>
      <c r="B939" t="str">
        <f xml:space="preserve"> "600701"</f>
        <v>600701</v>
      </c>
      <c r="C939" t="s">
        <v>4290</v>
      </c>
      <c r="D939">
        <v>12.51</v>
      </c>
      <c r="E939">
        <v>0.16</v>
      </c>
      <c r="F939">
        <v>0.02</v>
      </c>
      <c r="G939" t="s">
        <v>362</v>
      </c>
      <c r="H939">
        <v>2</v>
      </c>
      <c r="I939">
        <v>12.52</v>
      </c>
      <c r="J939">
        <v>12.53</v>
      </c>
      <c r="K939">
        <v>0.08</v>
      </c>
      <c r="L939">
        <v>2.08</v>
      </c>
      <c r="M939" t="s">
        <v>3398</v>
      </c>
      <c r="N939">
        <v>44.36</v>
      </c>
      <c r="O939" t="s">
        <v>3277</v>
      </c>
      <c r="P939">
        <v>12.8</v>
      </c>
      <c r="Q939">
        <v>12.42</v>
      </c>
      <c r="R939">
        <v>12.5</v>
      </c>
      <c r="S939">
        <v>12.49</v>
      </c>
      <c r="T939">
        <v>3.04</v>
      </c>
      <c r="U939">
        <v>0.39</v>
      </c>
      <c r="V939">
        <v>-10.62</v>
      </c>
      <c r="W939">
        <v>-202</v>
      </c>
      <c r="X939">
        <v>12.56</v>
      </c>
      <c r="Y939" t="s">
        <v>3972</v>
      </c>
      <c r="Z939" t="s">
        <v>2962</v>
      </c>
      <c r="AA939">
        <v>1.1200000000000001</v>
      </c>
      <c r="AB939">
        <v>44</v>
      </c>
      <c r="AC939">
        <v>329</v>
      </c>
      <c r="AD939">
        <v>2.96</v>
      </c>
      <c r="AE939" t="s">
        <v>707</v>
      </c>
      <c r="AF939" t="s">
        <v>1080</v>
      </c>
      <c r="AG939" t="s">
        <v>1161</v>
      </c>
      <c r="AH939" t="s">
        <v>4069</v>
      </c>
      <c r="AI939">
        <v>-3.55</v>
      </c>
      <c r="AJ939">
        <v>2.29</v>
      </c>
      <c r="AK939">
        <v>10.84</v>
      </c>
      <c r="AL939">
        <v>28.96</v>
      </c>
    </row>
    <row r="940" spans="1:38" x14ac:dyDescent="0.25">
      <c r="A940">
        <v>939</v>
      </c>
      <c r="B940" t="str">
        <f xml:space="preserve"> "300083"</f>
        <v>300083</v>
      </c>
      <c r="C940" t="s">
        <v>4291</v>
      </c>
      <c r="D940">
        <v>9.0399999999999991</v>
      </c>
      <c r="E940">
        <v>1.23</v>
      </c>
      <c r="F940">
        <v>0.11</v>
      </c>
      <c r="G940" t="s">
        <v>1219</v>
      </c>
      <c r="H940">
        <v>5735</v>
      </c>
      <c r="I940">
        <v>9.0399999999999991</v>
      </c>
      <c r="J940">
        <v>9.0500000000000007</v>
      </c>
      <c r="K940">
        <v>0.11</v>
      </c>
      <c r="L940">
        <v>2.27</v>
      </c>
      <c r="M940" t="s">
        <v>2845</v>
      </c>
      <c r="N940">
        <v>21.38</v>
      </c>
      <c r="O940" t="s">
        <v>1229</v>
      </c>
      <c r="P940">
        <v>9.09</v>
      </c>
      <c r="Q940">
        <v>8.86</v>
      </c>
      <c r="R940">
        <v>8.94</v>
      </c>
      <c r="S940">
        <v>8.93</v>
      </c>
      <c r="T940">
        <v>2.58</v>
      </c>
      <c r="U940">
        <v>1.02</v>
      </c>
      <c r="V940">
        <v>-49.4</v>
      </c>
      <c r="W940">
        <v>-8876</v>
      </c>
      <c r="X940">
        <v>9</v>
      </c>
      <c r="Y940" t="s">
        <v>102</v>
      </c>
      <c r="Z940" t="s">
        <v>982</v>
      </c>
      <c r="AA940">
        <v>0.8</v>
      </c>
      <c r="AB940">
        <v>629</v>
      </c>
      <c r="AC940">
        <v>2798</v>
      </c>
      <c r="AD940">
        <v>2.41</v>
      </c>
      <c r="AE940" t="s">
        <v>2246</v>
      </c>
      <c r="AF940" t="s">
        <v>1080</v>
      </c>
      <c r="AG940" t="s">
        <v>2328</v>
      </c>
      <c r="AH940" t="s">
        <v>958</v>
      </c>
      <c r="AI940">
        <v>0.11</v>
      </c>
      <c r="AJ940">
        <v>3.2</v>
      </c>
      <c r="AK940">
        <v>6.71</v>
      </c>
      <c r="AL940">
        <v>13.43</v>
      </c>
    </row>
    <row r="941" spans="1:38" x14ac:dyDescent="0.25">
      <c r="A941">
        <v>940</v>
      </c>
      <c r="B941" t="str">
        <f xml:space="preserve"> "600185"</f>
        <v>600185</v>
      </c>
      <c r="C941" t="s">
        <v>4292</v>
      </c>
      <c r="D941">
        <v>6.28</v>
      </c>
      <c r="E941">
        <v>-0.16</v>
      </c>
      <c r="F941">
        <v>-0.01</v>
      </c>
      <c r="G941" t="s">
        <v>4293</v>
      </c>
      <c r="H941">
        <v>10</v>
      </c>
      <c r="I941">
        <v>6.28</v>
      </c>
      <c r="J941">
        <v>6.29</v>
      </c>
      <c r="K941">
        <v>0</v>
      </c>
      <c r="L941">
        <v>0.32</v>
      </c>
      <c r="M941" t="s">
        <v>4294</v>
      </c>
      <c r="N941">
        <v>23.36</v>
      </c>
      <c r="O941" t="s">
        <v>244</v>
      </c>
      <c r="P941">
        <v>6.31</v>
      </c>
      <c r="Q941">
        <v>6.24</v>
      </c>
      <c r="R941">
        <v>6.29</v>
      </c>
      <c r="S941">
        <v>6.29</v>
      </c>
      <c r="T941">
        <v>1.1100000000000001</v>
      </c>
      <c r="U941">
        <v>0.84</v>
      </c>
      <c r="V941">
        <v>-8.8000000000000007</v>
      </c>
      <c r="W941">
        <v>-1710</v>
      </c>
      <c r="X941">
        <v>6.28</v>
      </c>
      <c r="Y941" t="s">
        <v>2180</v>
      </c>
      <c r="Z941" t="s">
        <v>2741</v>
      </c>
      <c r="AA941">
        <v>1.44</v>
      </c>
      <c r="AB941">
        <v>590</v>
      </c>
      <c r="AC941">
        <v>1394</v>
      </c>
      <c r="AD941">
        <v>1.78</v>
      </c>
      <c r="AE941" t="s">
        <v>2797</v>
      </c>
      <c r="AF941" t="s">
        <v>1080</v>
      </c>
      <c r="AG941" t="s">
        <v>2797</v>
      </c>
      <c r="AH941" t="s">
        <v>1080</v>
      </c>
      <c r="AI941">
        <v>0.48</v>
      </c>
      <c r="AJ941">
        <v>2.4500000000000002</v>
      </c>
      <c r="AK941">
        <v>1.21</v>
      </c>
      <c r="AL941">
        <v>2.25</v>
      </c>
    </row>
    <row r="942" spans="1:38" x14ac:dyDescent="0.25">
      <c r="A942">
        <v>941</v>
      </c>
      <c r="B942" t="str">
        <f xml:space="preserve"> "300474"</f>
        <v>300474</v>
      </c>
      <c r="C942" t="s">
        <v>4295</v>
      </c>
      <c r="D942" t="s">
        <v>616</v>
      </c>
      <c r="E942" t="s">
        <v>616</v>
      </c>
      <c r="F942" t="s">
        <v>616</v>
      </c>
      <c r="G942" t="s">
        <v>616</v>
      </c>
      <c r="H942" t="s">
        <v>616</v>
      </c>
      <c r="I942" t="s">
        <v>616</v>
      </c>
      <c r="J942" t="s">
        <v>616</v>
      </c>
      <c r="K942" t="s">
        <v>616</v>
      </c>
      <c r="L942" t="s">
        <v>616</v>
      </c>
      <c r="M942" t="s">
        <v>616</v>
      </c>
      <c r="N942">
        <v>116.01</v>
      </c>
      <c r="O942" t="s">
        <v>553</v>
      </c>
      <c r="P942" t="s">
        <v>616</v>
      </c>
      <c r="Q942" t="s">
        <v>616</v>
      </c>
      <c r="R942" t="s">
        <v>616</v>
      </c>
      <c r="S942">
        <v>47.8</v>
      </c>
      <c r="T942" t="s">
        <v>616</v>
      </c>
      <c r="U942" t="s">
        <v>616</v>
      </c>
      <c r="V942" t="s">
        <v>616</v>
      </c>
      <c r="W942" t="s">
        <v>616</v>
      </c>
      <c r="X942" t="s">
        <v>616</v>
      </c>
      <c r="Y942" t="s">
        <v>616</v>
      </c>
      <c r="Z942" t="s">
        <v>616</v>
      </c>
      <c r="AA942" t="s">
        <v>616</v>
      </c>
      <c r="AB942" t="s">
        <v>616</v>
      </c>
      <c r="AC942" t="s">
        <v>616</v>
      </c>
      <c r="AD942">
        <v>13.14</v>
      </c>
      <c r="AE942" t="s">
        <v>4296</v>
      </c>
      <c r="AF942" t="s">
        <v>1080</v>
      </c>
      <c r="AG942" t="s">
        <v>4297</v>
      </c>
      <c r="AH942" t="s">
        <v>4298</v>
      </c>
      <c r="AI942">
        <v>-1.97</v>
      </c>
      <c r="AJ942">
        <v>0</v>
      </c>
      <c r="AK942">
        <v>5.16</v>
      </c>
      <c r="AL942">
        <v>20.86</v>
      </c>
    </row>
    <row r="943" spans="1:38" x14ac:dyDescent="0.25">
      <c r="A943">
        <v>942</v>
      </c>
      <c r="B943" t="str">
        <f xml:space="preserve"> "600621"</f>
        <v>600621</v>
      </c>
      <c r="C943" t="s">
        <v>4299</v>
      </c>
      <c r="D943">
        <v>12.18</v>
      </c>
      <c r="E943">
        <v>0.41</v>
      </c>
      <c r="F943">
        <v>0.05</v>
      </c>
      <c r="G943" t="s">
        <v>1276</v>
      </c>
      <c r="H943">
        <v>3</v>
      </c>
      <c r="I943">
        <v>12.18</v>
      </c>
      <c r="J943">
        <v>12.19</v>
      </c>
      <c r="K943">
        <v>0.08</v>
      </c>
      <c r="L943">
        <v>0.54</v>
      </c>
      <c r="M943" t="s">
        <v>4300</v>
      </c>
      <c r="N943">
        <v>95.5</v>
      </c>
      <c r="O943" t="s">
        <v>306</v>
      </c>
      <c r="P943">
        <v>12.22</v>
      </c>
      <c r="Q943">
        <v>12.05</v>
      </c>
      <c r="R943">
        <v>12.16</v>
      </c>
      <c r="S943">
        <v>12.13</v>
      </c>
      <c r="T943">
        <v>1.4</v>
      </c>
      <c r="U943">
        <v>0.71</v>
      </c>
      <c r="V943">
        <v>30.16</v>
      </c>
      <c r="W943">
        <v>715</v>
      </c>
      <c r="X943">
        <v>12.13</v>
      </c>
      <c r="Y943" t="s">
        <v>2313</v>
      </c>
      <c r="Z943" t="s">
        <v>124</v>
      </c>
      <c r="AA943">
        <v>1.24</v>
      </c>
      <c r="AB943">
        <v>250</v>
      </c>
      <c r="AC943">
        <v>214</v>
      </c>
      <c r="AD943">
        <v>2.2799999999999998</v>
      </c>
      <c r="AE943" t="s">
        <v>1554</v>
      </c>
      <c r="AF943" t="s">
        <v>1080</v>
      </c>
      <c r="AG943" t="s">
        <v>4119</v>
      </c>
      <c r="AH943" t="s">
        <v>4301</v>
      </c>
      <c r="AI943">
        <v>-0.9</v>
      </c>
      <c r="AJ943">
        <v>1.5</v>
      </c>
      <c r="AK943">
        <v>1.8</v>
      </c>
      <c r="AL943">
        <v>4.33</v>
      </c>
    </row>
    <row r="944" spans="1:38" x14ac:dyDescent="0.25">
      <c r="A944">
        <v>943</v>
      </c>
      <c r="B944" t="str">
        <f xml:space="preserve"> "600259"</f>
        <v>600259</v>
      </c>
      <c r="C944" t="s">
        <v>4302</v>
      </c>
      <c r="D944">
        <v>42.8</v>
      </c>
      <c r="E944">
        <v>1.28</v>
      </c>
      <c r="F944">
        <v>0.54</v>
      </c>
      <c r="G944" t="s">
        <v>1111</v>
      </c>
      <c r="H944">
        <v>7</v>
      </c>
      <c r="I944">
        <v>42.81</v>
      </c>
      <c r="J944">
        <v>42.82</v>
      </c>
      <c r="K944">
        <v>0</v>
      </c>
      <c r="L944">
        <v>1.26</v>
      </c>
      <c r="M944" t="s">
        <v>746</v>
      </c>
      <c r="N944">
        <v>-200.13</v>
      </c>
      <c r="O944" t="s">
        <v>449</v>
      </c>
      <c r="P944">
        <v>42.87</v>
      </c>
      <c r="Q944">
        <v>42.3</v>
      </c>
      <c r="R944">
        <v>42.3</v>
      </c>
      <c r="S944">
        <v>42.26</v>
      </c>
      <c r="T944">
        <v>1.35</v>
      </c>
      <c r="U944">
        <v>0.69</v>
      </c>
      <c r="V944">
        <v>-53.93</v>
      </c>
      <c r="W944">
        <v>-501</v>
      </c>
      <c r="X944">
        <v>42.69</v>
      </c>
      <c r="Y944" t="s">
        <v>2313</v>
      </c>
      <c r="Z944" t="s">
        <v>4303</v>
      </c>
      <c r="AA944">
        <v>0.94</v>
      </c>
      <c r="AB944">
        <v>3</v>
      </c>
      <c r="AC944">
        <v>203</v>
      </c>
      <c r="AD944">
        <v>6.8</v>
      </c>
      <c r="AE944" t="s">
        <v>1857</v>
      </c>
      <c r="AF944" t="s">
        <v>1080</v>
      </c>
      <c r="AG944" t="s">
        <v>149</v>
      </c>
      <c r="AH944" t="s">
        <v>1982</v>
      </c>
      <c r="AI944">
        <v>-0.28000000000000003</v>
      </c>
      <c r="AJ944">
        <v>-1.68</v>
      </c>
      <c r="AK944">
        <v>5.0999999999999996</v>
      </c>
      <c r="AL944">
        <v>10.41</v>
      </c>
    </row>
    <row r="945" spans="1:38" x14ac:dyDescent="0.25">
      <c r="A945">
        <v>944</v>
      </c>
      <c r="B945" t="str">
        <f xml:space="preserve"> "601311"</f>
        <v>601311</v>
      </c>
      <c r="C945" t="s">
        <v>4304</v>
      </c>
      <c r="D945">
        <v>15.21</v>
      </c>
      <c r="E945">
        <v>0.86</v>
      </c>
      <c r="F945">
        <v>0.13</v>
      </c>
      <c r="G945" t="s">
        <v>4198</v>
      </c>
      <c r="H945">
        <v>20</v>
      </c>
      <c r="I945">
        <v>15.2</v>
      </c>
      <c r="J945">
        <v>15.21</v>
      </c>
      <c r="K945">
        <v>0.13</v>
      </c>
      <c r="L945">
        <v>0.57999999999999996</v>
      </c>
      <c r="M945" t="s">
        <v>4305</v>
      </c>
      <c r="N945">
        <v>30.1</v>
      </c>
      <c r="O945" t="s">
        <v>680</v>
      </c>
      <c r="P945">
        <v>15.22</v>
      </c>
      <c r="Q945">
        <v>15.03</v>
      </c>
      <c r="R945">
        <v>15.08</v>
      </c>
      <c r="S945">
        <v>15.08</v>
      </c>
      <c r="T945">
        <v>1.26</v>
      </c>
      <c r="U945">
        <v>0.68</v>
      </c>
      <c r="V945">
        <v>-47.66</v>
      </c>
      <c r="W945">
        <v>-1860</v>
      </c>
      <c r="X945">
        <v>15.1</v>
      </c>
      <c r="Y945" t="s">
        <v>2696</v>
      </c>
      <c r="Z945" t="s">
        <v>3266</v>
      </c>
      <c r="AA945">
        <v>1.05</v>
      </c>
      <c r="AB945">
        <v>233</v>
      </c>
      <c r="AC945">
        <v>126</v>
      </c>
      <c r="AD945">
        <v>2.5</v>
      </c>
      <c r="AE945" t="s">
        <v>4306</v>
      </c>
      <c r="AF945" t="s">
        <v>1080</v>
      </c>
      <c r="AG945" t="s">
        <v>4306</v>
      </c>
      <c r="AH945" t="s">
        <v>1080</v>
      </c>
      <c r="AI945">
        <v>-7.0000000000000007E-2</v>
      </c>
      <c r="AJ945">
        <v>-1.74</v>
      </c>
      <c r="AK945">
        <v>2.0099999999999998</v>
      </c>
      <c r="AL945">
        <v>4.9000000000000004</v>
      </c>
    </row>
    <row r="946" spans="1:38" x14ac:dyDescent="0.25">
      <c r="A946">
        <v>945</v>
      </c>
      <c r="B946" t="str">
        <f xml:space="preserve"> "002597"</f>
        <v>002597</v>
      </c>
      <c r="C946" t="s">
        <v>4307</v>
      </c>
      <c r="D946">
        <v>22.86</v>
      </c>
      <c r="E946">
        <v>2.97</v>
      </c>
      <c r="F946">
        <v>0.66</v>
      </c>
      <c r="G946" t="s">
        <v>4308</v>
      </c>
      <c r="H946">
        <v>3979</v>
      </c>
      <c r="I946">
        <v>22.86</v>
      </c>
      <c r="J946">
        <v>22.87</v>
      </c>
      <c r="K946">
        <v>0.35</v>
      </c>
      <c r="L946">
        <v>1.73</v>
      </c>
      <c r="M946" t="s">
        <v>1666</v>
      </c>
      <c r="N946">
        <v>13.32</v>
      </c>
      <c r="O946" t="s">
        <v>667</v>
      </c>
      <c r="P946">
        <v>22.86</v>
      </c>
      <c r="Q946">
        <v>22.22</v>
      </c>
      <c r="R946">
        <v>22.24</v>
      </c>
      <c r="S946">
        <v>22.2</v>
      </c>
      <c r="T946">
        <v>2.88</v>
      </c>
      <c r="U946">
        <v>0.93</v>
      </c>
      <c r="V946">
        <v>47.23</v>
      </c>
      <c r="W946">
        <v>2393</v>
      </c>
      <c r="X946">
        <v>22.59</v>
      </c>
      <c r="Y946" t="s">
        <v>1111</v>
      </c>
      <c r="Z946" t="s">
        <v>4097</v>
      </c>
      <c r="AA946">
        <v>0.5</v>
      </c>
      <c r="AB946">
        <v>475</v>
      </c>
      <c r="AC946">
        <v>43</v>
      </c>
      <c r="AD946">
        <v>4.7300000000000004</v>
      </c>
      <c r="AE946" t="s">
        <v>2954</v>
      </c>
      <c r="AF946" t="s">
        <v>1080</v>
      </c>
      <c r="AG946" t="s">
        <v>3985</v>
      </c>
      <c r="AH946" t="s">
        <v>632</v>
      </c>
      <c r="AI946">
        <v>2.14</v>
      </c>
      <c r="AJ946">
        <v>3.67</v>
      </c>
      <c r="AK946">
        <v>4.46</v>
      </c>
      <c r="AL946">
        <v>11.02</v>
      </c>
    </row>
    <row r="947" spans="1:38" x14ac:dyDescent="0.25">
      <c r="A947">
        <v>946</v>
      </c>
      <c r="B947" t="str">
        <f xml:space="preserve"> "002421"</f>
        <v>002421</v>
      </c>
      <c r="C947" t="s">
        <v>4309</v>
      </c>
      <c r="D947">
        <v>6.68</v>
      </c>
      <c r="E947">
        <v>0.75</v>
      </c>
      <c r="F947">
        <v>0.05</v>
      </c>
      <c r="G947" t="s">
        <v>1248</v>
      </c>
      <c r="H947">
        <v>5501</v>
      </c>
      <c r="I947">
        <v>6.67</v>
      </c>
      <c r="J947">
        <v>6.68</v>
      </c>
      <c r="K947">
        <v>0.15</v>
      </c>
      <c r="L947">
        <v>1.75</v>
      </c>
      <c r="M947" t="s">
        <v>2339</v>
      </c>
      <c r="N947">
        <v>62.04</v>
      </c>
      <c r="O947" t="s">
        <v>893</v>
      </c>
      <c r="P947">
        <v>6.72</v>
      </c>
      <c r="Q947">
        <v>6.53</v>
      </c>
      <c r="R947">
        <v>6.56</v>
      </c>
      <c r="S947">
        <v>6.63</v>
      </c>
      <c r="T947">
        <v>2.87</v>
      </c>
      <c r="U947">
        <v>0.54</v>
      </c>
      <c r="V947">
        <v>-33.74</v>
      </c>
      <c r="W947">
        <v>-6004</v>
      </c>
      <c r="X947">
        <v>6.62</v>
      </c>
      <c r="Y947" t="s">
        <v>337</v>
      </c>
      <c r="Z947" t="s">
        <v>1834</v>
      </c>
      <c r="AA947">
        <v>0.83</v>
      </c>
      <c r="AB947">
        <v>1456</v>
      </c>
      <c r="AC947">
        <v>1373</v>
      </c>
      <c r="AD947">
        <v>4.46</v>
      </c>
      <c r="AE947" t="s">
        <v>486</v>
      </c>
      <c r="AF947" t="s">
        <v>632</v>
      </c>
      <c r="AG947" t="s">
        <v>1715</v>
      </c>
      <c r="AH947" t="s">
        <v>4310</v>
      </c>
      <c r="AI947">
        <v>-4.16</v>
      </c>
      <c r="AJ947">
        <v>-5.92</v>
      </c>
      <c r="AK947">
        <v>8.15</v>
      </c>
      <c r="AL947">
        <v>18.100000000000001</v>
      </c>
    </row>
    <row r="948" spans="1:38" x14ac:dyDescent="0.25">
      <c r="A948">
        <v>947</v>
      </c>
      <c r="B948" t="str">
        <f xml:space="preserve"> "603298"</f>
        <v>603298</v>
      </c>
      <c r="C948" t="s">
        <v>4311</v>
      </c>
      <c r="D948">
        <v>20.74</v>
      </c>
      <c r="E948">
        <v>0.57999999999999996</v>
      </c>
      <c r="F948">
        <v>0.12</v>
      </c>
      <c r="G948" t="s">
        <v>2515</v>
      </c>
      <c r="H948">
        <v>2</v>
      </c>
      <c r="I948">
        <v>20.73</v>
      </c>
      <c r="J948">
        <v>20.74</v>
      </c>
      <c r="K948">
        <v>0.05</v>
      </c>
      <c r="L948">
        <v>3.59</v>
      </c>
      <c r="M948" t="s">
        <v>4312</v>
      </c>
      <c r="N948">
        <v>22.82</v>
      </c>
      <c r="O948" t="s">
        <v>648</v>
      </c>
      <c r="P948">
        <v>20.85</v>
      </c>
      <c r="Q948">
        <v>20.61</v>
      </c>
      <c r="R948">
        <v>20.68</v>
      </c>
      <c r="S948">
        <v>20.62</v>
      </c>
      <c r="T948">
        <v>1.1599999999999999</v>
      </c>
      <c r="U948">
        <v>0.89</v>
      </c>
      <c r="V948">
        <v>-32.35</v>
      </c>
      <c r="W948">
        <v>-290</v>
      </c>
      <c r="X948">
        <v>20.71</v>
      </c>
      <c r="Y948" t="s">
        <v>2773</v>
      </c>
      <c r="Z948" t="s">
        <v>2453</v>
      </c>
      <c r="AA948">
        <v>1.1000000000000001</v>
      </c>
      <c r="AB948">
        <v>77</v>
      </c>
      <c r="AC948">
        <v>192</v>
      </c>
      <c r="AD948">
        <v>3.89</v>
      </c>
      <c r="AE948" t="s">
        <v>4313</v>
      </c>
      <c r="AF948" t="s">
        <v>632</v>
      </c>
      <c r="AG948" t="s">
        <v>4314</v>
      </c>
      <c r="AH948" t="s">
        <v>2434</v>
      </c>
      <c r="AI948">
        <v>2.52</v>
      </c>
      <c r="AJ948">
        <v>6.85</v>
      </c>
      <c r="AK948">
        <v>16.95</v>
      </c>
      <c r="AL948">
        <v>23.84</v>
      </c>
    </row>
    <row r="949" spans="1:38" x14ac:dyDescent="0.25">
      <c r="A949">
        <v>948</v>
      </c>
      <c r="B949" t="str">
        <f xml:space="preserve"> "600563"</f>
        <v>600563</v>
      </c>
      <c r="C949" t="s">
        <v>4315</v>
      </c>
      <c r="D949">
        <v>56.99</v>
      </c>
      <c r="E949">
        <v>1.77</v>
      </c>
      <c r="F949">
        <v>0.99</v>
      </c>
      <c r="G949" t="s">
        <v>3251</v>
      </c>
      <c r="H949">
        <v>6</v>
      </c>
      <c r="I949">
        <v>56.98</v>
      </c>
      <c r="J949">
        <v>56.99</v>
      </c>
      <c r="K949">
        <v>-0.02</v>
      </c>
      <c r="L949">
        <v>0.84</v>
      </c>
      <c r="M949" t="s">
        <v>1635</v>
      </c>
      <c r="N949">
        <v>33.82</v>
      </c>
      <c r="O949" t="s">
        <v>380</v>
      </c>
      <c r="P949">
        <v>57.07</v>
      </c>
      <c r="Q949">
        <v>55.55</v>
      </c>
      <c r="R949">
        <v>56.07</v>
      </c>
      <c r="S949">
        <v>56</v>
      </c>
      <c r="T949">
        <v>2.71</v>
      </c>
      <c r="U949">
        <v>1.05</v>
      </c>
      <c r="V949">
        <v>-14.29</v>
      </c>
      <c r="W949">
        <v>-27</v>
      </c>
      <c r="X949">
        <v>56.28</v>
      </c>
      <c r="Y949" t="s">
        <v>3941</v>
      </c>
      <c r="Z949">
        <v>7426</v>
      </c>
      <c r="AA949">
        <v>1.54</v>
      </c>
      <c r="AB949">
        <v>12</v>
      </c>
      <c r="AC949">
        <v>12</v>
      </c>
      <c r="AD949">
        <v>6.29</v>
      </c>
      <c r="AE949" t="s">
        <v>845</v>
      </c>
      <c r="AF949" t="s">
        <v>632</v>
      </c>
      <c r="AG949" t="s">
        <v>845</v>
      </c>
      <c r="AH949" t="s">
        <v>632</v>
      </c>
      <c r="AI949">
        <v>-0.16</v>
      </c>
      <c r="AJ949">
        <v>-3.05</v>
      </c>
      <c r="AK949">
        <v>2.56</v>
      </c>
      <c r="AL949">
        <v>4.82</v>
      </c>
    </row>
    <row r="950" spans="1:38" x14ac:dyDescent="0.25">
      <c r="A950">
        <v>949</v>
      </c>
      <c r="B950" t="str">
        <f xml:space="preserve"> "603055"</f>
        <v>603055</v>
      </c>
      <c r="C950" t="s">
        <v>4316</v>
      </c>
      <c r="D950">
        <v>23.35</v>
      </c>
      <c r="E950">
        <v>-0.6</v>
      </c>
      <c r="F950">
        <v>-0.14000000000000001</v>
      </c>
      <c r="G950" t="s">
        <v>225</v>
      </c>
      <c r="H950">
        <v>82</v>
      </c>
      <c r="I950">
        <v>23.38</v>
      </c>
      <c r="J950">
        <v>23.39</v>
      </c>
      <c r="K950">
        <v>-0.47</v>
      </c>
      <c r="L950">
        <v>22.53</v>
      </c>
      <c r="M950" t="s">
        <v>852</v>
      </c>
      <c r="N950">
        <v>31.78</v>
      </c>
      <c r="O950" t="s">
        <v>1443</v>
      </c>
      <c r="P950">
        <v>24.39</v>
      </c>
      <c r="Q950">
        <v>22.7</v>
      </c>
      <c r="R950">
        <v>23.07</v>
      </c>
      <c r="S950">
        <v>23.49</v>
      </c>
      <c r="T950">
        <v>7.19</v>
      </c>
      <c r="U950">
        <v>0.68</v>
      </c>
      <c r="V950">
        <v>59.62</v>
      </c>
      <c r="W950">
        <v>253</v>
      </c>
      <c r="X950">
        <v>23.62</v>
      </c>
      <c r="Y950" t="s">
        <v>1995</v>
      </c>
      <c r="Z950" t="s">
        <v>4317</v>
      </c>
      <c r="AA950">
        <v>1.1299999999999999</v>
      </c>
      <c r="AB950">
        <v>177</v>
      </c>
      <c r="AC950">
        <v>3</v>
      </c>
      <c r="AD950">
        <v>6.03</v>
      </c>
      <c r="AE950" t="s">
        <v>3785</v>
      </c>
      <c r="AF950" t="s">
        <v>632</v>
      </c>
      <c r="AG950" t="s">
        <v>4318</v>
      </c>
      <c r="AH950" t="s">
        <v>2299</v>
      </c>
      <c r="AI950">
        <v>-8.82</v>
      </c>
      <c r="AJ950">
        <v>9.27</v>
      </c>
      <c r="AK950">
        <v>101.56</v>
      </c>
      <c r="AL950">
        <v>188.92</v>
      </c>
    </row>
    <row r="951" spans="1:38" x14ac:dyDescent="0.25">
      <c r="A951">
        <v>950</v>
      </c>
      <c r="B951" t="str">
        <f xml:space="preserve"> "000525"</f>
        <v>000525</v>
      </c>
      <c r="C951" t="s">
        <v>4319</v>
      </c>
      <c r="D951">
        <v>22</v>
      </c>
      <c r="E951">
        <v>-1.35</v>
      </c>
      <c r="F951">
        <v>-0.3</v>
      </c>
      <c r="G951" t="s">
        <v>3264</v>
      </c>
      <c r="H951">
        <v>683</v>
      </c>
      <c r="I951">
        <v>21.99</v>
      </c>
      <c r="J951">
        <v>22</v>
      </c>
      <c r="K951">
        <v>0.09</v>
      </c>
      <c r="L951">
        <v>0.99</v>
      </c>
      <c r="M951" t="s">
        <v>679</v>
      </c>
      <c r="N951">
        <v>18.21</v>
      </c>
      <c r="O951" t="s">
        <v>1936</v>
      </c>
      <c r="P951">
        <v>22.2</v>
      </c>
      <c r="Q951">
        <v>21.81</v>
      </c>
      <c r="R951">
        <v>22.2</v>
      </c>
      <c r="S951">
        <v>22.3</v>
      </c>
      <c r="T951">
        <v>1.75</v>
      </c>
      <c r="U951">
        <v>0.74</v>
      </c>
      <c r="V951">
        <v>32.82</v>
      </c>
      <c r="W951">
        <v>473</v>
      </c>
      <c r="X951">
        <v>21.94</v>
      </c>
      <c r="Y951" t="s">
        <v>1321</v>
      </c>
      <c r="Z951" t="s">
        <v>507</v>
      </c>
      <c r="AA951">
        <v>1.57</v>
      </c>
      <c r="AB951">
        <v>298</v>
      </c>
      <c r="AC951">
        <v>220</v>
      </c>
      <c r="AD951">
        <v>2.59</v>
      </c>
      <c r="AE951" t="s">
        <v>4320</v>
      </c>
      <c r="AF951" t="s">
        <v>632</v>
      </c>
      <c r="AG951" t="s">
        <v>4321</v>
      </c>
      <c r="AH951" t="s">
        <v>2921</v>
      </c>
      <c r="AI951">
        <v>0</v>
      </c>
      <c r="AJ951">
        <v>3.82</v>
      </c>
      <c r="AK951">
        <v>4.4400000000000004</v>
      </c>
      <c r="AL951">
        <v>7.68</v>
      </c>
    </row>
    <row r="952" spans="1:38" x14ac:dyDescent="0.25">
      <c r="A952">
        <v>951</v>
      </c>
      <c r="B952" t="str">
        <f xml:space="preserve"> "603626"</f>
        <v>603626</v>
      </c>
      <c r="C952" t="s">
        <v>4322</v>
      </c>
      <c r="D952">
        <v>43.28</v>
      </c>
      <c r="E952">
        <v>7.58</v>
      </c>
      <c r="F952">
        <v>3.05</v>
      </c>
      <c r="G952" t="s">
        <v>3639</v>
      </c>
      <c r="H952">
        <v>3</v>
      </c>
      <c r="I952">
        <v>43.28</v>
      </c>
      <c r="J952">
        <v>43.29</v>
      </c>
      <c r="K952">
        <v>0</v>
      </c>
      <c r="L952">
        <v>6.08</v>
      </c>
      <c r="M952" t="s">
        <v>1371</v>
      </c>
      <c r="N952">
        <v>111.26</v>
      </c>
      <c r="O952" t="s">
        <v>1229</v>
      </c>
      <c r="P952">
        <v>43.97</v>
      </c>
      <c r="Q952">
        <v>40.020000000000003</v>
      </c>
      <c r="R952">
        <v>40.450000000000003</v>
      </c>
      <c r="S952">
        <v>40.229999999999997</v>
      </c>
      <c r="T952">
        <v>9.82</v>
      </c>
      <c r="U952">
        <v>1.68</v>
      </c>
      <c r="V952">
        <v>60.69</v>
      </c>
      <c r="W952">
        <v>631</v>
      </c>
      <c r="X952">
        <v>42.01</v>
      </c>
      <c r="Y952" t="s">
        <v>1454</v>
      </c>
      <c r="Z952" t="s">
        <v>3931</v>
      </c>
      <c r="AA952">
        <v>0.86</v>
      </c>
      <c r="AB952">
        <v>7</v>
      </c>
      <c r="AC952">
        <v>1</v>
      </c>
      <c r="AD952">
        <v>8.23</v>
      </c>
      <c r="AE952" t="s">
        <v>4323</v>
      </c>
      <c r="AF952" t="s">
        <v>632</v>
      </c>
      <c r="AG952" t="s">
        <v>4324</v>
      </c>
      <c r="AH952" t="s">
        <v>1172</v>
      </c>
      <c r="AI952">
        <v>6.21</v>
      </c>
      <c r="AJ952">
        <v>-0.51</v>
      </c>
      <c r="AK952">
        <v>15.25</v>
      </c>
      <c r="AL952">
        <v>24.18</v>
      </c>
    </row>
    <row r="953" spans="1:38" x14ac:dyDescent="0.25">
      <c r="A953">
        <v>952</v>
      </c>
      <c r="B953" t="str">
        <f xml:space="preserve"> "002251"</f>
        <v>002251</v>
      </c>
      <c r="C953" t="s">
        <v>4325</v>
      </c>
      <c r="D953">
        <v>14.77</v>
      </c>
      <c r="E953">
        <v>-0.87</v>
      </c>
      <c r="F953">
        <v>-0.13</v>
      </c>
      <c r="G953" t="s">
        <v>541</v>
      </c>
      <c r="H953">
        <v>2100</v>
      </c>
      <c r="I953">
        <v>14.76</v>
      </c>
      <c r="J953">
        <v>14.77</v>
      </c>
      <c r="K953">
        <v>0.14000000000000001</v>
      </c>
      <c r="L953">
        <v>1.56</v>
      </c>
      <c r="M953" t="s">
        <v>4326</v>
      </c>
      <c r="N953">
        <v>30.66</v>
      </c>
      <c r="O953" t="s">
        <v>532</v>
      </c>
      <c r="P953">
        <v>15.07</v>
      </c>
      <c r="Q953">
        <v>14.6</v>
      </c>
      <c r="R953">
        <v>14.8</v>
      </c>
      <c r="S953">
        <v>14.9</v>
      </c>
      <c r="T953">
        <v>3.15</v>
      </c>
      <c r="U953">
        <v>0.79</v>
      </c>
      <c r="V953">
        <v>12.15</v>
      </c>
      <c r="W953">
        <v>461</v>
      </c>
      <c r="X953">
        <v>14.81</v>
      </c>
      <c r="Y953" t="s">
        <v>2770</v>
      </c>
      <c r="Z953" t="s">
        <v>2702</v>
      </c>
      <c r="AA953">
        <v>1.21</v>
      </c>
      <c r="AB953">
        <v>221</v>
      </c>
      <c r="AC953">
        <v>386</v>
      </c>
      <c r="AD953">
        <v>2.0299999999999998</v>
      </c>
      <c r="AE953" t="s">
        <v>4327</v>
      </c>
      <c r="AF953" t="s">
        <v>632</v>
      </c>
      <c r="AG953" t="s">
        <v>4328</v>
      </c>
      <c r="AH953" t="s">
        <v>958</v>
      </c>
      <c r="AI953">
        <v>0.2</v>
      </c>
      <c r="AJ953">
        <v>9.41</v>
      </c>
      <c r="AK953">
        <v>5.67</v>
      </c>
      <c r="AL953">
        <v>11.53</v>
      </c>
    </row>
    <row r="954" spans="1:38" x14ac:dyDescent="0.25">
      <c r="A954">
        <v>953</v>
      </c>
      <c r="B954" t="str">
        <f xml:space="preserve"> "002759"</f>
        <v>002759</v>
      </c>
      <c r="C954" t="s">
        <v>4329</v>
      </c>
      <c r="D954">
        <v>28.16</v>
      </c>
      <c r="E954">
        <v>-1.5</v>
      </c>
      <c r="F954">
        <v>-0.43</v>
      </c>
      <c r="G954" t="s">
        <v>808</v>
      </c>
      <c r="H954">
        <v>444</v>
      </c>
      <c r="I954">
        <v>28.15</v>
      </c>
      <c r="J954">
        <v>28.16</v>
      </c>
      <c r="K954">
        <v>-0.04</v>
      </c>
      <c r="L954">
        <v>1.1599999999999999</v>
      </c>
      <c r="M954" t="s">
        <v>4330</v>
      </c>
      <c r="N954">
        <v>47.3</v>
      </c>
      <c r="O954" t="s">
        <v>215</v>
      </c>
      <c r="P954">
        <v>28.5</v>
      </c>
      <c r="Q954">
        <v>28.13</v>
      </c>
      <c r="R954">
        <v>28.4</v>
      </c>
      <c r="S954">
        <v>28.59</v>
      </c>
      <c r="T954">
        <v>1.29</v>
      </c>
      <c r="U954">
        <v>0.61</v>
      </c>
      <c r="V954">
        <v>-59.05</v>
      </c>
      <c r="W954">
        <v>-349</v>
      </c>
      <c r="X954">
        <v>28.23</v>
      </c>
      <c r="Y954">
        <v>5352</v>
      </c>
      <c r="Z954">
        <v>5755</v>
      </c>
      <c r="AA954">
        <v>0.93</v>
      </c>
      <c r="AB954">
        <v>47</v>
      </c>
      <c r="AC954">
        <v>324</v>
      </c>
      <c r="AD954">
        <v>3.69</v>
      </c>
      <c r="AE954" t="s">
        <v>3242</v>
      </c>
      <c r="AF954" t="s">
        <v>1762</v>
      </c>
      <c r="AG954" t="s">
        <v>4331</v>
      </c>
      <c r="AH954" t="s">
        <v>547</v>
      </c>
      <c r="AI954">
        <v>-2.4300000000000002</v>
      </c>
      <c r="AJ954">
        <v>1.88</v>
      </c>
      <c r="AK954">
        <v>3.33</v>
      </c>
      <c r="AL954">
        <v>10.64</v>
      </c>
    </row>
    <row r="955" spans="1:38" x14ac:dyDescent="0.25">
      <c r="A955">
        <v>954</v>
      </c>
      <c r="B955" t="str">
        <f xml:space="preserve"> "600316"</f>
        <v>600316</v>
      </c>
      <c r="C955" t="s">
        <v>4332</v>
      </c>
      <c r="D955">
        <v>17.75</v>
      </c>
      <c r="E955">
        <v>-1.17</v>
      </c>
      <c r="F955">
        <v>-0.21</v>
      </c>
      <c r="G955" t="s">
        <v>4333</v>
      </c>
      <c r="H955">
        <v>70</v>
      </c>
      <c r="I955">
        <v>17.739999999999998</v>
      </c>
      <c r="J955">
        <v>17.75</v>
      </c>
      <c r="K955">
        <v>0.17</v>
      </c>
      <c r="L955">
        <v>1.2</v>
      </c>
      <c r="M955" t="s">
        <v>2231</v>
      </c>
      <c r="N955">
        <v>-106.8</v>
      </c>
      <c r="O955" t="s">
        <v>926</v>
      </c>
      <c r="P955">
        <v>17.86</v>
      </c>
      <c r="Q955">
        <v>17.579999999999998</v>
      </c>
      <c r="R955">
        <v>17.8</v>
      </c>
      <c r="S955">
        <v>17.96</v>
      </c>
      <c r="T955">
        <v>1.56</v>
      </c>
      <c r="U955">
        <v>1.03</v>
      </c>
      <c r="V955">
        <v>-11.01</v>
      </c>
      <c r="W955">
        <v>-122</v>
      </c>
      <c r="X955">
        <v>17.68</v>
      </c>
      <c r="Y955" t="s">
        <v>3819</v>
      </c>
      <c r="Z955" t="s">
        <v>1525</v>
      </c>
      <c r="AA955">
        <v>1.71</v>
      </c>
      <c r="AB955">
        <v>230</v>
      </c>
      <c r="AC955">
        <v>1</v>
      </c>
      <c r="AD955">
        <v>2.57</v>
      </c>
      <c r="AE955" t="s">
        <v>3478</v>
      </c>
      <c r="AF955" t="s">
        <v>1762</v>
      </c>
      <c r="AG955" t="s">
        <v>3478</v>
      </c>
      <c r="AH955" t="s">
        <v>1762</v>
      </c>
      <c r="AI955">
        <v>1.95</v>
      </c>
      <c r="AJ955">
        <v>2.84</v>
      </c>
      <c r="AK955">
        <v>4.74</v>
      </c>
      <c r="AL955">
        <v>7</v>
      </c>
    </row>
    <row r="956" spans="1:38" x14ac:dyDescent="0.25">
      <c r="A956">
        <v>955</v>
      </c>
      <c r="B956" t="str">
        <f xml:space="preserve"> "000797"</f>
        <v>000797</v>
      </c>
      <c r="C956" t="s">
        <v>4334</v>
      </c>
      <c r="D956">
        <v>12.73</v>
      </c>
      <c r="E956">
        <v>1.03</v>
      </c>
      <c r="F956">
        <v>0.13</v>
      </c>
      <c r="G956" t="s">
        <v>4335</v>
      </c>
      <c r="H956">
        <v>1610</v>
      </c>
      <c r="I956">
        <v>12.73</v>
      </c>
      <c r="J956">
        <v>12.74</v>
      </c>
      <c r="K956">
        <v>0.08</v>
      </c>
      <c r="L956">
        <v>0.97</v>
      </c>
      <c r="M956" t="s">
        <v>1907</v>
      </c>
      <c r="N956">
        <v>117.5</v>
      </c>
      <c r="O956" t="s">
        <v>244</v>
      </c>
      <c r="P956">
        <v>12.78</v>
      </c>
      <c r="Q956">
        <v>12.52</v>
      </c>
      <c r="R956">
        <v>12.61</v>
      </c>
      <c r="S956">
        <v>12.6</v>
      </c>
      <c r="T956">
        <v>2.06</v>
      </c>
      <c r="U956">
        <v>0.41</v>
      </c>
      <c r="V956">
        <v>-36.840000000000003</v>
      </c>
      <c r="W956">
        <v>-1780</v>
      </c>
      <c r="X956">
        <v>12.68</v>
      </c>
      <c r="Y956" t="s">
        <v>3297</v>
      </c>
      <c r="Z956" t="s">
        <v>2058</v>
      </c>
      <c r="AA956">
        <v>1</v>
      </c>
      <c r="AB956">
        <v>329</v>
      </c>
      <c r="AC956">
        <v>439</v>
      </c>
      <c r="AD956">
        <v>5.69</v>
      </c>
      <c r="AE956" t="s">
        <v>4336</v>
      </c>
      <c r="AF956" t="s">
        <v>1762</v>
      </c>
      <c r="AG956" t="s">
        <v>2980</v>
      </c>
      <c r="AH956" t="s">
        <v>2006</v>
      </c>
      <c r="AI956">
        <v>2.5</v>
      </c>
      <c r="AJ956">
        <v>0.63</v>
      </c>
      <c r="AK956">
        <v>4.1500000000000004</v>
      </c>
      <c r="AL956">
        <v>12.84</v>
      </c>
    </row>
    <row r="957" spans="1:38" x14ac:dyDescent="0.25">
      <c r="A957">
        <v>956</v>
      </c>
      <c r="B957" t="str">
        <f xml:space="preserve"> "600963"</f>
        <v>600963</v>
      </c>
      <c r="C957" t="s">
        <v>4337</v>
      </c>
      <c r="D957">
        <v>9.1</v>
      </c>
      <c r="E957">
        <v>3.06</v>
      </c>
      <c r="F957">
        <v>0.27</v>
      </c>
      <c r="G957" t="s">
        <v>4338</v>
      </c>
      <c r="H957">
        <v>199</v>
      </c>
      <c r="I957">
        <v>9.09</v>
      </c>
      <c r="J957">
        <v>9.1</v>
      </c>
      <c r="K957">
        <v>-0.11</v>
      </c>
      <c r="L957">
        <v>3.97</v>
      </c>
      <c r="M957" t="s">
        <v>4339</v>
      </c>
      <c r="N957">
        <v>78.180000000000007</v>
      </c>
      <c r="O957" t="s">
        <v>1874</v>
      </c>
      <c r="P957">
        <v>9.15</v>
      </c>
      <c r="Q957">
        <v>8.8800000000000008</v>
      </c>
      <c r="R957">
        <v>8.92</v>
      </c>
      <c r="S957">
        <v>8.83</v>
      </c>
      <c r="T957">
        <v>3.06</v>
      </c>
      <c r="U957">
        <v>2.06</v>
      </c>
      <c r="V957">
        <v>-68.72</v>
      </c>
      <c r="W957">
        <v>-9090</v>
      </c>
      <c r="X957">
        <v>9.0299999999999994</v>
      </c>
      <c r="Y957" t="s">
        <v>4340</v>
      </c>
      <c r="Z957" t="s">
        <v>1248</v>
      </c>
      <c r="AA957">
        <v>0.68</v>
      </c>
      <c r="AB957">
        <v>636</v>
      </c>
      <c r="AC957">
        <v>588</v>
      </c>
      <c r="AD957">
        <v>1.68</v>
      </c>
      <c r="AE957" t="s">
        <v>803</v>
      </c>
      <c r="AF957" t="s">
        <v>1762</v>
      </c>
      <c r="AG957" t="s">
        <v>755</v>
      </c>
      <c r="AH957" t="s">
        <v>4341</v>
      </c>
      <c r="AI957">
        <v>0.33</v>
      </c>
      <c r="AJ957">
        <v>6.43</v>
      </c>
      <c r="AK957">
        <v>6.92</v>
      </c>
      <c r="AL957">
        <v>13.63</v>
      </c>
    </row>
    <row r="958" spans="1:38" x14ac:dyDescent="0.25">
      <c r="A958">
        <v>957</v>
      </c>
      <c r="B958" t="str">
        <f xml:space="preserve"> "601020"</f>
        <v>601020</v>
      </c>
      <c r="C958" t="s">
        <v>4342</v>
      </c>
      <c r="D958">
        <v>24.18</v>
      </c>
      <c r="E958">
        <v>0.83</v>
      </c>
      <c r="F958">
        <v>0.2</v>
      </c>
      <c r="G958" t="s">
        <v>1602</v>
      </c>
      <c r="H958">
        <v>7</v>
      </c>
      <c r="I958">
        <v>24.17</v>
      </c>
      <c r="J958">
        <v>24.19</v>
      </c>
      <c r="K958">
        <v>0</v>
      </c>
      <c r="L958">
        <v>1.0900000000000001</v>
      </c>
      <c r="M958" t="s">
        <v>4343</v>
      </c>
      <c r="N958">
        <v>51.19</v>
      </c>
      <c r="O958" t="s">
        <v>449</v>
      </c>
      <c r="P958">
        <v>24.27</v>
      </c>
      <c r="Q958">
        <v>23.9</v>
      </c>
      <c r="R958">
        <v>23.97</v>
      </c>
      <c r="S958">
        <v>23.98</v>
      </c>
      <c r="T958">
        <v>1.54</v>
      </c>
      <c r="U958">
        <v>0.74</v>
      </c>
      <c r="V958">
        <v>-33.33</v>
      </c>
      <c r="W958">
        <v>-310</v>
      </c>
      <c r="X958">
        <v>24.13</v>
      </c>
      <c r="Y958" t="s">
        <v>3950</v>
      </c>
      <c r="Z958" t="s">
        <v>3950</v>
      </c>
      <c r="AA958">
        <v>1</v>
      </c>
      <c r="AB958">
        <v>40</v>
      </c>
      <c r="AC958">
        <v>207</v>
      </c>
      <c r="AD958">
        <v>7.83</v>
      </c>
      <c r="AE958" t="s">
        <v>1806</v>
      </c>
      <c r="AF958" t="s">
        <v>1762</v>
      </c>
      <c r="AG958" t="s">
        <v>4344</v>
      </c>
      <c r="AH958" t="s">
        <v>4345</v>
      </c>
      <c r="AI958">
        <v>-3.09</v>
      </c>
      <c r="AJ958">
        <v>-4.01</v>
      </c>
      <c r="AK958">
        <v>4.3499999999999996</v>
      </c>
      <c r="AL958">
        <v>8.43</v>
      </c>
    </row>
    <row r="959" spans="1:38" x14ac:dyDescent="0.25">
      <c r="A959">
        <v>958</v>
      </c>
      <c r="B959" t="str">
        <f xml:space="preserve"> "002690"</f>
        <v>002690</v>
      </c>
      <c r="C959" t="s">
        <v>4346</v>
      </c>
      <c r="D959">
        <v>18.77</v>
      </c>
      <c r="E959">
        <v>-0.21</v>
      </c>
      <c r="F959">
        <v>-0.04</v>
      </c>
      <c r="G959" t="s">
        <v>113</v>
      </c>
      <c r="H959">
        <v>55</v>
      </c>
      <c r="I959">
        <v>18.77</v>
      </c>
      <c r="J959">
        <v>18.78</v>
      </c>
      <c r="K959">
        <v>-0.05</v>
      </c>
      <c r="L959">
        <v>0.66</v>
      </c>
      <c r="M959" t="s">
        <v>4347</v>
      </c>
      <c r="N959">
        <v>44.77</v>
      </c>
      <c r="O959" t="s">
        <v>2647</v>
      </c>
      <c r="P959">
        <v>19.07</v>
      </c>
      <c r="Q959">
        <v>18.670000000000002</v>
      </c>
      <c r="R959">
        <v>18.82</v>
      </c>
      <c r="S959">
        <v>18.809999999999999</v>
      </c>
      <c r="T959">
        <v>2.13</v>
      </c>
      <c r="U959">
        <v>0.94</v>
      </c>
      <c r="V959">
        <v>47.8</v>
      </c>
      <c r="W959">
        <v>323</v>
      </c>
      <c r="X959">
        <v>18.829999999999998</v>
      </c>
      <c r="Y959" t="s">
        <v>2968</v>
      </c>
      <c r="Z959">
        <v>5092</v>
      </c>
      <c r="AA959">
        <v>3.21</v>
      </c>
      <c r="AB959">
        <v>115</v>
      </c>
      <c r="AC959">
        <v>102</v>
      </c>
      <c r="AD959">
        <v>6.43</v>
      </c>
      <c r="AE959" t="s">
        <v>589</v>
      </c>
      <c r="AF959" t="s">
        <v>1762</v>
      </c>
      <c r="AG959" t="s">
        <v>3853</v>
      </c>
      <c r="AH959" t="s">
        <v>4348</v>
      </c>
      <c r="AI959">
        <v>1.19</v>
      </c>
      <c r="AJ959">
        <v>4.57</v>
      </c>
      <c r="AK959">
        <v>2.89</v>
      </c>
      <c r="AL959">
        <v>4.1399999999999997</v>
      </c>
    </row>
    <row r="960" spans="1:38" x14ac:dyDescent="0.25">
      <c r="A960">
        <v>959</v>
      </c>
      <c r="B960" t="str">
        <f xml:space="preserve"> "300271"</f>
        <v>300271</v>
      </c>
      <c r="C960" t="s">
        <v>4349</v>
      </c>
      <c r="D960">
        <v>16.66</v>
      </c>
      <c r="E960">
        <v>-1.36</v>
      </c>
      <c r="F960">
        <v>-0.23</v>
      </c>
      <c r="G960" t="s">
        <v>1462</v>
      </c>
      <c r="H960">
        <v>494</v>
      </c>
      <c r="I960">
        <v>16.649999999999999</v>
      </c>
      <c r="J960">
        <v>16.66</v>
      </c>
      <c r="K960">
        <v>0</v>
      </c>
      <c r="L960">
        <v>1.91</v>
      </c>
      <c r="M960" t="s">
        <v>2091</v>
      </c>
      <c r="N960">
        <v>40.51</v>
      </c>
      <c r="O960" t="s">
        <v>893</v>
      </c>
      <c r="P960">
        <v>17.190000000000001</v>
      </c>
      <c r="Q960">
        <v>16.579999999999998</v>
      </c>
      <c r="R960">
        <v>17.100000000000001</v>
      </c>
      <c r="S960">
        <v>16.89</v>
      </c>
      <c r="T960">
        <v>3.61</v>
      </c>
      <c r="U960">
        <v>0.9</v>
      </c>
      <c r="V960">
        <v>-5.54</v>
      </c>
      <c r="W960">
        <v>-134</v>
      </c>
      <c r="X960">
        <v>16.78</v>
      </c>
      <c r="Y960" t="s">
        <v>1699</v>
      </c>
      <c r="Z960" t="s">
        <v>624</v>
      </c>
      <c r="AA960">
        <v>1.34</v>
      </c>
      <c r="AB960">
        <v>425</v>
      </c>
      <c r="AC960">
        <v>39</v>
      </c>
      <c r="AD960">
        <v>3.66</v>
      </c>
      <c r="AE960" t="s">
        <v>4350</v>
      </c>
      <c r="AF960" t="s">
        <v>1762</v>
      </c>
      <c r="AG960" t="s">
        <v>2349</v>
      </c>
      <c r="AH960" t="s">
        <v>660</v>
      </c>
      <c r="AI960">
        <v>3.09</v>
      </c>
      <c r="AJ960">
        <v>5.71</v>
      </c>
      <c r="AK960">
        <v>8.7799999999999994</v>
      </c>
      <c r="AL960">
        <v>12.54</v>
      </c>
    </row>
    <row r="961" spans="1:38" x14ac:dyDescent="0.25">
      <c r="A961">
        <v>960</v>
      </c>
      <c r="B961" t="str">
        <f xml:space="preserve"> "300118"</f>
        <v>300118</v>
      </c>
      <c r="C961" t="s">
        <v>4351</v>
      </c>
      <c r="D961">
        <v>14.01</v>
      </c>
      <c r="E961">
        <v>0.28999999999999998</v>
      </c>
      <c r="F961">
        <v>0.04</v>
      </c>
      <c r="G961" t="s">
        <v>3781</v>
      </c>
      <c r="H961">
        <v>285</v>
      </c>
      <c r="I961">
        <v>14</v>
      </c>
      <c r="J961">
        <v>14.01</v>
      </c>
      <c r="K961">
        <v>7.0000000000000007E-2</v>
      </c>
      <c r="L961">
        <v>0.77</v>
      </c>
      <c r="M961" t="s">
        <v>4352</v>
      </c>
      <c r="N961">
        <v>23.17</v>
      </c>
      <c r="O961" t="s">
        <v>680</v>
      </c>
      <c r="P961">
        <v>14.13</v>
      </c>
      <c r="Q961">
        <v>13.81</v>
      </c>
      <c r="R961">
        <v>13.97</v>
      </c>
      <c r="S961">
        <v>13.97</v>
      </c>
      <c r="T961">
        <v>2.29</v>
      </c>
      <c r="U961">
        <v>0.63</v>
      </c>
      <c r="V961">
        <v>-28.34</v>
      </c>
      <c r="W961">
        <v>-999</v>
      </c>
      <c r="X961">
        <v>13.99</v>
      </c>
      <c r="Y961" t="s">
        <v>2313</v>
      </c>
      <c r="Z961" t="s">
        <v>1565</v>
      </c>
      <c r="AA961">
        <v>0.7</v>
      </c>
      <c r="AB961">
        <v>167</v>
      </c>
      <c r="AC961">
        <v>1644</v>
      </c>
      <c r="AD961">
        <v>1.83</v>
      </c>
      <c r="AE961" t="s">
        <v>3663</v>
      </c>
      <c r="AF961" t="s">
        <v>1762</v>
      </c>
      <c r="AG961" t="s">
        <v>2349</v>
      </c>
      <c r="AH961" t="s">
        <v>4353</v>
      </c>
      <c r="AI961">
        <v>-1.48</v>
      </c>
      <c r="AJ961">
        <v>1.3</v>
      </c>
      <c r="AK961">
        <v>2.73</v>
      </c>
      <c r="AL961">
        <v>6.88</v>
      </c>
    </row>
    <row r="962" spans="1:38" x14ac:dyDescent="0.25">
      <c r="A962">
        <v>961</v>
      </c>
      <c r="B962" t="str">
        <f xml:space="preserve"> "002041"</f>
        <v>002041</v>
      </c>
      <c r="C962" t="s">
        <v>4354</v>
      </c>
      <c r="D962">
        <v>14.39</v>
      </c>
      <c r="E962">
        <v>-0.96</v>
      </c>
      <c r="F962">
        <v>-0.14000000000000001</v>
      </c>
      <c r="G962" t="s">
        <v>3331</v>
      </c>
      <c r="H962">
        <v>622</v>
      </c>
      <c r="I962">
        <v>14.39</v>
      </c>
      <c r="J962">
        <v>14.4</v>
      </c>
      <c r="K962">
        <v>0</v>
      </c>
      <c r="L962">
        <v>0.48</v>
      </c>
      <c r="M962" t="s">
        <v>4355</v>
      </c>
      <c r="N962">
        <v>52.17</v>
      </c>
      <c r="O962" t="s">
        <v>622</v>
      </c>
      <c r="P962">
        <v>14.57</v>
      </c>
      <c r="Q962">
        <v>14.3</v>
      </c>
      <c r="R962">
        <v>14.53</v>
      </c>
      <c r="S962">
        <v>14.53</v>
      </c>
      <c r="T962">
        <v>1.86</v>
      </c>
      <c r="U962">
        <v>0.77</v>
      </c>
      <c r="V962">
        <v>32.46</v>
      </c>
      <c r="W962">
        <v>987</v>
      </c>
      <c r="X962">
        <v>14.37</v>
      </c>
      <c r="Y962" t="s">
        <v>2786</v>
      </c>
      <c r="Z962" t="s">
        <v>3603</v>
      </c>
      <c r="AA962">
        <v>1.4</v>
      </c>
      <c r="AB962">
        <v>437</v>
      </c>
      <c r="AC962">
        <v>662</v>
      </c>
      <c r="AD962">
        <v>4.59</v>
      </c>
      <c r="AE962" t="s">
        <v>2969</v>
      </c>
      <c r="AF962" t="s">
        <v>1762</v>
      </c>
      <c r="AG962" t="s">
        <v>3705</v>
      </c>
      <c r="AH962" t="s">
        <v>3443</v>
      </c>
      <c r="AI962">
        <v>-2.97</v>
      </c>
      <c r="AJ962">
        <v>-1.84</v>
      </c>
      <c r="AK962">
        <v>1.8</v>
      </c>
      <c r="AL962">
        <v>3.61</v>
      </c>
    </row>
    <row r="963" spans="1:38" x14ac:dyDescent="0.25">
      <c r="A963">
        <v>962</v>
      </c>
      <c r="B963" t="str">
        <f xml:space="preserve"> "002308"</f>
        <v>002308</v>
      </c>
      <c r="C963" t="s">
        <v>4356</v>
      </c>
      <c r="D963">
        <v>14.94</v>
      </c>
      <c r="E963">
        <v>-0.33</v>
      </c>
      <c r="F963">
        <v>-0.05</v>
      </c>
      <c r="G963" t="s">
        <v>1230</v>
      </c>
      <c r="H963">
        <v>668</v>
      </c>
      <c r="I963">
        <v>14.94</v>
      </c>
      <c r="J963">
        <v>14.95</v>
      </c>
      <c r="K963">
        <v>-7.0000000000000007E-2</v>
      </c>
      <c r="L963">
        <v>0.6</v>
      </c>
      <c r="M963" t="s">
        <v>4357</v>
      </c>
      <c r="N963">
        <v>60.92</v>
      </c>
      <c r="O963" t="s">
        <v>380</v>
      </c>
      <c r="P963">
        <v>15.06</v>
      </c>
      <c r="Q963">
        <v>14.87</v>
      </c>
      <c r="R963">
        <v>15</v>
      </c>
      <c r="S963">
        <v>14.99</v>
      </c>
      <c r="T963">
        <v>1.27</v>
      </c>
      <c r="U963">
        <v>0.62</v>
      </c>
      <c r="V963">
        <v>59.57</v>
      </c>
      <c r="W963">
        <v>1096</v>
      </c>
      <c r="X963">
        <v>14.94</v>
      </c>
      <c r="Y963" t="s">
        <v>1043</v>
      </c>
      <c r="Z963" t="s">
        <v>3181</v>
      </c>
      <c r="AA963">
        <v>1.27</v>
      </c>
      <c r="AB963">
        <v>216</v>
      </c>
      <c r="AC963">
        <v>85</v>
      </c>
      <c r="AD963">
        <v>5.16</v>
      </c>
      <c r="AE963" t="s">
        <v>4358</v>
      </c>
      <c r="AF963" t="s">
        <v>3443</v>
      </c>
      <c r="AG963" t="s">
        <v>3608</v>
      </c>
      <c r="AH963" t="s">
        <v>3121</v>
      </c>
      <c r="AI963">
        <v>-2.1</v>
      </c>
      <c r="AJ963">
        <v>-2.1</v>
      </c>
      <c r="AK963">
        <v>2.23</v>
      </c>
      <c r="AL963">
        <v>5.41</v>
      </c>
    </row>
    <row r="964" spans="1:38" x14ac:dyDescent="0.25">
      <c r="A964">
        <v>963</v>
      </c>
      <c r="B964" t="str">
        <f xml:space="preserve"> "000683"</f>
        <v>000683</v>
      </c>
      <c r="C964" t="s">
        <v>4359</v>
      </c>
      <c r="D964">
        <v>3.24</v>
      </c>
      <c r="E964">
        <v>2.21</v>
      </c>
      <c r="F964">
        <v>7.0000000000000007E-2</v>
      </c>
      <c r="G964" t="s">
        <v>4360</v>
      </c>
      <c r="H964">
        <v>2824</v>
      </c>
      <c r="I964">
        <v>3.24</v>
      </c>
      <c r="J964">
        <v>3.25</v>
      </c>
      <c r="K964">
        <v>0</v>
      </c>
      <c r="L964">
        <v>2.4300000000000002</v>
      </c>
      <c r="M964" t="s">
        <v>3123</v>
      </c>
      <c r="N964">
        <v>19.809999999999999</v>
      </c>
      <c r="O964" t="s">
        <v>667</v>
      </c>
      <c r="P964">
        <v>3.28</v>
      </c>
      <c r="Q964">
        <v>3.2</v>
      </c>
      <c r="R964">
        <v>3.21</v>
      </c>
      <c r="S964">
        <v>3.17</v>
      </c>
      <c r="T964">
        <v>2.52</v>
      </c>
      <c r="U964">
        <v>1.41</v>
      </c>
      <c r="V964">
        <v>-39.299999999999997</v>
      </c>
      <c r="W964" t="s">
        <v>4361</v>
      </c>
      <c r="X964">
        <v>3.25</v>
      </c>
      <c r="Y964" t="s">
        <v>3765</v>
      </c>
      <c r="Z964" t="s">
        <v>2358</v>
      </c>
      <c r="AA964">
        <v>0.7</v>
      </c>
      <c r="AB964" t="s">
        <v>1726</v>
      </c>
      <c r="AC964" t="s">
        <v>1887</v>
      </c>
      <c r="AD964">
        <v>1.5</v>
      </c>
      <c r="AE964" t="s">
        <v>3778</v>
      </c>
      <c r="AF964" t="s">
        <v>3443</v>
      </c>
      <c r="AG964" t="s">
        <v>2209</v>
      </c>
      <c r="AH964" t="s">
        <v>4362</v>
      </c>
      <c r="AI964">
        <v>-0.92</v>
      </c>
      <c r="AJ964">
        <v>0.93</v>
      </c>
      <c r="AK964">
        <v>6.53</v>
      </c>
      <c r="AL964">
        <v>11.05</v>
      </c>
    </row>
    <row r="965" spans="1:38" x14ac:dyDescent="0.25">
      <c r="A965">
        <v>964</v>
      </c>
      <c r="B965" t="str">
        <f xml:space="preserve"> "603218"</f>
        <v>603218</v>
      </c>
      <c r="C965" t="s">
        <v>4363</v>
      </c>
      <c r="D965">
        <v>31.51</v>
      </c>
      <c r="E965">
        <v>0.54</v>
      </c>
      <c r="F965">
        <v>0.17</v>
      </c>
      <c r="G965" t="s">
        <v>2313</v>
      </c>
      <c r="H965">
        <v>12</v>
      </c>
      <c r="I965">
        <v>31.51</v>
      </c>
      <c r="J965">
        <v>31.52</v>
      </c>
      <c r="K965">
        <v>0.13</v>
      </c>
      <c r="L965">
        <v>3.83</v>
      </c>
      <c r="M965" t="s">
        <v>4364</v>
      </c>
      <c r="N965">
        <v>51.29</v>
      </c>
      <c r="O965" t="s">
        <v>648</v>
      </c>
      <c r="P965">
        <v>31.65</v>
      </c>
      <c r="Q965">
        <v>31.1</v>
      </c>
      <c r="R965">
        <v>31.28</v>
      </c>
      <c r="S965">
        <v>31.34</v>
      </c>
      <c r="T965">
        <v>1.75</v>
      </c>
      <c r="U965">
        <v>1.25</v>
      </c>
      <c r="V965">
        <v>-21.28</v>
      </c>
      <c r="W965">
        <v>-120</v>
      </c>
      <c r="X965">
        <v>31.51</v>
      </c>
      <c r="Y965">
        <v>6342</v>
      </c>
      <c r="Z965">
        <v>9378</v>
      </c>
      <c r="AA965">
        <v>0.68</v>
      </c>
      <c r="AB965">
        <v>2</v>
      </c>
      <c r="AC965">
        <v>19</v>
      </c>
      <c r="AD965">
        <v>4.8499999999999996</v>
      </c>
      <c r="AE965" t="s">
        <v>1922</v>
      </c>
      <c r="AF965" t="s">
        <v>3443</v>
      </c>
      <c r="AG965" t="s">
        <v>4365</v>
      </c>
      <c r="AH965" t="s">
        <v>2683</v>
      </c>
      <c r="AI965">
        <v>0.06</v>
      </c>
      <c r="AJ965">
        <v>3.92</v>
      </c>
      <c r="AK965">
        <v>10.33</v>
      </c>
      <c r="AL965">
        <v>19.22</v>
      </c>
    </row>
    <row r="966" spans="1:38" x14ac:dyDescent="0.25">
      <c r="A966">
        <v>965</v>
      </c>
      <c r="B966" t="str">
        <f xml:space="preserve"> "002396"</f>
        <v>002396</v>
      </c>
      <c r="C966" t="s">
        <v>4366</v>
      </c>
      <c r="D966">
        <v>21.66</v>
      </c>
      <c r="E966">
        <v>1.1200000000000001</v>
      </c>
      <c r="F966">
        <v>0.24</v>
      </c>
      <c r="G966" t="s">
        <v>4137</v>
      </c>
      <c r="H966">
        <v>2457</v>
      </c>
      <c r="I966">
        <v>21.65</v>
      </c>
      <c r="J966">
        <v>21.66</v>
      </c>
      <c r="K966">
        <v>0.19</v>
      </c>
      <c r="L966">
        <v>2.96</v>
      </c>
      <c r="M966" t="s">
        <v>1034</v>
      </c>
      <c r="N966">
        <v>121.89</v>
      </c>
      <c r="O966" t="s">
        <v>580</v>
      </c>
      <c r="P966">
        <v>21.88</v>
      </c>
      <c r="Q966">
        <v>21.11</v>
      </c>
      <c r="R966">
        <v>21.59</v>
      </c>
      <c r="S966">
        <v>21.42</v>
      </c>
      <c r="T966">
        <v>3.59</v>
      </c>
      <c r="U966">
        <v>1.05</v>
      </c>
      <c r="V966">
        <v>67.77</v>
      </c>
      <c r="W966">
        <v>3160</v>
      </c>
      <c r="X966">
        <v>21.55</v>
      </c>
      <c r="Y966" t="s">
        <v>631</v>
      </c>
      <c r="Z966" t="s">
        <v>3100</v>
      </c>
      <c r="AA966">
        <v>0.98</v>
      </c>
      <c r="AB966">
        <v>1646</v>
      </c>
      <c r="AC966">
        <v>378</v>
      </c>
      <c r="AD966">
        <v>4.3899999999999997</v>
      </c>
      <c r="AE966" t="s">
        <v>3782</v>
      </c>
      <c r="AF966" t="s">
        <v>3443</v>
      </c>
      <c r="AG966" t="s">
        <v>1900</v>
      </c>
      <c r="AH966" t="s">
        <v>1513</v>
      </c>
      <c r="AI966">
        <v>4.99</v>
      </c>
      <c r="AJ966">
        <v>5.45</v>
      </c>
      <c r="AK966">
        <v>8.26</v>
      </c>
      <c r="AL966">
        <v>17.02</v>
      </c>
    </row>
    <row r="967" spans="1:38" x14ac:dyDescent="0.25">
      <c r="A967">
        <v>966</v>
      </c>
      <c r="B967" t="str">
        <f xml:space="preserve"> "002717"</f>
        <v>002717</v>
      </c>
      <c r="C967" t="s">
        <v>4367</v>
      </c>
      <c r="D967">
        <v>30.35</v>
      </c>
      <c r="E967">
        <v>3.34</v>
      </c>
      <c r="F967">
        <v>0.98</v>
      </c>
      <c r="G967" t="s">
        <v>4368</v>
      </c>
      <c r="H967">
        <v>1148</v>
      </c>
      <c r="I967">
        <v>30.33</v>
      </c>
      <c r="J967">
        <v>30.35</v>
      </c>
      <c r="K967">
        <v>-0.03</v>
      </c>
      <c r="L967">
        <v>2.36</v>
      </c>
      <c r="M967" t="s">
        <v>1333</v>
      </c>
      <c r="N967">
        <v>31.51</v>
      </c>
      <c r="O967" t="s">
        <v>1221</v>
      </c>
      <c r="P967">
        <v>30.41</v>
      </c>
      <c r="Q967">
        <v>29.21</v>
      </c>
      <c r="R967">
        <v>29.43</v>
      </c>
      <c r="S967">
        <v>29.37</v>
      </c>
      <c r="T967">
        <v>4.09</v>
      </c>
      <c r="U967">
        <v>1.2</v>
      </c>
      <c r="V967">
        <v>-58.46</v>
      </c>
      <c r="W967">
        <v>-822</v>
      </c>
      <c r="X967">
        <v>29.97</v>
      </c>
      <c r="Y967" t="s">
        <v>2383</v>
      </c>
      <c r="Z967" t="s">
        <v>1602</v>
      </c>
      <c r="AA967">
        <v>0.6</v>
      </c>
      <c r="AB967">
        <v>8</v>
      </c>
      <c r="AC967">
        <v>4</v>
      </c>
      <c r="AD967">
        <v>4.45</v>
      </c>
      <c r="AE967" t="s">
        <v>4149</v>
      </c>
      <c r="AF967" t="s">
        <v>3443</v>
      </c>
      <c r="AG967" t="s">
        <v>2519</v>
      </c>
      <c r="AH967" t="s">
        <v>4369</v>
      </c>
      <c r="AI967">
        <v>0.56000000000000005</v>
      </c>
      <c r="AJ967">
        <v>5.35</v>
      </c>
      <c r="AK967">
        <v>6.14</v>
      </c>
      <c r="AL967">
        <v>12.21</v>
      </c>
    </row>
    <row r="968" spans="1:38" x14ac:dyDescent="0.25">
      <c r="A968">
        <v>967</v>
      </c>
      <c r="B968" t="str">
        <f xml:space="preserve"> "002678"</f>
        <v>002678</v>
      </c>
      <c r="C968" t="s">
        <v>4370</v>
      </c>
      <c r="D968">
        <v>12.08</v>
      </c>
      <c r="E968">
        <v>0.67</v>
      </c>
      <c r="F968">
        <v>0.08</v>
      </c>
      <c r="G968">
        <v>7176</v>
      </c>
      <c r="H968">
        <v>277</v>
      </c>
      <c r="I968">
        <v>12.08</v>
      </c>
      <c r="J968">
        <v>12.09</v>
      </c>
      <c r="K968">
        <v>0</v>
      </c>
      <c r="L968">
        <v>0.08</v>
      </c>
      <c r="M968" t="s">
        <v>4371</v>
      </c>
      <c r="N968">
        <v>68.989999999999995</v>
      </c>
      <c r="O968" t="s">
        <v>807</v>
      </c>
      <c r="P968">
        <v>12.09</v>
      </c>
      <c r="Q968">
        <v>11.96</v>
      </c>
      <c r="R968">
        <v>12.03</v>
      </c>
      <c r="S968">
        <v>12</v>
      </c>
      <c r="T968">
        <v>1.08</v>
      </c>
      <c r="U968">
        <v>0.7</v>
      </c>
      <c r="V968">
        <v>-56.67</v>
      </c>
      <c r="W968">
        <v>-939</v>
      </c>
      <c r="X968">
        <v>12.04</v>
      </c>
      <c r="Y968">
        <v>3106</v>
      </c>
      <c r="Z968">
        <v>4070</v>
      </c>
      <c r="AA968">
        <v>0.76</v>
      </c>
      <c r="AB968">
        <v>41</v>
      </c>
      <c r="AC968">
        <v>600</v>
      </c>
      <c r="AD968">
        <v>4.07</v>
      </c>
      <c r="AE968" t="s">
        <v>755</v>
      </c>
      <c r="AF968" t="s">
        <v>3443</v>
      </c>
      <c r="AG968" t="s">
        <v>4372</v>
      </c>
      <c r="AH968" t="s">
        <v>191</v>
      </c>
      <c r="AI968">
        <v>-0.66</v>
      </c>
      <c r="AJ968">
        <v>2.98</v>
      </c>
      <c r="AK968">
        <v>0.28000000000000003</v>
      </c>
      <c r="AL968">
        <v>0.61</v>
      </c>
    </row>
    <row r="969" spans="1:38" x14ac:dyDescent="0.25">
      <c r="A969">
        <v>968</v>
      </c>
      <c r="B969" t="str">
        <f xml:space="preserve"> "002247"</f>
        <v>002247</v>
      </c>
      <c r="C969" t="s">
        <v>4373</v>
      </c>
      <c r="D969">
        <v>14.79</v>
      </c>
      <c r="E969">
        <v>7.1</v>
      </c>
      <c r="F969">
        <v>0.98</v>
      </c>
      <c r="G969" t="s">
        <v>3734</v>
      </c>
      <c r="H969">
        <v>1083</v>
      </c>
      <c r="I969">
        <v>14.78</v>
      </c>
      <c r="J969">
        <v>14.79</v>
      </c>
      <c r="K969">
        <v>-7.0000000000000007E-2</v>
      </c>
      <c r="L969">
        <v>1.41</v>
      </c>
      <c r="M969" t="s">
        <v>1635</v>
      </c>
      <c r="N969">
        <v>30.84</v>
      </c>
      <c r="O969" t="s">
        <v>1126</v>
      </c>
      <c r="P969">
        <v>14.89</v>
      </c>
      <c r="Q969">
        <v>13.61</v>
      </c>
      <c r="R969">
        <v>13.7</v>
      </c>
      <c r="S969">
        <v>13.81</v>
      </c>
      <c r="T969">
        <v>9.27</v>
      </c>
      <c r="U969">
        <v>2.2200000000000002</v>
      </c>
      <c r="V969">
        <v>-88.29</v>
      </c>
      <c r="W969">
        <v>-1252</v>
      </c>
      <c r="X969">
        <v>14.37</v>
      </c>
      <c r="Y969" t="s">
        <v>4374</v>
      </c>
      <c r="Z969" t="s">
        <v>1909</v>
      </c>
      <c r="AA969">
        <v>0.35</v>
      </c>
      <c r="AB969">
        <v>14</v>
      </c>
      <c r="AC969">
        <v>114</v>
      </c>
      <c r="AD969">
        <v>2.68</v>
      </c>
      <c r="AE969" t="s">
        <v>4375</v>
      </c>
      <c r="AF969" t="s">
        <v>3443</v>
      </c>
      <c r="AG969" t="s">
        <v>4119</v>
      </c>
      <c r="AH969" t="s">
        <v>1687</v>
      </c>
      <c r="AI969">
        <v>1.58</v>
      </c>
      <c r="AJ969">
        <v>4.1500000000000004</v>
      </c>
      <c r="AK969">
        <v>2.66</v>
      </c>
      <c r="AL969">
        <v>4.5999999999999996</v>
      </c>
    </row>
    <row r="970" spans="1:38" x14ac:dyDescent="0.25">
      <c r="A970">
        <v>969</v>
      </c>
      <c r="B970" t="str">
        <f xml:space="preserve"> "000951"</f>
        <v>000951</v>
      </c>
      <c r="C970" t="s">
        <v>4376</v>
      </c>
      <c r="D970">
        <v>18.760000000000002</v>
      </c>
      <c r="E970">
        <v>-1.73</v>
      </c>
      <c r="F970">
        <v>-0.33</v>
      </c>
      <c r="G970" t="s">
        <v>4377</v>
      </c>
      <c r="H970">
        <v>1874</v>
      </c>
      <c r="I970">
        <v>18.75</v>
      </c>
      <c r="J970">
        <v>18.760000000000002</v>
      </c>
      <c r="K970">
        <v>0</v>
      </c>
      <c r="L970">
        <v>1.2</v>
      </c>
      <c r="M970" t="s">
        <v>2231</v>
      </c>
      <c r="N970">
        <v>13.15</v>
      </c>
      <c r="O970" t="s">
        <v>169</v>
      </c>
      <c r="P970">
        <v>19.45</v>
      </c>
      <c r="Q970">
        <v>18.61</v>
      </c>
      <c r="R970">
        <v>19.39</v>
      </c>
      <c r="S970">
        <v>19.09</v>
      </c>
      <c r="T970">
        <v>4.4000000000000004</v>
      </c>
      <c r="U970">
        <v>1</v>
      </c>
      <c r="V970">
        <v>-9.52</v>
      </c>
      <c r="W970">
        <v>-121</v>
      </c>
      <c r="X970">
        <v>18.899999999999999</v>
      </c>
      <c r="Y970" t="s">
        <v>151</v>
      </c>
      <c r="Z970" t="s">
        <v>4378</v>
      </c>
      <c r="AA970">
        <v>1.57</v>
      </c>
      <c r="AB970">
        <v>498</v>
      </c>
      <c r="AC970">
        <v>72</v>
      </c>
      <c r="AD970">
        <v>2.41</v>
      </c>
      <c r="AE970" t="s">
        <v>2792</v>
      </c>
      <c r="AF970" t="s">
        <v>3443</v>
      </c>
      <c r="AG970" t="s">
        <v>2792</v>
      </c>
      <c r="AH970" t="s">
        <v>3443</v>
      </c>
      <c r="AI970">
        <v>-5.49</v>
      </c>
      <c r="AJ970">
        <v>-0.42</v>
      </c>
      <c r="AK970">
        <v>3.51</v>
      </c>
      <c r="AL970">
        <v>7.19</v>
      </c>
    </row>
    <row r="971" spans="1:38" x14ac:dyDescent="0.25">
      <c r="A971">
        <v>970</v>
      </c>
      <c r="B971" t="str">
        <f xml:space="preserve"> "600759"</f>
        <v>600759</v>
      </c>
      <c r="C971" t="s">
        <v>4379</v>
      </c>
      <c r="D971">
        <v>5.56</v>
      </c>
      <c r="E971">
        <v>0.72</v>
      </c>
      <c r="F971">
        <v>0.04</v>
      </c>
      <c r="G971" t="s">
        <v>1615</v>
      </c>
      <c r="H971">
        <v>132</v>
      </c>
      <c r="I971">
        <v>5.54</v>
      </c>
      <c r="J971">
        <v>5.55</v>
      </c>
      <c r="K971">
        <v>2.39</v>
      </c>
      <c r="L971">
        <v>1.47</v>
      </c>
      <c r="M971" t="s">
        <v>315</v>
      </c>
      <c r="N971">
        <v>-130.33000000000001</v>
      </c>
      <c r="O971" t="s">
        <v>61</v>
      </c>
      <c r="P971">
        <v>5.59</v>
      </c>
      <c r="Q971">
        <v>5.41</v>
      </c>
      <c r="R971">
        <v>5.49</v>
      </c>
      <c r="S971">
        <v>5.52</v>
      </c>
      <c r="T971">
        <v>3.26</v>
      </c>
      <c r="U971">
        <v>1.06</v>
      </c>
      <c r="V971">
        <v>17.239999999999998</v>
      </c>
      <c r="W971">
        <v>4845</v>
      </c>
      <c r="X971">
        <v>5.47</v>
      </c>
      <c r="Y971" t="s">
        <v>767</v>
      </c>
      <c r="Z971" t="s">
        <v>2003</v>
      </c>
      <c r="AA971">
        <v>1.1000000000000001</v>
      </c>
      <c r="AB971">
        <v>709</v>
      </c>
      <c r="AC971">
        <v>135</v>
      </c>
      <c r="AD971">
        <v>2.44</v>
      </c>
      <c r="AE971" t="s">
        <v>1720</v>
      </c>
      <c r="AF971" t="s">
        <v>3443</v>
      </c>
      <c r="AG971" t="s">
        <v>2299</v>
      </c>
      <c r="AH971" t="s">
        <v>4380</v>
      </c>
      <c r="AI971">
        <v>0.18</v>
      </c>
      <c r="AJ971">
        <v>1.28</v>
      </c>
      <c r="AK971">
        <v>4.9800000000000004</v>
      </c>
      <c r="AL971">
        <v>8.42</v>
      </c>
    </row>
    <row r="972" spans="1:38" x14ac:dyDescent="0.25">
      <c r="A972">
        <v>971</v>
      </c>
      <c r="B972" t="str">
        <f xml:space="preserve"> "300291"</f>
        <v>300291</v>
      </c>
      <c r="C972" t="s">
        <v>4381</v>
      </c>
      <c r="D972">
        <v>15.49</v>
      </c>
      <c r="E972">
        <v>-0.06</v>
      </c>
      <c r="F972">
        <v>-0.01</v>
      </c>
      <c r="G972" t="s">
        <v>649</v>
      </c>
      <c r="H972">
        <v>1462</v>
      </c>
      <c r="I972">
        <v>15.49</v>
      </c>
      <c r="J972">
        <v>15.5</v>
      </c>
      <c r="K972">
        <v>-0.06</v>
      </c>
      <c r="L972">
        <v>1.39</v>
      </c>
      <c r="M972" t="s">
        <v>1120</v>
      </c>
      <c r="N972">
        <v>97.54</v>
      </c>
      <c r="O972" t="s">
        <v>1126</v>
      </c>
      <c r="P972">
        <v>15.53</v>
      </c>
      <c r="Q972">
        <v>15.33</v>
      </c>
      <c r="R972">
        <v>15.43</v>
      </c>
      <c r="S972">
        <v>15.5</v>
      </c>
      <c r="T972">
        <v>1.29</v>
      </c>
      <c r="U972">
        <v>0.49</v>
      </c>
      <c r="V972">
        <v>-32.71</v>
      </c>
      <c r="W972">
        <v>-1204</v>
      </c>
      <c r="X972">
        <v>15.43</v>
      </c>
      <c r="Y972" t="s">
        <v>2808</v>
      </c>
      <c r="Z972" t="s">
        <v>1843</v>
      </c>
      <c r="AA972">
        <v>1.06</v>
      </c>
      <c r="AB972">
        <v>453</v>
      </c>
      <c r="AC972">
        <v>623</v>
      </c>
      <c r="AD972">
        <v>1.98</v>
      </c>
      <c r="AE972" t="s">
        <v>4382</v>
      </c>
      <c r="AF972" t="s">
        <v>3443</v>
      </c>
      <c r="AG972" t="s">
        <v>2028</v>
      </c>
      <c r="AH972" t="s">
        <v>4383</v>
      </c>
      <c r="AI972">
        <v>0</v>
      </c>
      <c r="AJ972">
        <v>-22.24</v>
      </c>
      <c r="AK972">
        <v>7.25</v>
      </c>
      <c r="AL972">
        <v>15.65</v>
      </c>
    </row>
    <row r="973" spans="1:38" x14ac:dyDescent="0.25">
      <c r="A973">
        <v>972</v>
      </c>
      <c r="B973" t="str">
        <f xml:space="preserve"> "002622"</f>
        <v>002622</v>
      </c>
      <c r="C973" t="s">
        <v>4384</v>
      </c>
      <c r="D973">
        <v>14.98</v>
      </c>
      <c r="E973">
        <v>0.67</v>
      </c>
      <c r="F973">
        <v>0.1</v>
      </c>
      <c r="G973" t="s">
        <v>4385</v>
      </c>
      <c r="H973" t="s">
        <v>2522</v>
      </c>
      <c r="I973">
        <v>14.98</v>
      </c>
      <c r="J973">
        <v>14.99</v>
      </c>
      <c r="K973">
        <v>0.4</v>
      </c>
      <c r="L973">
        <v>2.94</v>
      </c>
      <c r="M973" t="s">
        <v>2591</v>
      </c>
      <c r="N973">
        <v>254.97</v>
      </c>
      <c r="O973" t="s">
        <v>680</v>
      </c>
      <c r="P973">
        <v>15</v>
      </c>
      <c r="Q973">
        <v>14.88</v>
      </c>
      <c r="R973">
        <v>14.9</v>
      </c>
      <c r="S973">
        <v>14.88</v>
      </c>
      <c r="T973">
        <v>0.81</v>
      </c>
      <c r="U973">
        <v>0.61</v>
      </c>
      <c r="V973">
        <v>-35.32</v>
      </c>
      <c r="W973">
        <v>-5732</v>
      </c>
      <c r="X973">
        <v>14.92</v>
      </c>
      <c r="Y973" t="s">
        <v>1771</v>
      </c>
      <c r="Z973" t="s">
        <v>2003</v>
      </c>
      <c r="AA973">
        <v>1.23</v>
      </c>
      <c r="AB973">
        <v>2421</v>
      </c>
      <c r="AC973">
        <v>3081</v>
      </c>
      <c r="AD973">
        <v>10.54</v>
      </c>
      <c r="AE973" t="s">
        <v>324</v>
      </c>
      <c r="AF973" t="s">
        <v>3443</v>
      </c>
      <c r="AG973" t="s">
        <v>4386</v>
      </c>
      <c r="AH973" t="s">
        <v>3443</v>
      </c>
      <c r="AI973">
        <v>2.1800000000000002</v>
      </c>
      <c r="AJ973">
        <v>8.5500000000000007</v>
      </c>
      <c r="AK973">
        <v>7.98</v>
      </c>
      <c r="AL973">
        <v>26.93</v>
      </c>
    </row>
    <row r="974" spans="1:38" x14ac:dyDescent="0.25">
      <c r="A974">
        <v>973</v>
      </c>
      <c r="B974" t="str">
        <f xml:space="preserve"> "002643"</f>
        <v>002643</v>
      </c>
      <c r="C974" t="s">
        <v>4387</v>
      </c>
      <c r="D974">
        <v>13.83</v>
      </c>
      <c r="E974">
        <v>5.41</v>
      </c>
      <c r="F974">
        <v>0.71</v>
      </c>
      <c r="G974" t="s">
        <v>840</v>
      </c>
      <c r="H974">
        <v>1651</v>
      </c>
      <c r="I974">
        <v>13.82</v>
      </c>
      <c r="J974">
        <v>13.83</v>
      </c>
      <c r="K974">
        <v>0.14000000000000001</v>
      </c>
      <c r="L974">
        <v>2.42</v>
      </c>
      <c r="M974" t="s">
        <v>2333</v>
      </c>
      <c r="N974">
        <v>29.42</v>
      </c>
      <c r="O974" t="s">
        <v>667</v>
      </c>
      <c r="P974">
        <v>13.98</v>
      </c>
      <c r="Q974">
        <v>13.12</v>
      </c>
      <c r="R974">
        <v>13.15</v>
      </c>
      <c r="S974">
        <v>13.12</v>
      </c>
      <c r="T974">
        <v>6.55</v>
      </c>
      <c r="U974">
        <v>2.0699999999999998</v>
      </c>
      <c r="V974">
        <v>-47.3</v>
      </c>
      <c r="W974">
        <v>-2011</v>
      </c>
      <c r="X974">
        <v>13.69</v>
      </c>
      <c r="Y974" t="s">
        <v>1825</v>
      </c>
      <c r="Z974" t="s">
        <v>2505</v>
      </c>
      <c r="AA974">
        <v>0.65</v>
      </c>
      <c r="AB974">
        <v>850</v>
      </c>
      <c r="AC974">
        <v>303</v>
      </c>
      <c r="AD974">
        <v>3.21</v>
      </c>
      <c r="AE974" t="s">
        <v>1542</v>
      </c>
      <c r="AF974" t="s">
        <v>3443</v>
      </c>
      <c r="AG974" t="s">
        <v>2981</v>
      </c>
      <c r="AH974" t="s">
        <v>3631</v>
      </c>
      <c r="AI974">
        <v>3.13</v>
      </c>
      <c r="AJ974">
        <v>7.38</v>
      </c>
      <c r="AK974">
        <v>4.71</v>
      </c>
      <c r="AL974">
        <v>8.2899999999999991</v>
      </c>
    </row>
    <row r="975" spans="1:38" x14ac:dyDescent="0.25">
      <c r="A975">
        <v>974</v>
      </c>
      <c r="B975" t="str">
        <f xml:space="preserve"> "600267"</f>
        <v>600267</v>
      </c>
      <c r="C975" t="s">
        <v>4388</v>
      </c>
      <c r="D975">
        <v>13.02</v>
      </c>
      <c r="E975">
        <v>-0.31</v>
      </c>
      <c r="F975">
        <v>-0.04</v>
      </c>
      <c r="G975" t="s">
        <v>430</v>
      </c>
      <c r="H975">
        <v>1</v>
      </c>
      <c r="I975">
        <v>13.01</v>
      </c>
      <c r="J975">
        <v>13.02</v>
      </c>
      <c r="K975">
        <v>0.08</v>
      </c>
      <c r="L975">
        <v>0.38</v>
      </c>
      <c r="M975" t="s">
        <v>4389</v>
      </c>
      <c r="N975">
        <v>465.46</v>
      </c>
      <c r="O975" t="s">
        <v>392</v>
      </c>
      <c r="P975">
        <v>13.13</v>
      </c>
      <c r="Q975">
        <v>13.01</v>
      </c>
      <c r="R975">
        <v>13.1</v>
      </c>
      <c r="S975">
        <v>13.06</v>
      </c>
      <c r="T975">
        <v>0.92</v>
      </c>
      <c r="U975">
        <v>0.49</v>
      </c>
      <c r="V975">
        <v>-47.81</v>
      </c>
      <c r="W975">
        <v>-2217</v>
      </c>
      <c r="X975">
        <v>13.07</v>
      </c>
      <c r="Y975" t="s">
        <v>3387</v>
      </c>
      <c r="Z975" t="s">
        <v>2580</v>
      </c>
      <c r="AA975">
        <v>1.1100000000000001</v>
      </c>
      <c r="AB975">
        <v>381</v>
      </c>
      <c r="AC975">
        <v>2830</v>
      </c>
      <c r="AD975">
        <v>1.88</v>
      </c>
      <c r="AE975" t="s">
        <v>3630</v>
      </c>
      <c r="AF975" t="s">
        <v>3443</v>
      </c>
      <c r="AG975" t="s">
        <v>3630</v>
      </c>
      <c r="AH975" t="s">
        <v>3443</v>
      </c>
      <c r="AI975">
        <v>-0.84</v>
      </c>
      <c r="AJ975">
        <v>1.8</v>
      </c>
      <c r="AK975">
        <v>1.92</v>
      </c>
      <c r="AL975">
        <v>4.24</v>
      </c>
    </row>
    <row r="976" spans="1:38" x14ac:dyDescent="0.25">
      <c r="A976">
        <v>975</v>
      </c>
      <c r="B976" t="str">
        <f xml:space="preserve"> "600158"</f>
        <v>600158</v>
      </c>
      <c r="C976" t="s">
        <v>4390</v>
      </c>
      <c r="D976">
        <v>14.89</v>
      </c>
      <c r="E976">
        <v>1.0900000000000001</v>
      </c>
      <c r="F976">
        <v>0.16</v>
      </c>
      <c r="G976" t="s">
        <v>1892</v>
      </c>
      <c r="H976">
        <v>193</v>
      </c>
      <c r="I976">
        <v>14.88</v>
      </c>
      <c r="J976">
        <v>14.9</v>
      </c>
      <c r="K976">
        <v>-7.0000000000000007E-2</v>
      </c>
      <c r="L976">
        <v>3.79</v>
      </c>
      <c r="M976" t="s">
        <v>4391</v>
      </c>
      <c r="N976">
        <v>466.02</v>
      </c>
      <c r="O976" t="s">
        <v>807</v>
      </c>
      <c r="P976">
        <v>14.95</v>
      </c>
      <c r="Q976">
        <v>14.62</v>
      </c>
      <c r="R976">
        <v>14.65</v>
      </c>
      <c r="S976">
        <v>14.73</v>
      </c>
      <c r="T976">
        <v>2.2400000000000002</v>
      </c>
      <c r="U976">
        <v>1.32</v>
      </c>
      <c r="V976">
        <v>-48.08</v>
      </c>
      <c r="W976">
        <v>-2969</v>
      </c>
      <c r="X976">
        <v>14.82</v>
      </c>
      <c r="Y976" t="s">
        <v>2943</v>
      </c>
      <c r="Z976" t="s">
        <v>59</v>
      </c>
      <c r="AA976">
        <v>0.67</v>
      </c>
      <c r="AB976">
        <v>178</v>
      </c>
      <c r="AC976">
        <v>591</v>
      </c>
      <c r="AD976">
        <v>7.93</v>
      </c>
      <c r="AE976" t="s">
        <v>4392</v>
      </c>
      <c r="AF976" t="s">
        <v>3443</v>
      </c>
      <c r="AG976" t="s">
        <v>4393</v>
      </c>
      <c r="AH976" t="s">
        <v>2419</v>
      </c>
      <c r="AI976">
        <v>1.5</v>
      </c>
      <c r="AJ976">
        <v>6.97</v>
      </c>
      <c r="AK976">
        <v>10.83</v>
      </c>
      <c r="AL976">
        <v>18.16</v>
      </c>
    </row>
    <row r="977" spans="1:38" x14ac:dyDescent="0.25">
      <c r="A977">
        <v>976</v>
      </c>
      <c r="B977" t="str">
        <f xml:space="preserve"> "600708"</f>
        <v>600708</v>
      </c>
      <c r="C977" t="s">
        <v>4394</v>
      </c>
      <c r="D977">
        <v>7.32</v>
      </c>
      <c r="E977">
        <v>0</v>
      </c>
      <c r="F977">
        <v>0</v>
      </c>
      <c r="G977" t="s">
        <v>2181</v>
      </c>
      <c r="H977">
        <v>8</v>
      </c>
      <c r="I977">
        <v>7.32</v>
      </c>
      <c r="J977">
        <v>7.33</v>
      </c>
      <c r="K977">
        <v>0</v>
      </c>
      <c r="L977">
        <v>0.45</v>
      </c>
      <c r="M977" t="s">
        <v>4395</v>
      </c>
      <c r="N977">
        <v>24.1</v>
      </c>
      <c r="O977" t="s">
        <v>244</v>
      </c>
      <c r="P977">
        <v>7.34</v>
      </c>
      <c r="Q977">
        <v>7.28</v>
      </c>
      <c r="R977">
        <v>7.3</v>
      </c>
      <c r="S977">
        <v>7.32</v>
      </c>
      <c r="T977">
        <v>0.82</v>
      </c>
      <c r="U977">
        <v>0.49</v>
      </c>
      <c r="V977">
        <v>15.56</v>
      </c>
      <c r="W977">
        <v>1217</v>
      </c>
      <c r="X977">
        <v>7.31</v>
      </c>
      <c r="Y977" t="s">
        <v>4200</v>
      </c>
      <c r="Z977" t="s">
        <v>3950</v>
      </c>
      <c r="AA977">
        <v>1.88</v>
      </c>
      <c r="AB977">
        <v>37</v>
      </c>
      <c r="AC977">
        <v>1245</v>
      </c>
      <c r="AD977">
        <v>1.41</v>
      </c>
      <c r="AE977" t="s">
        <v>1777</v>
      </c>
      <c r="AF977" t="s">
        <v>3121</v>
      </c>
      <c r="AG977" t="s">
        <v>1016</v>
      </c>
      <c r="AH977" t="s">
        <v>4396</v>
      </c>
      <c r="AI977">
        <v>-0.54</v>
      </c>
      <c r="AJ977">
        <v>3.39</v>
      </c>
      <c r="AK977">
        <v>2.02</v>
      </c>
      <c r="AL977">
        <v>5.0599999999999996</v>
      </c>
    </row>
    <row r="978" spans="1:38" x14ac:dyDescent="0.25">
      <c r="A978">
        <v>977</v>
      </c>
      <c r="B978" t="str">
        <f xml:space="preserve"> "600269"</f>
        <v>600269</v>
      </c>
      <c r="C978" t="s">
        <v>4397</v>
      </c>
      <c r="D978">
        <v>5.36</v>
      </c>
      <c r="E978">
        <v>0</v>
      </c>
      <c r="F978">
        <v>0</v>
      </c>
      <c r="G978" t="s">
        <v>3362</v>
      </c>
      <c r="H978">
        <v>272</v>
      </c>
      <c r="I978">
        <v>5.36</v>
      </c>
      <c r="J978">
        <v>5.37</v>
      </c>
      <c r="K978">
        <v>0.19</v>
      </c>
      <c r="L978">
        <v>0.37</v>
      </c>
      <c r="M978" t="s">
        <v>4398</v>
      </c>
      <c r="N978">
        <v>10.62</v>
      </c>
      <c r="O978" t="s">
        <v>1348</v>
      </c>
      <c r="P978">
        <v>5.37</v>
      </c>
      <c r="Q978">
        <v>5.34</v>
      </c>
      <c r="R978">
        <v>5.36</v>
      </c>
      <c r="S978">
        <v>5.36</v>
      </c>
      <c r="T978">
        <v>0.56000000000000005</v>
      </c>
      <c r="U978">
        <v>0.67</v>
      </c>
      <c r="V978">
        <v>-1.1000000000000001</v>
      </c>
      <c r="W978">
        <v>-726</v>
      </c>
      <c r="X978">
        <v>5.35</v>
      </c>
      <c r="Y978" t="s">
        <v>2790</v>
      </c>
      <c r="Z978" t="s">
        <v>3524</v>
      </c>
      <c r="AA978">
        <v>1.28</v>
      </c>
      <c r="AB978">
        <v>1435</v>
      </c>
      <c r="AC978" t="s">
        <v>4399</v>
      </c>
      <c r="AD978">
        <v>0.89</v>
      </c>
      <c r="AE978" t="s">
        <v>2733</v>
      </c>
      <c r="AF978" t="s">
        <v>3121</v>
      </c>
      <c r="AG978" t="s">
        <v>2733</v>
      </c>
      <c r="AH978" t="s">
        <v>3121</v>
      </c>
      <c r="AI978">
        <v>-0.74</v>
      </c>
      <c r="AJ978">
        <v>1.32</v>
      </c>
      <c r="AK978">
        <v>1.19</v>
      </c>
      <c r="AL978">
        <v>3.15</v>
      </c>
    </row>
    <row r="979" spans="1:38" x14ac:dyDescent="0.25">
      <c r="A979">
        <v>978</v>
      </c>
      <c r="B979" t="str">
        <f xml:space="preserve"> "601886"</f>
        <v>601886</v>
      </c>
      <c r="C979" t="s">
        <v>4400</v>
      </c>
      <c r="D979">
        <v>10.84</v>
      </c>
      <c r="E979">
        <v>2.36</v>
      </c>
      <c r="F979">
        <v>0.25</v>
      </c>
      <c r="G979" t="s">
        <v>1308</v>
      </c>
      <c r="H979">
        <v>40</v>
      </c>
      <c r="I979">
        <v>10.84</v>
      </c>
      <c r="J979">
        <v>10.85</v>
      </c>
      <c r="K979">
        <v>0.74</v>
      </c>
      <c r="L979">
        <v>0.48</v>
      </c>
      <c r="M979" t="s">
        <v>4401</v>
      </c>
      <c r="N979">
        <v>25.9</v>
      </c>
      <c r="O979" t="s">
        <v>2309</v>
      </c>
      <c r="P979">
        <v>10.85</v>
      </c>
      <c r="Q979">
        <v>10.55</v>
      </c>
      <c r="R979">
        <v>10.64</v>
      </c>
      <c r="S979">
        <v>10.59</v>
      </c>
      <c r="T979">
        <v>2.83</v>
      </c>
      <c r="U979">
        <v>0.63</v>
      </c>
      <c r="V979">
        <v>9.82</v>
      </c>
      <c r="W979">
        <v>467</v>
      </c>
      <c r="X979">
        <v>10.7</v>
      </c>
      <c r="Y979" t="s">
        <v>1576</v>
      </c>
      <c r="Z979" t="s">
        <v>1692</v>
      </c>
      <c r="AA979">
        <v>0.45</v>
      </c>
      <c r="AB979">
        <v>499</v>
      </c>
      <c r="AC979">
        <v>458</v>
      </c>
      <c r="AD979">
        <v>1.88</v>
      </c>
      <c r="AE979" t="s">
        <v>2388</v>
      </c>
      <c r="AF979" t="s">
        <v>3121</v>
      </c>
      <c r="AG979" t="s">
        <v>2388</v>
      </c>
      <c r="AH979" t="s">
        <v>3121</v>
      </c>
      <c r="AI979">
        <v>-0.91</v>
      </c>
      <c r="AJ979">
        <v>4.63</v>
      </c>
      <c r="AK979">
        <v>2.27</v>
      </c>
      <c r="AL979">
        <v>4.2699999999999996</v>
      </c>
    </row>
    <row r="980" spans="1:38" x14ac:dyDescent="0.25">
      <c r="A980">
        <v>979</v>
      </c>
      <c r="B980" t="str">
        <f xml:space="preserve"> "600337"</f>
        <v>600337</v>
      </c>
      <c r="C980" t="s">
        <v>4402</v>
      </c>
      <c r="D980">
        <v>6.92</v>
      </c>
      <c r="E980">
        <v>0.73</v>
      </c>
      <c r="F980">
        <v>0.05</v>
      </c>
      <c r="G980" t="s">
        <v>4403</v>
      </c>
      <c r="H980">
        <v>1</v>
      </c>
      <c r="I980">
        <v>6.92</v>
      </c>
      <c r="J980">
        <v>6.93</v>
      </c>
      <c r="K980">
        <v>-0.28999999999999998</v>
      </c>
      <c r="L980">
        <v>0.65</v>
      </c>
      <c r="M980" t="s">
        <v>4404</v>
      </c>
      <c r="N980">
        <v>41.19</v>
      </c>
      <c r="O980" t="s">
        <v>1469</v>
      </c>
      <c r="P980">
        <v>6.97</v>
      </c>
      <c r="Q980">
        <v>6.81</v>
      </c>
      <c r="R980">
        <v>6.87</v>
      </c>
      <c r="S980">
        <v>6.87</v>
      </c>
      <c r="T980">
        <v>2.33</v>
      </c>
      <c r="U980">
        <v>0.56999999999999995</v>
      </c>
      <c r="V980">
        <v>-61.25</v>
      </c>
      <c r="W980">
        <v>-3177</v>
      </c>
      <c r="X980">
        <v>6.87</v>
      </c>
      <c r="Y980" t="s">
        <v>3404</v>
      </c>
      <c r="Z980" t="s">
        <v>2808</v>
      </c>
      <c r="AA980">
        <v>1.65</v>
      </c>
      <c r="AB980">
        <v>80</v>
      </c>
      <c r="AC980">
        <v>715</v>
      </c>
      <c r="AD980">
        <v>2.63</v>
      </c>
      <c r="AE980" t="s">
        <v>1046</v>
      </c>
      <c r="AF980" t="s">
        <v>3121</v>
      </c>
      <c r="AG980" t="s">
        <v>2033</v>
      </c>
      <c r="AH980" t="s">
        <v>3311</v>
      </c>
      <c r="AI980">
        <v>1.91</v>
      </c>
      <c r="AJ980">
        <v>7.96</v>
      </c>
      <c r="AK980">
        <v>2.88</v>
      </c>
      <c r="AL980">
        <v>6.31</v>
      </c>
    </row>
    <row r="981" spans="1:38" x14ac:dyDescent="0.25">
      <c r="A981">
        <v>980</v>
      </c>
      <c r="B981" t="str">
        <f xml:space="preserve"> "002498"</f>
        <v>002498</v>
      </c>
      <c r="C981" t="s">
        <v>4405</v>
      </c>
      <c r="D981">
        <v>3.75</v>
      </c>
      <c r="E981">
        <v>0.27</v>
      </c>
      <c r="F981">
        <v>0.01</v>
      </c>
      <c r="G981" t="s">
        <v>2849</v>
      </c>
      <c r="H981">
        <v>1500</v>
      </c>
      <c r="I981">
        <v>3.75</v>
      </c>
      <c r="J981">
        <v>3.76</v>
      </c>
      <c r="K981">
        <v>0</v>
      </c>
      <c r="L981">
        <v>0.18</v>
      </c>
      <c r="M981" t="s">
        <v>4406</v>
      </c>
      <c r="N981">
        <v>39.68</v>
      </c>
      <c r="O981" t="s">
        <v>680</v>
      </c>
      <c r="P981">
        <v>3.76</v>
      </c>
      <c r="Q981">
        <v>3.72</v>
      </c>
      <c r="R981">
        <v>3.74</v>
      </c>
      <c r="S981">
        <v>3.74</v>
      </c>
      <c r="T981">
        <v>1.07</v>
      </c>
      <c r="U981">
        <v>0.54</v>
      </c>
      <c r="V981">
        <v>-39.549999999999997</v>
      </c>
      <c r="W981" t="s">
        <v>4407</v>
      </c>
      <c r="X981">
        <v>3.74</v>
      </c>
      <c r="Y981" t="s">
        <v>712</v>
      </c>
      <c r="Z981" t="s">
        <v>712</v>
      </c>
      <c r="AA981">
        <v>1</v>
      </c>
      <c r="AB981">
        <v>1399</v>
      </c>
      <c r="AC981">
        <v>5888</v>
      </c>
      <c r="AD981">
        <v>2.79</v>
      </c>
      <c r="AE981" t="s">
        <v>975</v>
      </c>
      <c r="AF981" t="s">
        <v>3121</v>
      </c>
      <c r="AG981" t="s">
        <v>769</v>
      </c>
      <c r="AH981" t="s">
        <v>309</v>
      </c>
      <c r="AI981">
        <v>-0.79</v>
      </c>
      <c r="AJ981">
        <v>1.08</v>
      </c>
      <c r="AK981">
        <v>0.79</v>
      </c>
      <c r="AL981">
        <v>1.79</v>
      </c>
    </row>
    <row r="982" spans="1:38" x14ac:dyDescent="0.25">
      <c r="A982">
        <v>981</v>
      </c>
      <c r="B982" t="str">
        <f xml:space="preserve"> "300432"</f>
        <v>300432</v>
      </c>
      <c r="C982" t="s">
        <v>4408</v>
      </c>
      <c r="D982">
        <v>24.42</v>
      </c>
      <c r="E982">
        <v>1.96</v>
      </c>
      <c r="F982">
        <v>0.47</v>
      </c>
      <c r="G982" t="s">
        <v>1960</v>
      </c>
      <c r="H982">
        <v>799</v>
      </c>
      <c r="I982">
        <v>24.41</v>
      </c>
      <c r="J982">
        <v>24.42</v>
      </c>
      <c r="K982">
        <v>0</v>
      </c>
      <c r="L982">
        <v>2.77</v>
      </c>
      <c r="M982" t="s">
        <v>4409</v>
      </c>
      <c r="N982">
        <v>29.33</v>
      </c>
      <c r="O982" t="s">
        <v>169</v>
      </c>
      <c r="P982">
        <v>24.46</v>
      </c>
      <c r="Q982">
        <v>23.9</v>
      </c>
      <c r="R982">
        <v>23.94</v>
      </c>
      <c r="S982">
        <v>23.95</v>
      </c>
      <c r="T982">
        <v>2.34</v>
      </c>
      <c r="U982">
        <v>1.21</v>
      </c>
      <c r="V982">
        <v>-29.88</v>
      </c>
      <c r="W982">
        <v>-359</v>
      </c>
      <c r="X982">
        <v>24.3</v>
      </c>
      <c r="Y982" t="s">
        <v>1508</v>
      </c>
      <c r="Z982" t="s">
        <v>1887</v>
      </c>
      <c r="AA982">
        <v>0.68</v>
      </c>
      <c r="AB982">
        <v>121</v>
      </c>
      <c r="AC982">
        <v>87</v>
      </c>
      <c r="AD982">
        <v>3.51</v>
      </c>
      <c r="AE982" t="s">
        <v>4410</v>
      </c>
      <c r="AF982" t="s">
        <v>3121</v>
      </c>
      <c r="AG982" t="s">
        <v>3923</v>
      </c>
      <c r="AH982" t="s">
        <v>4411</v>
      </c>
      <c r="AI982">
        <v>-0.25</v>
      </c>
      <c r="AJ982">
        <v>2.52</v>
      </c>
      <c r="AK982">
        <v>7.45</v>
      </c>
      <c r="AL982">
        <v>14.17</v>
      </c>
    </row>
    <row r="983" spans="1:38" x14ac:dyDescent="0.25">
      <c r="A983">
        <v>982</v>
      </c>
      <c r="B983" t="str">
        <f xml:space="preserve"> "000688"</f>
        <v>000688</v>
      </c>
      <c r="C983" t="s">
        <v>4412</v>
      </c>
      <c r="D983" t="s">
        <v>616</v>
      </c>
      <c r="E983" t="s">
        <v>616</v>
      </c>
      <c r="F983" t="s">
        <v>616</v>
      </c>
      <c r="G983" t="s">
        <v>616</v>
      </c>
      <c r="H983" t="s">
        <v>616</v>
      </c>
      <c r="I983" t="s">
        <v>616</v>
      </c>
      <c r="J983" t="s">
        <v>616</v>
      </c>
      <c r="K983" t="s">
        <v>616</v>
      </c>
      <c r="L983" t="s">
        <v>616</v>
      </c>
      <c r="M983" t="s">
        <v>616</v>
      </c>
      <c r="N983">
        <v>25.78</v>
      </c>
      <c r="O983" t="s">
        <v>449</v>
      </c>
      <c r="P983" t="s">
        <v>616</v>
      </c>
      <c r="Q983" t="s">
        <v>616</v>
      </c>
      <c r="R983" t="s">
        <v>616</v>
      </c>
      <c r="S983">
        <v>10.95</v>
      </c>
      <c r="T983" t="s">
        <v>616</v>
      </c>
      <c r="U983" t="s">
        <v>616</v>
      </c>
      <c r="V983" t="s">
        <v>616</v>
      </c>
      <c r="W983" t="s">
        <v>616</v>
      </c>
      <c r="X983" t="s">
        <v>616</v>
      </c>
      <c r="Y983" t="s">
        <v>616</v>
      </c>
      <c r="Z983" t="s">
        <v>616</v>
      </c>
      <c r="AA983" t="s">
        <v>616</v>
      </c>
      <c r="AB983" t="s">
        <v>616</v>
      </c>
      <c r="AC983" t="s">
        <v>616</v>
      </c>
      <c r="AD983">
        <v>6.22</v>
      </c>
      <c r="AE983" t="s">
        <v>357</v>
      </c>
      <c r="AF983" t="s">
        <v>3121</v>
      </c>
      <c r="AG983" t="s">
        <v>357</v>
      </c>
      <c r="AH983" t="s">
        <v>3121</v>
      </c>
      <c r="AI983">
        <v>0</v>
      </c>
      <c r="AJ983">
        <v>0</v>
      </c>
      <c r="AK983">
        <v>0</v>
      </c>
      <c r="AL983">
        <v>0</v>
      </c>
    </row>
    <row r="984" spans="1:38" x14ac:dyDescent="0.25">
      <c r="A984">
        <v>983</v>
      </c>
      <c r="B984" t="str">
        <f xml:space="preserve"> "603699"</f>
        <v>603699</v>
      </c>
      <c r="C984" t="s">
        <v>4413</v>
      </c>
      <c r="D984">
        <v>16.59</v>
      </c>
      <c r="E984">
        <v>0.91</v>
      </c>
      <c r="F984">
        <v>0.15</v>
      </c>
      <c r="G984" t="s">
        <v>2755</v>
      </c>
      <c r="H984">
        <v>100</v>
      </c>
      <c r="I984">
        <v>16.63</v>
      </c>
      <c r="J984">
        <v>16.66</v>
      </c>
      <c r="K984">
        <v>-0.6</v>
      </c>
      <c r="L984">
        <v>0.4</v>
      </c>
      <c r="M984" t="s">
        <v>4414</v>
      </c>
      <c r="N984">
        <v>61.1</v>
      </c>
      <c r="O984" t="s">
        <v>648</v>
      </c>
      <c r="P984">
        <v>16.71</v>
      </c>
      <c r="Q984">
        <v>16.28</v>
      </c>
      <c r="R984">
        <v>16.350000000000001</v>
      </c>
      <c r="S984">
        <v>16.440000000000001</v>
      </c>
      <c r="T984">
        <v>2.62</v>
      </c>
      <c r="U984">
        <v>2.95</v>
      </c>
      <c r="V984">
        <v>27.18</v>
      </c>
      <c r="W984">
        <v>412</v>
      </c>
      <c r="X984">
        <v>16.559999999999999</v>
      </c>
      <c r="Y984" t="s">
        <v>3234</v>
      </c>
      <c r="Z984" t="s">
        <v>2313</v>
      </c>
      <c r="AA984">
        <v>0.9</v>
      </c>
      <c r="AB984">
        <v>40</v>
      </c>
      <c r="AC984">
        <v>1</v>
      </c>
      <c r="AD984">
        <v>5.34</v>
      </c>
      <c r="AE984" t="s">
        <v>3841</v>
      </c>
      <c r="AF984" t="s">
        <v>1561</v>
      </c>
      <c r="AG984" t="s">
        <v>3841</v>
      </c>
      <c r="AH984" t="s">
        <v>1561</v>
      </c>
      <c r="AI984">
        <v>0.18</v>
      </c>
      <c r="AJ984">
        <v>2.85</v>
      </c>
      <c r="AK984">
        <v>0.56999999999999995</v>
      </c>
      <c r="AL984">
        <v>1.07</v>
      </c>
    </row>
    <row r="985" spans="1:38" x14ac:dyDescent="0.25">
      <c r="A985">
        <v>984</v>
      </c>
      <c r="B985" t="str">
        <f xml:space="preserve"> "600841"</f>
        <v>600841</v>
      </c>
      <c r="C985" t="s">
        <v>4415</v>
      </c>
      <c r="D985">
        <v>14.34</v>
      </c>
      <c r="E985">
        <v>0.84</v>
      </c>
      <c r="F985">
        <v>0.12</v>
      </c>
      <c r="G985" t="s">
        <v>3885</v>
      </c>
      <c r="H985">
        <v>8</v>
      </c>
      <c r="I985">
        <v>14.3</v>
      </c>
      <c r="J985">
        <v>14.35</v>
      </c>
      <c r="K985">
        <v>0.35</v>
      </c>
      <c r="L985">
        <v>0.78</v>
      </c>
      <c r="M985" t="s">
        <v>4416</v>
      </c>
      <c r="N985">
        <v>95.16</v>
      </c>
      <c r="O985" t="s">
        <v>648</v>
      </c>
      <c r="P985">
        <v>14.49</v>
      </c>
      <c r="Q985">
        <v>14.06</v>
      </c>
      <c r="R985">
        <v>14.08</v>
      </c>
      <c r="S985">
        <v>14.22</v>
      </c>
      <c r="T985">
        <v>3.02</v>
      </c>
      <c r="U985">
        <v>1.04</v>
      </c>
      <c r="V985">
        <v>35.93</v>
      </c>
      <c r="W985">
        <v>640</v>
      </c>
      <c r="X985">
        <v>14.35</v>
      </c>
      <c r="Y985" t="s">
        <v>1493</v>
      </c>
      <c r="Z985" t="s">
        <v>3656</v>
      </c>
      <c r="AA985">
        <v>0.77</v>
      </c>
      <c r="AB985">
        <v>120</v>
      </c>
      <c r="AC985">
        <v>3</v>
      </c>
      <c r="AD985">
        <v>3.52</v>
      </c>
      <c r="AE985" t="s">
        <v>1515</v>
      </c>
      <c r="AF985" t="s">
        <v>1561</v>
      </c>
      <c r="AG985" t="s">
        <v>4417</v>
      </c>
      <c r="AH985" t="s">
        <v>4418</v>
      </c>
      <c r="AI985">
        <v>4.29</v>
      </c>
      <c r="AJ985">
        <v>8.8000000000000007</v>
      </c>
      <c r="AK985">
        <v>3.1</v>
      </c>
      <c r="AL985">
        <v>4.5599999999999996</v>
      </c>
    </row>
    <row r="986" spans="1:38" x14ac:dyDescent="0.25">
      <c r="A986">
        <v>985</v>
      </c>
      <c r="B986" t="str">
        <f xml:space="preserve"> "000612"</f>
        <v>000612</v>
      </c>
      <c r="C986" t="s">
        <v>4419</v>
      </c>
      <c r="D986">
        <v>10.42</v>
      </c>
      <c r="E986">
        <v>0.68</v>
      </c>
      <c r="F986">
        <v>7.0000000000000007E-2</v>
      </c>
      <c r="G986" t="s">
        <v>4340</v>
      </c>
      <c r="H986">
        <v>1792</v>
      </c>
      <c r="I986">
        <v>10.42</v>
      </c>
      <c r="J986">
        <v>10.43</v>
      </c>
      <c r="K986">
        <v>0</v>
      </c>
      <c r="L986">
        <v>1.68</v>
      </c>
      <c r="M986" t="s">
        <v>1710</v>
      </c>
      <c r="N986">
        <v>57.64</v>
      </c>
      <c r="O986" t="s">
        <v>449</v>
      </c>
      <c r="P986">
        <v>10.78</v>
      </c>
      <c r="Q986">
        <v>10.38</v>
      </c>
      <c r="R986">
        <v>10.46</v>
      </c>
      <c r="S986">
        <v>10.35</v>
      </c>
      <c r="T986">
        <v>3.86</v>
      </c>
      <c r="U986">
        <v>1.69</v>
      </c>
      <c r="V986">
        <v>12.28</v>
      </c>
      <c r="W986">
        <v>574</v>
      </c>
      <c r="X986">
        <v>10.6</v>
      </c>
      <c r="Y986" t="s">
        <v>973</v>
      </c>
      <c r="Z986" t="s">
        <v>4420</v>
      </c>
      <c r="AA986">
        <v>0.91</v>
      </c>
      <c r="AB986">
        <v>693</v>
      </c>
      <c r="AC986">
        <v>944</v>
      </c>
      <c r="AD986">
        <v>2.68</v>
      </c>
      <c r="AE986" t="s">
        <v>1011</v>
      </c>
      <c r="AF986" t="s">
        <v>1561</v>
      </c>
      <c r="AG986" t="s">
        <v>4421</v>
      </c>
      <c r="AH986" t="s">
        <v>3732</v>
      </c>
      <c r="AI986">
        <v>-0.38</v>
      </c>
      <c r="AJ986">
        <v>-3.07</v>
      </c>
      <c r="AK986">
        <v>4.22</v>
      </c>
      <c r="AL986">
        <v>6.64</v>
      </c>
    </row>
    <row r="987" spans="1:38" x14ac:dyDescent="0.25">
      <c r="A987">
        <v>986</v>
      </c>
      <c r="B987" t="str">
        <f xml:space="preserve"> "002445"</f>
        <v>002445</v>
      </c>
      <c r="C987" t="s">
        <v>4422</v>
      </c>
      <c r="D987">
        <v>14.97</v>
      </c>
      <c r="E987">
        <v>-0.13</v>
      </c>
      <c r="F987">
        <v>-0.02</v>
      </c>
      <c r="G987" t="s">
        <v>1190</v>
      </c>
      <c r="H987">
        <v>4032</v>
      </c>
      <c r="I987">
        <v>14.86</v>
      </c>
      <c r="J987">
        <v>14.97</v>
      </c>
      <c r="K987">
        <v>0.74</v>
      </c>
      <c r="L987">
        <v>0.43</v>
      </c>
      <c r="M987" t="s">
        <v>4423</v>
      </c>
      <c r="N987">
        <v>46.87</v>
      </c>
      <c r="O987" t="s">
        <v>648</v>
      </c>
      <c r="P987">
        <v>14.98</v>
      </c>
      <c r="Q987">
        <v>14.84</v>
      </c>
      <c r="R987">
        <v>14.97</v>
      </c>
      <c r="S987">
        <v>14.99</v>
      </c>
      <c r="T987">
        <v>0.93</v>
      </c>
      <c r="U987">
        <v>0.76</v>
      </c>
      <c r="V987">
        <v>-68.03</v>
      </c>
      <c r="W987">
        <v>-3958</v>
      </c>
      <c r="X987">
        <v>14.92</v>
      </c>
      <c r="Y987" t="s">
        <v>1683</v>
      </c>
      <c r="Z987" t="s">
        <v>2518</v>
      </c>
      <c r="AA987">
        <v>1.19</v>
      </c>
      <c r="AB987">
        <v>5</v>
      </c>
      <c r="AC987">
        <v>57</v>
      </c>
      <c r="AD987">
        <v>2.99</v>
      </c>
      <c r="AE987" t="s">
        <v>4424</v>
      </c>
      <c r="AF987" t="s">
        <v>1561</v>
      </c>
      <c r="AG987" t="s">
        <v>3588</v>
      </c>
      <c r="AH987" t="s">
        <v>3311</v>
      </c>
      <c r="AI987">
        <v>-0.13</v>
      </c>
      <c r="AJ987">
        <v>3.24</v>
      </c>
      <c r="AK987">
        <v>1.53</v>
      </c>
      <c r="AL987">
        <v>3.24</v>
      </c>
    </row>
    <row r="988" spans="1:38" x14ac:dyDescent="0.25">
      <c r="A988">
        <v>987</v>
      </c>
      <c r="B988" t="str">
        <f xml:space="preserve"> "601515"</f>
        <v>601515</v>
      </c>
      <c r="C988" t="s">
        <v>4425</v>
      </c>
      <c r="D988">
        <v>11.17</v>
      </c>
      <c r="E988">
        <v>0.81</v>
      </c>
      <c r="F988">
        <v>0.09</v>
      </c>
      <c r="G988" t="s">
        <v>4303</v>
      </c>
      <c r="H988">
        <v>10</v>
      </c>
      <c r="I988">
        <v>11.15</v>
      </c>
      <c r="J988">
        <v>11.18</v>
      </c>
      <c r="K988">
        <v>0.27</v>
      </c>
      <c r="L988">
        <v>0.15</v>
      </c>
      <c r="M988" t="s">
        <v>4426</v>
      </c>
      <c r="N988">
        <v>17.46</v>
      </c>
      <c r="O988" t="s">
        <v>3873</v>
      </c>
      <c r="P988">
        <v>11.19</v>
      </c>
      <c r="Q988">
        <v>11.05</v>
      </c>
      <c r="R988">
        <v>11.06</v>
      </c>
      <c r="S988">
        <v>11.08</v>
      </c>
      <c r="T988">
        <v>1.26</v>
      </c>
      <c r="U988">
        <v>0.82</v>
      </c>
      <c r="V988">
        <v>-43.17</v>
      </c>
      <c r="W988">
        <v>-635</v>
      </c>
      <c r="X988">
        <v>11.13</v>
      </c>
      <c r="Y988">
        <v>5301</v>
      </c>
      <c r="Z988" t="s">
        <v>1869</v>
      </c>
      <c r="AA988">
        <v>0.47</v>
      </c>
      <c r="AB988">
        <v>29</v>
      </c>
      <c r="AC988">
        <v>159</v>
      </c>
      <c r="AD988">
        <v>3.53</v>
      </c>
      <c r="AE988" t="s">
        <v>204</v>
      </c>
      <c r="AF988" t="s">
        <v>1561</v>
      </c>
      <c r="AG988" t="s">
        <v>204</v>
      </c>
      <c r="AH988" t="s">
        <v>1561</v>
      </c>
      <c r="AI988">
        <v>-1.06</v>
      </c>
      <c r="AJ988">
        <v>1.92</v>
      </c>
      <c r="AK988">
        <v>0.54</v>
      </c>
      <c r="AL988">
        <v>1.07</v>
      </c>
    </row>
    <row r="989" spans="1:38" x14ac:dyDescent="0.25">
      <c r="A989">
        <v>988</v>
      </c>
      <c r="B989" t="str">
        <f xml:space="preserve"> "600403"</f>
        <v>600403</v>
      </c>
      <c r="C989" t="s">
        <v>4427</v>
      </c>
      <c r="D989">
        <v>5.19</v>
      </c>
      <c r="E989">
        <v>0.97</v>
      </c>
      <c r="F989">
        <v>0.05</v>
      </c>
      <c r="G989" t="s">
        <v>1077</v>
      </c>
      <c r="H989">
        <v>7</v>
      </c>
      <c r="I989">
        <v>5.19</v>
      </c>
      <c r="J989">
        <v>5.2</v>
      </c>
      <c r="K989">
        <v>0.19</v>
      </c>
      <c r="L989">
        <v>0.06</v>
      </c>
      <c r="M989" t="s">
        <v>4428</v>
      </c>
      <c r="N989">
        <v>21.41</v>
      </c>
      <c r="O989" t="s">
        <v>150</v>
      </c>
      <c r="P989">
        <v>5.2</v>
      </c>
      <c r="Q989">
        <v>5.14</v>
      </c>
      <c r="R989">
        <v>5.14</v>
      </c>
      <c r="S989">
        <v>5.14</v>
      </c>
      <c r="T989">
        <v>1.17</v>
      </c>
      <c r="U989">
        <v>0.66</v>
      </c>
      <c r="V989">
        <v>-33.83</v>
      </c>
      <c r="W989">
        <v>-1190</v>
      </c>
      <c r="X989">
        <v>5.17</v>
      </c>
      <c r="Y989">
        <v>5375</v>
      </c>
      <c r="Z989">
        <v>7829</v>
      </c>
      <c r="AA989">
        <v>0.69</v>
      </c>
      <c r="AB989">
        <v>462</v>
      </c>
      <c r="AC989">
        <v>769</v>
      </c>
      <c r="AD989">
        <v>1.79</v>
      </c>
      <c r="AE989" t="s">
        <v>1184</v>
      </c>
      <c r="AF989" t="s">
        <v>1561</v>
      </c>
      <c r="AG989" t="s">
        <v>1184</v>
      </c>
      <c r="AH989" t="s">
        <v>1561</v>
      </c>
      <c r="AI989">
        <v>-0.56999999999999995</v>
      </c>
      <c r="AJ989">
        <v>1.17</v>
      </c>
      <c r="AK989">
        <v>0.24</v>
      </c>
      <c r="AL989">
        <v>0.47</v>
      </c>
    </row>
    <row r="990" spans="1:38" x14ac:dyDescent="0.25">
      <c r="A990">
        <v>989</v>
      </c>
      <c r="B990" t="str">
        <f xml:space="preserve"> "000901"</f>
        <v>000901</v>
      </c>
      <c r="C990" t="s">
        <v>4429</v>
      </c>
      <c r="D990">
        <v>30.2</v>
      </c>
      <c r="E990">
        <v>-0.33</v>
      </c>
      <c r="F990">
        <v>-0.1</v>
      </c>
      <c r="G990" t="s">
        <v>2098</v>
      </c>
      <c r="H990">
        <v>1270</v>
      </c>
      <c r="I990">
        <v>30.19</v>
      </c>
      <c r="J990">
        <v>30.2</v>
      </c>
      <c r="K990">
        <v>0</v>
      </c>
      <c r="L990">
        <v>2.4</v>
      </c>
      <c r="M990" t="s">
        <v>4430</v>
      </c>
      <c r="N990">
        <v>86.93</v>
      </c>
      <c r="O990" t="s">
        <v>926</v>
      </c>
      <c r="P990">
        <v>30.35</v>
      </c>
      <c r="Q990">
        <v>29.91</v>
      </c>
      <c r="R990">
        <v>30.35</v>
      </c>
      <c r="S990">
        <v>30.3</v>
      </c>
      <c r="T990">
        <v>1.45</v>
      </c>
      <c r="U990">
        <v>1.08</v>
      </c>
      <c r="V990">
        <v>-3.72</v>
      </c>
      <c r="W990">
        <v>-55</v>
      </c>
      <c r="X990">
        <v>30.07</v>
      </c>
      <c r="Y990" t="s">
        <v>1437</v>
      </c>
      <c r="Z990" t="s">
        <v>4431</v>
      </c>
      <c r="AA990">
        <v>1.4</v>
      </c>
      <c r="AB990">
        <v>292</v>
      </c>
      <c r="AC990">
        <v>161</v>
      </c>
      <c r="AD990">
        <v>3.34</v>
      </c>
      <c r="AE990" t="s">
        <v>139</v>
      </c>
      <c r="AF990" t="s">
        <v>1561</v>
      </c>
      <c r="AG990" t="s">
        <v>3682</v>
      </c>
      <c r="AH990" t="s">
        <v>4432</v>
      </c>
      <c r="AI990">
        <v>2.44</v>
      </c>
      <c r="AJ990">
        <v>5.26</v>
      </c>
      <c r="AK990">
        <v>8.4499999999999993</v>
      </c>
      <c r="AL990">
        <v>13.46</v>
      </c>
    </row>
    <row r="991" spans="1:38" x14ac:dyDescent="0.25">
      <c r="A991">
        <v>990</v>
      </c>
      <c r="B991" t="str">
        <f xml:space="preserve"> "002638"</f>
        <v>002638</v>
      </c>
      <c r="C991" t="s">
        <v>4433</v>
      </c>
      <c r="D991" t="s">
        <v>616</v>
      </c>
      <c r="E991" t="s">
        <v>616</v>
      </c>
      <c r="F991" t="s">
        <v>616</v>
      </c>
      <c r="G991" t="s">
        <v>616</v>
      </c>
      <c r="H991" t="s">
        <v>616</v>
      </c>
      <c r="I991" t="s">
        <v>616</v>
      </c>
      <c r="J991" t="s">
        <v>616</v>
      </c>
      <c r="K991" t="s">
        <v>616</v>
      </c>
      <c r="L991" t="s">
        <v>616</v>
      </c>
      <c r="M991" t="s">
        <v>616</v>
      </c>
      <c r="N991">
        <v>75.23</v>
      </c>
      <c r="O991" t="s">
        <v>380</v>
      </c>
      <c r="P991" t="s">
        <v>616</v>
      </c>
      <c r="Q991" t="s">
        <v>616</v>
      </c>
      <c r="R991" t="s">
        <v>616</v>
      </c>
      <c r="S991">
        <v>8.14</v>
      </c>
      <c r="T991" t="s">
        <v>616</v>
      </c>
      <c r="U991" t="s">
        <v>616</v>
      </c>
      <c r="V991" t="s">
        <v>616</v>
      </c>
      <c r="W991" t="s">
        <v>616</v>
      </c>
      <c r="X991" t="s">
        <v>616</v>
      </c>
      <c r="Y991" t="s">
        <v>616</v>
      </c>
      <c r="Z991" t="s">
        <v>616</v>
      </c>
      <c r="AA991" t="s">
        <v>616</v>
      </c>
      <c r="AB991" t="s">
        <v>616</v>
      </c>
      <c r="AC991" t="s">
        <v>616</v>
      </c>
      <c r="AD991">
        <v>2.4</v>
      </c>
      <c r="AE991" t="s">
        <v>1225</v>
      </c>
      <c r="AF991" t="s">
        <v>1561</v>
      </c>
      <c r="AG991" t="s">
        <v>4264</v>
      </c>
      <c r="AH991" t="s">
        <v>500</v>
      </c>
      <c r="AI991">
        <v>0</v>
      </c>
      <c r="AJ991">
        <v>0</v>
      </c>
      <c r="AK991">
        <v>0</v>
      </c>
      <c r="AL991">
        <v>0</v>
      </c>
    </row>
    <row r="992" spans="1:38" x14ac:dyDescent="0.25">
      <c r="A992">
        <v>991</v>
      </c>
      <c r="B992" t="str">
        <f xml:space="preserve"> "600503"</f>
        <v>600503</v>
      </c>
      <c r="C992" t="s">
        <v>4434</v>
      </c>
      <c r="D992">
        <v>7.71</v>
      </c>
      <c r="E992">
        <v>0.39</v>
      </c>
      <c r="F992">
        <v>0.03</v>
      </c>
      <c r="G992" t="s">
        <v>965</v>
      </c>
      <c r="H992">
        <v>40</v>
      </c>
      <c r="I992">
        <v>7.71</v>
      </c>
      <c r="J992">
        <v>7.72</v>
      </c>
      <c r="K992">
        <v>0.26</v>
      </c>
      <c r="L992">
        <v>1.1100000000000001</v>
      </c>
      <c r="M992" t="s">
        <v>3058</v>
      </c>
      <c r="N992">
        <v>97.66</v>
      </c>
      <c r="O992" t="s">
        <v>244</v>
      </c>
      <c r="P992">
        <v>7.79</v>
      </c>
      <c r="Q992">
        <v>7.63</v>
      </c>
      <c r="R992">
        <v>7.67</v>
      </c>
      <c r="S992">
        <v>7.68</v>
      </c>
      <c r="T992">
        <v>2.08</v>
      </c>
      <c r="U992">
        <v>0.47</v>
      </c>
      <c r="V992">
        <v>-21.77</v>
      </c>
      <c r="W992">
        <v>-3015</v>
      </c>
      <c r="X992">
        <v>7.72</v>
      </c>
      <c r="Y992" t="s">
        <v>2496</v>
      </c>
      <c r="Z992" t="s">
        <v>3432</v>
      </c>
      <c r="AA992">
        <v>1.1200000000000001</v>
      </c>
      <c r="AB992">
        <v>9</v>
      </c>
      <c r="AC992">
        <v>1297</v>
      </c>
      <c r="AD992">
        <v>3.59</v>
      </c>
      <c r="AE992" t="s">
        <v>1147</v>
      </c>
      <c r="AF992" t="s">
        <v>1561</v>
      </c>
      <c r="AG992" t="s">
        <v>1147</v>
      </c>
      <c r="AH992" t="s">
        <v>1561</v>
      </c>
      <c r="AI992">
        <v>-3.87</v>
      </c>
      <c r="AJ992">
        <v>-0.13</v>
      </c>
      <c r="AK992">
        <v>5.88</v>
      </c>
      <c r="AL992">
        <v>12.98</v>
      </c>
    </row>
    <row r="993" spans="1:38" x14ac:dyDescent="0.25">
      <c r="A993">
        <v>992</v>
      </c>
      <c r="B993" t="str">
        <f xml:space="preserve"> "002414"</f>
        <v>002414</v>
      </c>
      <c r="C993" t="s">
        <v>4435</v>
      </c>
      <c r="D993">
        <v>19.78</v>
      </c>
      <c r="E993">
        <v>-0.8</v>
      </c>
      <c r="F993">
        <v>-0.16</v>
      </c>
      <c r="G993" t="s">
        <v>4374</v>
      </c>
      <c r="H993">
        <v>154</v>
      </c>
      <c r="I993">
        <v>19.78</v>
      </c>
      <c r="J993">
        <v>19.8</v>
      </c>
      <c r="K993">
        <v>0</v>
      </c>
      <c r="L993">
        <v>0.4</v>
      </c>
      <c r="M993" t="s">
        <v>4436</v>
      </c>
      <c r="N993">
        <v>133.33000000000001</v>
      </c>
      <c r="O993" t="s">
        <v>205</v>
      </c>
      <c r="P993">
        <v>20.25</v>
      </c>
      <c r="Q993">
        <v>19.68</v>
      </c>
      <c r="R993">
        <v>19.940000000000001</v>
      </c>
      <c r="S993">
        <v>19.940000000000001</v>
      </c>
      <c r="T993">
        <v>2.86</v>
      </c>
      <c r="U993">
        <v>0.59</v>
      </c>
      <c r="V993">
        <v>28.66</v>
      </c>
      <c r="W993">
        <v>282</v>
      </c>
      <c r="X993">
        <v>19.84</v>
      </c>
      <c r="Y993" t="s">
        <v>545</v>
      </c>
      <c r="Z993">
        <v>6200</v>
      </c>
      <c r="AA993">
        <v>2.08</v>
      </c>
      <c r="AB993">
        <v>264</v>
      </c>
      <c r="AC993">
        <v>88</v>
      </c>
      <c r="AD993">
        <v>3.87</v>
      </c>
      <c r="AE993" t="s">
        <v>4437</v>
      </c>
      <c r="AF993" t="s">
        <v>1741</v>
      </c>
      <c r="AG993" t="s">
        <v>4438</v>
      </c>
      <c r="AH993" t="s">
        <v>4310</v>
      </c>
      <c r="AI993">
        <v>-1.1499999999999999</v>
      </c>
      <c r="AJ993">
        <v>-0.25</v>
      </c>
      <c r="AK993">
        <v>1.62</v>
      </c>
      <c r="AL993">
        <v>3.81</v>
      </c>
    </row>
    <row r="994" spans="1:38" x14ac:dyDescent="0.25">
      <c r="A994">
        <v>993</v>
      </c>
      <c r="B994" t="str">
        <f xml:space="preserve"> "600460"</f>
        <v>600460</v>
      </c>
      <c r="C994" t="s">
        <v>4439</v>
      </c>
      <c r="D994">
        <v>9.9</v>
      </c>
      <c r="E994">
        <v>-2.94</v>
      </c>
      <c r="F994">
        <v>-0.3</v>
      </c>
      <c r="G994" t="s">
        <v>4440</v>
      </c>
      <c r="H994">
        <v>1048</v>
      </c>
      <c r="I994">
        <v>9.9</v>
      </c>
      <c r="J994">
        <v>9.91</v>
      </c>
      <c r="K994">
        <v>-0.2</v>
      </c>
      <c r="L994">
        <v>6.7</v>
      </c>
      <c r="M994" t="s">
        <v>4441</v>
      </c>
      <c r="N994">
        <v>73.12</v>
      </c>
      <c r="O994" t="s">
        <v>380</v>
      </c>
      <c r="P994">
        <v>10.19</v>
      </c>
      <c r="Q994">
        <v>9.73</v>
      </c>
      <c r="R994">
        <v>10.119999999999999</v>
      </c>
      <c r="S994">
        <v>10.199999999999999</v>
      </c>
      <c r="T994">
        <v>4.51</v>
      </c>
      <c r="U994">
        <v>0.54</v>
      </c>
      <c r="V994">
        <v>8.2899999999999991</v>
      </c>
      <c r="W994">
        <v>790</v>
      </c>
      <c r="X994">
        <v>9.92</v>
      </c>
      <c r="Y994" t="s">
        <v>1457</v>
      </c>
      <c r="Z994" t="s">
        <v>1163</v>
      </c>
      <c r="AA994">
        <v>1.46</v>
      </c>
      <c r="AB994">
        <v>86</v>
      </c>
      <c r="AC994">
        <v>486</v>
      </c>
      <c r="AD994">
        <v>4.8600000000000003</v>
      </c>
      <c r="AE994" t="s">
        <v>2674</v>
      </c>
      <c r="AF994" t="s">
        <v>1741</v>
      </c>
      <c r="AG994" t="s">
        <v>2674</v>
      </c>
      <c r="AH994" t="s">
        <v>1741</v>
      </c>
      <c r="AI994">
        <v>-9.67</v>
      </c>
      <c r="AJ994">
        <v>4.54</v>
      </c>
      <c r="AK994">
        <v>24.57</v>
      </c>
      <c r="AL994">
        <v>68.599999999999994</v>
      </c>
    </row>
    <row r="995" spans="1:38" x14ac:dyDescent="0.25">
      <c r="A995">
        <v>994</v>
      </c>
      <c r="B995" t="str">
        <f xml:space="preserve"> "002400"</f>
        <v>002400</v>
      </c>
      <c r="C995" t="s">
        <v>4442</v>
      </c>
      <c r="D995">
        <v>7.08</v>
      </c>
      <c r="E995">
        <v>1</v>
      </c>
      <c r="F995">
        <v>7.0000000000000007E-2</v>
      </c>
      <c r="G995" t="s">
        <v>246</v>
      </c>
      <c r="H995">
        <v>1190</v>
      </c>
      <c r="I995">
        <v>7.07</v>
      </c>
      <c r="J995">
        <v>7.08</v>
      </c>
      <c r="K995">
        <v>0.14000000000000001</v>
      </c>
      <c r="L995">
        <v>0.93</v>
      </c>
      <c r="M995" t="s">
        <v>4443</v>
      </c>
      <c r="N995">
        <v>32.51</v>
      </c>
      <c r="O995" t="s">
        <v>1126</v>
      </c>
      <c r="P995">
        <v>7.08</v>
      </c>
      <c r="Q995">
        <v>6.99</v>
      </c>
      <c r="R995">
        <v>7.02</v>
      </c>
      <c r="S995">
        <v>7.01</v>
      </c>
      <c r="T995">
        <v>1.28</v>
      </c>
      <c r="U995">
        <v>1.04</v>
      </c>
      <c r="V995">
        <v>-43.09</v>
      </c>
      <c r="W995" t="s">
        <v>4444</v>
      </c>
      <c r="X995">
        <v>7.06</v>
      </c>
      <c r="Y995" t="s">
        <v>188</v>
      </c>
      <c r="Z995" t="s">
        <v>3729</v>
      </c>
      <c r="AA995">
        <v>0.63</v>
      </c>
      <c r="AB995">
        <v>2081</v>
      </c>
      <c r="AC995">
        <v>7334</v>
      </c>
      <c r="AD995">
        <v>2.31</v>
      </c>
      <c r="AE995" t="s">
        <v>1540</v>
      </c>
      <c r="AF995" t="s">
        <v>1741</v>
      </c>
      <c r="AG995" t="s">
        <v>1889</v>
      </c>
      <c r="AH995" t="s">
        <v>171</v>
      </c>
      <c r="AI995">
        <v>-0.42</v>
      </c>
      <c r="AJ995">
        <v>2.02</v>
      </c>
      <c r="AK995">
        <v>2.83</v>
      </c>
      <c r="AL995">
        <v>5.42</v>
      </c>
    </row>
    <row r="996" spans="1:38" x14ac:dyDescent="0.25">
      <c r="A996">
        <v>995</v>
      </c>
      <c r="B996" t="str">
        <f xml:space="preserve"> "300208"</f>
        <v>300208</v>
      </c>
      <c r="C996" t="s">
        <v>4445</v>
      </c>
      <c r="D996">
        <v>16.09</v>
      </c>
      <c r="E996">
        <v>0.31</v>
      </c>
      <c r="F996">
        <v>0.05</v>
      </c>
      <c r="G996" t="s">
        <v>2147</v>
      </c>
      <c r="H996">
        <v>610</v>
      </c>
      <c r="I996">
        <v>16.079999999999998</v>
      </c>
      <c r="J996">
        <v>16.09</v>
      </c>
      <c r="K996">
        <v>0.12</v>
      </c>
      <c r="L996">
        <v>0.65</v>
      </c>
      <c r="M996" t="s">
        <v>4446</v>
      </c>
      <c r="N996">
        <v>24.61</v>
      </c>
      <c r="O996" t="s">
        <v>680</v>
      </c>
      <c r="P996">
        <v>16.2</v>
      </c>
      <c r="Q996">
        <v>16</v>
      </c>
      <c r="R996">
        <v>16.04</v>
      </c>
      <c r="S996">
        <v>16.04</v>
      </c>
      <c r="T996">
        <v>1.25</v>
      </c>
      <c r="U996">
        <v>0.56000000000000005</v>
      </c>
      <c r="V996">
        <v>29.03</v>
      </c>
      <c r="W996">
        <v>620</v>
      </c>
      <c r="X996">
        <v>16.09</v>
      </c>
      <c r="Y996" t="s">
        <v>1420</v>
      </c>
      <c r="Z996" t="s">
        <v>899</v>
      </c>
      <c r="AA996">
        <v>1.1499999999999999</v>
      </c>
      <c r="AB996">
        <v>645</v>
      </c>
      <c r="AC996">
        <v>64</v>
      </c>
      <c r="AD996">
        <v>6.67</v>
      </c>
      <c r="AE996" t="s">
        <v>2813</v>
      </c>
      <c r="AF996" t="s">
        <v>1741</v>
      </c>
      <c r="AG996" t="s">
        <v>4447</v>
      </c>
      <c r="AH996" t="s">
        <v>3842</v>
      </c>
      <c r="AI996">
        <v>3.74</v>
      </c>
      <c r="AJ996">
        <v>3.14</v>
      </c>
      <c r="AK996">
        <v>3.13</v>
      </c>
      <c r="AL996">
        <v>6.5</v>
      </c>
    </row>
    <row r="997" spans="1:38" x14ac:dyDescent="0.25">
      <c r="A997">
        <v>996</v>
      </c>
      <c r="B997" t="str">
        <f xml:space="preserve"> "600828"</f>
        <v>600828</v>
      </c>
      <c r="C997" t="s">
        <v>4448</v>
      </c>
      <c r="D997">
        <v>7.12</v>
      </c>
      <c r="E997">
        <v>0.71</v>
      </c>
      <c r="F997">
        <v>0.05</v>
      </c>
      <c r="G997" t="s">
        <v>4449</v>
      </c>
      <c r="H997">
        <v>10</v>
      </c>
      <c r="I997">
        <v>7.12</v>
      </c>
      <c r="J997">
        <v>7.14</v>
      </c>
      <c r="K997">
        <v>-0.28000000000000003</v>
      </c>
      <c r="L997">
        <v>1.41</v>
      </c>
      <c r="M997" t="s">
        <v>4450</v>
      </c>
      <c r="N997">
        <v>16.21</v>
      </c>
      <c r="O997" t="s">
        <v>532</v>
      </c>
      <c r="P997">
        <v>7.18</v>
      </c>
      <c r="Q997">
        <v>7.06</v>
      </c>
      <c r="R997">
        <v>7.09</v>
      </c>
      <c r="S997">
        <v>7.07</v>
      </c>
      <c r="T997">
        <v>1.7</v>
      </c>
      <c r="U997">
        <v>1.92</v>
      </c>
      <c r="V997">
        <v>-34.159999999999997</v>
      </c>
      <c r="W997">
        <v>-4333</v>
      </c>
      <c r="X997">
        <v>7.14</v>
      </c>
      <c r="Y997" t="s">
        <v>430</v>
      </c>
      <c r="Z997" t="s">
        <v>1699</v>
      </c>
      <c r="AA997">
        <v>0.68</v>
      </c>
      <c r="AB997">
        <v>13</v>
      </c>
      <c r="AC997">
        <v>150</v>
      </c>
      <c r="AD997">
        <v>3.28</v>
      </c>
      <c r="AE997" t="s">
        <v>531</v>
      </c>
      <c r="AF997" t="s">
        <v>1741</v>
      </c>
      <c r="AG997" t="s">
        <v>4451</v>
      </c>
      <c r="AH997" t="s">
        <v>1137</v>
      </c>
      <c r="AI997">
        <v>1.57</v>
      </c>
      <c r="AJ997">
        <v>4.71</v>
      </c>
      <c r="AK997">
        <v>3.29</v>
      </c>
      <c r="AL997">
        <v>5.0999999999999996</v>
      </c>
    </row>
    <row r="998" spans="1:38" x14ac:dyDescent="0.25">
      <c r="A998">
        <v>997</v>
      </c>
      <c r="B998" t="str">
        <f xml:space="preserve"> "600057"</f>
        <v>600057</v>
      </c>
      <c r="C998" t="s">
        <v>4452</v>
      </c>
      <c r="D998">
        <v>10.53</v>
      </c>
      <c r="E998">
        <v>2.4300000000000002</v>
      </c>
      <c r="F998">
        <v>0.25</v>
      </c>
      <c r="G998" t="s">
        <v>371</v>
      </c>
      <c r="H998">
        <v>10</v>
      </c>
      <c r="I998">
        <v>10.52</v>
      </c>
      <c r="J998">
        <v>10.53</v>
      </c>
      <c r="K998">
        <v>0</v>
      </c>
      <c r="L998">
        <v>1.02</v>
      </c>
      <c r="M998" t="s">
        <v>60</v>
      </c>
      <c r="N998">
        <v>20.76</v>
      </c>
      <c r="O998" t="s">
        <v>274</v>
      </c>
      <c r="P998">
        <v>10.58</v>
      </c>
      <c r="Q998">
        <v>10.24</v>
      </c>
      <c r="R998">
        <v>10.24</v>
      </c>
      <c r="S998">
        <v>10.28</v>
      </c>
      <c r="T998">
        <v>3.31</v>
      </c>
      <c r="U998">
        <v>2.6</v>
      </c>
      <c r="V998">
        <v>-8.91</v>
      </c>
      <c r="W998">
        <v>-503</v>
      </c>
      <c r="X998">
        <v>10.5</v>
      </c>
      <c r="Y998" t="s">
        <v>1954</v>
      </c>
      <c r="Z998" t="s">
        <v>3174</v>
      </c>
      <c r="AA998">
        <v>0.38</v>
      </c>
      <c r="AB998">
        <v>440</v>
      </c>
      <c r="AC998">
        <v>10</v>
      </c>
      <c r="AD998">
        <v>1.84</v>
      </c>
      <c r="AE998" t="s">
        <v>1132</v>
      </c>
      <c r="AF998" t="s">
        <v>1741</v>
      </c>
      <c r="AG998" t="s">
        <v>2501</v>
      </c>
      <c r="AH998" t="s">
        <v>1513</v>
      </c>
      <c r="AI998">
        <v>0.96</v>
      </c>
      <c r="AJ998">
        <v>3.34</v>
      </c>
      <c r="AK998">
        <v>1.87</v>
      </c>
      <c r="AL998">
        <v>2.99</v>
      </c>
    </row>
    <row r="999" spans="1:38" x14ac:dyDescent="0.25">
      <c r="A999">
        <v>998</v>
      </c>
      <c r="B999" t="str">
        <f xml:space="preserve"> "600675"</f>
        <v>600675</v>
      </c>
      <c r="C999" t="s">
        <v>4453</v>
      </c>
      <c r="D999">
        <v>6.58</v>
      </c>
      <c r="E999">
        <v>0</v>
      </c>
      <c r="F999">
        <v>0</v>
      </c>
      <c r="G999" t="s">
        <v>2409</v>
      </c>
      <c r="H999">
        <v>50</v>
      </c>
      <c r="I999">
        <v>6.57</v>
      </c>
      <c r="J999">
        <v>6.58</v>
      </c>
      <c r="K999">
        <v>0</v>
      </c>
      <c r="L999">
        <v>0.2</v>
      </c>
      <c r="M999" t="s">
        <v>4454</v>
      </c>
      <c r="N999">
        <v>16.14</v>
      </c>
      <c r="O999" t="s">
        <v>244</v>
      </c>
      <c r="P999">
        <v>6.59</v>
      </c>
      <c r="Q999">
        <v>6.55</v>
      </c>
      <c r="R999">
        <v>6.58</v>
      </c>
      <c r="S999">
        <v>6.58</v>
      </c>
      <c r="T999">
        <v>0.61</v>
      </c>
      <c r="U999">
        <v>0.78</v>
      </c>
      <c r="V999">
        <v>10.74</v>
      </c>
      <c r="W999">
        <v>759</v>
      </c>
      <c r="X999">
        <v>6.56</v>
      </c>
      <c r="Y999" t="s">
        <v>3579</v>
      </c>
      <c r="Z999" t="s">
        <v>530</v>
      </c>
      <c r="AA999">
        <v>1.45</v>
      </c>
      <c r="AB999">
        <v>209</v>
      </c>
      <c r="AC999">
        <v>601</v>
      </c>
      <c r="AD999">
        <v>3.38</v>
      </c>
      <c r="AE999" t="s">
        <v>1362</v>
      </c>
      <c r="AF999" t="s">
        <v>1741</v>
      </c>
      <c r="AG999" t="s">
        <v>1362</v>
      </c>
      <c r="AH999" t="s">
        <v>1741</v>
      </c>
      <c r="AI999">
        <v>-1.05</v>
      </c>
      <c r="AJ999">
        <v>-1.35</v>
      </c>
      <c r="AK999">
        <v>0.61</v>
      </c>
      <c r="AL999">
        <v>1.45</v>
      </c>
    </row>
    <row r="1000" spans="1:38" x14ac:dyDescent="0.25">
      <c r="A1000">
        <v>999</v>
      </c>
      <c r="B1000" t="str">
        <f xml:space="preserve"> "000150"</f>
        <v>000150</v>
      </c>
      <c r="C1000" t="s">
        <v>4455</v>
      </c>
      <c r="D1000">
        <v>27.42</v>
      </c>
      <c r="E1000">
        <v>-0.36</v>
      </c>
      <c r="F1000">
        <v>-0.1</v>
      </c>
      <c r="G1000" t="s">
        <v>2280</v>
      </c>
      <c r="H1000">
        <v>250</v>
      </c>
      <c r="I1000">
        <v>27.42</v>
      </c>
      <c r="J1000">
        <v>27.45</v>
      </c>
      <c r="K1000">
        <v>0.18</v>
      </c>
      <c r="L1000">
        <v>0.35</v>
      </c>
      <c r="M1000" t="s">
        <v>4456</v>
      </c>
      <c r="N1000">
        <v>59.69</v>
      </c>
      <c r="O1000" t="s">
        <v>1552</v>
      </c>
      <c r="P1000">
        <v>27.92</v>
      </c>
      <c r="Q1000">
        <v>27.02</v>
      </c>
      <c r="R1000">
        <v>27.74</v>
      </c>
      <c r="S1000">
        <v>27.52</v>
      </c>
      <c r="T1000">
        <v>3.27</v>
      </c>
      <c r="U1000">
        <v>1.21</v>
      </c>
      <c r="V1000">
        <v>-2.97</v>
      </c>
      <c r="W1000">
        <v>-8</v>
      </c>
      <c r="X1000">
        <v>27.46</v>
      </c>
      <c r="Y1000">
        <v>5051</v>
      </c>
      <c r="Z1000">
        <v>7346</v>
      </c>
      <c r="AA1000">
        <v>0.69</v>
      </c>
      <c r="AB1000">
        <v>62</v>
      </c>
      <c r="AC1000">
        <v>8</v>
      </c>
      <c r="AD1000">
        <v>5.05</v>
      </c>
      <c r="AE1000" t="s">
        <v>4457</v>
      </c>
      <c r="AF1000" t="s">
        <v>1741</v>
      </c>
      <c r="AG1000" t="s">
        <v>4458</v>
      </c>
      <c r="AH1000" t="s">
        <v>4459</v>
      </c>
      <c r="AI1000">
        <v>-2.39</v>
      </c>
      <c r="AJ1000">
        <v>1.03</v>
      </c>
      <c r="AK1000">
        <v>0.98</v>
      </c>
      <c r="AL1000">
        <v>1.8</v>
      </c>
    </row>
    <row r="1001" spans="1:38" x14ac:dyDescent="0.25">
      <c r="A1001">
        <v>1000</v>
      </c>
      <c r="B1001" t="str">
        <f xml:space="preserve"> "002375"</f>
        <v>002375</v>
      </c>
      <c r="C1001" t="s">
        <v>4460</v>
      </c>
      <c r="D1001">
        <v>9.16</v>
      </c>
      <c r="E1001">
        <v>0.66</v>
      </c>
      <c r="F1001">
        <v>0.06</v>
      </c>
      <c r="G1001" t="s">
        <v>4003</v>
      </c>
      <c r="H1001">
        <v>670</v>
      </c>
      <c r="I1001">
        <v>9.15</v>
      </c>
      <c r="J1001">
        <v>9.16</v>
      </c>
      <c r="K1001">
        <v>0</v>
      </c>
      <c r="L1001">
        <v>0.28999999999999998</v>
      </c>
      <c r="M1001" t="s">
        <v>4461</v>
      </c>
      <c r="N1001">
        <v>34.53</v>
      </c>
      <c r="O1001" t="s">
        <v>2309</v>
      </c>
      <c r="P1001">
        <v>9.19</v>
      </c>
      <c r="Q1001">
        <v>9.1</v>
      </c>
      <c r="R1001">
        <v>9.14</v>
      </c>
      <c r="S1001">
        <v>9.1</v>
      </c>
      <c r="T1001">
        <v>0.99</v>
      </c>
      <c r="U1001">
        <v>0.53</v>
      </c>
      <c r="V1001">
        <v>2.27</v>
      </c>
      <c r="W1001">
        <v>138</v>
      </c>
      <c r="X1001">
        <v>9.14</v>
      </c>
      <c r="Y1001" t="s">
        <v>3238</v>
      </c>
      <c r="Z1001" t="s">
        <v>1278</v>
      </c>
      <c r="AA1001">
        <v>1.1200000000000001</v>
      </c>
      <c r="AB1001">
        <v>2103</v>
      </c>
      <c r="AC1001">
        <v>49</v>
      </c>
      <c r="AD1001">
        <v>1.69</v>
      </c>
      <c r="AE1001" t="s">
        <v>2005</v>
      </c>
      <c r="AF1001" t="s">
        <v>1741</v>
      </c>
      <c r="AG1001" t="s">
        <v>1132</v>
      </c>
      <c r="AH1001" t="s">
        <v>1037</v>
      </c>
      <c r="AI1001">
        <v>-1.61</v>
      </c>
      <c r="AJ1001">
        <v>-2.0299999999999998</v>
      </c>
      <c r="AK1001">
        <v>1.21</v>
      </c>
      <c r="AL1001">
        <v>3.05</v>
      </c>
    </row>
    <row r="1002" spans="1:38" x14ac:dyDescent="0.25">
      <c r="A1002">
        <v>1001</v>
      </c>
      <c r="B1002" t="str">
        <f xml:space="preserve"> "603367"</f>
        <v>603367</v>
      </c>
      <c r="C1002" t="s">
        <v>4462</v>
      </c>
      <c r="D1002">
        <v>27.05</v>
      </c>
      <c r="E1002">
        <v>10</v>
      </c>
      <c r="F1002">
        <v>2.46</v>
      </c>
      <c r="G1002">
        <v>1855</v>
      </c>
      <c r="H1002">
        <v>2</v>
      </c>
      <c r="I1002">
        <v>27.05</v>
      </c>
      <c r="J1002" t="s">
        <v>616</v>
      </c>
      <c r="K1002">
        <v>0</v>
      </c>
      <c r="L1002">
        <v>0.19</v>
      </c>
      <c r="M1002" t="s">
        <v>4463</v>
      </c>
      <c r="N1002">
        <v>48</v>
      </c>
      <c r="O1002" t="s">
        <v>392</v>
      </c>
      <c r="P1002">
        <v>27.05</v>
      </c>
      <c r="Q1002">
        <v>27.05</v>
      </c>
      <c r="R1002">
        <v>27.05</v>
      </c>
      <c r="S1002">
        <v>24.59</v>
      </c>
      <c r="T1002">
        <v>0</v>
      </c>
      <c r="U1002">
        <v>4.3899999999999997</v>
      </c>
      <c r="V1002">
        <v>100</v>
      </c>
      <c r="W1002" t="s">
        <v>658</v>
      </c>
      <c r="X1002">
        <v>27.05</v>
      </c>
      <c r="Y1002">
        <v>1855</v>
      </c>
      <c r="Z1002">
        <v>0</v>
      </c>
      <c r="AA1002">
        <v>1</v>
      </c>
      <c r="AB1002" t="s">
        <v>3387</v>
      </c>
      <c r="AC1002">
        <v>0</v>
      </c>
      <c r="AD1002">
        <v>3.52</v>
      </c>
      <c r="AE1002" t="s">
        <v>112</v>
      </c>
      <c r="AF1002" t="s">
        <v>1741</v>
      </c>
      <c r="AG1002" t="s">
        <v>4464</v>
      </c>
      <c r="AH1002" t="s">
        <v>547</v>
      </c>
      <c r="AI1002">
        <v>33.119999999999997</v>
      </c>
      <c r="AJ1002">
        <v>93.35</v>
      </c>
      <c r="AK1002">
        <v>0.34</v>
      </c>
      <c r="AL1002">
        <v>0.4</v>
      </c>
    </row>
    <row r="1003" spans="1:38" x14ac:dyDescent="0.25">
      <c r="A1003">
        <v>1002</v>
      </c>
      <c r="B1003" t="str">
        <f xml:space="preserve"> "002642"</f>
        <v>002642</v>
      </c>
      <c r="C1003" t="s">
        <v>4465</v>
      </c>
      <c r="D1003">
        <v>19.28</v>
      </c>
      <c r="E1003">
        <v>0</v>
      </c>
      <c r="F1003">
        <v>0</v>
      </c>
      <c r="G1003" t="s">
        <v>4420</v>
      </c>
      <c r="H1003">
        <v>2021</v>
      </c>
      <c r="I1003">
        <v>19.27</v>
      </c>
      <c r="J1003">
        <v>19.28</v>
      </c>
      <c r="K1003">
        <v>0.16</v>
      </c>
      <c r="L1003">
        <v>1.82</v>
      </c>
      <c r="M1003" t="s">
        <v>989</v>
      </c>
      <c r="N1003">
        <v>-278.33999999999997</v>
      </c>
      <c r="O1003" t="s">
        <v>893</v>
      </c>
      <c r="P1003">
        <v>19.489999999999998</v>
      </c>
      <c r="Q1003">
        <v>19.12</v>
      </c>
      <c r="R1003">
        <v>19.260000000000002</v>
      </c>
      <c r="S1003">
        <v>19.28</v>
      </c>
      <c r="T1003">
        <v>1.92</v>
      </c>
      <c r="U1003">
        <v>0.44</v>
      </c>
      <c r="V1003">
        <v>-72.41</v>
      </c>
      <c r="W1003">
        <v>-2407</v>
      </c>
      <c r="X1003">
        <v>19.28</v>
      </c>
      <c r="Y1003" t="s">
        <v>927</v>
      </c>
      <c r="Z1003" t="s">
        <v>2180</v>
      </c>
      <c r="AA1003">
        <v>1.23</v>
      </c>
      <c r="AB1003">
        <v>27</v>
      </c>
      <c r="AC1003">
        <v>1315</v>
      </c>
      <c r="AD1003">
        <v>3.25</v>
      </c>
      <c r="AE1003" t="s">
        <v>4210</v>
      </c>
      <c r="AF1003" t="s">
        <v>1741</v>
      </c>
      <c r="AG1003" t="s">
        <v>2873</v>
      </c>
      <c r="AH1003" t="s">
        <v>4466</v>
      </c>
      <c r="AI1003">
        <v>-3.79</v>
      </c>
      <c r="AJ1003">
        <v>1.69</v>
      </c>
      <c r="AK1003">
        <v>10.46</v>
      </c>
      <c r="AL1003">
        <v>22.67</v>
      </c>
    </row>
    <row r="1004" spans="1:38" x14ac:dyDescent="0.25">
      <c r="A1004">
        <v>1003</v>
      </c>
      <c r="B1004" t="str">
        <f xml:space="preserve"> "002155"</f>
        <v>002155</v>
      </c>
      <c r="C1004" t="s">
        <v>4467</v>
      </c>
      <c r="D1004">
        <v>10.19</v>
      </c>
      <c r="E1004">
        <v>-0.28999999999999998</v>
      </c>
      <c r="F1004">
        <v>-0.03</v>
      </c>
      <c r="G1004" t="s">
        <v>735</v>
      </c>
      <c r="H1004">
        <v>1607</v>
      </c>
      <c r="I1004">
        <v>10.19</v>
      </c>
      <c r="J1004">
        <v>10.199999999999999</v>
      </c>
      <c r="K1004">
        <v>-0.2</v>
      </c>
      <c r="L1004">
        <v>0.72</v>
      </c>
      <c r="M1004" t="s">
        <v>4468</v>
      </c>
      <c r="N1004">
        <v>37.630000000000003</v>
      </c>
      <c r="O1004" t="s">
        <v>788</v>
      </c>
      <c r="P1004">
        <v>10.220000000000001</v>
      </c>
      <c r="Q1004">
        <v>10.16</v>
      </c>
      <c r="R1004">
        <v>10.220000000000001</v>
      </c>
      <c r="S1004">
        <v>10.220000000000001</v>
      </c>
      <c r="T1004">
        <v>0.59</v>
      </c>
      <c r="U1004">
        <v>0.79</v>
      </c>
      <c r="V1004">
        <v>16.059999999999999</v>
      </c>
      <c r="W1004">
        <v>1350</v>
      </c>
      <c r="X1004">
        <v>10.18</v>
      </c>
      <c r="Y1004" t="s">
        <v>1560</v>
      </c>
      <c r="Z1004" t="s">
        <v>623</v>
      </c>
      <c r="AA1004">
        <v>1.65</v>
      </c>
      <c r="AB1004">
        <v>675</v>
      </c>
      <c r="AC1004">
        <v>117</v>
      </c>
      <c r="AD1004">
        <v>2.77</v>
      </c>
      <c r="AE1004" t="s">
        <v>177</v>
      </c>
      <c r="AF1004" t="s">
        <v>555</v>
      </c>
      <c r="AG1004" t="s">
        <v>298</v>
      </c>
      <c r="AH1004" t="s">
        <v>958</v>
      </c>
      <c r="AI1004">
        <v>-0.49</v>
      </c>
      <c r="AJ1004">
        <v>1.7</v>
      </c>
      <c r="AK1004">
        <v>2.56</v>
      </c>
      <c r="AL1004">
        <v>5.27</v>
      </c>
    </row>
    <row r="1005" spans="1:38" x14ac:dyDescent="0.25">
      <c r="A1005">
        <v>1004</v>
      </c>
      <c r="B1005" t="str">
        <f xml:space="preserve"> "600054"</f>
        <v>600054</v>
      </c>
      <c r="C1005" t="s">
        <v>4469</v>
      </c>
      <c r="D1005">
        <v>16.39</v>
      </c>
      <c r="E1005">
        <v>-0.73</v>
      </c>
      <c r="F1005">
        <v>-0.12</v>
      </c>
      <c r="G1005" t="s">
        <v>2846</v>
      </c>
      <c r="H1005">
        <v>10</v>
      </c>
      <c r="I1005">
        <v>16.38</v>
      </c>
      <c r="J1005">
        <v>16.39</v>
      </c>
      <c r="K1005">
        <v>-0.06</v>
      </c>
      <c r="L1005">
        <v>0.53</v>
      </c>
      <c r="M1005" t="s">
        <v>4470</v>
      </c>
      <c r="N1005">
        <v>32.75</v>
      </c>
      <c r="O1005" t="s">
        <v>951</v>
      </c>
      <c r="P1005">
        <v>16.489999999999998</v>
      </c>
      <c r="Q1005">
        <v>16.27</v>
      </c>
      <c r="R1005">
        <v>16.420000000000002</v>
      </c>
      <c r="S1005">
        <v>16.510000000000002</v>
      </c>
      <c r="T1005">
        <v>1.33</v>
      </c>
      <c r="U1005">
        <v>0.86</v>
      </c>
      <c r="V1005">
        <v>-61.06</v>
      </c>
      <c r="W1005">
        <v>-997</v>
      </c>
      <c r="X1005">
        <v>16.37</v>
      </c>
      <c r="Y1005" t="s">
        <v>3946</v>
      </c>
      <c r="Z1005" t="s">
        <v>75</v>
      </c>
      <c r="AA1005">
        <v>1.64</v>
      </c>
      <c r="AB1005">
        <v>168</v>
      </c>
      <c r="AC1005">
        <v>79</v>
      </c>
      <c r="AD1005">
        <v>3.05</v>
      </c>
      <c r="AE1005" t="s">
        <v>4471</v>
      </c>
      <c r="AF1005" t="s">
        <v>555</v>
      </c>
      <c r="AG1005" t="s">
        <v>3982</v>
      </c>
      <c r="AH1005" t="s">
        <v>4274</v>
      </c>
      <c r="AI1005">
        <v>-1.74</v>
      </c>
      <c r="AJ1005">
        <v>-2.21</v>
      </c>
      <c r="AK1005">
        <v>1.62</v>
      </c>
      <c r="AL1005">
        <v>3.58</v>
      </c>
    </row>
    <row r="1006" spans="1:38" x14ac:dyDescent="0.25">
      <c r="A1006">
        <v>1005</v>
      </c>
      <c r="B1006" t="str">
        <f xml:space="preserve"> "600020"</f>
        <v>600020</v>
      </c>
      <c r="C1006" t="s">
        <v>4472</v>
      </c>
      <c r="D1006">
        <v>5.45</v>
      </c>
      <c r="E1006">
        <v>-0.37</v>
      </c>
      <c r="F1006">
        <v>-0.02</v>
      </c>
      <c r="G1006" t="s">
        <v>1448</v>
      </c>
      <c r="H1006">
        <v>466</v>
      </c>
      <c r="I1006">
        <v>5.45</v>
      </c>
      <c r="J1006">
        <v>5.46</v>
      </c>
      <c r="K1006">
        <v>0.18</v>
      </c>
      <c r="L1006">
        <v>0.46</v>
      </c>
      <c r="M1006" t="s">
        <v>4473</v>
      </c>
      <c r="N1006">
        <v>7.89</v>
      </c>
      <c r="O1006" t="s">
        <v>1348</v>
      </c>
      <c r="P1006">
        <v>5.48</v>
      </c>
      <c r="Q1006">
        <v>5.43</v>
      </c>
      <c r="R1006">
        <v>5.47</v>
      </c>
      <c r="S1006">
        <v>5.47</v>
      </c>
      <c r="T1006">
        <v>0.91</v>
      </c>
      <c r="U1006">
        <v>0.56000000000000005</v>
      </c>
      <c r="V1006">
        <v>-13.63</v>
      </c>
      <c r="W1006">
        <v>-4914</v>
      </c>
      <c r="X1006">
        <v>5.44</v>
      </c>
      <c r="Y1006" t="s">
        <v>1557</v>
      </c>
      <c r="Z1006" t="s">
        <v>2476</v>
      </c>
      <c r="AA1006">
        <v>1.76</v>
      </c>
      <c r="AB1006">
        <v>252</v>
      </c>
      <c r="AC1006">
        <v>5179</v>
      </c>
      <c r="AD1006">
        <v>1.34</v>
      </c>
      <c r="AE1006" t="s">
        <v>929</v>
      </c>
      <c r="AF1006" t="s">
        <v>555</v>
      </c>
      <c r="AG1006" t="s">
        <v>929</v>
      </c>
      <c r="AH1006" t="s">
        <v>555</v>
      </c>
      <c r="AI1006">
        <v>-0.73</v>
      </c>
      <c r="AJ1006">
        <v>2.64</v>
      </c>
      <c r="AK1006">
        <v>1.63</v>
      </c>
      <c r="AL1006">
        <v>4.54</v>
      </c>
    </row>
    <row r="1007" spans="1:38" x14ac:dyDescent="0.25">
      <c r="A1007">
        <v>1006</v>
      </c>
      <c r="B1007" t="str">
        <f xml:space="preserve"> "002122"</f>
        <v>002122</v>
      </c>
      <c r="C1007" t="s">
        <v>4474</v>
      </c>
      <c r="D1007">
        <v>10.3</v>
      </c>
      <c r="E1007">
        <v>-0.87</v>
      </c>
      <c r="F1007">
        <v>-0.09</v>
      </c>
      <c r="G1007" t="s">
        <v>2658</v>
      </c>
      <c r="H1007">
        <v>447</v>
      </c>
      <c r="I1007">
        <v>10.3</v>
      </c>
      <c r="J1007">
        <v>10.32</v>
      </c>
      <c r="K1007">
        <v>0.1</v>
      </c>
      <c r="L1007">
        <v>0.34</v>
      </c>
      <c r="M1007" t="s">
        <v>4475</v>
      </c>
      <c r="N1007">
        <v>172.49</v>
      </c>
      <c r="O1007" t="s">
        <v>648</v>
      </c>
      <c r="P1007">
        <v>10.42</v>
      </c>
      <c r="Q1007">
        <v>10.28</v>
      </c>
      <c r="R1007">
        <v>10.4</v>
      </c>
      <c r="S1007">
        <v>10.39</v>
      </c>
      <c r="T1007">
        <v>1.35</v>
      </c>
      <c r="U1007">
        <v>0.84</v>
      </c>
      <c r="V1007">
        <v>24.91</v>
      </c>
      <c r="W1007">
        <v>709</v>
      </c>
      <c r="X1007">
        <v>10.32</v>
      </c>
      <c r="Y1007" t="s">
        <v>2731</v>
      </c>
      <c r="Z1007" t="s">
        <v>603</v>
      </c>
      <c r="AA1007">
        <v>1.66</v>
      </c>
      <c r="AB1007">
        <v>310</v>
      </c>
      <c r="AC1007">
        <v>278</v>
      </c>
      <c r="AD1007">
        <v>2.71</v>
      </c>
      <c r="AE1007" t="s">
        <v>1011</v>
      </c>
      <c r="AF1007" t="s">
        <v>555</v>
      </c>
      <c r="AG1007" t="s">
        <v>2501</v>
      </c>
      <c r="AH1007" t="s">
        <v>2842</v>
      </c>
      <c r="AI1007">
        <v>-3.74</v>
      </c>
      <c r="AJ1007">
        <v>-1.34</v>
      </c>
      <c r="AK1007">
        <v>1.02</v>
      </c>
      <c r="AL1007">
        <v>2.4</v>
      </c>
    </row>
    <row r="1008" spans="1:38" x14ac:dyDescent="0.25">
      <c r="A1008">
        <v>1007</v>
      </c>
      <c r="B1008" t="str">
        <f xml:space="preserve"> "002636"</f>
        <v>002636</v>
      </c>
      <c r="C1008" t="s">
        <v>4476</v>
      </c>
      <c r="D1008">
        <v>16.8</v>
      </c>
      <c r="E1008">
        <v>1.08</v>
      </c>
      <c r="F1008">
        <v>0.18</v>
      </c>
      <c r="G1008" t="s">
        <v>928</v>
      </c>
      <c r="H1008">
        <v>295</v>
      </c>
      <c r="I1008">
        <v>16.79</v>
      </c>
      <c r="J1008">
        <v>16.8</v>
      </c>
      <c r="K1008">
        <v>0.06</v>
      </c>
      <c r="L1008">
        <v>1.32</v>
      </c>
      <c r="M1008" t="s">
        <v>4477</v>
      </c>
      <c r="N1008">
        <v>23.35</v>
      </c>
      <c r="O1008" t="s">
        <v>380</v>
      </c>
      <c r="P1008">
        <v>16.829999999999998</v>
      </c>
      <c r="Q1008">
        <v>16.57</v>
      </c>
      <c r="R1008">
        <v>16.62</v>
      </c>
      <c r="S1008">
        <v>16.62</v>
      </c>
      <c r="T1008">
        <v>1.56</v>
      </c>
      <c r="U1008">
        <v>0.74</v>
      </c>
      <c r="V1008">
        <v>-38.94</v>
      </c>
      <c r="W1008">
        <v>-1030</v>
      </c>
      <c r="X1008">
        <v>16.77</v>
      </c>
      <c r="Y1008" t="s">
        <v>480</v>
      </c>
      <c r="Z1008" t="s">
        <v>884</v>
      </c>
      <c r="AA1008">
        <v>0.69</v>
      </c>
      <c r="AB1008">
        <v>155</v>
      </c>
      <c r="AC1008">
        <v>542</v>
      </c>
      <c r="AD1008">
        <v>6.44</v>
      </c>
      <c r="AE1008" t="s">
        <v>3063</v>
      </c>
      <c r="AF1008" t="s">
        <v>555</v>
      </c>
      <c r="AG1008" t="s">
        <v>4478</v>
      </c>
      <c r="AH1008" t="s">
        <v>2974</v>
      </c>
      <c r="AI1008">
        <v>-1.52</v>
      </c>
      <c r="AJ1008">
        <v>0.78</v>
      </c>
      <c r="AK1008">
        <v>5.12</v>
      </c>
      <c r="AL1008">
        <v>10.220000000000001</v>
      </c>
    </row>
    <row r="1009" spans="1:38" x14ac:dyDescent="0.25">
      <c r="A1009">
        <v>1008</v>
      </c>
      <c r="B1009" t="str">
        <f xml:space="preserve"> "000065"</f>
        <v>000065</v>
      </c>
      <c r="C1009" t="s">
        <v>4479</v>
      </c>
      <c r="D1009">
        <v>23.83</v>
      </c>
      <c r="E1009">
        <v>4.5199999999999996</v>
      </c>
      <c r="F1009">
        <v>1.03</v>
      </c>
      <c r="G1009" t="s">
        <v>541</v>
      </c>
      <c r="H1009">
        <v>1045</v>
      </c>
      <c r="I1009">
        <v>23.82</v>
      </c>
      <c r="J1009">
        <v>23.83</v>
      </c>
      <c r="K1009">
        <v>0.13</v>
      </c>
      <c r="L1009">
        <v>2.69</v>
      </c>
      <c r="M1009" t="s">
        <v>4480</v>
      </c>
      <c r="N1009">
        <v>30.8</v>
      </c>
      <c r="O1009" t="s">
        <v>263</v>
      </c>
      <c r="P1009">
        <v>23.97</v>
      </c>
      <c r="Q1009">
        <v>23.22</v>
      </c>
      <c r="R1009">
        <v>23.32</v>
      </c>
      <c r="S1009">
        <v>22.8</v>
      </c>
      <c r="T1009">
        <v>3.29</v>
      </c>
      <c r="U1009">
        <v>4.18</v>
      </c>
      <c r="V1009">
        <v>-91.12</v>
      </c>
      <c r="W1009">
        <v>-3078</v>
      </c>
      <c r="X1009">
        <v>23.71</v>
      </c>
      <c r="Y1009" t="s">
        <v>1286</v>
      </c>
      <c r="Z1009" t="s">
        <v>4481</v>
      </c>
      <c r="AA1009">
        <v>0.49</v>
      </c>
      <c r="AB1009">
        <v>15</v>
      </c>
      <c r="AC1009">
        <v>955</v>
      </c>
      <c r="AD1009">
        <v>3.66</v>
      </c>
      <c r="AE1009" t="s">
        <v>3982</v>
      </c>
      <c r="AF1009" t="s">
        <v>555</v>
      </c>
      <c r="AG1009" t="s">
        <v>1922</v>
      </c>
      <c r="AH1009" t="s">
        <v>4482</v>
      </c>
      <c r="AI1009">
        <v>3.83</v>
      </c>
      <c r="AJ1009">
        <v>6.43</v>
      </c>
      <c r="AK1009">
        <v>3.93</v>
      </c>
      <c r="AL1009">
        <v>5.9</v>
      </c>
    </row>
    <row r="1010" spans="1:38" x14ac:dyDescent="0.25">
      <c r="A1010">
        <v>1009</v>
      </c>
      <c r="B1010" t="str">
        <f xml:space="preserve"> "600986"</f>
        <v>600986</v>
      </c>
      <c r="C1010" t="s">
        <v>4483</v>
      </c>
      <c r="D1010">
        <v>12.69</v>
      </c>
      <c r="E1010">
        <v>-0.24</v>
      </c>
      <c r="F1010">
        <v>-0.03</v>
      </c>
      <c r="G1010" t="s">
        <v>2962</v>
      </c>
      <c r="H1010">
        <v>222</v>
      </c>
      <c r="I1010">
        <v>12.69</v>
      </c>
      <c r="J1010">
        <v>12.7</v>
      </c>
      <c r="K1010">
        <v>0</v>
      </c>
      <c r="L1010">
        <v>0.98</v>
      </c>
      <c r="M1010" t="s">
        <v>4484</v>
      </c>
      <c r="N1010">
        <v>29.92</v>
      </c>
      <c r="O1010" t="s">
        <v>1126</v>
      </c>
      <c r="P1010">
        <v>12.79</v>
      </c>
      <c r="Q1010">
        <v>12.65</v>
      </c>
      <c r="R1010">
        <v>12.7</v>
      </c>
      <c r="S1010">
        <v>12.72</v>
      </c>
      <c r="T1010">
        <v>1.1000000000000001</v>
      </c>
      <c r="U1010">
        <v>0.94</v>
      </c>
      <c r="V1010">
        <v>-17.010000000000002</v>
      </c>
      <c r="W1010">
        <v>-362</v>
      </c>
      <c r="X1010">
        <v>12.72</v>
      </c>
      <c r="Y1010" t="s">
        <v>393</v>
      </c>
      <c r="Z1010" t="s">
        <v>1986</v>
      </c>
      <c r="AA1010">
        <v>1.43</v>
      </c>
      <c r="AB1010">
        <v>5</v>
      </c>
      <c r="AC1010">
        <v>368</v>
      </c>
      <c r="AD1010">
        <v>2.08</v>
      </c>
      <c r="AE1010" t="s">
        <v>3715</v>
      </c>
      <c r="AF1010" t="s">
        <v>555</v>
      </c>
      <c r="AG1010" t="s">
        <v>2700</v>
      </c>
      <c r="AH1010" t="s">
        <v>4485</v>
      </c>
      <c r="AI1010">
        <v>0.4</v>
      </c>
      <c r="AJ1010">
        <v>2.67</v>
      </c>
      <c r="AK1010">
        <v>3.4</v>
      </c>
      <c r="AL1010">
        <v>6.18</v>
      </c>
    </row>
    <row r="1011" spans="1:38" x14ac:dyDescent="0.25">
      <c r="A1011">
        <v>1010</v>
      </c>
      <c r="B1011" t="str">
        <f xml:space="preserve"> "600162"</f>
        <v>600162</v>
      </c>
      <c r="C1011" t="s">
        <v>4486</v>
      </c>
      <c r="D1011">
        <v>3.59</v>
      </c>
      <c r="E1011">
        <v>0.28000000000000003</v>
      </c>
      <c r="F1011">
        <v>0.01</v>
      </c>
      <c r="G1011" t="s">
        <v>371</v>
      </c>
      <c r="H1011">
        <v>816</v>
      </c>
      <c r="I1011">
        <v>3.58</v>
      </c>
      <c r="J1011">
        <v>3.59</v>
      </c>
      <c r="K1011">
        <v>0.28000000000000003</v>
      </c>
      <c r="L1011">
        <v>0.64</v>
      </c>
      <c r="M1011" t="s">
        <v>4487</v>
      </c>
      <c r="N1011">
        <v>18.48</v>
      </c>
      <c r="O1011" t="s">
        <v>244</v>
      </c>
      <c r="P1011">
        <v>3.59</v>
      </c>
      <c r="Q1011">
        <v>3.56</v>
      </c>
      <c r="R1011">
        <v>3.58</v>
      </c>
      <c r="S1011">
        <v>3.58</v>
      </c>
      <c r="T1011">
        <v>0.84</v>
      </c>
      <c r="U1011">
        <v>0.6</v>
      </c>
      <c r="V1011">
        <v>-8.7200000000000006</v>
      </c>
      <c r="W1011">
        <v>-5208</v>
      </c>
      <c r="X1011">
        <v>3.58</v>
      </c>
      <c r="Y1011" t="s">
        <v>1776</v>
      </c>
      <c r="Z1011" t="s">
        <v>1524</v>
      </c>
      <c r="AA1011">
        <v>1.54</v>
      </c>
      <c r="AB1011">
        <v>8224</v>
      </c>
      <c r="AC1011">
        <v>465</v>
      </c>
      <c r="AD1011">
        <v>1.71</v>
      </c>
      <c r="AE1011" t="s">
        <v>4488</v>
      </c>
      <c r="AF1011" t="s">
        <v>555</v>
      </c>
      <c r="AG1011" t="s">
        <v>892</v>
      </c>
      <c r="AH1011" t="s">
        <v>4489</v>
      </c>
      <c r="AI1011">
        <v>-0.83</v>
      </c>
      <c r="AJ1011">
        <v>1.99</v>
      </c>
      <c r="AK1011">
        <v>2.66</v>
      </c>
      <c r="AL1011">
        <v>5.93</v>
      </c>
    </row>
    <row r="1012" spans="1:38" x14ac:dyDescent="0.25">
      <c r="A1012">
        <v>1011</v>
      </c>
      <c r="B1012" t="str">
        <f xml:space="preserve"> "601116"</f>
        <v>601116</v>
      </c>
      <c r="C1012" t="s">
        <v>4490</v>
      </c>
      <c r="D1012">
        <v>29.71</v>
      </c>
      <c r="E1012">
        <v>0.57999999999999996</v>
      </c>
      <c r="F1012">
        <v>0.17</v>
      </c>
      <c r="G1012" t="s">
        <v>1044</v>
      </c>
      <c r="H1012">
        <v>26</v>
      </c>
      <c r="I1012">
        <v>29.69</v>
      </c>
      <c r="J1012">
        <v>29.7</v>
      </c>
      <c r="K1012">
        <v>0.03</v>
      </c>
      <c r="L1012">
        <v>5.0199999999999996</v>
      </c>
      <c r="M1012" t="s">
        <v>4491</v>
      </c>
      <c r="N1012">
        <v>92.37</v>
      </c>
      <c r="O1012" t="s">
        <v>532</v>
      </c>
      <c r="P1012">
        <v>29.9</v>
      </c>
      <c r="Q1012">
        <v>28.72</v>
      </c>
      <c r="R1012">
        <v>29</v>
      </c>
      <c r="S1012">
        <v>29.54</v>
      </c>
      <c r="T1012">
        <v>3.99</v>
      </c>
      <c r="U1012">
        <v>1.1200000000000001</v>
      </c>
      <c r="V1012">
        <v>-3.26</v>
      </c>
      <c r="W1012">
        <v>-37</v>
      </c>
      <c r="X1012">
        <v>29.3</v>
      </c>
      <c r="Y1012" t="s">
        <v>498</v>
      </c>
      <c r="Z1012" t="s">
        <v>570</v>
      </c>
      <c r="AA1012">
        <v>1.19</v>
      </c>
      <c r="AB1012">
        <v>68</v>
      </c>
      <c r="AC1012">
        <v>2</v>
      </c>
      <c r="AD1012">
        <v>7.7</v>
      </c>
      <c r="AE1012" t="s">
        <v>4100</v>
      </c>
      <c r="AF1012" t="s">
        <v>555</v>
      </c>
      <c r="AG1012" t="s">
        <v>2640</v>
      </c>
      <c r="AH1012" t="s">
        <v>593</v>
      </c>
      <c r="AI1012">
        <v>3.74</v>
      </c>
      <c r="AJ1012">
        <v>14.09</v>
      </c>
      <c r="AK1012">
        <v>16.54</v>
      </c>
      <c r="AL1012">
        <v>27.33</v>
      </c>
    </row>
    <row r="1013" spans="1:38" x14ac:dyDescent="0.25">
      <c r="A1013">
        <v>1012</v>
      </c>
      <c r="B1013" t="str">
        <f xml:space="preserve"> "002326"</f>
        <v>002326</v>
      </c>
      <c r="C1013" t="s">
        <v>4492</v>
      </c>
      <c r="D1013">
        <v>14.78</v>
      </c>
      <c r="E1013">
        <v>0.54</v>
      </c>
      <c r="F1013">
        <v>0.08</v>
      </c>
      <c r="G1013" t="s">
        <v>2417</v>
      </c>
      <c r="H1013">
        <v>530</v>
      </c>
      <c r="I1013">
        <v>14.78</v>
      </c>
      <c r="J1013">
        <v>14.79</v>
      </c>
      <c r="K1013">
        <v>0</v>
      </c>
      <c r="L1013">
        <v>0.98</v>
      </c>
      <c r="M1013" t="s">
        <v>4493</v>
      </c>
      <c r="N1013">
        <v>27.53</v>
      </c>
      <c r="O1013" t="s">
        <v>667</v>
      </c>
      <c r="P1013">
        <v>14.84</v>
      </c>
      <c r="Q1013">
        <v>14.58</v>
      </c>
      <c r="R1013">
        <v>14.73</v>
      </c>
      <c r="S1013">
        <v>14.7</v>
      </c>
      <c r="T1013">
        <v>1.77</v>
      </c>
      <c r="U1013">
        <v>0.67</v>
      </c>
      <c r="V1013">
        <v>16.5</v>
      </c>
      <c r="W1013">
        <v>502</v>
      </c>
      <c r="X1013">
        <v>14.71</v>
      </c>
      <c r="Y1013" t="s">
        <v>1949</v>
      </c>
      <c r="Z1013" t="s">
        <v>3579</v>
      </c>
      <c r="AA1013">
        <v>1.36</v>
      </c>
      <c r="AB1013">
        <v>383</v>
      </c>
      <c r="AC1013">
        <v>178</v>
      </c>
      <c r="AD1013">
        <v>4.4000000000000004</v>
      </c>
      <c r="AE1013" t="s">
        <v>2592</v>
      </c>
      <c r="AF1013" t="s">
        <v>555</v>
      </c>
      <c r="AG1013" t="s">
        <v>3391</v>
      </c>
      <c r="AH1013" t="s">
        <v>960</v>
      </c>
      <c r="AI1013">
        <v>-1</v>
      </c>
      <c r="AJ1013">
        <v>-0.4</v>
      </c>
      <c r="AK1013">
        <v>3.9</v>
      </c>
      <c r="AL1013">
        <v>8.3699999999999992</v>
      </c>
    </row>
    <row r="1014" spans="1:38" x14ac:dyDescent="0.25">
      <c r="A1014">
        <v>1013</v>
      </c>
      <c r="B1014" t="str">
        <f xml:space="preserve"> "600758"</f>
        <v>600758</v>
      </c>
      <c r="C1014" t="s">
        <v>4494</v>
      </c>
      <c r="D1014">
        <v>9.1199999999999992</v>
      </c>
      <c r="E1014">
        <v>0.55000000000000004</v>
      </c>
      <c r="F1014">
        <v>0.05</v>
      </c>
      <c r="G1014" t="s">
        <v>3275</v>
      </c>
      <c r="H1014">
        <v>60</v>
      </c>
      <c r="I1014">
        <v>9.11</v>
      </c>
      <c r="J1014">
        <v>9.1199999999999992</v>
      </c>
      <c r="K1014">
        <v>0.11</v>
      </c>
      <c r="L1014">
        <v>1.28</v>
      </c>
      <c r="M1014" t="s">
        <v>4495</v>
      </c>
      <c r="N1014">
        <v>13.48</v>
      </c>
      <c r="O1014" t="s">
        <v>150</v>
      </c>
      <c r="P1014">
        <v>9.16</v>
      </c>
      <c r="Q1014">
        <v>9.0500000000000007</v>
      </c>
      <c r="R1014">
        <v>9.11</v>
      </c>
      <c r="S1014">
        <v>9.07</v>
      </c>
      <c r="T1014">
        <v>1.21</v>
      </c>
      <c r="U1014">
        <v>0.77</v>
      </c>
      <c r="V1014">
        <v>-56.72</v>
      </c>
      <c r="W1014">
        <v>-6639</v>
      </c>
      <c r="X1014">
        <v>9.11</v>
      </c>
      <c r="Y1014" t="s">
        <v>2116</v>
      </c>
      <c r="Z1014" t="s">
        <v>3524</v>
      </c>
      <c r="AA1014">
        <v>0.91</v>
      </c>
      <c r="AB1014">
        <v>384</v>
      </c>
      <c r="AC1014">
        <v>1586</v>
      </c>
      <c r="AD1014">
        <v>2.16</v>
      </c>
      <c r="AE1014" t="s">
        <v>3285</v>
      </c>
      <c r="AF1014" t="s">
        <v>309</v>
      </c>
      <c r="AG1014" t="s">
        <v>3770</v>
      </c>
      <c r="AH1014" t="s">
        <v>4496</v>
      </c>
      <c r="AI1014">
        <v>-0.33</v>
      </c>
      <c r="AJ1014">
        <v>1.33</v>
      </c>
      <c r="AK1014">
        <v>5.44</v>
      </c>
      <c r="AL1014">
        <v>9.56</v>
      </c>
    </row>
    <row r="1015" spans="1:38" x14ac:dyDescent="0.25">
      <c r="A1015">
        <v>1014</v>
      </c>
      <c r="B1015" t="str">
        <f xml:space="preserve"> "002664"</f>
        <v>002664</v>
      </c>
      <c r="C1015" t="s">
        <v>4497</v>
      </c>
      <c r="D1015">
        <v>30.35</v>
      </c>
      <c r="E1015">
        <v>-0.49</v>
      </c>
      <c r="F1015">
        <v>-0.15</v>
      </c>
      <c r="G1015" t="s">
        <v>3192</v>
      </c>
      <c r="H1015">
        <v>1304</v>
      </c>
      <c r="I1015">
        <v>30.35</v>
      </c>
      <c r="J1015">
        <v>30.36</v>
      </c>
      <c r="K1015">
        <v>-0.13</v>
      </c>
      <c r="L1015">
        <v>1.76</v>
      </c>
      <c r="M1015" t="s">
        <v>398</v>
      </c>
      <c r="N1015">
        <v>47.21</v>
      </c>
      <c r="O1015" t="s">
        <v>648</v>
      </c>
      <c r="P1015">
        <v>30.95</v>
      </c>
      <c r="Q1015">
        <v>30.3</v>
      </c>
      <c r="R1015">
        <v>30.45</v>
      </c>
      <c r="S1015">
        <v>30.5</v>
      </c>
      <c r="T1015">
        <v>2.13</v>
      </c>
      <c r="U1015">
        <v>0.83</v>
      </c>
      <c r="V1015">
        <v>81.94</v>
      </c>
      <c r="W1015">
        <v>825</v>
      </c>
      <c r="X1015">
        <v>30.7</v>
      </c>
      <c r="Y1015" t="s">
        <v>1571</v>
      </c>
      <c r="Z1015" t="s">
        <v>2741</v>
      </c>
      <c r="AA1015">
        <v>1.23</v>
      </c>
      <c r="AB1015">
        <v>588</v>
      </c>
      <c r="AC1015">
        <v>3</v>
      </c>
      <c r="AD1015">
        <v>6.74</v>
      </c>
      <c r="AE1015" t="s">
        <v>1000</v>
      </c>
      <c r="AF1015" t="s">
        <v>309</v>
      </c>
      <c r="AG1015" t="s">
        <v>811</v>
      </c>
      <c r="AH1015" t="s">
        <v>1459</v>
      </c>
      <c r="AI1015">
        <v>1.17</v>
      </c>
      <c r="AJ1015">
        <v>4.8</v>
      </c>
      <c r="AK1015">
        <v>5.53</v>
      </c>
      <c r="AL1015">
        <v>12.3</v>
      </c>
    </row>
    <row r="1016" spans="1:38" x14ac:dyDescent="0.25">
      <c r="A1016">
        <v>1015</v>
      </c>
      <c r="B1016" t="str">
        <f xml:space="preserve"> "600502"</f>
        <v>600502</v>
      </c>
      <c r="C1016" t="s">
        <v>4498</v>
      </c>
      <c r="D1016">
        <v>8.4600000000000009</v>
      </c>
      <c r="E1016">
        <v>-0.82</v>
      </c>
      <c r="F1016">
        <v>-7.0000000000000007E-2</v>
      </c>
      <c r="G1016" t="s">
        <v>3471</v>
      </c>
      <c r="H1016">
        <v>300</v>
      </c>
      <c r="I1016">
        <v>8.4600000000000009</v>
      </c>
      <c r="J1016">
        <v>8.4700000000000006</v>
      </c>
      <c r="K1016">
        <v>0</v>
      </c>
      <c r="L1016">
        <v>1.08</v>
      </c>
      <c r="M1016" t="s">
        <v>4499</v>
      </c>
      <c r="N1016">
        <v>21.12</v>
      </c>
      <c r="O1016" t="s">
        <v>263</v>
      </c>
      <c r="P1016">
        <v>8.5299999999999994</v>
      </c>
      <c r="Q1016">
        <v>8.42</v>
      </c>
      <c r="R1016">
        <v>8.51</v>
      </c>
      <c r="S1016">
        <v>8.5299999999999994</v>
      </c>
      <c r="T1016">
        <v>1.29</v>
      </c>
      <c r="U1016">
        <v>0.82</v>
      </c>
      <c r="V1016">
        <v>-11.72</v>
      </c>
      <c r="W1016">
        <v>-1230</v>
      </c>
      <c r="X1016">
        <v>8.4499999999999993</v>
      </c>
      <c r="Y1016" t="s">
        <v>1059</v>
      </c>
      <c r="Z1016" t="s">
        <v>3987</v>
      </c>
      <c r="AA1016">
        <v>1.81</v>
      </c>
      <c r="AB1016">
        <v>134</v>
      </c>
      <c r="AC1016">
        <v>255</v>
      </c>
      <c r="AD1016">
        <v>2.1</v>
      </c>
      <c r="AE1016" t="s">
        <v>2246</v>
      </c>
      <c r="AF1016" t="s">
        <v>309</v>
      </c>
      <c r="AG1016" t="s">
        <v>4500</v>
      </c>
      <c r="AH1016" t="s">
        <v>3375</v>
      </c>
      <c r="AI1016">
        <v>-0.47</v>
      </c>
      <c r="AJ1016">
        <v>2.67</v>
      </c>
      <c r="AK1016">
        <v>3.37</v>
      </c>
      <c r="AL1016">
        <v>7.64</v>
      </c>
    </row>
    <row r="1017" spans="1:38" x14ac:dyDescent="0.25">
      <c r="A1017">
        <v>1016</v>
      </c>
      <c r="B1017" t="str">
        <f xml:space="preserve"> "002233"</f>
        <v>002233</v>
      </c>
      <c r="C1017" t="s">
        <v>4501</v>
      </c>
      <c r="D1017">
        <v>13.55</v>
      </c>
      <c r="E1017">
        <v>0.74</v>
      </c>
      <c r="F1017">
        <v>0.1</v>
      </c>
      <c r="G1017" t="s">
        <v>216</v>
      </c>
      <c r="H1017">
        <v>1395</v>
      </c>
      <c r="I1017">
        <v>13.55</v>
      </c>
      <c r="J1017">
        <v>13.56</v>
      </c>
      <c r="K1017">
        <v>-7.0000000000000007E-2</v>
      </c>
      <c r="L1017">
        <v>1.03</v>
      </c>
      <c r="M1017" t="s">
        <v>2114</v>
      </c>
      <c r="N1017">
        <v>19.510000000000002</v>
      </c>
      <c r="O1017" t="s">
        <v>562</v>
      </c>
      <c r="P1017">
        <v>13.66</v>
      </c>
      <c r="Q1017">
        <v>13.36</v>
      </c>
      <c r="R1017">
        <v>13.42</v>
      </c>
      <c r="S1017">
        <v>13.45</v>
      </c>
      <c r="T1017">
        <v>2.23</v>
      </c>
      <c r="U1017">
        <v>0.72</v>
      </c>
      <c r="V1017">
        <v>-33.36</v>
      </c>
      <c r="W1017">
        <v>-2285</v>
      </c>
      <c r="X1017">
        <v>13.5</v>
      </c>
      <c r="Y1017" t="s">
        <v>3781</v>
      </c>
      <c r="Z1017" t="s">
        <v>1601</v>
      </c>
      <c r="AA1017">
        <v>0.86</v>
      </c>
      <c r="AB1017">
        <v>1688</v>
      </c>
      <c r="AC1017">
        <v>709</v>
      </c>
      <c r="AD1017">
        <v>2.52</v>
      </c>
      <c r="AE1017" t="s">
        <v>243</v>
      </c>
      <c r="AF1017" t="s">
        <v>309</v>
      </c>
      <c r="AG1017" t="s">
        <v>3035</v>
      </c>
      <c r="AH1017" t="s">
        <v>2006</v>
      </c>
      <c r="AI1017">
        <v>-0.88</v>
      </c>
      <c r="AJ1017">
        <v>3.67</v>
      </c>
      <c r="AK1017">
        <v>4.3499999999999996</v>
      </c>
      <c r="AL1017">
        <v>8.14</v>
      </c>
    </row>
    <row r="1018" spans="1:38" x14ac:dyDescent="0.25">
      <c r="A1018">
        <v>1017</v>
      </c>
      <c r="B1018" t="str">
        <f xml:space="preserve"> "300269"</f>
        <v>300269</v>
      </c>
      <c r="C1018" t="s">
        <v>4502</v>
      </c>
      <c r="D1018">
        <v>19.75</v>
      </c>
      <c r="E1018">
        <v>3.89</v>
      </c>
      <c r="F1018">
        <v>0.74</v>
      </c>
      <c r="G1018" t="s">
        <v>3948</v>
      </c>
      <c r="H1018">
        <v>1923</v>
      </c>
      <c r="I1018">
        <v>19.75</v>
      </c>
      <c r="J1018">
        <v>19.760000000000002</v>
      </c>
      <c r="K1018">
        <v>0.25</v>
      </c>
      <c r="L1018">
        <v>0.82</v>
      </c>
      <c r="M1018" t="s">
        <v>4503</v>
      </c>
      <c r="N1018">
        <v>32.729999999999997</v>
      </c>
      <c r="O1018" t="s">
        <v>380</v>
      </c>
      <c r="P1018">
        <v>19.75</v>
      </c>
      <c r="Q1018">
        <v>18.809999999999999</v>
      </c>
      <c r="R1018">
        <v>19.010000000000002</v>
      </c>
      <c r="S1018">
        <v>19.010000000000002</v>
      </c>
      <c r="T1018">
        <v>4.9400000000000004</v>
      </c>
      <c r="U1018">
        <v>1.84</v>
      </c>
      <c r="V1018">
        <v>70.55</v>
      </c>
      <c r="W1018">
        <v>872</v>
      </c>
      <c r="X1018">
        <v>19.36</v>
      </c>
      <c r="Y1018">
        <v>9128</v>
      </c>
      <c r="Z1018" t="s">
        <v>884</v>
      </c>
      <c r="AA1018">
        <v>0.47</v>
      </c>
      <c r="AB1018">
        <v>122</v>
      </c>
      <c r="AC1018">
        <v>16</v>
      </c>
      <c r="AD1018">
        <v>2.25</v>
      </c>
      <c r="AE1018" t="s">
        <v>4193</v>
      </c>
      <c r="AF1018" t="s">
        <v>309</v>
      </c>
      <c r="AG1018" t="s">
        <v>3758</v>
      </c>
      <c r="AH1018" t="s">
        <v>4504</v>
      </c>
      <c r="AI1018">
        <v>3.03</v>
      </c>
      <c r="AJ1018">
        <v>6.7</v>
      </c>
      <c r="AK1018">
        <v>1.54</v>
      </c>
      <c r="AL1018">
        <v>3.04</v>
      </c>
    </row>
    <row r="1019" spans="1:38" x14ac:dyDescent="0.25">
      <c r="A1019">
        <v>1018</v>
      </c>
      <c r="B1019" t="str">
        <f xml:space="preserve"> "000910"</f>
        <v>000910</v>
      </c>
      <c r="C1019" t="s">
        <v>4505</v>
      </c>
      <c r="D1019">
        <v>21.78</v>
      </c>
      <c r="E1019">
        <v>-0.82</v>
      </c>
      <c r="F1019">
        <v>-0.18</v>
      </c>
      <c r="G1019" t="s">
        <v>3861</v>
      </c>
      <c r="H1019">
        <v>210</v>
      </c>
      <c r="I1019">
        <v>21.78</v>
      </c>
      <c r="J1019">
        <v>21.8</v>
      </c>
      <c r="K1019">
        <v>0.05</v>
      </c>
      <c r="L1019">
        <v>0.6</v>
      </c>
      <c r="M1019" t="s">
        <v>4506</v>
      </c>
      <c r="N1019">
        <v>43.26</v>
      </c>
      <c r="O1019" t="s">
        <v>1469</v>
      </c>
      <c r="P1019">
        <v>22.03</v>
      </c>
      <c r="Q1019">
        <v>21.61</v>
      </c>
      <c r="R1019">
        <v>21.78</v>
      </c>
      <c r="S1019">
        <v>21.96</v>
      </c>
      <c r="T1019">
        <v>1.91</v>
      </c>
      <c r="U1019">
        <v>1</v>
      </c>
      <c r="V1019">
        <v>65.36</v>
      </c>
      <c r="W1019">
        <v>351</v>
      </c>
      <c r="X1019">
        <v>21.8</v>
      </c>
      <c r="Y1019" t="s">
        <v>1076</v>
      </c>
      <c r="Z1019" t="s">
        <v>1095</v>
      </c>
      <c r="AA1019">
        <v>1.54</v>
      </c>
      <c r="AB1019">
        <v>339</v>
      </c>
      <c r="AC1019">
        <v>5</v>
      </c>
      <c r="AD1019">
        <v>3.71</v>
      </c>
      <c r="AE1019" t="s">
        <v>4507</v>
      </c>
      <c r="AF1019" t="s">
        <v>309</v>
      </c>
      <c r="AG1019" t="s">
        <v>3784</v>
      </c>
      <c r="AH1019" t="s">
        <v>191</v>
      </c>
      <c r="AI1019">
        <v>1.26</v>
      </c>
      <c r="AJ1019">
        <v>4.71</v>
      </c>
      <c r="AK1019">
        <v>2.04</v>
      </c>
      <c r="AL1019">
        <v>3.61</v>
      </c>
    </row>
    <row r="1020" spans="1:38" x14ac:dyDescent="0.25">
      <c r="A1020">
        <v>1019</v>
      </c>
      <c r="B1020" t="str">
        <f xml:space="preserve"> "600122"</f>
        <v>600122</v>
      </c>
      <c r="C1020" t="s">
        <v>4508</v>
      </c>
      <c r="D1020">
        <v>10.45</v>
      </c>
      <c r="E1020">
        <v>-0.67</v>
      </c>
      <c r="F1020">
        <v>-7.0000000000000007E-2</v>
      </c>
      <c r="G1020" t="s">
        <v>2564</v>
      </c>
      <c r="H1020">
        <v>130</v>
      </c>
      <c r="I1020">
        <v>10.46</v>
      </c>
      <c r="J1020">
        <v>10.47</v>
      </c>
      <c r="K1020">
        <v>0.28999999999999998</v>
      </c>
      <c r="L1020">
        <v>1.4</v>
      </c>
      <c r="M1020" t="s">
        <v>2368</v>
      </c>
      <c r="N1020">
        <v>27.39</v>
      </c>
      <c r="O1020" t="s">
        <v>532</v>
      </c>
      <c r="P1020">
        <v>10.51</v>
      </c>
      <c r="Q1020">
        <v>10.35</v>
      </c>
      <c r="R1020">
        <v>10.5</v>
      </c>
      <c r="S1020">
        <v>10.52</v>
      </c>
      <c r="T1020">
        <v>1.52</v>
      </c>
      <c r="U1020">
        <v>1.1100000000000001</v>
      </c>
      <c r="V1020">
        <v>-33.54</v>
      </c>
      <c r="W1020">
        <v>-1956</v>
      </c>
      <c r="X1020">
        <v>10.42</v>
      </c>
      <c r="Y1020" t="s">
        <v>912</v>
      </c>
      <c r="Z1020" t="s">
        <v>3348</v>
      </c>
      <c r="AA1020">
        <v>1.97</v>
      </c>
      <c r="AB1020">
        <v>3</v>
      </c>
      <c r="AC1020">
        <v>941</v>
      </c>
      <c r="AD1020">
        <v>1.48</v>
      </c>
      <c r="AE1020" t="s">
        <v>2388</v>
      </c>
      <c r="AF1020" t="s">
        <v>309</v>
      </c>
      <c r="AG1020" t="s">
        <v>2388</v>
      </c>
      <c r="AH1020" t="s">
        <v>3763</v>
      </c>
      <c r="AI1020">
        <v>2.25</v>
      </c>
      <c r="AJ1020">
        <v>3.36</v>
      </c>
      <c r="AK1020">
        <v>5.07</v>
      </c>
      <c r="AL1020">
        <v>7.71</v>
      </c>
    </row>
    <row r="1021" spans="1:38" x14ac:dyDescent="0.25">
      <c r="A1021">
        <v>1020</v>
      </c>
      <c r="B1021" t="str">
        <f xml:space="preserve"> "603980"</f>
        <v>603980</v>
      </c>
      <c r="C1021" t="s">
        <v>4509</v>
      </c>
      <c r="D1021">
        <v>24.12</v>
      </c>
      <c r="E1021">
        <v>1.6</v>
      </c>
      <c r="F1021">
        <v>0.38</v>
      </c>
      <c r="G1021" t="s">
        <v>3077</v>
      </c>
      <c r="H1021">
        <v>5</v>
      </c>
      <c r="I1021">
        <v>24.11</v>
      </c>
      <c r="J1021">
        <v>24.12</v>
      </c>
      <c r="K1021">
        <v>-0.04</v>
      </c>
      <c r="L1021">
        <v>3.54</v>
      </c>
      <c r="M1021" t="s">
        <v>4510</v>
      </c>
      <c r="N1021">
        <v>29.59</v>
      </c>
      <c r="O1021" t="s">
        <v>667</v>
      </c>
      <c r="P1021">
        <v>24.18</v>
      </c>
      <c r="Q1021">
        <v>23.65</v>
      </c>
      <c r="R1021">
        <v>23.65</v>
      </c>
      <c r="S1021">
        <v>23.74</v>
      </c>
      <c r="T1021">
        <v>2.23</v>
      </c>
      <c r="U1021">
        <v>0.97</v>
      </c>
      <c r="V1021">
        <v>-53.61</v>
      </c>
      <c r="W1021">
        <v>-987</v>
      </c>
      <c r="X1021">
        <v>23.97</v>
      </c>
      <c r="Y1021" t="s">
        <v>4237</v>
      </c>
      <c r="Z1021" t="s">
        <v>3062</v>
      </c>
      <c r="AA1021">
        <v>0.78</v>
      </c>
      <c r="AB1021">
        <v>109</v>
      </c>
      <c r="AC1021">
        <v>20</v>
      </c>
      <c r="AD1021">
        <v>3.19</v>
      </c>
      <c r="AE1021" t="s">
        <v>1600</v>
      </c>
      <c r="AF1021" t="s">
        <v>309</v>
      </c>
      <c r="AG1021" t="s">
        <v>4464</v>
      </c>
      <c r="AH1021" t="s">
        <v>2317</v>
      </c>
      <c r="AI1021">
        <v>-0.28999999999999998</v>
      </c>
      <c r="AJ1021">
        <v>3.56</v>
      </c>
      <c r="AK1021">
        <v>10.55</v>
      </c>
      <c r="AL1021">
        <v>21.79</v>
      </c>
    </row>
    <row r="1022" spans="1:38" x14ac:dyDescent="0.25">
      <c r="A1022">
        <v>1021</v>
      </c>
      <c r="B1022" t="str">
        <f xml:space="preserve"> "600760"</f>
        <v>600760</v>
      </c>
      <c r="C1022" t="s">
        <v>4511</v>
      </c>
      <c r="D1022" t="s">
        <v>616</v>
      </c>
      <c r="E1022" t="s">
        <v>616</v>
      </c>
      <c r="F1022" t="s">
        <v>616</v>
      </c>
      <c r="G1022" t="s">
        <v>616</v>
      </c>
      <c r="H1022" t="s">
        <v>616</v>
      </c>
      <c r="I1022" t="s">
        <v>616</v>
      </c>
      <c r="J1022" t="s">
        <v>616</v>
      </c>
      <c r="K1022" t="s">
        <v>616</v>
      </c>
      <c r="L1022" t="s">
        <v>616</v>
      </c>
      <c r="M1022" t="s">
        <v>616</v>
      </c>
      <c r="N1022">
        <v>-222.11</v>
      </c>
      <c r="O1022" t="s">
        <v>926</v>
      </c>
      <c r="P1022" t="s">
        <v>616</v>
      </c>
      <c r="Q1022" t="s">
        <v>616</v>
      </c>
      <c r="R1022" t="s">
        <v>616</v>
      </c>
      <c r="S1022">
        <v>34.96</v>
      </c>
      <c r="T1022" t="s">
        <v>616</v>
      </c>
      <c r="U1022" t="s">
        <v>616</v>
      </c>
      <c r="V1022" t="s">
        <v>616</v>
      </c>
      <c r="W1022" t="s">
        <v>616</v>
      </c>
      <c r="X1022" t="s">
        <v>616</v>
      </c>
      <c r="Y1022" t="s">
        <v>616</v>
      </c>
      <c r="Z1022" t="s">
        <v>616</v>
      </c>
      <c r="AA1022" t="s">
        <v>616</v>
      </c>
      <c r="AB1022" t="s">
        <v>616</v>
      </c>
      <c r="AC1022" t="s">
        <v>616</v>
      </c>
      <c r="AD1022">
        <v>29.26</v>
      </c>
      <c r="AE1022" t="s">
        <v>2198</v>
      </c>
      <c r="AF1022" t="s">
        <v>309</v>
      </c>
      <c r="AG1022" t="s">
        <v>2198</v>
      </c>
      <c r="AH1022" t="s">
        <v>309</v>
      </c>
      <c r="AI1022">
        <v>3.83</v>
      </c>
      <c r="AJ1022">
        <v>0</v>
      </c>
      <c r="AK1022">
        <v>6.22</v>
      </c>
      <c r="AL1022">
        <v>17.79</v>
      </c>
    </row>
    <row r="1023" spans="1:38" x14ac:dyDescent="0.25">
      <c r="A1023">
        <v>1022</v>
      </c>
      <c r="B1023" t="str">
        <f xml:space="preserve"> "002684"</f>
        <v>002684</v>
      </c>
      <c r="C1023" t="s">
        <v>4512</v>
      </c>
      <c r="D1023" t="s">
        <v>616</v>
      </c>
      <c r="E1023" t="s">
        <v>616</v>
      </c>
      <c r="F1023" t="s">
        <v>616</v>
      </c>
      <c r="G1023" t="s">
        <v>616</v>
      </c>
      <c r="H1023" t="s">
        <v>616</v>
      </c>
      <c r="I1023" t="s">
        <v>616</v>
      </c>
      <c r="J1023" t="s">
        <v>616</v>
      </c>
      <c r="K1023" t="s">
        <v>616</v>
      </c>
      <c r="L1023" t="s">
        <v>616</v>
      </c>
      <c r="M1023" t="s">
        <v>616</v>
      </c>
      <c r="N1023">
        <v>127.49</v>
      </c>
      <c r="O1023" t="s">
        <v>380</v>
      </c>
      <c r="P1023" t="s">
        <v>616</v>
      </c>
      <c r="Q1023" t="s">
        <v>616</v>
      </c>
      <c r="R1023" t="s">
        <v>616</v>
      </c>
      <c r="S1023">
        <v>21.22</v>
      </c>
      <c r="T1023" t="s">
        <v>616</v>
      </c>
      <c r="U1023" t="s">
        <v>616</v>
      </c>
      <c r="V1023" t="s">
        <v>616</v>
      </c>
      <c r="W1023" t="s">
        <v>616</v>
      </c>
      <c r="X1023" t="s">
        <v>616</v>
      </c>
      <c r="Y1023" t="s">
        <v>616</v>
      </c>
      <c r="Z1023" t="s">
        <v>616</v>
      </c>
      <c r="AA1023" t="s">
        <v>616</v>
      </c>
      <c r="AB1023" t="s">
        <v>616</v>
      </c>
      <c r="AC1023" t="s">
        <v>616</v>
      </c>
      <c r="AD1023">
        <v>4.1900000000000004</v>
      </c>
      <c r="AE1023" t="s">
        <v>4513</v>
      </c>
      <c r="AF1023" t="s">
        <v>3763</v>
      </c>
      <c r="AG1023" t="s">
        <v>3150</v>
      </c>
      <c r="AH1023" t="s">
        <v>3925</v>
      </c>
      <c r="AI1023">
        <v>0</v>
      </c>
      <c r="AJ1023">
        <v>0</v>
      </c>
      <c r="AK1023">
        <v>0</v>
      </c>
      <c r="AL1023">
        <v>0</v>
      </c>
    </row>
    <row r="1024" spans="1:38" x14ac:dyDescent="0.25">
      <c r="A1024">
        <v>1023</v>
      </c>
      <c r="B1024" t="str">
        <f xml:space="preserve"> "002250"</f>
        <v>002250</v>
      </c>
      <c r="C1024" t="s">
        <v>4514</v>
      </c>
      <c r="D1024">
        <v>13</v>
      </c>
      <c r="E1024">
        <v>0</v>
      </c>
      <c r="F1024">
        <v>0</v>
      </c>
      <c r="G1024" t="s">
        <v>710</v>
      </c>
      <c r="H1024">
        <v>2158</v>
      </c>
      <c r="I1024">
        <v>12.99</v>
      </c>
      <c r="J1024">
        <v>13</v>
      </c>
      <c r="K1024">
        <v>-0.08</v>
      </c>
      <c r="L1024">
        <v>0.67</v>
      </c>
      <c r="M1024" t="s">
        <v>4515</v>
      </c>
      <c r="N1024">
        <v>35.72</v>
      </c>
      <c r="O1024" t="s">
        <v>667</v>
      </c>
      <c r="P1024">
        <v>13.01</v>
      </c>
      <c r="Q1024">
        <v>12.91</v>
      </c>
      <c r="R1024">
        <v>13</v>
      </c>
      <c r="S1024">
        <v>13</v>
      </c>
      <c r="T1024">
        <v>0.77</v>
      </c>
      <c r="U1024">
        <v>0.67</v>
      </c>
      <c r="V1024">
        <v>-59.1</v>
      </c>
      <c r="W1024">
        <v>-3063</v>
      </c>
      <c r="X1024">
        <v>12.98</v>
      </c>
      <c r="Y1024" t="s">
        <v>1961</v>
      </c>
      <c r="Z1024" t="s">
        <v>468</v>
      </c>
      <c r="AA1024">
        <v>1.1299999999999999</v>
      </c>
      <c r="AB1024">
        <v>134</v>
      </c>
      <c r="AC1024">
        <v>31</v>
      </c>
      <c r="AD1024">
        <v>2.21</v>
      </c>
      <c r="AE1024" t="s">
        <v>4516</v>
      </c>
      <c r="AF1024" t="s">
        <v>3763</v>
      </c>
      <c r="AG1024" t="s">
        <v>4517</v>
      </c>
      <c r="AH1024" t="s">
        <v>4518</v>
      </c>
      <c r="AI1024">
        <v>-0.61</v>
      </c>
      <c r="AJ1024">
        <v>2.12</v>
      </c>
      <c r="AK1024">
        <v>2.4</v>
      </c>
      <c r="AL1024">
        <v>5.61</v>
      </c>
    </row>
    <row r="1025" spans="1:38" x14ac:dyDescent="0.25">
      <c r="A1025">
        <v>1024</v>
      </c>
      <c r="B1025" t="str">
        <f xml:space="preserve"> "000541"</f>
        <v>000541</v>
      </c>
      <c r="C1025" t="s">
        <v>4519</v>
      </c>
      <c r="D1025">
        <v>9.4600000000000009</v>
      </c>
      <c r="E1025">
        <v>0.11</v>
      </c>
      <c r="F1025">
        <v>0.01</v>
      </c>
      <c r="G1025" t="s">
        <v>3618</v>
      </c>
      <c r="H1025">
        <v>1171</v>
      </c>
      <c r="I1025">
        <v>9.4600000000000009</v>
      </c>
      <c r="J1025">
        <v>9.4700000000000006</v>
      </c>
      <c r="K1025">
        <v>0.11</v>
      </c>
      <c r="L1025">
        <v>0.96</v>
      </c>
      <c r="M1025" t="s">
        <v>4520</v>
      </c>
      <c r="N1025">
        <v>26.33</v>
      </c>
      <c r="O1025" t="s">
        <v>380</v>
      </c>
      <c r="P1025">
        <v>9.56</v>
      </c>
      <c r="Q1025">
        <v>9.42</v>
      </c>
      <c r="R1025">
        <v>9.48</v>
      </c>
      <c r="S1025">
        <v>9.4499999999999993</v>
      </c>
      <c r="T1025">
        <v>1.48</v>
      </c>
      <c r="U1025">
        <v>0.65</v>
      </c>
      <c r="V1025">
        <v>37.78</v>
      </c>
      <c r="W1025">
        <v>3483</v>
      </c>
      <c r="X1025">
        <v>9.48</v>
      </c>
      <c r="Y1025" t="s">
        <v>390</v>
      </c>
      <c r="Z1025" t="s">
        <v>1489</v>
      </c>
      <c r="AA1025">
        <v>1.23</v>
      </c>
      <c r="AB1025">
        <v>48</v>
      </c>
      <c r="AC1025">
        <v>255</v>
      </c>
      <c r="AD1025">
        <v>2.56</v>
      </c>
      <c r="AE1025" t="s">
        <v>1483</v>
      </c>
      <c r="AF1025" t="s">
        <v>3763</v>
      </c>
      <c r="AG1025" t="s">
        <v>1924</v>
      </c>
      <c r="AH1025" t="s">
        <v>4245</v>
      </c>
      <c r="AI1025">
        <v>2.83</v>
      </c>
      <c r="AJ1025">
        <v>4.88</v>
      </c>
      <c r="AK1025">
        <v>6.77</v>
      </c>
      <c r="AL1025">
        <v>8.35</v>
      </c>
    </row>
    <row r="1026" spans="1:38" x14ac:dyDescent="0.25">
      <c r="A1026">
        <v>1025</v>
      </c>
      <c r="B1026" t="str">
        <f xml:space="preserve"> "002341"</f>
        <v>002341</v>
      </c>
      <c r="C1026" t="s">
        <v>4521</v>
      </c>
      <c r="D1026" t="s">
        <v>616</v>
      </c>
      <c r="E1026" t="s">
        <v>616</v>
      </c>
      <c r="F1026" t="s">
        <v>616</v>
      </c>
      <c r="G1026" t="s">
        <v>616</v>
      </c>
      <c r="H1026" t="s">
        <v>616</v>
      </c>
      <c r="I1026" t="s">
        <v>616</v>
      </c>
      <c r="J1026" t="s">
        <v>616</v>
      </c>
      <c r="K1026" t="s">
        <v>616</v>
      </c>
      <c r="L1026" t="s">
        <v>616</v>
      </c>
      <c r="M1026" t="s">
        <v>616</v>
      </c>
      <c r="N1026">
        <v>81.349999999999994</v>
      </c>
      <c r="O1026" t="s">
        <v>859</v>
      </c>
      <c r="P1026" t="s">
        <v>616</v>
      </c>
      <c r="Q1026" t="s">
        <v>616</v>
      </c>
      <c r="R1026" t="s">
        <v>616</v>
      </c>
      <c r="S1026">
        <v>23.91</v>
      </c>
      <c r="T1026" t="s">
        <v>616</v>
      </c>
      <c r="U1026" t="s">
        <v>616</v>
      </c>
      <c r="V1026" t="s">
        <v>616</v>
      </c>
      <c r="W1026" t="s">
        <v>616</v>
      </c>
      <c r="X1026" t="s">
        <v>616</v>
      </c>
      <c r="Y1026" t="s">
        <v>616</v>
      </c>
      <c r="Z1026" t="s">
        <v>616</v>
      </c>
      <c r="AA1026" t="s">
        <v>616</v>
      </c>
      <c r="AB1026" t="s">
        <v>616</v>
      </c>
      <c r="AC1026" t="s">
        <v>616</v>
      </c>
      <c r="AD1026">
        <v>3.71</v>
      </c>
      <c r="AE1026" t="s">
        <v>1613</v>
      </c>
      <c r="AF1026" t="s">
        <v>3763</v>
      </c>
      <c r="AG1026" t="s">
        <v>4522</v>
      </c>
      <c r="AH1026" t="s">
        <v>1182</v>
      </c>
      <c r="AI1026">
        <v>0</v>
      </c>
      <c r="AJ1026">
        <v>0</v>
      </c>
      <c r="AK1026">
        <v>0</v>
      </c>
      <c r="AL1026">
        <v>0</v>
      </c>
    </row>
    <row r="1027" spans="1:38" x14ac:dyDescent="0.25">
      <c r="A1027">
        <v>1026</v>
      </c>
      <c r="B1027" t="str">
        <f xml:space="preserve"> "002747"</f>
        <v>002747</v>
      </c>
      <c r="C1027" t="s">
        <v>4523</v>
      </c>
      <c r="D1027">
        <v>14.35</v>
      </c>
      <c r="E1027">
        <v>0.21</v>
      </c>
      <c r="F1027">
        <v>0.03</v>
      </c>
      <c r="G1027" t="s">
        <v>1308</v>
      </c>
      <c r="H1027">
        <v>529</v>
      </c>
      <c r="I1027">
        <v>14.34</v>
      </c>
      <c r="J1027">
        <v>14.35</v>
      </c>
      <c r="K1027">
        <v>0</v>
      </c>
      <c r="L1027">
        <v>1.97</v>
      </c>
      <c r="M1027" t="s">
        <v>4524</v>
      </c>
      <c r="N1027">
        <v>149.69</v>
      </c>
      <c r="O1027" t="s">
        <v>648</v>
      </c>
      <c r="P1027">
        <v>14.44</v>
      </c>
      <c r="Q1027">
        <v>14.08</v>
      </c>
      <c r="R1027">
        <v>14.23</v>
      </c>
      <c r="S1027">
        <v>14.32</v>
      </c>
      <c r="T1027">
        <v>2.5099999999999998</v>
      </c>
      <c r="U1027">
        <v>0.56999999999999995</v>
      </c>
      <c r="V1027">
        <v>-6.51</v>
      </c>
      <c r="W1027">
        <v>-279</v>
      </c>
      <c r="X1027">
        <v>14.26</v>
      </c>
      <c r="Y1027" t="s">
        <v>1954</v>
      </c>
      <c r="Z1027" t="s">
        <v>3266</v>
      </c>
      <c r="AA1027">
        <v>1.29</v>
      </c>
      <c r="AB1027">
        <v>697</v>
      </c>
      <c r="AC1027">
        <v>428</v>
      </c>
      <c r="AD1027">
        <v>8.36</v>
      </c>
      <c r="AE1027" t="s">
        <v>4525</v>
      </c>
      <c r="AF1027" t="s">
        <v>3763</v>
      </c>
      <c r="AG1027" t="s">
        <v>4526</v>
      </c>
      <c r="AH1027" t="s">
        <v>4527</v>
      </c>
      <c r="AI1027">
        <v>-3.24</v>
      </c>
      <c r="AJ1027">
        <v>1.49</v>
      </c>
      <c r="AK1027">
        <v>8.2899999999999991</v>
      </c>
      <c r="AL1027">
        <v>19.32</v>
      </c>
    </row>
    <row r="1028" spans="1:38" x14ac:dyDescent="0.25">
      <c r="A1028">
        <v>1027</v>
      </c>
      <c r="B1028" t="str">
        <f xml:space="preserve"> "600410"</f>
        <v>600410</v>
      </c>
      <c r="C1028" t="s">
        <v>4528</v>
      </c>
      <c r="D1028">
        <v>10.88</v>
      </c>
      <c r="E1028">
        <v>-3.03</v>
      </c>
      <c r="F1028">
        <v>-0.34</v>
      </c>
      <c r="G1028" t="s">
        <v>1020</v>
      </c>
      <c r="H1028">
        <v>10</v>
      </c>
      <c r="I1028">
        <v>10.85</v>
      </c>
      <c r="J1028">
        <v>10.86</v>
      </c>
      <c r="K1028">
        <v>0.09</v>
      </c>
      <c r="L1028">
        <v>2.5099999999999998</v>
      </c>
      <c r="M1028" t="s">
        <v>1857</v>
      </c>
      <c r="N1028">
        <v>39.29</v>
      </c>
      <c r="O1028" t="s">
        <v>893</v>
      </c>
      <c r="P1028">
        <v>11.22</v>
      </c>
      <c r="Q1028">
        <v>10.84</v>
      </c>
      <c r="R1028">
        <v>11.22</v>
      </c>
      <c r="S1028">
        <v>11.22</v>
      </c>
      <c r="T1028">
        <v>3.39</v>
      </c>
      <c r="U1028">
        <v>0.75</v>
      </c>
      <c r="V1028">
        <v>72.31</v>
      </c>
      <c r="W1028">
        <v>4963</v>
      </c>
      <c r="X1028">
        <v>10.96</v>
      </c>
      <c r="Y1028" t="s">
        <v>766</v>
      </c>
      <c r="Z1028" t="s">
        <v>1814</v>
      </c>
      <c r="AA1028">
        <v>1.74</v>
      </c>
      <c r="AB1028">
        <v>1071</v>
      </c>
      <c r="AC1028">
        <v>288</v>
      </c>
      <c r="AD1028">
        <v>2.4500000000000002</v>
      </c>
      <c r="AE1028" t="s">
        <v>2501</v>
      </c>
      <c r="AF1028" t="s">
        <v>3763</v>
      </c>
      <c r="AG1028" t="s">
        <v>2501</v>
      </c>
      <c r="AH1028" t="s">
        <v>3763</v>
      </c>
      <c r="AI1028">
        <v>-2.16</v>
      </c>
      <c r="AJ1028">
        <v>-2.6</v>
      </c>
      <c r="AK1028">
        <v>8.06</v>
      </c>
      <c r="AL1028">
        <v>19.23</v>
      </c>
    </row>
    <row r="1029" spans="1:38" x14ac:dyDescent="0.25">
      <c r="A1029">
        <v>1028</v>
      </c>
      <c r="B1029" t="str">
        <f xml:space="preserve"> "600064"</f>
        <v>600064</v>
      </c>
      <c r="C1029" t="s">
        <v>4529</v>
      </c>
      <c r="D1029">
        <v>15.48</v>
      </c>
      <c r="E1029">
        <v>0.26</v>
      </c>
      <c r="F1029">
        <v>0.04</v>
      </c>
      <c r="G1029" t="s">
        <v>2202</v>
      </c>
      <c r="H1029">
        <v>18</v>
      </c>
      <c r="I1029">
        <v>15.47</v>
      </c>
      <c r="J1029">
        <v>15.48</v>
      </c>
      <c r="K1029">
        <v>0.13</v>
      </c>
      <c r="L1029">
        <v>0.3</v>
      </c>
      <c r="M1029" t="s">
        <v>4530</v>
      </c>
      <c r="N1029">
        <v>11.66</v>
      </c>
      <c r="O1029" t="s">
        <v>244</v>
      </c>
      <c r="P1029">
        <v>15.5</v>
      </c>
      <c r="Q1029">
        <v>15.39</v>
      </c>
      <c r="R1029">
        <v>15.41</v>
      </c>
      <c r="S1029">
        <v>15.44</v>
      </c>
      <c r="T1029">
        <v>0.71</v>
      </c>
      <c r="U1029">
        <v>0.81</v>
      </c>
      <c r="V1029">
        <v>40.799999999999997</v>
      </c>
      <c r="W1029">
        <v>852</v>
      </c>
      <c r="X1029">
        <v>15.46</v>
      </c>
      <c r="Y1029" t="s">
        <v>1259</v>
      </c>
      <c r="Z1029" t="s">
        <v>2241</v>
      </c>
      <c r="AA1029">
        <v>1.08</v>
      </c>
      <c r="AB1029">
        <v>30</v>
      </c>
      <c r="AC1029">
        <v>72</v>
      </c>
      <c r="AD1029">
        <v>1.18</v>
      </c>
      <c r="AE1029" t="s">
        <v>4244</v>
      </c>
      <c r="AF1029" t="s">
        <v>3763</v>
      </c>
      <c r="AG1029" t="s">
        <v>4244</v>
      </c>
      <c r="AH1029" t="s">
        <v>3763</v>
      </c>
      <c r="AI1029">
        <v>-0.13</v>
      </c>
      <c r="AJ1029">
        <v>2.25</v>
      </c>
      <c r="AK1029">
        <v>0.97</v>
      </c>
      <c r="AL1029">
        <v>2.17</v>
      </c>
    </row>
    <row r="1030" spans="1:38" x14ac:dyDescent="0.25">
      <c r="A1030">
        <v>1029</v>
      </c>
      <c r="B1030" t="str">
        <f xml:space="preserve"> "002383"</f>
        <v>002383</v>
      </c>
      <c r="C1030" t="s">
        <v>4531</v>
      </c>
      <c r="D1030">
        <v>16.309999999999999</v>
      </c>
      <c r="E1030">
        <v>0.93</v>
      </c>
      <c r="F1030">
        <v>0.15</v>
      </c>
      <c r="G1030" t="s">
        <v>4532</v>
      </c>
      <c r="H1030">
        <v>2123</v>
      </c>
      <c r="I1030">
        <v>16.3</v>
      </c>
      <c r="J1030">
        <v>16.309999999999999</v>
      </c>
      <c r="K1030">
        <v>0.06</v>
      </c>
      <c r="L1030">
        <v>1.74</v>
      </c>
      <c r="M1030" t="s">
        <v>4533</v>
      </c>
      <c r="N1030">
        <v>118.89</v>
      </c>
      <c r="O1030" t="s">
        <v>580</v>
      </c>
      <c r="P1030">
        <v>16.32</v>
      </c>
      <c r="Q1030">
        <v>16.059999999999999</v>
      </c>
      <c r="R1030">
        <v>16.260000000000002</v>
      </c>
      <c r="S1030">
        <v>16.16</v>
      </c>
      <c r="T1030">
        <v>1.61</v>
      </c>
      <c r="U1030">
        <v>0.6</v>
      </c>
      <c r="V1030">
        <v>-59.92</v>
      </c>
      <c r="W1030">
        <v>-1854</v>
      </c>
      <c r="X1030">
        <v>16.190000000000001</v>
      </c>
      <c r="Y1030" t="s">
        <v>1532</v>
      </c>
      <c r="Z1030" t="s">
        <v>1649</v>
      </c>
      <c r="AA1030">
        <v>0.94</v>
      </c>
      <c r="AB1030">
        <v>1</v>
      </c>
      <c r="AC1030">
        <v>354</v>
      </c>
      <c r="AD1030">
        <v>3.41</v>
      </c>
      <c r="AE1030" t="s">
        <v>4534</v>
      </c>
      <c r="AF1030" t="s">
        <v>3763</v>
      </c>
      <c r="AG1030" t="s">
        <v>2817</v>
      </c>
      <c r="AH1030" t="s">
        <v>4535</v>
      </c>
      <c r="AI1030">
        <v>-0.31</v>
      </c>
      <c r="AJ1030">
        <v>2.71</v>
      </c>
      <c r="AK1030">
        <v>6.72</v>
      </c>
      <c r="AL1030">
        <v>16.29</v>
      </c>
    </row>
    <row r="1031" spans="1:38" x14ac:dyDescent="0.25">
      <c r="A1031">
        <v>1030</v>
      </c>
      <c r="B1031" t="str">
        <f xml:space="preserve"> "002850"</f>
        <v>002850</v>
      </c>
      <c r="C1031" t="s">
        <v>4536</v>
      </c>
      <c r="D1031">
        <v>85.39</v>
      </c>
      <c r="E1031">
        <v>0.15</v>
      </c>
      <c r="F1031">
        <v>0.13</v>
      </c>
      <c r="G1031" t="s">
        <v>1785</v>
      </c>
      <c r="H1031">
        <v>239</v>
      </c>
      <c r="I1031">
        <v>85.39</v>
      </c>
      <c r="J1031">
        <v>85.4</v>
      </c>
      <c r="K1031">
        <v>-0.11</v>
      </c>
      <c r="L1031">
        <v>3.06</v>
      </c>
      <c r="M1031" t="s">
        <v>2713</v>
      </c>
      <c r="N1031">
        <v>63.14</v>
      </c>
      <c r="O1031" t="s">
        <v>1229</v>
      </c>
      <c r="P1031">
        <v>86.45</v>
      </c>
      <c r="Q1031">
        <v>85.31</v>
      </c>
      <c r="R1031">
        <v>85.85</v>
      </c>
      <c r="S1031">
        <v>85.26</v>
      </c>
      <c r="T1031">
        <v>1.34</v>
      </c>
      <c r="U1031">
        <v>0.73</v>
      </c>
      <c r="V1031">
        <v>15.61</v>
      </c>
      <c r="W1031">
        <v>37</v>
      </c>
      <c r="X1031">
        <v>85.77</v>
      </c>
      <c r="Y1031">
        <v>6417</v>
      </c>
      <c r="Z1031">
        <v>4284</v>
      </c>
      <c r="AA1031">
        <v>1.5</v>
      </c>
      <c r="AB1031">
        <v>30</v>
      </c>
      <c r="AC1031">
        <v>36</v>
      </c>
      <c r="AD1031">
        <v>5.49</v>
      </c>
      <c r="AE1031" t="s">
        <v>3110</v>
      </c>
      <c r="AF1031" t="s">
        <v>3763</v>
      </c>
      <c r="AG1031" t="s">
        <v>4537</v>
      </c>
      <c r="AH1031" t="s">
        <v>1910</v>
      </c>
      <c r="AI1031">
        <v>-4.38</v>
      </c>
      <c r="AJ1031">
        <v>-2.0499999999999998</v>
      </c>
      <c r="AK1031">
        <v>12.13</v>
      </c>
      <c r="AL1031">
        <v>24.08</v>
      </c>
    </row>
    <row r="1032" spans="1:38" x14ac:dyDescent="0.25">
      <c r="A1032">
        <v>1031</v>
      </c>
      <c r="B1032" t="str">
        <f xml:space="preserve"> "600146"</f>
        <v>600146</v>
      </c>
      <c r="C1032" t="s">
        <v>4538</v>
      </c>
      <c r="D1032" t="s">
        <v>616</v>
      </c>
      <c r="E1032" t="s">
        <v>616</v>
      </c>
      <c r="F1032" t="s">
        <v>616</v>
      </c>
      <c r="G1032" t="s">
        <v>616</v>
      </c>
      <c r="H1032" t="s">
        <v>616</v>
      </c>
      <c r="I1032" t="s">
        <v>616</v>
      </c>
      <c r="J1032" t="s">
        <v>616</v>
      </c>
      <c r="K1032" t="s">
        <v>616</v>
      </c>
      <c r="L1032" t="s">
        <v>616</v>
      </c>
      <c r="M1032" t="s">
        <v>616</v>
      </c>
      <c r="N1032">
        <v>111.52</v>
      </c>
      <c r="O1032" t="s">
        <v>1443</v>
      </c>
      <c r="P1032" t="s">
        <v>616</v>
      </c>
      <c r="Q1032" t="s">
        <v>616</v>
      </c>
      <c r="R1032" t="s">
        <v>616</v>
      </c>
      <c r="S1032">
        <v>25.42</v>
      </c>
      <c r="T1032" t="s">
        <v>616</v>
      </c>
      <c r="U1032" t="s">
        <v>616</v>
      </c>
      <c r="V1032" t="s">
        <v>616</v>
      </c>
      <c r="W1032" t="s">
        <v>616</v>
      </c>
      <c r="X1032" t="s">
        <v>616</v>
      </c>
      <c r="Y1032" t="s">
        <v>616</v>
      </c>
      <c r="Z1032" t="s">
        <v>616</v>
      </c>
      <c r="AA1032" t="s">
        <v>616</v>
      </c>
      <c r="AB1032" t="s">
        <v>616</v>
      </c>
      <c r="AC1032" t="s">
        <v>616</v>
      </c>
      <c r="AD1032">
        <v>4.1100000000000003</v>
      </c>
      <c r="AE1032" t="s">
        <v>2021</v>
      </c>
      <c r="AF1032" t="s">
        <v>593</v>
      </c>
      <c r="AG1032" t="s">
        <v>1485</v>
      </c>
      <c r="AH1032" t="s">
        <v>4539</v>
      </c>
      <c r="AI1032">
        <v>0</v>
      </c>
      <c r="AJ1032">
        <v>0</v>
      </c>
      <c r="AK1032">
        <v>0</v>
      </c>
      <c r="AL1032">
        <v>0</v>
      </c>
    </row>
    <row r="1033" spans="1:38" x14ac:dyDescent="0.25">
      <c r="A1033">
        <v>1032</v>
      </c>
      <c r="B1033" t="str">
        <f xml:space="preserve"> "600416"</f>
        <v>600416</v>
      </c>
      <c r="C1033" t="s">
        <v>4540</v>
      </c>
      <c r="D1033">
        <v>12.61</v>
      </c>
      <c r="E1033">
        <v>-0.79</v>
      </c>
      <c r="F1033">
        <v>-0.1</v>
      </c>
      <c r="G1033" t="s">
        <v>2003</v>
      </c>
      <c r="H1033">
        <v>9</v>
      </c>
      <c r="I1033">
        <v>12.61</v>
      </c>
      <c r="J1033">
        <v>12.62</v>
      </c>
      <c r="K1033">
        <v>0.08</v>
      </c>
      <c r="L1033">
        <v>1.32</v>
      </c>
      <c r="M1033" t="s">
        <v>223</v>
      </c>
      <c r="N1033">
        <v>308.54000000000002</v>
      </c>
      <c r="O1033" t="s">
        <v>648</v>
      </c>
      <c r="P1033">
        <v>13</v>
      </c>
      <c r="Q1033">
        <v>12.58</v>
      </c>
      <c r="R1033">
        <v>12.68</v>
      </c>
      <c r="S1033">
        <v>12.71</v>
      </c>
      <c r="T1033">
        <v>3.3</v>
      </c>
      <c r="U1033">
        <v>1.04</v>
      </c>
      <c r="V1033">
        <v>5.37</v>
      </c>
      <c r="W1033">
        <v>88</v>
      </c>
      <c r="X1033">
        <v>12.79</v>
      </c>
      <c r="Y1033" t="s">
        <v>345</v>
      </c>
      <c r="Z1033" t="s">
        <v>1660</v>
      </c>
      <c r="AA1033">
        <v>1.05</v>
      </c>
      <c r="AB1033">
        <v>3</v>
      </c>
      <c r="AC1033">
        <v>281</v>
      </c>
      <c r="AD1033">
        <v>1.86</v>
      </c>
      <c r="AE1033" t="s">
        <v>4541</v>
      </c>
      <c r="AF1033" t="s">
        <v>593</v>
      </c>
      <c r="AG1033" t="s">
        <v>3751</v>
      </c>
      <c r="AH1033" t="s">
        <v>1459</v>
      </c>
      <c r="AI1033">
        <v>2.11</v>
      </c>
      <c r="AJ1033">
        <v>5</v>
      </c>
      <c r="AK1033">
        <v>4.55</v>
      </c>
      <c r="AL1033">
        <v>7.68</v>
      </c>
    </row>
    <row r="1034" spans="1:38" x14ac:dyDescent="0.25">
      <c r="A1034">
        <v>1033</v>
      </c>
      <c r="B1034" t="str">
        <f xml:space="preserve"> "300633"</f>
        <v>300633</v>
      </c>
      <c r="C1034" t="s">
        <v>4542</v>
      </c>
      <c r="D1034">
        <v>29.8</v>
      </c>
      <c r="E1034">
        <v>4.01</v>
      </c>
      <c r="F1034">
        <v>1.1499999999999999</v>
      </c>
      <c r="G1034" t="s">
        <v>335</v>
      </c>
      <c r="H1034">
        <v>2544</v>
      </c>
      <c r="I1034">
        <v>29.79</v>
      </c>
      <c r="J1034">
        <v>29.8</v>
      </c>
      <c r="K1034">
        <v>0</v>
      </c>
      <c r="L1034">
        <v>48.32</v>
      </c>
      <c r="M1034" t="s">
        <v>1400</v>
      </c>
      <c r="N1034">
        <v>80.930000000000007</v>
      </c>
      <c r="O1034" t="s">
        <v>2647</v>
      </c>
      <c r="P1034">
        <v>31.52</v>
      </c>
      <c r="Q1034">
        <v>29.75</v>
      </c>
      <c r="R1034">
        <v>30.3</v>
      </c>
      <c r="S1034">
        <v>28.65</v>
      </c>
      <c r="T1034">
        <v>6.18</v>
      </c>
      <c r="U1034">
        <v>1.57</v>
      </c>
      <c r="V1034">
        <v>-59.98</v>
      </c>
      <c r="W1034">
        <v>-791</v>
      </c>
      <c r="X1034">
        <v>30.67</v>
      </c>
      <c r="Y1034" t="s">
        <v>2152</v>
      </c>
      <c r="Z1034" t="s">
        <v>2480</v>
      </c>
      <c r="AA1034">
        <v>0.99</v>
      </c>
      <c r="AB1034">
        <v>28</v>
      </c>
      <c r="AC1034">
        <v>779</v>
      </c>
      <c r="AD1034">
        <v>12.59</v>
      </c>
      <c r="AE1034" t="s">
        <v>1000</v>
      </c>
      <c r="AF1034" t="s">
        <v>593</v>
      </c>
      <c r="AG1034" t="s">
        <v>2596</v>
      </c>
      <c r="AH1034" t="s">
        <v>1011</v>
      </c>
      <c r="AI1034">
        <v>4.5999999999999996</v>
      </c>
      <c r="AJ1034">
        <v>13.96</v>
      </c>
      <c r="AK1034">
        <v>146.63999999999999</v>
      </c>
      <c r="AL1034">
        <v>202.47</v>
      </c>
    </row>
    <row r="1035" spans="1:38" x14ac:dyDescent="0.25">
      <c r="A1035">
        <v>1034</v>
      </c>
      <c r="B1035" t="str">
        <f xml:space="preserve"> "002036"</f>
        <v>002036</v>
      </c>
      <c r="C1035" t="s">
        <v>4543</v>
      </c>
      <c r="D1035">
        <v>21.34</v>
      </c>
      <c r="E1035">
        <v>5.7</v>
      </c>
      <c r="F1035">
        <v>1.1499999999999999</v>
      </c>
      <c r="G1035" t="s">
        <v>3859</v>
      </c>
      <c r="H1035">
        <v>954</v>
      </c>
      <c r="I1035">
        <v>21.34</v>
      </c>
      <c r="J1035">
        <v>21.35</v>
      </c>
      <c r="K1035">
        <v>0.14000000000000001</v>
      </c>
      <c r="L1035">
        <v>2.2400000000000002</v>
      </c>
      <c r="M1035" t="s">
        <v>3201</v>
      </c>
      <c r="N1035">
        <v>71.7</v>
      </c>
      <c r="O1035" t="s">
        <v>553</v>
      </c>
      <c r="P1035">
        <v>21.35</v>
      </c>
      <c r="Q1035">
        <v>20.149999999999999</v>
      </c>
      <c r="R1035">
        <v>20.16</v>
      </c>
      <c r="S1035">
        <v>20.190000000000001</v>
      </c>
      <c r="T1035">
        <v>5.94</v>
      </c>
      <c r="U1035">
        <v>1.56</v>
      </c>
      <c r="V1035">
        <v>-16.11</v>
      </c>
      <c r="W1035">
        <v>-256</v>
      </c>
      <c r="X1035">
        <v>20.95</v>
      </c>
      <c r="Y1035" t="s">
        <v>2279</v>
      </c>
      <c r="Z1035" t="s">
        <v>2546</v>
      </c>
      <c r="AA1035">
        <v>0.6</v>
      </c>
      <c r="AB1035">
        <v>84</v>
      </c>
      <c r="AC1035">
        <v>604</v>
      </c>
      <c r="AD1035">
        <v>7.14</v>
      </c>
      <c r="AE1035" t="s">
        <v>1450</v>
      </c>
      <c r="AF1035" t="s">
        <v>593</v>
      </c>
      <c r="AG1035" t="s">
        <v>4544</v>
      </c>
      <c r="AH1035" t="s">
        <v>4545</v>
      </c>
      <c r="AI1035">
        <v>2.6</v>
      </c>
      <c r="AJ1035">
        <v>1.86</v>
      </c>
      <c r="AK1035">
        <v>4.99</v>
      </c>
      <c r="AL1035">
        <v>9.41</v>
      </c>
    </row>
    <row r="1036" spans="1:38" x14ac:dyDescent="0.25">
      <c r="A1036">
        <v>1035</v>
      </c>
      <c r="B1036" t="str">
        <f xml:space="preserve"> "002346"</f>
        <v>002346</v>
      </c>
      <c r="C1036" t="s">
        <v>4546</v>
      </c>
      <c r="D1036">
        <v>26.96</v>
      </c>
      <c r="E1036">
        <v>-0.19</v>
      </c>
      <c r="F1036">
        <v>-0.05</v>
      </c>
      <c r="G1036" t="s">
        <v>2189</v>
      </c>
      <c r="H1036">
        <v>840</v>
      </c>
      <c r="I1036">
        <v>26.95</v>
      </c>
      <c r="J1036">
        <v>26.96</v>
      </c>
      <c r="K1036">
        <v>0.04</v>
      </c>
      <c r="L1036">
        <v>4.47</v>
      </c>
      <c r="M1036" t="s">
        <v>4547</v>
      </c>
      <c r="N1036">
        <v>146.34</v>
      </c>
      <c r="O1036" t="s">
        <v>562</v>
      </c>
      <c r="P1036">
        <v>27.1</v>
      </c>
      <c r="Q1036">
        <v>26.65</v>
      </c>
      <c r="R1036">
        <v>27.01</v>
      </c>
      <c r="S1036">
        <v>27.01</v>
      </c>
      <c r="T1036">
        <v>1.67</v>
      </c>
      <c r="U1036">
        <v>0.65</v>
      </c>
      <c r="V1036">
        <v>-12.41</v>
      </c>
      <c r="W1036">
        <v>-174</v>
      </c>
      <c r="X1036">
        <v>26.83</v>
      </c>
      <c r="Y1036" t="s">
        <v>3042</v>
      </c>
      <c r="Z1036" t="s">
        <v>2313</v>
      </c>
      <c r="AA1036">
        <v>1.27</v>
      </c>
      <c r="AB1036">
        <v>335</v>
      </c>
      <c r="AC1036">
        <v>21</v>
      </c>
      <c r="AD1036">
        <v>7.12</v>
      </c>
      <c r="AE1036" t="s">
        <v>3259</v>
      </c>
      <c r="AF1036" t="s">
        <v>593</v>
      </c>
      <c r="AG1036" t="s">
        <v>4548</v>
      </c>
      <c r="AH1036" t="s">
        <v>1335</v>
      </c>
      <c r="AI1036">
        <v>0.52</v>
      </c>
      <c r="AJ1036">
        <v>3.69</v>
      </c>
      <c r="AK1036">
        <v>21.67</v>
      </c>
      <c r="AL1036">
        <v>39.090000000000003</v>
      </c>
    </row>
    <row r="1037" spans="1:38" x14ac:dyDescent="0.25">
      <c r="A1037">
        <v>1036</v>
      </c>
      <c r="B1037" t="str">
        <f xml:space="preserve"> "002507"</f>
        <v>002507</v>
      </c>
      <c r="C1037" t="s">
        <v>4549</v>
      </c>
      <c r="D1037">
        <v>15.07</v>
      </c>
      <c r="E1037">
        <v>0.8</v>
      </c>
      <c r="F1037">
        <v>0.12</v>
      </c>
      <c r="G1037" t="s">
        <v>3606</v>
      </c>
      <c r="H1037">
        <v>663</v>
      </c>
      <c r="I1037">
        <v>15.06</v>
      </c>
      <c r="J1037">
        <v>15.07</v>
      </c>
      <c r="K1037">
        <v>0</v>
      </c>
      <c r="L1037">
        <v>0.56000000000000005</v>
      </c>
      <c r="M1037" t="s">
        <v>4550</v>
      </c>
      <c r="N1037">
        <v>34.590000000000003</v>
      </c>
      <c r="O1037" t="s">
        <v>406</v>
      </c>
      <c r="P1037">
        <v>15.08</v>
      </c>
      <c r="Q1037">
        <v>14.81</v>
      </c>
      <c r="R1037">
        <v>14.95</v>
      </c>
      <c r="S1037">
        <v>14.95</v>
      </c>
      <c r="T1037">
        <v>1.81</v>
      </c>
      <c r="U1037">
        <v>0.55000000000000004</v>
      </c>
      <c r="V1037">
        <v>2.85</v>
      </c>
      <c r="W1037">
        <v>40</v>
      </c>
      <c r="X1037">
        <v>14.97</v>
      </c>
      <c r="Y1037" t="s">
        <v>432</v>
      </c>
      <c r="Z1037" t="s">
        <v>3579</v>
      </c>
      <c r="AA1037">
        <v>1.01</v>
      </c>
      <c r="AB1037">
        <v>19</v>
      </c>
      <c r="AC1037">
        <v>3</v>
      </c>
      <c r="AD1037">
        <v>7.06</v>
      </c>
      <c r="AE1037" t="s">
        <v>4551</v>
      </c>
      <c r="AF1037" t="s">
        <v>593</v>
      </c>
      <c r="AG1037" t="s">
        <v>2813</v>
      </c>
      <c r="AH1037" t="s">
        <v>1513</v>
      </c>
      <c r="AI1037">
        <v>-0.2</v>
      </c>
      <c r="AJ1037">
        <v>5.24</v>
      </c>
      <c r="AK1037">
        <v>2.1800000000000002</v>
      </c>
      <c r="AL1037">
        <v>5.69</v>
      </c>
    </row>
    <row r="1038" spans="1:38" x14ac:dyDescent="0.25">
      <c r="A1038">
        <v>1037</v>
      </c>
      <c r="B1038" t="str">
        <f xml:space="preserve"> "601001"</f>
        <v>601001</v>
      </c>
      <c r="C1038" t="s">
        <v>4552</v>
      </c>
      <c r="D1038">
        <v>7.1</v>
      </c>
      <c r="E1038">
        <v>0.85</v>
      </c>
      <c r="F1038">
        <v>0.06</v>
      </c>
      <c r="G1038" t="s">
        <v>1237</v>
      </c>
      <c r="H1038">
        <v>25</v>
      </c>
      <c r="I1038">
        <v>7.1</v>
      </c>
      <c r="J1038">
        <v>7.11</v>
      </c>
      <c r="K1038">
        <v>0</v>
      </c>
      <c r="L1038">
        <v>0.82</v>
      </c>
      <c r="M1038" t="s">
        <v>4553</v>
      </c>
      <c r="N1038">
        <v>9.91</v>
      </c>
      <c r="O1038" t="s">
        <v>150</v>
      </c>
      <c r="P1038">
        <v>7.13</v>
      </c>
      <c r="Q1038">
        <v>6.98</v>
      </c>
      <c r="R1038">
        <v>7.01</v>
      </c>
      <c r="S1038">
        <v>7.04</v>
      </c>
      <c r="T1038">
        <v>2.13</v>
      </c>
      <c r="U1038">
        <v>0.63</v>
      </c>
      <c r="V1038">
        <v>-28.67</v>
      </c>
      <c r="W1038">
        <v>-2461</v>
      </c>
      <c r="X1038">
        <v>7.07</v>
      </c>
      <c r="Y1038" t="s">
        <v>3978</v>
      </c>
      <c r="Z1038" t="s">
        <v>4554</v>
      </c>
      <c r="AA1038">
        <v>0.8</v>
      </c>
      <c r="AB1038">
        <v>2387</v>
      </c>
      <c r="AC1038">
        <v>533</v>
      </c>
      <c r="AD1038">
        <v>2.1</v>
      </c>
      <c r="AE1038" t="s">
        <v>1375</v>
      </c>
      <c r="AF1038" t="s">
        <v>593</v>
      </c>
      <c r="AG1038" t="s">
        <v>1375</v>
      </c>
      <c r="AH1038" t="s">
        <v>593</v>
      </c>
      <c r="AI1038">
        <v>-2.0699999999999998</v>
      </c>
      <c r="AJ1038">
        <v>-5.33</v>
      </c>
      <c r="AK1038">
        <v>3.47</v>
      </c>
      <c r="AL1038">
        <v>7.3</v>
      </c>
    </row>
    <row r="1039" spans="1:38" x14ac:dyDescent="0.25">
      <c r="A1039">
        <v>1038</v>
      </c>
      <c r="B1039" t="str">
        <f xml:space="preserve"> "300310"</f>
        <v>300310</v>
      </c>
      <c r="C1039" t="s">
        <v>4555</v>
      </c>
      <c r="D1039">
        <v>13.46</v>
      </c>
      <c r="E1039">
        <v>-0.74</v>
      </c>
      <c r="F1039">
        <v>-0.1</v>
      </c>
      <c r="G1039" t="s">
        <v>860</v>
      </c>
      <c r="H1039">
        <v>1783</v>
      </c>
      <c r="I1039">
        <v>13.46</v>
      </c>
      <c r="J1039">
        <v>13.47</v>
      </c>
      <c r="K1039">
        <v>0</v>
      </c>
      <c r="L1039">
        <v>2.46</v>
      </c>
      <c r="M1039" t="s">
        <v>1088</v>
      </c>
      <c r="N1039">
        <v>57.44</v>
      </c>
      <c r="O1039" t="s">
        <v>580</v>
      </c>
      <c r="P1039">
        <v>13.68</v>
      </c>
      <c r="Q1039">
        <v>13.26</v>
      </c>
      <c r="R1039">
        <v>13.51</v>
      </c>
      <c r="S1039">
        <v>13.56</v>
      </c>
      <c r="T1039">
        <v>3.1</v>
      </c>
      <c r="U1039">
        <v>0.44</v>
      </c>
      <c r="V1039">
        <v>44.16</v>
      </c>
      <c r="W1039">
        <v>2516</v>
      </c>
      <c r="X1039">
        <v>13.47</v>
      </c>
      <c r="Y1039" t="s">
        <v>690</v>
      </c>
      <c r="Z1039" t="s">
        <v>4556</v>
      </c>
      <c r="AA1039">
        <v>1.33</v>
      </c>
      <c r="AB1039">
        <v>1280</v>
      </c>
      <c r="AC1039">
        <v>63</v>
      </c>
      <c r="AD1039">
        <v>3.45</v>
      </c>
      <c r="AE1039" t="s">
        <v>1987</v>
      </c>
      <c r="AF1039" t="s">
        <v>593</v>
      </c>
      <c r="AG1039" t="s">
        <v>3640</v>
      </c>
      <c r="AH1039" t="s">
        <v>4557</v>
      </c>
      <c r="AI1039">
        <v>-3.86</v>
      </c>
      <c r="AJ1039">
        <v>1.2</v>
      </c>
      <c r="AK1039">
        <v>10.37</v>
      </c>
      <c r="AL1039">
        <v>30.17</v>
      </c>
    </row>
    <row r="1040" spans="1:38" x14ac:dyDescent="0.25">
      <c r="A1040">
        <v>1039</v>
      </c>
      <c r="B1040" t="str">
        <f xml:space="preserve"> "002368"</f>
        <v>002368</v>
      </c>
      <c r="C1040" t="s">
        <v>4558</v>
      </c>
      <c r="D1040">
        <v>28.56</v>
      </c>
      <c r="E1040">
        <v>-0.42</v>
      </c>
      <c r="F1040">
        <v>-0.12</v>
      </c>
      <c r="G1040" t="s">
        <v>1827</v>
      </c>
      <c r="H1040">
        <v>270</v>
      </c>
      <c r="I1040">
        <v>28.56</v>
      </c>
      <c r="J1040">
        <v>28.61</v>
      </c>
      <c r="K1040">
        <v>0.04</v>
      </c>
      <c r="L1040">
        <v>0.73</v>
      </c>
      <c r="M1040" t="s">
        <v>4559</v>
      </c>
      <c r="N1040">
        <v>302.97000000000003</v>
      </c>
      <c r="O1040" t="s">
        <v>893</v>
      </c>
      <c r="P1040">
        <v>28.74</v>
      </c>
      <c r="Q1040">
        <v>28.33</v>
      </c>
      <c r="R1040">
        <v>28.56</v>
      </c>
      <c r="S1040">
        <v>28.68</v>
      </c>
      <c r="T1040">
        <v>1.43</v>
      </c>
      <c r="U1040">
        <v>0.76</v>
      </c>
      <c r="V1040">
        <v>58.42</v>
      </c>
      <c r="W1040">
        <v>607</v>
      </c>
      <c r="X1040">
        <v>28.51</v>
      </c>
      <c r="Y1040" t="s">
        <v>2551</v>
      </c>
      <c r="Z1040" t="s">
        <v>2453</v>
      </c>
      <c r="AA1040">
        <v>0.93</v>
      </c>
      <c r="AB1040">
        <v>7</v>
      </c>
      <c r="AC1040">
        <v>6</v>
      </c>
      <c r="AD1040">
        <v>5.07</v>
      </c>
      <c r="AE1040" t="s">
        <v>4149</v>
      </c>
      <c r="AF1040" t="s">
        <v>593</v>
      </c>
      <c r="AG1040" t="s">
        <v>4560</v>
      </c>
      <c r="AH1040" t="s">
        <v>2921</v>
      </c>
      <c r="AI1040">
        <v>-1.01</v>
      </c>
      <c r="AJ1040">
        <v>3.82</v>
      </c>
      <c r="AK1040">
        <v>2.66</v>
      </c>
      <c r="AL1040">
        <v>5.53</v>
      </c>
    </row>
    <row r="1041" spans="1:38" x14ac:dyDescent="0.25">
      <c r="A1041">
        <v>1040</v>
      </c>
      <c r="B1041" t="str">
        <f xml:space="preserve"> "000810"</f>
        <v>000810</v>
      </c>
      <c r="C1041" t="s">
        <v>4561</v>
      </c>
      <c r="D1041">
        <v>11.08</v>
      </c>
      <c r="E1041">
        <v>0.27</v>
      </c>
      <c r="F1041">
        <v>0.03</v>
      </c>
      <c r="G1041" t="s">
        <v>4118</v>
      </c>
      <c r="H1041">
        <v>838</v>
      </c>
      <c r="I1041">
        <v>11.07</v>
      </c>
      <c r="J1041">
        <v>11.08</v>
      </c>
      <c r="K1041">
        <v>0</v>
      </c>
      <c r="L1041">
        <v>0.42</v>
      </c>
      <c r="M1041" t="s">
        <v>4562</v>
      </c>
      <c r="N1041">
        <v>109.05</v>
      </c>
      <c r="O1041" t="s">
        <v>580</v>
      </c>
      <c r="P1041">
        <v>11.1</v>
      </c>
      <c r="Q1041">
        <v>10.97</v>
      </c>
      <c r="R1041">
        <v>11.04</v>
      </c>
      <c r="S1041">
        <v>11.05</v>
      </c>
      <c r="T1041">
        <v>1.18</v>
      </c>
      <c r="U1041">
        <v>0.6</v>
      </c>
      <c r="V1041">
        <v>-40.58</v>
      </c>
      <c r="W1041">
        <v>-1236</v>
      </c>
      <c r="X1041">
        <v>11.04</v>
      </c>
      <c r="Y1041">
        <v>9558</v>
      </c>
      <c r="Z1041" t="s">
        <v>1836</v>
      </c>
      <c r="AA1041">
        <v>0.88</v>
      </c>
      <c r="AB1041">
        <v>352</v>
      </c>
      <c r="AC1041">
        <v>757</v>
      </c>
      <c r="AD1041">
        <v>4.21</v>
      </c>
      <c r="AE1041" t="s">
        <v>1429</v>
      </c>
      <c r="AF1041" t="s">
        <v>593</v>
      </c>
      <c r="AG1041" t="s">
        <v>2618</v>
      </c>
      <c r="AH1041" t="s">
        <v>4563</v>
      </c>
      <c r="AI1041">
        <v>-0.27</v>
      </c>
      <c r="AJ1041">
        <v>2.4</v>
      </c>
      <c r="AK1041">
        <v>1.62</v>
      </c>
      <c r="AL1041">
        <v>3.92</v>
      </c>
    </row>
    <row r="1042" spans="1:38" x14ac:dyDescent="0.25">
      <c r="A1042">
        <v>1041</v>
      </c>
      <c r="B1042" t="str">
        <f xml:space="preserve"> "002610"</f>
        <v>002610</v>
      </c>
      <c r="C1042" t="s">
        <v>4564</v>
      </c>
      <c r="D1042">
        <v>2.64</v>
      </c>
      <c r="E1042">
        <v>0</v>
      </c>
      <c r="F1042">
        <v>0</v>
      </c>
      <c r="G1042" t="s">
        <v>1169</v>
      </c>
      <c r="H1042" t="s">
        <v>1493</v>
      </c>
      <c r="I1042">
        <v>2.63</v>
      </c>
      <c r="J1042">
        <v>2.64</v>
      </c>
      <c r="K1042">
        <v>0.38</v>
      </c>
      <c r="L1042">
        <v>0.67</v>
      </c>
      <c r="M1042" t="s">
        <v>4565</v>
      </c>
      <c r="N1042">
        <v>116.53</v>
      </c>
      <c r="O1042" t="s">
        <v>1229</v>
      </c>
      <c r="P1042">
        <v>2.65</v>
      </c>
      <c r="Q1042">
        <v>2.62</v>
      </c>
      <c r="R1042">
        <v>2.64</v>
      </c>
      <c r="S1042">
        <v>2.64</v>
      </c>
      <c r="T1042">
        <v>1.1399999999999999</v>
      </c>
      <c r="U1042">
        <v>0.82</v>
      </c>
      <c r="V1042">
        <v>-15.33</v>
      </c>
      <c r="W1042" t="s">
        <v>4566</v>
      </c>
      <c r="X1042">
        <v>2.63</v>
      </c>
      <c r="Y1042" t="s">
        <v>1298</v>
      </c>
      <c r="Z1042" t="s">
        <v>4567</v>
      </c>
      <c r="AA1042">
        <v>2.09</v>
      </c>
      <c r="AB1042">
        <v>9857</v>
      </c>
      <c r="AC1042" t="s">
        <v>2509</v>
      </c>
      <c r="AD1042">
        <v>2.1</v>
      </c>
      <c r="AE1042" t="s">
        <v>1446</v>
      </c>
      <c r="AF1042" t="s">
        <v>593</v>
      </c>
      <c r="AG1042" t="s">
        <v>2903</v>
      </c>
      <c r="AH1042" t="s">
        <v>3631</v>
      </c>
      <c r="AI1042">
        <v>-0.38</v>
      </c>
      <c r="AJ1042">
        <v>3.53</v>
      </c>
      <c r="AK1042">
        <v>2.3199999999999998</v>
      </c>
      <c r="AL1042">
        <v>4.75</v>
      </c>
    </row>
    <row r="1043" spans="1:38" x14ac:dyDescent="0.25">
      <c r="A1043">
        <v>1042</v>
      </c>
      <c r="B1043" t="str">
        <f xml:space="preserve"> "600764"</f>
        <v>600764</v>
      </c>
      <c r="C1043" t="s">
        <v>4568</v>
      </c>
      <c r="D1043">
        <v>35.94</v>
      </c>
      <c r="E1043">
        <v>-1.21</v>
      </c>
      <c r="F1043">
        <v>-0.44</v>
      </c>
      <c r="G1043">
        <v>9256</v>
      </c>
      <c r="H1043">
        <v>1</v>
      </c>
      <c r="I1043">
        <v>35.950000000000003</v>
      </c>
      <c r="J1043">
        <v>35.96</v>
      </c>
      <c r="K1043">
        <v>0.03</v>
      </c>
      <c r="L1043">
        <v>0.28000000000000003</v>
      </c>
      <c r="M1043" t="s">
        <v>4569</v>
      </c>
      <c r="N1043">
        <v>203.08</v>
      </c>
      <c r="O1043" t="s">
        <v>553</v>
      </c>
      <c r="P1043">
        <v>36.5</v>
      </c>
      <c r="Q1043">
        <v>35.869999999999997</v>
      </c>
      <c r="R1043">
        <v>36.5</v>
      </c>
      <c r="S1043">
        <v>36.380000000000003</v>
      </c>
      <c r="T1043">
        <v>1.73</v>
      </c>
      <c r="U1043">
        <v>0.46</v>
      </c>
      <c r="V1043">
        <v>-82.74</v>
      </c>
      <c r="W1043">
        <v>-489</v>
      </c>
      <c r="X1043">
        <v>36.130000000000003</v>
      </c>
      <c r="Y1043">
        <v>5098</v>
      </c>
      <c r="Z1043">
        <v>4158</v>
      </c>
      <c r="AA1043">
        <v>1.23</v>
      </c>
      <c r="AB1043">
        <v>30</v>
      </c>
      <c r="AC1043">
        <v>511</v>
      </c>
      <c r="AD1043">
        <v>21.9</v>
      </c>
      <c r="AE1043" t="s">
        <v>1417</v>
      </c>
      <c r="AF1043" t="s">
        <v>593</v>
      </c>
      <c r="AG1043" t="s">
        <v>1417</v>
      </c>
      <c r="AH1043" t="s">
        <v>593</v>
      </c>
      <c r="AI1043">
        <v>-0.33</v>
      </c>
      <c r="AJ1043">
        <v>-2.6</v>
      </c>
      <c r="AK1043">
        <v>1.5</v>
      </c>
      <c r="AL1043">
        <v>3.32</v>
      </c>
    </row>
    <row r="1044" spans="1:38" x14ac:dyDescent="0.25">
      <c r="A1044">
        <v>1043</v>
      </c>
      <c r="B1044" t="str">
        <f xml:space="preserve"> "000806"</f>
        <v>000806</v>
      </c>
      <c r="C1044" t="s">
        <v>4570</v>
      </c>
      <c r="D1044" t="s">
        <v>616</v>
      </c>
      <c r="E1044" t="s">
        <v>616</v>
      </c>
      <c r="F1044" t="s">
        <v>616</v>
      </c>
      <c r="G1044" t="s">
        <v>616</v>
      </c>
      <c r="H1044" t="s">
        <v>616</v>
      </c>
      <c r="I1044" t="s">
        <v>616</v>
      </c>
      <c r="J1044" t="s">
        <v>616</v>
      </c>
      <c r="K1044" t="s">
        <v>616</v>
      </c>
      <c r="L1044" t="s">
        <v>616</v>
      </c>
      <c r="M1044" t="s">
        <v>616</v>
      </c>
      <c r="N1044">
        <v>-279.48</v>
      </c>
      <c r="O1044" t="s">
        <v>680</v>
      </c>
      <c r="P1044" t="s">
        <v>616</v>
      </c>
      <c r="Q1044" t="s">
        <v>616</v>
      </c>
      <c r="R1044" t="s">
        <v>616</v>
      </c>
      <c r="S1044">
        <v>10.76</v>
      </c>
      <c r="T1044" t="s">
        <v>616</v>
      </c>
      <c r="U1044" t="s">
        <v>616</v>
      </c>
      <c r="V1044" t="s">
        <v>616</v>
      </c>
      <c r="W1044" t="s">
        <v>616</v>
      </c>
      <c r="X1044" t="s">
        <v>616</v>
      </c>
      <c r="Y1044" t="s">
        <v>616</v>
      </c>
      <c r="Z1044" t="s">
        <v>616</v>
      </c>
      <c r="AA1044" t="s">
        <v>616</v>
      </c>
      <c r="AB1044" t="s">
        <v>616</v>
      </c>
      <c r="AC1044" t="s">
        <v>616</v>
      </c>
      <c r="AD1044">
        <v>5.77</v>
      </c>
      <c r="AE1044" t="s">
        <v>2501</v>
      </c>
      <c r="AF1044" t="s">
        <v>3690</v>
      </c>
      <c r="AG1044" t="s">
        <v>1177</v>
      </c>
      <c r="AH1044" t="s">
        <v>4571</v>
      </c>
      <c r="AI1044">
        <v>0</v>
      </c>
      <c r="AJ1044">
        <v>0</v>
      </c>
      <c r="AK1044">
        <v>0</v>
      </c>
      <c r="AL1044">
        <v>0</v>
      </c>
    </row>
    <row r="1045" spans="1:38" x14ac:dyDescent="0.25">
      <c r="A1045">
        <v>1044</v>
      </c>
      <c r="B1045" t="str">
        <f xml:space="preserve"> "300085"</f>
        <v>300085</v>
      </c>
      <c r="C1045" t="s">
        <v>4572</v>
      </c>
      <c r="D1045" t="s">
        <v>616</v>
      </c>
      <c r="E1045" t="s">
        <v>616</v>
      </c>
      <c r="F1045" t="s">
        <v>616</v>
      </c>
      <c r="G1045" t="s">
        <v>616</v>
      </c>
      <c r="H1045" t="s">
        <v>616</v>
      </c>
      <c r="I1045" t="s">
        <v>616</v>
      </c>
      <c r="J1045" t="s">
        <v>616</v>
      </c>
      <c r="K1045" t="s">
        <v>616</v>
      </c>
      <c r="L1045" t="s">
        <v>616</v>
      </c>
      <c r="M1045" t="s">
        <v>616</v>
      </c>
      <c r="N1045">
        <v>585.33000000000004</v>
      </c>
      <c r="O1045" t="s">
        <v>893</v>
      </c>
      <c r="P1045" t="s">
        <v>616</v>
      </c>
      <c r="Q1045" t="s">
        <v>616</v>
      </c>
      <c r="R1045" t="s">
        <v>616</v>
      </c>
      <c r="S1045">
        <v>16.73</v>
      </c>
      <c r="T1045" t="s">
        <v>616</v>
      </c>
      <c r="U1045" t="s">
        <v>616</v>
      </c>
      <c r="V1045" t="s">
        <v>616</v>
      </c>
      <c r="W1045" t="s">
        <v>616</v>
      </c>
      <c r="X1045" t="s">
        <v>616</v>
      </c>
      <c r="Y1045" t="s">
        <v>616</v>
      </c>
      <c r="Z1045" t="s">
        <v>616</v>
      </c>
      <c r="AA1045" t="s">
        <v>616</v>
      </c>
      <c r="AB1045" t="s">
        <v>616</v>
      </c>
      <c r="AC1045" t="s">
        <v>616</v>
      </c>
      <c r="AD1045">
        <v>8.99</v>
      </c>
      <c r="AE1045" t="s">
        <v>4573</v>
      </c>
      <c r="AF1045" t="s">
        <v>3690</v>
      </c>
      <c r="AG1045" t="s">
        <v>3724</v>
      </c>
      <c r="AH1045" t="s">
        <v>4574</v>
      </c>
      <c r="AI1045">
        <v>0</v>
      </c>
      <c r="AJ1045">
        <v>0</v>
      </c>
      <c r="AK1045">
        <v>0</v>
      </c>
      <c r="AL1045">
        <v>0</v>
      </c>
    </row>
    <row r="1046" spans="1:38" x14ac:dyDescent="0.25">
      <c r="A1046">
        <v>1045</v>
      </c>
      <c r="B1046" t="str">
        <f xml:space="preserve"> "002430"</f>
        <v>002430</v>
      </c>
      <c r="C1046" t="s">
        <v>4575</v>
      </c>
      <c r="D1046">
        <v>12.24</v>
      </c>
      <c r="E1046">
        <v>3.99</v>
      </c>
      <c r="F1046">
        <v>0.47</v>
      </c>
      <c r="G1046" t="s">
        <v>912</v>
      </c>
      <c r="H1046">
        <v>1405</v>
      </c>
      <c r="I1046">
        <v>12.23</v>
      </c>
      <c r="J1046">
        <v>12.24</v>
      </c>
      <c r="K1046">
        <v>0.16</v>
      </c>
      <c r="L1046">
        <v>1.29</v>
      </c>
      <c r="M1046" t="s">
        <v>3398</v>
      </c>
      <c r="N1046">
        <v>60.03</v>
      </c>
      <c r="O1046" t="s">
        <v>2647</v>
      </c>
      <c r="P1046">
        <v>12.33</v>
      </c>
      <c r="Q1046">
        <v>11.74</v>
      </c>
      <c r="R1046">
        <v>11.75</v>
      </c>
      <c r="S1046">
        <v>11.77</v>
      </c>
      <c r="T1046">
        <v>5.01</v>
      </c>
      <c r="U1046">
        <v>1.36</v>
      </c>
      <c r="V1046">
        <v>1.48</v>
      </c>
      <c r="W1046">
        <v>48</v>
      </c>
      <c r="X1046">
        <v>12.14</v>
      </c>
      <c r="Y1046" t="s">
        <v>4431</v>
      </c>
      <c r="Z1046" t="s">
        <v>4576</v>
      </c>
      <c r="AA1046">
        <v>0.43</v>
      </c>
      <c r="AB1046">
        <v>10</v>
      </c>
      <c r="AC1046">
        <v>258</v>
      </c>
      <c r="AD1046">
        <v>3.39</v>
      </c>
      <c r="AE1046" t="s">
        <v>4577</v>
      </c>
      <c r="AF1046" t="s">
        <v>3690</v>
      </c>
      <c r="AG1046" t="s">
        <v>1019</v>
      </c>
      <c r="AH1046" t="s">
        <v>958</v>
      </c>
      <c r="AI1046">
        <v>1.83</v>
      </c>
      <c r="AJ1046">
        <v>5.79</v>
      </c>
      <c r="AK1046">
        <v>2.63</v>
      </c>
      <c r="AL1046">
        <v>6.03</v>
      </c>
    </row>
    <row r="1047" spans="1:38" x14ac:dyDescent="0.25">
      <c r="A1047">
        <v>1046</v>
      </c>
      <c r="B1047" t="str">
        <f xml:space="preserve"> "300078"</f>
        <v>300078</v>
      </c>
      <c r="C1047" t="s">
        <v>4578</v>
      </c>
      <c r="D1047">
        <v>14.61</v>
      </c>
      <c r="E1047">
        <v>7.0000000000000007E-2</v>
      </c>
      <c r="F1047">
        <v>0.01</v>
      </c>
      <c r="G1047" t="s">
        <v>3469</v>
      </c>
      <c r="H1047">
        <v>1645</v>
      </c>
      <c r="I1047">
        <v>14.6</v>
      </c>
      <c r="J1047">
        <v>14.61</v>
      </c>
      <c r="K1047">
        <v>0</v>
      </c>
      <c r="L1047">
        <v>3.17</v>
      </c>
      <c r="M1047" t="s">
        <v>3884</v>
      </c>
      <c r="N1047">
        <v>81.290000000000006</v>
      </c>
      <c r="O1047" t="s">
        <v>205</v>
      </c>
      <c r="P1047">
        <v>14.82</v>
      </c>
      <c r="Q1047">
        <v>14.4</v>
      </c>
      <c r="R1047">
        <v>14.54</v>
      </c>
      <c r="S1047">
        <v>14.6</v>
      </c>
      <c r="T1047">
        <v>2.88</v>
      </c>
      <c r="U1047">
        <v>0.64</v>
      </c>
      <c r="V1047">
        <v>-23.34</v>
      </c>
      <c r="W1047">
        <v>-896</v>
      </c>
      <c r="X1047">
        <v>14.58</v>
      </c>
      <c r="Y1047" t="s">
        <v>1222</v>
      </c>
      <c r="Z1047" t="s">
        <v>1937</v>
      </c>
      <c r="AA1047">
        <v>1.85</v>
      </c>
      <c r="AB1047">
        <v>828</v>
      </c>
      <c r="AC1047">
        <v>1418</v>
      </c>
      <c r="AD1047">
        <v>5.91</v>
      </c>
      <c r="AE1047" t="s">
        <v>4579</v>
      </c>
      <c r="AF1047" t="s">
        <v>3690</v>
      </c>
      <c r="AG1047" t="s">
        <v>4580</v>
      </c>
      <c r="AH1047" t="s">
        <v>4581</v>
      </c>
      <c r="AI1047">
        <v>-5.62</v>
      </c>
      <c r="AJ1047">
        <v>2.17</v>
      </c>
      <c r="AK1047">
        <v>13.79</v>
      </c>
      <c r="AL1047">
        <v>27.89</v>
      </c>
    </row>
    <row r="1048" spans="1:38" x14ac:dyDescent="0.25">
      <c r="A1048">
        <v>1047</v>
      </c>
      <c r="B1048" t="str">
        <f xml:space="preserve"> "000544"</f>
        <v>000544</v>
      </c>
      <c r="C1048" t="s">
        <v>4582</v>
      </c>
      <c r="D1048">
        <v>18.16</v>
      </c>
      <c r="E1048">
        <v>4.79</v>
      </c>
      <c r="F1048">
        <v>0.83</v>
      </c>
      <c r="G1048" t="s">
        <v>1242</v>
      </c>
      <c r="H1048">
        <v>2591</v>
      </c>
      <c r="I1048">
        <v>18.149999999999999</v>
      </c>
      <c r="J1048">
        <v>18.16</v>
      </c>
      <c r="K1048">
        <v>0</v>
      </c>
      <c r="L1048">
        <v>3.33</v>
      </c>
      <c r="M1048" t="s">
        <v>2964</v>
      </c>
      <c r="N1048">
        <v>33.630000000000003</v>
      </c>
      <c r="O1048" t="s">
        <v>2085</v>
      </c>
      <c r="P1048">
        <v>18.22</v>
      </c>
      <c r="Q1048">
        <v>17.29</v>
      </c>
      <c r="R1048">
        <v>17.34</v>
      </c>
      <c r="S1048">
        <v>17.329999999999998</v>
      </c>
      <c r="T1048">
        <v>5.37</v>
      </c>
      <c r="U1048">
        <v>3.41</v>
      </c>
      <c r="V1048">
        <v>-46.06</v>
      </c>
      <c r="W1048">
        <v>-1699</v>
      </c>
      <c r="X1048">
        <v>17.920000000000002</v>
      </c>
      <c r="Y1048" t="s">
        <v>4583</v>
      </c>
      <c r="Z1048" t="s">
        <v>3735</v>
      </c>
      <c r="AA1048">
        <v>0.64</v>
      </c>
      <c r="AB1048">
        <v>295</v>
      </c>
      <c r="AC1048">
        <v>46</v>
      </c>
      <c r="AD1048">
        <v>2.2200000000000002</v>
      </c>
      <c r="AE1048" t="s">
        <v>4584</v>
      </c>
      <c r="AF1048" t="s">
        <v>3690</v>
      </c>
      <c r="AG1048" t="s">
        <v>811</v>
      </c>
      <c r="AH1048" t="s">
        <v>2679</v>
      </c>
      <c r="AI1048">
        <v>4.25</v>
      </c>
      <c r="AJ1048">
        <v>6.82</v>
      </c>
      <c r="AK1048">
        <v>5.14</v>
      </c>
      <c r="AL1048">
        <v>8.2200000000000006</v>
      </c>
    </row>
    <row r="1049" spans="1:38" x14ac:dyDescent="0.25">
      <c r="A1049">
        <v>1048</v>
      </c>
      <c r="B1049" t="str">
        <f xml:space="preserve"> "300073"</f>
        <v>300073</v>
      </c>
      <c r="C1049" t="s">
        <v>4585</v>
      </c>
      <c r="D1049">
        <v>32.229999999999997</v>
      </c>
      <c r="E1049">
        <v>-0.77</v>
      </c>
      <c r="F1049">
        <v>-0.25</v>
      </c>
      <c r="G1049" t="s">
        <v>2505</v>
      </c>
      <c r="H1049">
        <v>2445</v>
      </c>
      <c r="I1049">
        <v>32.22</v>
      </c>
      <c r="J1049">
        <v>32.229999999999997</v>
      </c>
      <c r="K1049">
        <v>-0.03</v>
      </c>
      <c r="L1049">
        <v>3.61</v>
      </c>
      <c r="M1049" t="s">
        <v>4560</v>
      </c>
      <c r="N1049">
        <v>40.71</v>
      </c>
      <c r="O1049" t="s">
        <v>859</v>
      </c>
      <c r="P1049">
        <v>32.97</v>
      </c>
      <c r="Q1049">
        <v>32.19</v>
      </c>
      <c r="R1049">
        <v>32.200000000000003</v>
      </c>
      <c r="S1049">
        <v>32.479999999999997</v>
      </c>
      <c r="T1049">
        <v>2.4</v>
      </c>
      <c r="U1049">
        <v>0.83</v>
      </c>
      <c r="V1049">
        <v>50.22</v>
      </c>
      <c r="W1049">
        <v>1139</v>
      </c>
      <c r="X1049">
        <v>32.549999999999997</v>
      </c>
      <c r="Y1049" t="s">
        <v>2511</v>
      </c>
      <c r="Z1049" t="s">
        <v>2219</v>
      </c>
      <c r="AA1049">
        <v>1.1200000000000001</v>
      </c>
      <c r="AB1049">
        <v>128</v>
      </c>
      <c r="AC1049">
        <v>113</v>
      </c>
      <c r="AD1049">
        <v>7.92</v>
      </c>
      <c r="AE1049" t="s">
        <v>1343</v>
      </c>
      <c r="AF1049" t="s">
        <v>3690</v>
      </c>
      <c r="AG1049" t="s">
        <v>977</v>
      </c>
      <c r="AH1049" t="s">
        <v>1037</v>
      </c>
      <c r="AI1049">
        <v>-1.1000000000000001</v>
      </c>
      <c r="AJ1049">
        <v>-0.59</v>
      </c>
      <c r="AK1049">
        <v>13.16</v>
      </c>
      <c r="AL1049">
        <v>25.29</v>
      </c>
    </row>
    <row r="1050" spans="1:38" x14ac:dyDescent="0.25">
      <c r="A1050">
        <v>1049</v>
      </c>
      <c r="B1050" t="str">
        <f xml:space="preserve"> "600851"</f>
        <v>600851</v>
      </c>
      <c r="C1050" t="s">
        <v>4586</v>
      </c>
      <c r="D1050">
        <v>9.77</v>
      </c>
      <c r="E1050">
        <v>0.21</v>
      </c>
      <c r="F1050">
        <v>0.02</v>
      </c>
      <c r="G1050" t="s">
        <v>1984</v>
      </c>
      <c r="H1050">
        <v>5</v>
      </c>
      <c r="I1050">
        <v>9.77</v>
      </c>
      <c r="J1050">
        <v>9.7799999999999994</v>
      </c>
      <c r="K1050">
        <v>-0.31</v>
      </c>
      <c r="L1050">
        <v>0.46</v>
      </c>
      <c r="M1050" t="s">
        <v>4587</v>
      </c>
      <c r="N1050">
        <v>96.05</v>
      </c>
      <c r="O1050" t="s">
        <v>392</v>
      </c>
      <c r="P1050">
        <v>9.84</v>
      </c>
      <c r="Q1050">
        <v>9.67</v>
      </c>
      <c r="R1050">
        <v>9.75</v>
      </c>
      <c r="S1050">
        <v>9.75</v>
      </c>
      <c r="T1050">
        <v>1.74</v>
      </c>
      <c r="U1050">
        <v>1.1000000000000001</v>
      </c>
      <c r="V1050">
        <v>-55.94</v>
      </c>
      <c r="W1050">
        <v>-1239</v>
      </c>
      <c r="X1050">
        <v>9.76</v>
      </c>
      <c r="Y1050" t="s">
        <v>530</v>
      </c>
      <c r="Z1050" t="s">
        <v>1504</v>
      </c>
      <c r="AA1050">
        <v>0.79</v>
      </c>
      <c r="AB1050">
        <v>206</v>
      </c>
      <c r="AC1050">
        <v>20</v>
      </c>
      <c r="AD1050">
        <v>2.92</v>
      </c>
      <c r="AE1050" t="s">
        <v>2071</v>
      </c>
      <c r="AF1050" t="s">
        <v>3690</v>
      </c>
      <c r="AG1050" t="s">
        <v>4206</v>
      </c>
      <c r="AH1050" t="s">
        <v>3479</v>
      </c>
      <c r="AI1050">
        <v>-0.2</v>
      </c>
      <c r="AJ1050">
        <v>7.01</v>
      </c>
      <c r="AK1050">
        <v>1.46</v>
      </c>
      <c r="AL1050">
        <v>2.52</v>
      </c>
    </row>
    <row r="1051" spans="1:38" x14ac:dyDescent="0.25">
      <c r="A1051">
        <v>1050</v>
      </c>
      <c r="B1051" t="str">
        <f xml:space="preserve"> "000036"</f>
        <v>000036</v>
      </c>
      <c r="C1051" t="s">
        <v>4588</v>
      </c>
      <c r="D1051">
        <v>10.33</v>
      </c>
      <c r="E1051">
        <v>0.88</v>
      </c>
      <c r="F1051">
        <v>0.09</v>
      </c>
      <c r="G1051" t="s">
        <v>1270</v>
      </c>
      <c r="H1051">
        <v>1449</v>
      </c>
      <c r="I1051">
        <v>10.32</v>
      </c>
      <c r="J1051">
        <v>10.33</v>
      </c>
      <c r="K1051">
        <v>-0.1</v>
      </c>
      <c r="L1051">
        <v>0.92</v>
      </c>
      <c r="M1051" t="s">
        <v>1120</v>
      </c>
      <c r="N1051">
        <v>5.61</v>
      </c>
      <c r="O1051" t="s">
        <v>244</v>
      </c>
      <c r="P1051">
        <v>10.34</v>
      </c>
      <c r="Q1051">
        <v>10.18</v>
      </c>
      <c r="R1051">
        <v>10.18</v>
      </c>
      <c r="S1051">
        <v>10.24</v>
      </c>
      <c r="T1051">
        <v>1.56</v>
      </c>
      <c r="U1051">
        <v>0.81</v>
      </c>
      <c r="V1051">
        <v>-25.9</v>
      </c>
      <c r="W1051">
        <v>-1825</v>
      </c>
      <c r="X1051">
        <v>10.27</v>
      </c>
      <c r="Y1051" t="s">
        <v>1730</v>
      </c>
      <c r="Z1051" t="s">
        <v>882</v>
      </c>
      <c r="AA1051">
        <v>1.03</v>
      </c>
      <c r="AB1051">
        <v>1966</v>
      </c>
      <c r="AC1051">
        <v>482</v>
      </c>
      <c r="AD1051">
        <v>3.15</v>
      </c>
      <c r="AE1051" t="s">
        <v>357</v>
      </c>
      <c r="AF1051" t="s">
        <v>3690</v>
      </c>
      <c r="AG1051" t="s">
        <v>2756</v>
      </c>
      <c r="AH1051" t="s">
        <v>171</v>
      </c>
      <c r="AI1051">
        <v>-1.62</v>
      </c>
      <c r="AJ1051">
        <v>2.89</v>
      </c>
      <c r="AK1051">
        <v>2.87</v>
      </c>
      <c r="AL1051">
        <v>6.65</v>
      </c>
    </row>
    <row r="1052" spans="1:38" x14ac:dyDescent="0.25">
      <c r="A1052">
        <v>1051</v>
      </c>
      <c r="B1052" t="str">
        <f xml:space="preserve"> "300032"</f>
        <v>300032</v>
      </c>
      <c r="C1052" t="s">
        <v>4589</v>
      </c>
      <c r="D1052">
        <v>14.68</v>
      </c>
      <c r="E1052">
        <v>-0.14000000000000001</v>
      </c>
      <c r="F1052">
        <v>-0.02</v>
      </c>
      <c r="G1052" t="s">
        <v>4590</v>
      </c>
      <c r="H1052">
        <v>117</v>
      </c>
      <c r="I1052">
        <v>14.68</v>
      </c>
      <c r="J1052">
        <v>14.69</v>
      </c>
      <c r="K1052">
        <v>7.0000000000000007E-2</v>
      </c>
      <c r="L1052">
        <v>0.2</v>
      </c>
      <c r="M1052" t="s">
        <v>4591</v>
      </c>
      <c r="N1052">
        <v>25.63</v>
      </c>
      <c r="O1052" t="s">
        <v>380</v>
      </c>
      <c r="P1052">
        <v>14.81</v>
      </c>
      <c r="Q1052">
        <v>14.61</v>
      </c>
      <c r="R1052">
        <v>14.7</v>
      </c>
      <c r="S1052">
        <v>14.7</v>
      </c>
      <c r="T1052">
        <v>1.36</v>
      </c>
      <c r="U1052">
        <v>0.66</v>
      </c>
      <c r="V1052">
        <v>-5.9</v>
      </c>
      <c r="W1052">
        <v>-35</v>
      </c>
      <c r="X1052">
        <v>14.71</v>
      </c>
      <c r="Y1052">
        <v>7804</v>
      </c>
      <c r="Z1052">
        <v>7303</v>
      </c>
      <c r="AA1052">
        <v>1.07</v>
      </c>
      <c r="AB1052">
        <v>55</v>
      </c>
      <c r="AC1052">
        <v>72</v>
      </c>
      <c r="AD1052">
        <v>2.5099999999999998</v>
      </c>
      <c r="AE1052" t="s">
        <v>2544</v>
      </c>
      <c r="AF1052" t="s">
        <v>3690</v>
      </c>
      <c r="AG1052" t="s">
        <v>4592</v>
      </c>
      <c r="AH1052" t="s">
        <v>173</v>
      </c>
      <c r="AI1052">
        <v>0.41</v>
      </c>
      <c r="AJ1052">
        <v>4.1100000000000003</v>
      </c>
      <c r="AK1052">
        <v>0.74</v>
      </c>
      <c r="AL1052">
        <v>1.74</v>
      </c>
    </row>
    <row r="1053" spans="1:38" x14ac:dyDescent="0.25">
      <c r="A1053">
        <v>1052</v>
      </c>
      <c r="B1053" t="str">
        <f xml:space="preserve"> "600227"</f>
        <v>600227</v>
      </c>
      <c r="C1053" t="s">
        <v>4593</v>
      </c>
      <c r="D1053">
        <v>6.79</v>
      </c>
      <c r="E1053">
        <v>-0.88</v>
      </c>
      <c r="F1053">
        <v>-0.06</v>
      </c>
      <c r="G1053" t="s">
        <v>2844</v>
      </c>
      <c r="H1053">
        <v>30</v>
      </c>
      <c r="I1053">
        <v>6.79</v>
      </c>
      <c r="J1053">
        <v>6.8</v>
      </c>
      <c r="K1053">
        <v>-0.15</v>
      </c>
      <c r="L1053">
        <v>0.69</v>
      </c>
      <c r="M1053" t="s">
        <v>4594</v>
      </c>
      <c r="N1053">
        <v>1973.5</v>
      </c>
      <c r="O1053" t="s">
        <v>667</v>
      </c>
      <c r="P1053">
        <v>6.9</v>
      </c>
      <c r="Q1053">
        <v>6.76</v>
      </c>
      <c r="R1053">
        <v>6.86</v>
      </c>
      <c r="S1053">
        <v>6.85</v>
      </c>
      <c r="T1053">
        <v>2.04</v>
      </c>
      <c r="U1053">
        <v>0.61</v>
      </c>
      <c r="V1053">
        <v>-0.33</v>
      </c>
      <c r="W1053">
        <v>-19</v>
      </c>
      <c r="X1053">
        <v>6.83</v>
      </c>
      <c r="Y1053" t="s">
        <v>2226</v>
      </c>
      <c r="Z1053" t="s">
        <v>1341</v>
      </c>
      <c r="AA1053">
        <v>1.59</v>
      </c>
      <c r="AB1053">
        <v>380</v>
      </c>
      <c r="AC1053">
        <v>234</v>
      </c>
      <c r="AD1053">
        <v>2.52</v>
      </c>
      <c r="AE1053" t="s">
        <v>1540</v>
      </c>
      <c r="AF1053" t="s">
        <v>3690</v>
      </c>
      <c r="AG1053" t="s">
        <v>3406</v>
      </c>
      <c r="AH1053" t="s">
        <v>4595</v>
      </c>
      <c r="AI1053">
        <v>0.89</v>
      </c>
      <c r="AJ1053">
        <v>2.2599999999999998</v>
      </c>
      <c r="AK1053">
        <v>4.09</v>
      </c>
      <c r="AL1053">
        <v>6.37</v>
      </c>
    </row>
    <row r="1054" spans="1:38" x14ac:dyDescent="0.25">
      <c r="A1054">
        <v>1053</v>
      </c>
      <c r="B1054" t="str">
        <f xml:space="preserve"> "000011"</f>
        <v>000011</v>
      </c>
      <c r="C1054" t="s">
        <v>4596</v>
      </c>
      <c r="D1054">
        <v>19.78</v>
      </c>
      <c r="E1054">
        <v>0.2</v>
      </c>
      <c r="F1054">
        <v>0.04</v>
      </c>
      <c r="G1054" t="s">
        <v>105</v>
      </c>
      <c r="H1054">
        <v>646</v>
      </c>
      <c r="I1054">
        <v>19.78</v>
      </c>
      <c r="J1054">
        <v>19.79</v>
      </c>
      <c r="K1054">
        <v>0</v>
      </c>
      <c r="L1054">
        <v>2.21</v>
      </c>
      <c r="M1054" t="s">
        <v>4597</v>
      </c>
      <c r="N1054">
        <v>16.18</v>
      </c>
      <c r="O1054" t="s">
        <v>244</v>
      </c>
      <c r="P1054">
        <v>19.899999999999999</v>
      </c>
      <c r="Q1054">
        <v>19.7</v>
      </c>
      <c r="R1054">
        <v>19.739999999999998</v>
      </c>
      <c r="S1054">
        <v>19.739999999999998</v>
      </c>
      <c r="T1054">
        <v>1.01</v>
      </c>
      <c r="U1054">
        <v>0.56000000000000005</v>
      </c>
      <c r="V1054">
        <v>14.38</v>
      </c>
      <c r="W1054">
        <v>253</v>
      </c>
      <c r="X1054">
        <v>19.79</v>
      </c>
      <c r="Y1054" t="s">
        <v>1724</v>
      </c>
      <c r="Z1054" t="s">
        <v>2252</v>
      </c>
      <c r="AA1054">
        <v>1.17</v>
      </c>
      <c r="AB1054">
        <v>176</v>
      </c>
      <c r="AC1054">
        <v>104</v>
      </c>
      <c r="AD1054">
        <v>4.42</v>
      </c>
      <c r="AE1054" t="s">
        <v>3235</v>
      </c>
      <c r="AF1054" t="s">
        <v>3690</v>
      </c>
      <c r="AG1054" t="s">
        <v>2861</v>
      </c>
      <c r="AH1054" t="s">
        <v>3829</v>
      </c>
      <c r="AI1054">
        <v>-0.45</v>
      </c>
      <c r="AJ1054">
        <v>3.4</v>
      </c>
      <c r="AK1054">
        <v>11.83</v>
      </c>
      <c r="AL1054">
        <v>21.98</v>
      </c>
    </row>
    <row r="1055" spans="1:38" x14ac:dyDescent="0.25">
      <c r="A1055">
        <v>1054</v>
      </c>
      <c r="B1055" t="str">
        <f xml:space="preserve"> "601369"</f>
        <v>601369</v>
      </c>
      <c r="C1055" t="s">
        <v>4598</v>
      </c>
      <c r="D1055">
        <v>7.18</v>
      </c>
      <c r="E1055">
        <v>0</v>
      </c>
      <c r="F1055">
        <v>0</v>
      </c>
      <c r="G1055" t="s">
        <v>344</v>
      </c>
      <c r="H1055">
        <v>38</v>
      </c>
      <c r="I1055">
        <v>7.18</v>
      </c>
      <c r="J1055">
        <v>7.19</v>
      </c>
      <c r="K1055">
        <v>0.42</v>
      </c>
      <c r="L1055">
        <v>0.35</v>
      </c>
      <c r="M1055" t="s">
        <v>4599</v>
      </c>
      <c r="N1055">
        <v>44.69</v>
      </c>
      <c r="O1055" t="s">
        <v>648</v>
      </c>
      <c r="P1055">
        <v>7.23</v>
      </c>
      <c r="Q1055">
        <v>7.13</v>
      </c>
      <c r="R1055">
        <v>7.17</v>
      </c>
      <c r="S1055">
        <v>7.18</v>
      </c>
      <c r="T1055">
        <v>1.39</v>
      </c>
      <c r="U1055">
        <v>1.21</v>
      </c>
      <c r="V1055">
        <v>-37.119999999999997</v>
      </c>
      <c r="W1055">
        <v>-1692</v>
      </c>
      <c r="X1055">
        <v>7.17</v>
      </c>
      <c r="Y1055" t="s">
        <v>2755</v>
      </c>
      <c r="Z1055" t="s">
        <v>623</v>
      </c>
      <c r="AA1055">
        <v>1.1100000000000001</v>
      </c>
      <c r="AB1055">
        <v>336</v>
      </c>
      <c r="AC1055">
        <v>279</v>
      </c>
      <c r="AD1055">
        <v>1.97</v>
      </c>
      <c r="AE1055" t="s">
        <v>1778</v>
      </c>
      <c r="AF1055" t="s">
        <v>3690</v>
      </c>
      <c r="AG1055" t="s">
        <v>1778</v>
      </c>
      <c r="AH1055" t="s">
        <v>3690</v>
      </c>
      <c r="AI1055">
        <v>-0.14000000000000001</v>
      </c>
      <c r="AJ1055">
        <v>3.16</v>
      </c>
      <c r="AK1055">
        <v>0.86</v>
      </c>
      <c r="AL1055">
        <v>1.77</v>
      </c>
    </row>
    <row r="1056" spans="1:38" x14ac:dyDescent="0.25">
      <c r="A1056">
        <v>1055</v>
      </c>
      <c r="B1056" t="str">
        <f xml:space="preserve"> "002343"</f>
        <v>002343</v>
      </c>
      <c r="C1056" t="s">
        <v>4600</v>
      </c>
      <c r="D1056">
        <v>37.4</v>
      </c>
      <c r="E1056">
        <v>1.8</v>
      </c>
      <c r="F1056">
        <v>0.66</v>
      </c>
      <c r="G1056" t="s">
        <v>113</v>
      </c>
      <c r="H1056">
        <v>36</v>
      </c>
      <c r="I1056">
        <v>37.32</v>
      </c>
      <c r="J1056">
        <v>37.4</v>
      </c>
      <c r="K1056">
        <v>0.21</v>
      </c>
      <c r="L1056">
        <v>0.92</v>
      </c>
      <c r="M1056" t="s">
        <v>4601</v>
      </c>
      <c r="N1056">
        <v>77.2</v>
      </c>
      <c r="O1056" t="s">
        <v>1126</v>
      </c>
      <c r="P1056">
        <v>37.6</v>
      </c>
      <c r="Q1056">
        <v>36.5</v>
      </c>
      <c r="R1056">
        <v>36.5</v>
      </c>
      <c r="S1056">
        <v>36.74</v>
      </c>
      <c r="T1056">
        <v>2.99</v>
      </c>
      <c r="U1056">
        <v>1.05</v>
      </c>
      <c r="V1056">
        <v>21.9</v>
      </c>
      <c r="W1056">
        <v>23</v>
      </c>
      <c r="X1056">
        <v>37.25</v>
      </c>
      <c r="Y1056">
        <v>5049</v>
      </c>
      <c r="Z1056" t="s">
        <v>3590</v>
      </c>
      <c r="AA1056">
        <v>0.31</v>
      </c>
      <c r="AB1056">
        <v>23</v>
      </c>
      <c r="AC1056">
        <v>22</v>
      </c>
      <c r="AD1056">
        <v>8.6300000000000008</v>
      </c>
      <c r="AE1056" t="s">
        <v>4602</v>
      </c>
      <c r="AF1056" t="s">
        <v>3690</v>
      </c>
      <c r="AG1056" t="s">
        <v>1354</v>
      </c>
      <c r="AH1056" t="s">
        <v>4603</v>
      </c>
      <c r="AI1056">
        <v>-1.55</v>
      </c>
      <c r="AJ1056">
        <v>0.48</v>
      </c>
      <c r="AK1056">
        <v>2.71</v>
      </c>
      <c r="AL1056">
        <v>5.3</v>
      </c>
    </row>
    <row r="1057" spans="1:38" x14ac:dyDescent="0.25">
      <c r="A1057">
        <v>1056</v>
      </c>
      <c r="B1057" t="str">
        <f xml:space="preserve"> "600293"</f>
        <v>600293</v>
      </c>
      <c r="C1057" t="s">
        <v>4604</v>
      </c>
      <c r="D1057">
        <v>10.1</v>
      </c>
      <c r="E1057">
        <v>-0.1</v>
      </c>
      <c r="F1057">
        <v>-0.01</v>
      </c>
      <c r="G1057" t="s">
        <v>2836</v>
      </c>
      <c r="H1057">
        <v>3</v>
      </c>
      <c r="I1057">
        <v>10.09</v>
      </c>
      <c r="J1057">
        <v>10.1</v>
      </c>
      <c r="K1057">
        <v>0</v>
      </c>
      <c r="L1057">
        <v>1.08</v>
      </c>
      <c r="M1057" t="s">
        <v>4605</v>
      </c>
      <c r="N1057">
        <v>32.28</v>
      </c>
      <c r="O1057" t="s">
        <v>1058</v>
      </c>
      <c r="P1057">
        <v>10.14</v>
      </c>
      <c r="Q1057">
        <v>10.029999999999999</v>
      </c>
      <c r="R1057">
        <v>10.119999999999999</v>
      </c>
      <c r="S1057">
        <v>10.11</v>
      </c>
      <c r="T1057">
        <v>1.0900000000000001</v>
      </c>
      <c r="U1057">
        <v>0.63</v>
      </c>
      <c r="V1057">
        <v>-23.55</v>
      </c>
      <c r="W1057">
        <v>-1610</v>
      </c>
      <c r="X1057">
        <v>10.07</v>
      </c>
      <c r="Y1057" t="s">
        <v>3987</v>
      </c>
      <c r="Z1057" t="s">
        <v>2485</v>
      </c>
      <c r="AA1057">
        <v>1.1000000000000001</v>
      </c>
      <c r="AB1057">
        <v>171</v>
      </c>
      <c r="AC1057">
        <v>421</v>
      </c>
      <c r="AD1057">
        <v>3.32</v>
      </c>
      <c r="AE1057" t="s">
        <v>1572</v>
      </c>
      <c r="AF1057" t="s">
        <v>171</v>
      </c>
      <c r="AG1057" t="s">
        <v>3391</v>
      </c>
      <c r="AH1057" t="s">
        <v>625</v>
      </c>
      <c r="AI1057">
        <v>-0.39</v>
      </c>
      <c r="AJ1057">
        <v>3.27</v>
      </c>
      <c r="AK1057">
        <v>4.0999999999999996</v>
      </c>
      <c r="AL1057">
        <v>9.67</v>
      </c>
    </row>
    <row r="1058" spans="1:38" x14ac:dyDescent="0.25">
      <c r="A1058">
        <v>1057</v>
      </c>
      <c r="B1058" t="str">
        <f xml:space="preserve"> "002047"</f>
        <v>002047</v>
      </c>
      <c r="C1058" t="s">
        <v>4606</v>
      </c>
      <c r="D1058">
        <v>9.2799999999999994</v>
      </c>
      <c r="E1058">
        <v>1.42</v>
      </c>
      <c r="F1058">
        <v>0.13</v>
      </c>
      <c r="G1058" t="s">
        <v>2505</v>
      </c>
      <c r="H1058">
        <v>3606</v>
      </c>
      <c r="I1058">
        <v>9.2799999999999994</v>
      </c>
      <c r="J1058">
        <v>9.2899999999999991</v>
      </c>
      <c r="K1058">
        <v>0</v>
      </c>
      <c r="L1058">
        <v>0.95</v>
      </c>
      <c r="M1058" t="s">
        <v>679</v>
      </c>
      <c r="N1058">
        <v>30.59</v>
      </c>
      <c r="O1058" t="s">
        <v>2309</v>
      </c>
      <c r="P1058">
        <v>9.2799999999999994</v>
      </c>
      <c r="Q1058">
        <v>9.0500000000000007</v>
      </c>
      <c r="R1058">
        <v>9.08</v>
      </c>
      <c r="S1058">
        <v>9.15</v>
      </c>
      <c r="T1058">
        <v>2.5099999999999998</v>
      </c>
      <c r="U1058">
        <v>0.78</v>
      </c>
      <c r="V1058">
        <v>-50.05</v>
      </c>
      <c r="W1058">
        <v>-2740</v>
      </c>
      <c r="X1058">
        <v>9.19</v>
      </c>
      <c r="Y1058" t="s">
        <v>1253</v>
      </c>
      <c r="Z1058" t="s">
        <v>4607</v>
      </c>
      <c r="AA1058">
        <v>0.73</v>
      </c>
      <c r="AB1058">
        <v>493</v>
      </c>
      <c r="AC1058">
        <v>1318</v>
      </c>
      <c r="AD1058">
        <v>4.0999999999999996</v>
      </c>
      <c r="AE1058" t="s">
        <v>126</v>
      </c>
      <c r="AF1058" t="s">
        <v>171</v>
      </c>
      <c r="AG1058" t="s">
        <v>126</v>
      </c>
      <c r="AH1058" t="s">
        <v>171</v>
      </c>
      <c r="AI1058">
        <v>-1.38</v>
      </c>
      <c r="AJ1058">
        <v>1.75</v>
      </c>
      <c r="AK1058">
        <v>3.43</v>
      </c>
      <c r="AL1058">
        <v>7.05</v>
      </c>
    </row>
    <row r="1059" spans="1:38" x14ac:dyDescent="0.25">
      <c r="A1059">
        <v>1058</v>
      </c>
      <c r="B1059" t="str">
        <f xml:space="preserve"> "002617"</f>
        <v>002617</v>
      </c>
      <c r="C1059" t="s">
        <v>4608</v>
      </c>
      <c r="D1059">
        <v>15.95</v>
      </c>
      <c r="E1059">
        <v>3.57</v>
      </c>
      <c r="F1059">
        <v>0.55000000000000004</v>
      </c>
      <c r="G1059" t="s">
        <v>912</v>
      </c>
      <c r="H1059">
        <v>3144</v>
      </c>
      <c r="I1059">
        <v>15.95</v>
      </c>
      <c r="J1059">
        <v>15.96</v>
      </c>
      <c r="K1059">
        <v>0.06</v>
      </c>
      <c r="L1059">
        <v>1.53</v>
      </c>
      <c r="M1059" t="s">
        <v>989</v>
      </c>
      <c r="N1059">
        <v>36.61</v>
      </c>
      <c r="O1059" t="s">
        <v>1229</v>
      </c>
      <c r="P1059">
        <v>15.96</v>
      </c>
      <c r="Q1059">
        <v>15.4</v>
      </c>
      <c r="R1059">
        <v>15.45</v>
      </c>
      <c r="S1059">
        <v>15.4</v>
      </c>
      <c r="T1059">
        <v>3.64</v>
      </c>
      <c r="U1059">
        <v>3.35</v>
      </c>
      <c r="V1059">
        <v>-47.66</v>
      </c>
      <c r="W1059">
        <v>-3383</v>
      </c>
      <c r="X1059">
        <v>15.8</v>
      </c>
      <c r="Y1059" t="s">
        <v>4583</v>
      </c>
      <c r="Z1059" t="s">
        <v>197</v>
      </c>
      <c r="AA1059">
        <v>0.73</v>
      </c>
      <c r="AB1059">
        <v>60</v>
      </c>
      <c r="AC1059">
        <v>494</v>
      </c>
      <c r="AD1059">
        <v>4.87</v>
      </c>
      <c r="AE1059" t="s">
        <v>4609</v>
      </c>
      <c r="AF1059" t="s">
        <v>171</v>
      </c>
      <c r="AG1059" t="s">
        <v>1177</v>
      </c>
      <c r="AH1059" t="s">
        <v>1982</v>
      </c>
      <c r="AI1059">
        <v>2.9</v>
      </c>
      <c r="AJ1059">
        <v>3.91</v>
      </c>
      <c r="AK1059">
        <v>2.33</v>
      </c>
      <c r="AL1059">
        <v>3.82</v>
      </c>
    </row>
    <row r="1060" spans="1:38" x14ac:dyDescent="0.25">
      <c r="A1060">
        <v>1059</v>
      </c>
      <c r="B1060" t="str">
        <f xml:space="preserve"> "000926"</f>
        <v>000926</v>
      </c>
      <c r="C1060" t="s">
        <v>4610</v>
      </c>
      <c r="D1060">
        <v>12.34</v>
      </c>
      <c r="E1060">
        <v>-0.32</v>
      </c>
      <c r="F1060">
        <v>-0.04</v>
      </c>
      <c r="G1060" t="s">
        <v>1571</v>
      </c>
      <c r="H1060">
        <v>1091</v>
      </c>
      <c r="I1060">
        <v>12.34</v>
      </c>
      <c r="J1060">
        <v>12.35</v>
      </c>
      <c r="K1060">
        <v>-0.08</v>
      </c>
      <c r="L1060">
        <v>0.36</v>
      </c>
      <c r="M1060" t="s">
        <v>4611</v>
      </c>
      <c r="N1060">
        <v>12.66</v>
      </c>
      <c r="O1060" t="s">
        <v>244</v>
      </c>
      <c r="P1060">
        <v>12.39</v>
      </c>
      <c r="Q1060">
        <v>12.31</v>
      </c>
      <c r="R1060">
        <v>12.38</v>
      </c>
      <c r="S1060">
        <v>12.38</v>
      </c>
      <c r="T1060">
        <v>0.65</v>
      </c>
      <c r="U1060">
        <v>0.53</v>
      </c>
      <c r="V1060">
        <v>39.67</v>
      </c>
      <c r="W1060">
        <v>2170</v>
      </c>
      <c r="X1060">
        <v>12.35</v>
      </c>
      <c r="Y1060" t="s">
        <v>1724</v>
      </c>
      <c r="Z1060" t="s">
        <v>1799</v>
      </c>
      <c r="AA1060">
        <v>1.65</v>
      </c>
      <c r="AB1060">
        <v>250</v>
      </c>
      <c r="AC1060">
        <v>3</v>
      </c>
      <c r="AD1060">
        <v>1.21</v>
      </c>
      <c r="AE1060" t="s">
        <v>40</v>
      </c>
      <c r="AF1060" t="s">
        <v>171</v>
      </c>
      <c r="AG1060" t="s">
        <v>3979</v>
      </c>
      <c r="AH1060" t="s">
        <v>171</v>
      </c>
      <c r="AI1060">
        <v>-0.8</v>
      </c>
      <c r="AJ1060">
        <v>0.08</v>
      </c>
      <c r="AK1060">
        <v>1.43</v>
      </c>
      <c r="AL1060">
        <v>3.73</v>
      </c>
    </row>
    <row r="1061" spans="1:38" x14ac:dyDescent="0.25">
      <c r="A1061">
        <v>1060</v>
      </c>
      <c r="B1061" t="str">
        <f xml:space="preserve"> "600602"</f>
        <v>600602</v>
      </c>
      <c r="C1061" t="s">
        <v>4612</v>
      </c>
      <c r="D1061">
        <v>8.56</v>
      </c>
      <c r="E1061">
        <v>-1.04</v>
      </c>
      <c r="F1061">
        <v>-0.09</v>
      </c>
      <c r="G1061" t="s">
        <v>4613</v>
      </c>
      <c r="H1061">
        <v>1</v>
      </c>
      <c r="I1061">
        <v>8.56</v>
      </c>
      <c r="J1061">
        <v>8.57</v>
      </c>
      <c r="K1061">
        <v>-0.12</v>
      </c>
      <c r="L1061">
        <v>0.89</v>
      </c>
      <c r="M1061" t="s">
        <v>4614</v>
      </c>
      <c r="N1061">
        <v>44.86</v>
      </c>
      <c r="O1061" t="s">
        <v>553</v>
      </c>
      <c r="P1061">
        <v>8.64</v>
      </c>
      <c r="Q1061">
        <v>8.48</v>
      </c>
      <c r="R1061">
        <v>8.6300000000000008</v>
      </c>
      <c r="S1061">
        <v>8.65</v>
      </c>
      <c r="T1061">
        <v>1.85</v>
      </c>
      <c r="U1061">
        <v>0.57999999999999996</v>
      </c>
      <c r="V1061">
        <v>-42.93</v>
      </c>
      <c r="W1061">
        <v>-1223</v>
      </c>
      <c r="X1061">
        <v>8.5399999999999991</v>
      </c>
      <c r="Y1061" t="s">
        <v>4164</v>
      </c>
      <c r="Z1061" t="s">
        <v>1705</v>
      </c>
      <c r="AA1061">
        <v>1.89</v>
      </c>
      <c r="AB1061">
        <v>71</v>
      </c>
      <c r="AC1061">
        <v>209</v>
      </c>
      <c r="AD1061">
        <v>3.01</v>
      </c>
      <c r="AE1061" t="s">
        <v>1566</v>
      </c>
      <c r="AF1061" t="s">
        <v>171</v>
      </c>
      <c r="AG1061" t="s">
        <v>2969</v>
      </c>
      <c r="AH1061" t="s">
        <v>4615</v>
      </c>
      <c r="AI1061">
        <v>-0.35</v>
      </c>
      <c r="AJ1061">
        <v>5.68</v>
      </c>
      <c r="AK1061">
        <v>4.01</v>
      </c>
      <c r="AL1061">
        <v>8.57</v>
      </c>
    </row>
    <row r="1062" spans="1:38" x14ac:dyDescent="0.25">
      <c r="A1062">
        <v>1061</v>
      </c>
      <c r="B1062" t="str">
        <f xml:space="preserve"> "600569"</f>
        <v>600569</v>
      </c>
      <c r="C1062" t="s">
        <v>4616</v>
      </c>
      <c r="D1062">
        <v>4.8899999999999997</v>
      </c>
      <c r="E1062">
        <v>-2.2000000000000002</v>
      </c>
      <c r="F1062">
        <v>-0.11</v>
      </c>
      <c r="G1062" t="s">
        <v>4617</v>
      </c>
      <c r="H1062">
        <v>1536</v>
      </c>
      <c r="I1062">
        <v>4.88</v>
      </c>
      <c r="J1062">
        <v>4.8899999999999997</v>
      </c>
      <c r="K1062">
        <v>-0.2</v>
      </c>
      <c r="L1062">
        <v>2.89</v>
      </c>
      <c r="M1062" t="s">
        <v>2603</v>
      </c>
      <c r="N1062">
        <v>210.8</v>
      </c>
      <c r="O1062" t="s">
        <v>416</v>
      </c>
      <c r="P1062">
        <v>4.99</v>
      </c>
      <c r="Q1062">
        <v>4.8499999999999996</v>
      </c>
      <c r="R1062">
        <v>4.96</v>
      </c>
      <c r="S1062">
        <v>5</v>
      </c>
      <c r="T1062">
        <v>2.8</v>
      </c>
      <c r="U1062">
        <v>0.62</v>
      </c>
      <c r="V1062">
        <v>-14.27</v>
      </c>
      <c r="W1062">
        <v>-4931</v>
      </c>
      <c r="X1062">
        <v>4.9000000000000004</v>
      </c>
      <c r="Y1062" t="s">
        <v>3676</v>
      </c>
      <c r="Z1062" t="s">
        <v>763</v>
      </c>
      <c r="AA1062">
        <v>1.33</v>
      </c>
      <c r="AB1062">
        <v>4092</v>
      </c>
      <c r="AC1062">
        <v>960</v>
      </c>
      <c r="AD1062">
        <v>2.4</v>
      </c>
      <c r="AE1062" t="s">
        <v>1184</v>
      </c>
      <c r="AF1062" t="s">
        <v>171</v>
      </c>
      <c r="AG1062" t="s">
        <v>1184</v>
      </c>
      <c r="AH1062" t="s">
        <v>171</v>
      </c>
      <c r="AI1062">
        <v>-0.41</v>
      </c>
      <c r="AJ1062">
        <v>-8.08</v>
      </c>
      <c r="AK1062">
        <v>10.33</v>
      </c>
      <c r="AL1062">
        <v>26.1</v>
      </c>
    </row>
    <row r="1063" spans="1:38" x14ac:dyDescent="0.25">
      <c r="A1063">
        <v>1062</v>
      </c>
      <c r="B1063" t="str">
        <f xml:space="preserve"> "600581"</f>
        <v>600581</v>
      </c>
      <c r="C1063" t="s">
        <v>4618</v>
      </c>
      <c r="D1063">
        <v>15.27</v>
      </c>
      <c r="E1063">
        <v>-5.21</v>
      </c>
      <c r="F1063">
        <v>-0.84</v>
      </c>
      <c r="G1063" t="s">
        <v>4619</v>
      </c>
      <c r="H1063">
        <v>353</v>
      </c>
      <c r="I1063">
        <v>15.24</v>
      </c>
      <c r="J1063">
        <v>15.25</v>
      </c>
      <c r="K1063">
        <v>-0.52</v>
      </c>
      <c r="L1063">
        <v>7.45</v>
      </c>
      <c r="M1063" t="s">
        <v>4620</v>
      </c>
      <c r="N1063">
        <v>14.58</v>
      </c>
      <c r="O1063" t="s">
        <v>416</v>
      </c>
      <c r="P1063">
        <v>16.16</v>
      </c>
      <c r="Q1063">
        <v>15.21</v>
      </c>
      <c r="R1063">
        <v>16.14</v>
      </c>
      <c r="S1063">
        <v>16.11</v>
      </c>
      <c r="T1063">
        <v>5.9</v>
      </c>
      <c r="U1063">
        <v>0.85</v>
      </c>
      <c r="V1063">
        <v>62.98</v>
      </c>
      <c r="W1063">
        <v>3494</v>
      </c>
      <c r="X1063">
        <v>15.56</v>
      </c>
      <c r="Y1063" t="s">
        <v>438</v>
      </c>
      <c r="Z1063" t="s">
        <v>4385</v>
      </c>
      <c r="AA1063">
        <v>1.31</v>
      </c>
      <c r="AB1063">
        <v>199</v>
      </c>
      <c r="AC1063">
        <v>352</v>
      </c>
      <c r="AD1063">
        <v>4.5</v>
      </c>
      <c r="AE1063" t="s">
        <v>4071</v>
      </c>
      <c r="AF1063" t="s">
        <v>171</v>
      </c>
      <c r="AG1063" t="s">
        <v>4071</v>
      </c>
      <c r="AH1063" t="s">
        <v>171</v>
      </c>
      <c r="AI1063">
        <v>1.94</v>
      </c>
      <c r="AJ1063">
        <v>16.21</v>
      </c>
      <c r="AK1063">
        <v>27.18</v>
      </c>
      <c r="AL1063">
        <v>43.1</v>
      </c>
    </row>
    <row r="1064" spans="1:38" x14ac:dyDescent="0.25">
      <c r="A1064">
        <v>1063</v>
      </c>
      <c r="B1064" t="str">
        <f xml:space="preserve"> "000802"</f>
        <v>000802</v>
      </c>
      <c r="C1064" t="s">
        <v>4621</v>
      </c>
      <c r="D1064">
        <v>16.13</v>
      </c>
      <c r="E1064">
        <v>-0.31</v>
      </c>
      <c r="F1064">
        <v>-0.05</v>
      </c>
      <c r="G1064" t="s">
        <v>1717</v>
      </c>
      <c r="H1064">
        <v>1182</v>
      </c>
      <c r="I1064">
        <v>16.13</v>
      </c>
      <c r="J1064">
        <v>16.14</v>
      </c>
      <c r="K1064">
        <v>0.06</v>
      </c>
      <c r="L1064">
        <v>1.55</v>
      </c>
      <c r="M1064" t="s">
        <v>4622</v>
      </c>
      <c r="N1064">
        <v>151.37</v>
      </c>
      <c r="O1064" t="s">
        <v>1126</v>
      </c>
      <c r="P1064">
        <v>16.27</v>
      </c>
      <c r="Q1064">
        <v>16.07</v>
      </c>
      <c r="R1064">
        <v>16.13</v>
      </c>
      <c r="S1064">
        <v>16.18</v>
      </c>
      <c r="T1064">
        <v>1.24</v>
      </c>
      <c r="U1064">
        <v>0.88</v>
      </c>
      <c r="V1064">
        <v>29.17</v>
      </c>
      <c r="W1064">
        <v>1356</v>
      </c>
      <c r="X1064">
        <v>16.149999999999999</v>
      </c>
      <c r="Y1064" t="s">
        <v>2391</v>
      </c>
      <c r="Z1064" t="s">
        <v>2614</v>
      </c>
      <c r="AA1064">
        <v>1.28</v>
      </c>
      <c r="AB1064">
        <v>719</v>
      </c>
      <c r="AC1064">
        <v>453</v>
      </c>
      <c r="AD1064">
        <v>2.66</v>
      </c>
      <c r="AE1064" t="s">
        <v>1619</v>
      </c>
      <c r="AF1064" t="s">
        <v>171</v>
      </c>
      <c r="AG1064" t="s">
        <v>3721</v>
      </c>
      <c r="AH1064" t="s">
        <v>4348</v>
      </c>
      <c r="AI1064">
        <v>-0.55000000000000004</v>
      </c>
      <c r="AJ1064">
        <v>3.2</v>
      </c>
      <c r="AK1064">
        <v>4.8499999999999996</v>
      </c>
      <c r="AL1064">
        <v>10.41</v>
      </c>
    </row>
    <row r="1065" spans="1:38" x14ac:dyDescent="0.25">
      <c r="A1065">
        <v>1064</v>
      </c>
      <c r="B1065" t="str">
        <f xml:space="preserve"> "600595"</f>
        <v>600595</v>
      </c>
      <c r="C1065" t="s">
        <v>4623</v>
      </c>
      <c r="D1065">
        <v>6.71</v>
      </c>
      <c r="E1065">
        <v>1.21</v>
      </c>
      <c r="F1065">
        <v>0.08</v>
      </c>
      <c r="G1065" t="s">
        <v>2055</v>
      </c>
      <c r="H1065">
        <v>1</v>
      </c>
      <c r="I1065">
        <v>6.7</v>
      </c>
      <c r="J1065">
        <v>6.71</v>
      </c>
      <c r="K1065">
        <v>0</v>
      </c>
      <c r="L1065">
        <v>0.98</v>
      </c>
      <c r="M1065" t="s">
        <v>485</v>
      </c>
      <c r="N1065">
        <v>90.43</v>
      </c>
      <c r="O1065" t="s">
        <v>449</v>
      </c>
      <c r="P1065">
        <v>6.77</v>
      </c>
      <c r="Q1065">
        <v>6.61</v>
      </c>
      <c r="R1065">
        <v>6.67</v>
      </c>
      <c r="S1065">
        <v>6.63</v>
      </c>
      <c r="T1065">
        <v>2.41</v>
      </c>
      <c r="U1065">
        <v>0.7</v>
      </c>
      <c r="V1065">
        <v>-9.2100000000000009</v>
      </c>
      <c r="W1065">
        <v>-1215</v>
      </c>
      <c r="X1065">
        <v>6.72</v>
      </c>
      <c r="Y1065" t="s">
        <v>2947</v>
      </c>
      <c r="Z1065" t="s">
        <v>2152</v>
      </c>
      <c r="AA1065">
        <v>0.78</v>
      </c>
      <c r="AB1065">
        <v>1186</v>
      </c>
      <c r="AC1065">
        <v>1061</v>
      </c>
      <c r="AD1065">
        <v>2.39</v>
      </c>
      <c r="AE1065" t="s">
        <v>1540</v>
      </c>
      <c r="AF1065" t="s">
        <v>171</v>
      </c>
      <c r="AG1065" t="s">
        <v>1540</v>
      </c>
      <c r="AH1065" t="s">
        <v>171</v>
      </c>
      <c r="AI1065">
        <v>-2.61</v>
      </c>
      <c r="AJ1065">
        <v>-5.09</v>
      </c>
      <c r="AK1065">
        <v>4.22</v>
      </c>
      <c r="AL1065">
        <v>7.98</v>
      </c>
    </row>
    <row r="1066" spans="1:38" x14ac:dyDescent="0.25">
      <c r="A1066">
        <v>1065</v>
      </c>
      <c r="B1066" t="str">
        <f xml:space="preserve"> "300527"</f>
        <v>300527</v>
      </c>
      <c r="C1066" t="s">
        <v>4624</v>
      </c>
      <c r="D1066">
        <v>24.01</v>
      </c>
      <c r="E1066">
        <v>-2.2000000000000002</v>
      </c>
      <c r="F1066">
        <v>-0.54</v>
      </c>
      <c r="G1066" t="s">
        <v>1971</v>
      </c>
      <c r="H1066">
        <v>1161</v>
      </c>
      <c r="I1066">
        <v>24</v>
      </c>
      <c r="J1066">
        <v>24.01</v>
      </c>
      <c r="K1066">
        <v>0</v>
      </c>
      <c r="L1066">
        <v>5.31</v>
      </c>
      <c r="M1066" t="s">
        <v>2267</v>
      </c>
      <c r="N1066">
        <v>57.55</v>
      </c>
      <c r="O1066" t="s">
        <v>2647</v>
      </c>
      <c r="P1066">
        <v>25.05</v>
      </c>
      <c r="Q1066">
        <v>23.84</v>
      </c>
      <c r="R1066">
        <v>25</v>
      </c>
      <c r="S1066">
        <v>24.55</v>
      </c>
      <c r="T1066">
        <v>4.93</v>
      </c>
      <c r="U1066">
        <v>0.54</v>
      </c>
      <c r="V1066">
        <v>54.77</v>
      </c>
      <c r="W1066">
        <v>1361</v>
      </c>
      <c r="X1066">
        <v>24.18</v>
      </c>
      <c r="Y1066" t="s">
        <v>2426</v>
      </c>
      <c r="Z1066" t="s">
        <v>2427</v>
      </c>
      <c r="AA1066">
        <v>1.38</v>
      </c>
      <c r="AB1066">
        <v>201</v>
      </c>
      <c r="AC1066">
        <v>103</v>
      </c>
      <c r="AD1066">
        <v>6.23</v>
      </c>
      <c r="AE1066" t="s">
        <v>1455</v>
      </c>
      <c r="AF1066" t="s">
        <v>171</v>
      </c>
      <c r="AG1066" t="s">
        <v>2327</v>
      </c>
      <c r="AH1066" t="s">
        <v>4625</v>
      </c>
      <c r="AI1066">
        <v>0.71</v>
      </c>
      <c r="AJ1066">
        <v>6.66</v>
      </c>
      <c r="AK1066">
        <v>20.79</v>
      </c>
      <c r="AL1066">
        <v>54.7</v>
      </c>
    </row>
    <row r="1067" spans="1:38" x14ac:dyDescent="0.25">
      <c r="A1067">
        <v>1066</v>
      </c>
      <c r="B1067" t="str">
        <f xml:space="preserve"> "000916"</f>
        <v>000916</v>
      </c>
      <c r="C1067" t="s">
        <v>4626</v>
      </c>
      <c r="D1067" t="s">
        <v>616</v>
      </c>
      <c r="E1067" t="s">
        <v>616</v>
      </c>
      <c r="F1067" t="s">
        <v>616</v>
      </c>
      <c r="G1067" t="s">
        <v>616</v>
      </c>
      <c r="H1067" t="s">
        <v>616</v>
      </c>
      <c r="I1067" t="s">
        <v>616</v>
      </c>
      <c r="J1067" t="s">
        <v>616</v>
      </c>
      <c r="K1067" t="s">
        <v>616</v>
      </c>
      <c r="L1067" t="s">
        <v>616</v>
      </c>
      <c r="M1067" t="s">
        <v>616</v>
      </c>
      <c r="N1067">
        <v>33.46</v>
      </c>
      <c r="O1067" t="s">
        <v>1348</v>
      </c>
      <c r="P1067" t="s">
        <v>616</v>
      </c>
      <c r="Q1067" t="s">
        <v>616</v>
      </c>
      <c r="R1067" t="s">
        <v>616</v>
      </c>
      <c r="S1067">
        <v>10.7</v>
      </c>
      <c r="T1067" t="s">
        <v>616</v>
      </c>
      <c r="U1067" t="s">
        <v>616</v>
      </c>
      <c r="V1067" t="s">
        <v>616</v>
      </c>
      <c r="W1067" t="s">
        <v>616</v>
      </c>
      <c r="X1067" t="s">
        <v>616</v>
      </c>
      <c r="Y1067" t="s">
        <v>616</v>
      </c>
      <c r="Z1067" t="s">
        <v>616</v>
      </c>
      <c r="AA1067" t="s">
        <v>616</v>
      </c>
      <c r="AB1067" t="s">
        <v>616</v>
      </c>
      <c r="AC1067" t="s">
        <v>616</v>
      </c>
      <c r="AD1067">
        <v>2.48</v>
      </c>
      <c r="AE1067" t="s">
        <v>888</v>
      </c>
      <c r="AF1067" t="s">
        <v>171</v>
      </c>
      <c r="AG1067" t="s">
        <v>888</v>
      </c>
      <c r="AH1067" t="s">
        <v>171</v>
      </c>
      <c r="AI1067">
        <v>-2.73</v>
      </c>
      <c r="AJ1067">
        <v>0</v>
      </c>
      <c r="AK1067">
        <v>4.67</v>
      </c>
      <c r="AL1067">
        <v>19.62</v>
      </c>
    </row>
    <row r="1068" spans="1:38" x14ac:dyDescent="0.25">
      <c r="A1068">
        <v>1067</v>
      </c>
      <c r="B1068" t="str">
        <f xml:space="preserve"> "300284"</f>
        <v>300284</v>
      </c>
      <c r="C1068" t="s">
        <v>4627</v>
      </c>
      <c r="D1068">
        <v>20.16</v>
      </c>
      <c r="E1068">
        <v>1.77</v>
      </c>
      <c r="F1068">
        <v>0.35</v>
      </c>
      <c r="G1068" t="s">
        <v>2279</v>
      </c>
      <c r="H1068">
        <v>1182</v>
      </c>
      <c r="I1068">
        <v>20.16</v>
      </c>
      <c r="J1068">
        <v>20.170000000000002</v>
      </c>
      <c r="K1068">
        <v>0.2</v>
      </c>
      <c r="L1068">
        <v>0.95</v>
      </c>
      <c r="M1068" t="s">
        <v>4628</v>
      </c>
      <c r="N1068">
        <v>38.46</v>
      </c>
      <c r="O1068" t="s">
        <v>263</v>
      </c>
      <c r="P1068">
        <v>20.23</v>
      </c>
      <c r="Q1068">
        <v>19.8</v>
      </c>
      <c r="R1068">
        <v>19.8</v>
      </c>
      <c r="S1068">
        <v>19.809999999999999</v>
      </c>
      <c r="T1068">
        <v>2.17</v>
      </c>
      <c r="U1068">
        <v>0.93</v>
      </c>
      <c r="V1068">
        <v>45.68</v>
      </c>
      <c r="W1068">
        <v>1598</v>
      </c>
      <c r="X1068">
        <v>20.04</v>
      </c>
      <c r="Y1068" t="s">
        <v>999</v>
      </c>
      <c r="Z1068" t="s">
        <v>3326</v>
      </c>
      <c r="AA1068">
        <v>0.77</v>
      </c>
      <c r="AB1068">
        <v>568</v>
      </c>
      <c r="AC1068">
        <v>115</v>
      </c>
      <c r="AD1068">
        <v>3.76</v>
      </c>
      <c r="AE1068" t="s">
        <v>1747</v>
      </c>
      <c r="AF1068" t="s">
        <v>171</v>
      </c>
      <c r="AG1068" t="s">
        <v>3724</v>
      </c>
      <c r="AH1068" t="s">
        <v>4629</v>
      </c>
      <c r="AI1068">
        <v>-0.25</v>
      </c>
      <c r="AJ1068">
        <v>2.96</v>
      </c>
      <c r="AK1068">
        <v>2.66</v>
      </c>
      <c r="AL1068">
        <v>6.04</v>
      </c>
    </row>
    <row r="1069" spans="1:38" x14ac:dyDescent="0.25">
      <c r="A1069">
        <v>1068</v>
      </c>
      <c r="B1069" t="str">
        <f xml:space="preserve"> "600323"</f>
        <v>600323</v>
      </c>
      <c r="C1069" t="s">
        <v>4630</v>
      </c>
      <c r="D1069">
        <v>15.2</v>
      </c>
      <c r="E1069">
        <v>3.05</v>
      </c>
      <c r="F1069">
        <v>0.45</v>
      </c>
      <c r="G1069" t="s">
        <v>206</v>
      </c>
      <c r="H1069">
        <v>1</v>
      </c>
      <c r="I1069">
        <v>15.18</v>
      </c>
      <c r="J1069">
        <v>15.19</v>
      </c>
      <c r="K1069">
        <v>0.13</v>
      </c>
      <c r="L1069">
        <v>2.75</v>
      </c>
      <c r="M1069" t="s">
        <v>2807</v>
      </c>
      <c r="N1069">
        <v>18.53</v>
      </c>
      <c r="O1069" t="s">
        <v>2085</v>
      </c>
      <c r="P1069">
        <v>15.27</v>
      </c>
      <c r="Q1069">
        <v>14.62</v>
      </c>
      <c r="R1069">
        <v>14.68</v>
      </c>
      <c r="S1069">
        <v>14.75</v>
      </c>
      <c r="T1069">
        <v>4.41</v>
      </c>
      <c r="U1069">
        <v>3.76</v>
      </c>
      <c r="V1069">
        <v>-90.93</v>
      </c>
      <c r="W1069">
        <v>-4229</v>
      </c>
      <c r="X1069">
        <v>15.07</v>
      </c>
      <c r="Y1069" t="s">
        <v>2752</v>
      </c>
      <c r="Z1069" t="s">
        <v>442</v>
      </c>
      <c r="AA1069">
        <v>0.5</v>
      </c>
      <c r="AB1069">
        <v>37</v>
      </c>
      <c r="AC1069">
        <v>108</v>
      </c>
      <c r="AD1069">
        <v>2.41</v>
      </c>
      <c r="AE1069" t="s">
        <v>4071</v>
      </c>
      <c r="AF1069" t="s">
        <v>1513</v>
      </c>
      <c r="AG1069" t="s">
        <v>3564</v>
      </c>
      <c r="AH1069" t="s">
        <v>2190</v>
      </c>
      <c r="AI1069">
        <v>2.63</v>
      </c>
      <c r="AJ1069">
        <v>6.15</v>
      </c>
      <c r="AK1069">
        <v>4.25</v>
      </c>
      <c r="AL1069">
        <v>6.4</v>
      </c>
    </row>
    <row r="1070" spans="1:38" x14ac:dyDescent="0.25">
      <c r="A1070">
        <v>1069</v>
      </c>
      <c r="B1070" t="str">
        <f xml:space="preserve"> "002314"</f>
        <v>002314</v>
      </c>
      <c r="C1070" t="s">
        <v>4631</v>
      </c>
      <c r="D1070">
        <v>6.2</v>
      </c>
      <c r="E1070">
        <v>0.49</v>
      </c>
      <c r="F1070">
        <v>0.03</v>
      </c>
      <c r="G1070" t="s">
        <v>623</v>
      </c>
      <c r="H1070">
        <v>240</v>
      </c>
      <c r="I1070">
        <v>6.2</v>
      </c>
      <c r="J1070">
        <v>6.21</v>
      </c>
      <c r="K1070">
        <v>0</v>
      </c>
      <c r="L1070">
        <v>0.36</v>
      </c>
      <c r="M1070" t="s">
        <v>4632</v>
      </c>
      <c r="N1070">
        <v>42.47</v>
      </c>
      <c r="O1070" t="s">
        <v>244</v>
      </c>
      <c r="P1070">
        <v>6.21</v>
      </c>
      <c r="Q1070">
        <v>6.16</v>
      </c>
      <c r="R1070">
        <v>6.16</v>
      </c>
      <c r="S1070">
        <v>6.17</v>
      </c>
      <c r="T1070">
        <v>0.81</v>
      </c>
      <c r="U1070">
        <v>0.62</v>
      </c>
      <c r="V1070">
        <v>-28.84</v>
      </c>
      <c r="W1070">
        <v>-3285</v>
      </c>
      <c r="X1070">
        <v>6.19</v>
      </c>
      <c r="Y1070">
        <v>9760</v>
      </c>
      <c r="Z1070" t="s">
        <v>1950</v>
      </c>
      <c r="AA1070">
        <v>0.56999999999999995</v>
      </c>
      <c r="AB1070">
        <v>32</v>
      </c>
      <c r="AC1070">
        <v>2071</v>
      </c>
      <c r="AD1070">
        <v>2.33</v>
      </c>
      <c r="AE1070" t="s">
        <v>4029</v>
      </c>
      <c r="AF1070" t="s">
        <v>1513</v>
      </c>
      <c r="AG1070" t="s">
        <v>4206</v>
      </c>
      <c r="AH1070" t="s">
        <v>4633</v>
      </c>
      <c r="AI1070">
        <v>-0.16</v>
      </c>
      <c r="AJ1070">
        <v>1.47</v>
      </c>
      <c r="AK1070">
        <v>1.56</v>
      </c>
      <c r="AL1070">
        <v>3.3</v>
      </c>
    </row>
    <row r="1071" spans="1:38" x14ac:dyDescent="0.25">
      <c r="A1071">
        <v>1070</v>
      </c>
      <c r="B1071" t="str">
        <f xml:space="preserve"> "002276"</f>
        <v>002276</v>
      </c>
      <c r="C1071" t="s">
        <v>4634</v>
      </c>
      <c r="D1071">
        <v>11.24</v>
      </c>
      <c r="E1071">
        <v>0.09</v>
      </c>
      <c r="F1071">
        <v>0.01</v>
      </c>
      <c r="G1071" t="s">
        <v>4635</v>
      </c>
      <c r="H1071">
        <v>1399</v>
      </c>
      <c r="I1071">
        <v>11.24</v>
      </c>
      <c r="J1071">
        <v>11.25</v>
      </c>
      <c r="K1071">
        <v>0</v>
      </c>
      <c r="L1071">
        <v>0.96</v>
      </c>
      <c r="M1071" t="s">
        <v>1442</v>
      </c>
      <c r="N1071">
        <v>101.76</v>
      </c>
      <c r="O1071" t="s">
        <v>680</v>
      </c>
      <c r="P1071">
        <v>11.32</v>
      </c>
      <c r="Q1071">
        <v>11.14</v>
      </c>
      <c r="R1071">
        <v>11.14</v>
      </c>
      <c r="S1071">
        <v>11.23</v>
      </c>
      <c r="T1071">
        <v>1.6</v>
      </c>
      <c r="U1071">
        <v>0.57999999999999996</v>
      </c>
      <c r="V1071">
        <v>-21.53</v>
      </c>
      <c r="W1071">
        <v>-1525</v>
      </c>
      <c r="X1071">
        <v>11.23</v>
      </c>
      <c r="Y1071" t="s">
        <v>4096</v>
      </c>
      <c r="Z1071" t="s">
        <v>1445</v>
      </c>
      <c r="AA1071">
        <v>1.23</v>
      </c>
      <c r="AB1071">
        <v>560</v>
      </c>
      <c r="AC1071">
        <v>2773</v>
      </c>
      <c r="AD1071">
        <v>3</v>
      </c>
      <c r="AE1071" t="s">
        <v>755</v>
      </c>
      <c r="AF1071" t="s">
        <v>1513</v>
      </c>
      <c r="AG1071" t="s">
        <v>4264</v>
      </c>
      <c r="AH1071" t="s">
        <v>702</v>
      </c>
      <c r="AI1071">
        <v>-3.27</v>
      </c>
      <c r="AJ1071">
        <v>-1.92</v>
      </c>
      <c r="AK1071">
        <v>3.93</v>
      </c>
      <c r="AL1071">
        <v>9.1999999999999993</v>
      </c>
    </row>
    <row r="1072" spans="1:38" x14ac:dyDescent="0.25">
      <c r="A1072">
        <v>1071</v>
      </c>
      <c r="B1072" t="str">
        <f xml:space="preserve"> "000030"</f>
        <v>000030</v>
      </c>
      <c r="C1072" t="s">
        <v>4636</v>
      </c>
      <c r="D1072">
        <v>8.98</v>
      </c>
      <c r="E1072">
        <v>-0.22</v>
      </c>
      <c r="F1072">
        <v>-0.02</v>
      </c>
      <c r="G1072" t="s">
        <v>2714</v>
      </c>
      <c r="H1072">
        <v>992</v>
      </c>
      <c r="I1072">
        <v>8.9700000000000006</v>
      </c>
      <c r="J1072">
        <v>8.98</v>
      </c>
      <c r="K1072">
        <v>0</v>
      </c>
      <c r="L1072">
        <v>0.28000000000000003</v>
      </c>
      <c r="M1072" t="s">
        <v>4637</v>
      </c>
      <c r="N1072">
        <v>12.81</v>
      </c>
      <c r="O1072" t="s">
        <v>169</v>
      </c>
      <c r="P1072">
        <v>8.99</v>
      </c>
      <c r="Q1072">
        <v>8.92</v>
      </c>
      <c r="R1072">
        <v>8.99</v>
      </c>
      <c r="S1072">
        <v>9</v>
      </c>
      <c r="T1072">
        <v>0.78</v>
      </c>
      <c r="U1072">
        <v>0.65</v>
      </c>
      <c r="V1072">
        <v>-37.31</v>
      </c>
      <c r="W1072">
        <v>-2238</v>
      </c>
      <c r="X1072">
        <v>8.9600000000000009</v>
      </c>
      <c r="Y1072" t="s">
        <v>2255</v>
      </c>
      <c r="Z1072" t="s">
        <v>507</v>
      </c>
      <c r="AA1072">
        <v>0.81</v>
      </c>
      <c r="AB1072">
        <v>226</v>
      </c>
      <c r="AC1072">
        <v>139</v>
      </c>
      <c r="AD1072">
        <v>2.16</v>
      </c>
      <c r="AE1072" t="s">
        <v>2683</v>
      </c>
      <c r="AF1072" t="s">
        <v>1513</v>
      </c>
      <c r="AG1072" t="s">
        <v>2674</v>
      </c>
      <c r="AH1072" t="s">
        <v>2921</v>
      </c>
      <c r="AI1072">
        <v>-0.44</v>
      </c>
      <c r="AJ1072">
        <v>2.5099999999999998</v>
      </c>
      <c r="AK1072">
        <v>1.1299999999999999</v>
      </c>
      <c r="AL1072">
        <v>2.4500000000000002</v>
      </c>
    </row>
    <row r="1073" spans="1:38" x14ac:dyDescent="0.25">
      <c r="A1073">
        <v>1072</v>
      </c>
      <c r="B1073" t="str">
        <f xml:space="preserve"> "601100"</f>
        <v>601100</v>
      </c>
      <c r="C1073" t="s">
        <v>4638</v>
      </c>
      <c r="D1073">
        <v>18.43</v>
      </c>
      <c r="E1073">
        <v>2.85</v>
      </c>
      <c r="F1073">
        <v>0.51</v>
      </c>
      <c r="G1073" t="s">
        <v>3177</v>
      </c>
      <c r="H1073">
        <v>152</v>
      </c>
      <c r="I1073">
        <v>18.399999999999999</v>
      </c>
      <c r="J1073">
        <v>18.5</v>
      </c>
      <c r="K1073">
        <v>0.33</v>
      </c>
      <c r="L1073">
        <v>0.82</v>
      </c>
      <c r="M1073" t="s">
        <v>4639</v>
      </c>
      <c r="N1073">
        <v>35.909999999999997</v>
      </c>
      <c r="O1073" t="s">
        <v>648</v>
      </c>
      <c r="P1073">
        <v>18.5</v>
      </c>
      <c r="Q1073">
        <v>17.8</v>
      </c>
      <c r="R1073">
        <v>17.850000000000001</v>
      </c>
      <c r="S1073">
        <v>17.920000000000002</v>
      </c>
      <c r="T1073">
        <v>3.91</v>
      </c>
      <c r="U1073">
        <v>3.78</v>
      </c>
      <c r="V1073">
        <v>42.91</v>
      </c>
      <c r="W1073">
        <v>755</v>
      </c>
      <c r="X1073">
        <v>18.23</v>
      </c>
      <c r="Y1073" t="s">
        <v>3644</v>
      </c>
      <c r="Z1073" t="s">
        <v>432</v>
      </c>
      <c r="AA1073">
        <v>1.4</v>
      </c>
      <c r="AB1073">
        <v>862</v>
      </c>
      <c r="AC1073">
        <v>308</v>
      </c>
      <c r="AD1073">
        <v>3.2</v>
      </c>
      <c r="AE1073" t="s">
        <v>4640</v>
      </c>
      <c r="AF1073" t="s">
        <v>1513</v>
      </c>
      <c r="AG1073" t="s">
        <v>4640</v>
      </c>
      <c r="AH1073" t="s">
        <v>1513</v>
      </c>
      <c r="AI1073">
        <v>2.39</v>
      </c>
      <c r="AJ1073">
        <v>4.3</v>
      </c>
      <c r="AK1073">
        <v>1.24</v>
      </c>
      <c r="AL1073">
        <v>1.92</v>
      </c>
    </row>
    <row r="1074" spans="1:38" x14ac:dyDescent="0.25">
      <c r="A1074">
        <v>1073</v>
      </c>
      <c r="B1074" t="str">
        <f xml:space="preserve"> "002156"</f>
        <v>002156</v>
      </c>
      <c r="C1074" t="s">
        <v>4641</v>
      </c>
      <c r="D1074">
        <v>11.93</v>
      </c>
      <c r="E1074">
        <v>-0.08</v>
      </c>
      <c r="F1074">
        <v>-0.01</v>
      </c>
      <c r="G1074" t="s">
        <v>1916</v>
      </c>
      <c r="H1074">
        <v>3275</v>
      </c>
      <c r="I1074">
        <v>11.93</v>
      </c>
      <c r="J1074">
        <v>11.94</v>
      </c>
      <c r="K1074">
        <v>0.17</v>
      </c>
      <c r="L1074">
        <v>2.82</v>
      </c>
      <c r="M1074" t="s">
        <v>4642</v>
      </c>
      <c r="N1074">
        <v>67.72</v>
      </c>
      <c r="O1074" t="s">
        <v>380</v>
      </c>
      <c r="P1074">
        <v>12.14</v>
      </c>
      <c r="Q1074">
        <v>11.66</v>
      </c>
      <c r="R1074">
        <v>11.95</v>
      </c>
      <c r="S1074">
        <v>11.94</v>
      </c>
      <c r="T1074">
        <v>4.0199999999999996</v>
      </c>
      <c r="U1074">
        <v>0.47</v>
      </c>
      <c r="V1074">
        <v>55.61</v>
      </c>
      <c r="W1074">
        <v>2551</v>
      </c>
      <c r="X1074">
        <v>11.98</v>
      </c>
      <c r="Y1074" t="s">
        <v>2743</v>
      </c>
      <c r="Z1074" t="s">
        <v>860</v>
      </c>
      <c r="AA1074">
        <v>0.92</v>
      </c>
      <c r="AB1074">
        <v>1353</v>
      </c>
      <c r="AC1074">
        <v>214</v>
      </c>
      <c r="AD1074">
        <v>2.9</v>
      </c>
      <c r="AE1074" t="s">
        <v>3028</v>
      </c>
      <c r="AF1074" t="s">
        <v>1513</v>
      </c>
      <c r="AG1074" t="s">
        <v>1322</v>
      </c>
      <c r="AH1074" t="s">
        <v>1513</v>
      </c>
      <c r="AI1074">
        <v>-4.25</v>
      </c>
      <c r="AJ1074">
        <v>-1.49</v>
      </c>
      <c r="AK1074">
        <v>10.43</v>
      </c>
      <c r="AL1074">
        <v>32.92</v>
      </c>
    </row>
    <row r="1075" spans="1:38" x14ac:dyDescent="0.25">
      <c r="A1075">
        <v>1074</v>
      </c>
      <c r="B1075" t="str">
        <f xml:space="preserve"> "002895"</f>
        <v>002895</v>
      </c>
      <c r="C1075" t="s">
        <v>4643</v>
      </c>
      <c r="D1075">
        <v>28.9</v>
      </c>
      <c r="E1075">
        <v>1.23</v>
      </c>
      <c r="F1075">
        <v>0.35</v>
      </c>
      <c r="G1075" t="s">
        <v>4644</v>
      </c>
      <c r="H1075">
        <v>1235</v>
      </c>
      <c r="I1075">
        <v>28.9</v>
      </c>
      <c r="J1075">
        <v>28.91</v>
      </c>
      <c r="K1075">
        <v>0</v>
      </c>
      <c r="L1075">
        <v>16.2</v>
      </c>
      <c r="M1075" t="s">
        <v>398</v>
      </c>
      <c r="N1075">
        <v>64.239999999999995</v>
      </c>
      <c r="O1075" t="s">
        <v>667</v>
      </c>
      <c r="P1075">
        <v>29.27</v>
      </c>
      <c r="Q1075">
        <v>28.41</v>
      </c>
      <c r="R1075">
        <v>28.41</v>
      </c>
      <c r="S1075">
        <v>28.55</v>
      </c>
      <c r="T1075">
        <v>3.01</v>
      </c>
      <c r="U1075">
        <v>0.56000000000000005</v>
      </c>
      <c r="V1075">
        <v>-10.99</v>
      </c>
      <c r="W1075">
        <v>-100</v>
      </c>
      <c r="X1075">
        <v>28.87</v>
      </c>
      <c r="Y1075" t="s">
        <v>1111</v>
      </c>
      <c r="Z1075" t="s">
        <v>1111</v>
      </c>
      <c r="AA1075">
        <v>1</v>
      </c>
      <c r="AB1075">
        <v>173</v>
      </c>
      <c r="AC1075">
        <v>348</v>
      </c>
      <c r="AD1075">
        <v>6.27</v>
      </c>
      <c r="AE1075" t="s">
        <v>1000</v>
      </c>
      <c r="AF1075" t="s">
        <v>1513</v>
      </c>
      <c r="AG1075" t="s">
        <v>2596</v>
      </c>
      <c r="AH1075" t="s">
        <v>1572</v>
      </c>
      <c r="AI1075">
        <v>-9.74</v>
      </c>
      <c r="AJ1075">
        <v>-14.4</v>
      </c>
      <c r="AK1075">
        <v>70.3</v>
      </c>
      <c r="AL1075">
        <v>159.51</v>
      </c>
    </row>
    <row r="1076" spans="1:38" x14ac:dyDescent="0.25">
      <c r="A1076">
        <v>1075</v>
      </c>
      <c r="B1076" t="str">
        <f xml:space="preserve"> "300309"</f>
        <v>300309</v>
      </c>
      <c r="C1076" t="s">
        <v>4645</v>
      </c>
      <c r="D1076">
        <v>23.87</v>
      </c>
      <c r="E1076">
        <v>-0.33</v>
      </c>
      <c r="F1076">
        <v>-0.08</v>
      </c>
      <c r="G1076" t="s">
        <v>2846</v>
      </c>
      <c r="H1076">
        <v>150</v>
      </c>
      <c r="I1076">
        <v>23.87</v>
      </c>
      <c r="J1076">
        <v>23.9</v>
      </c>
      <c r="K1076">
        <v>-0.33</v>
      </c>
      <c r="L1076">
        <v>0.62</v>
      </c>
      <c r="M1076" t="s">
        <v>4646</v>
      </c>
      <c r="N1076">
        <v>189.44</v>
      </c>
      <c r="O1076" t="s">
        <v>1372</v>
      </c>
      <c r="P1076">
        <v>24.37</v>
      </c>
      <c r="Q1076">
        <v>23.7</v>
      </c>
      <c r="R1076">
        <v>24.19</v>
      </c>
      <c r="S1076">
        <v>23.95</v>
      </c>
      <c r="T1076">
        <v>2.8</v>
      </c>
      <c r="U1076">
        <v>0.92</v>
      </c>
      <c r="V1076">
        <v>-27.04</v>
      </c>
      <c r="W1076">
        <v>-237</v>
      </c>
      <c r="X1076">
        <v>23.98</v>
      </c>
      <c r="Y1076" t="s">
        <v>3234</v>
      </c>
      <c r="Z1076" t="s">
        <v>545</v>
      </c>
      <c r="AA1076">
        <v>1.1000000000000001</v>
      </c>
      <c r="AB1076">
        <v>15</v>
      </c>
      <c r="AC1076">
        <v>110</v>
      </c>
      <c r="AD1076">
        <v>8.0500000000000007</v>
      </c>
      <c r="AE1076" t="s">
        <v>2618</v>
      </c>
      <c r="AF1076" t="s">
        <v>1513</v>
      </c>
      <c r="AG1076" t="s">
        <v>4078</v>
      </c>
      <c r="AH1076" t="s">
        <v>3732</v>
      </c>
      <c r="AI1076">
        <v>-3.75</v>
      </c>
      <c r="AJ1076">
        <v>1.06</v>
      </c>
      <c r="AK1076">
        <v>1.54</v>
      </c>
      <c r="AL1076">
        <v>4.01</v>
      </c>
    </row>
    <row r="1077" spans="1:38" x14ac:dyDescent="0.25">
      <c r="A1077">
        <v>1076</v>
      </c>
      <c r="B1077" t="str">
        <f xml:space="preserve"> "002544"</f>
        <v>002544</v>
      </c>
      <c r="C1077" t="s">
        <v>4647</v>
      </c>
      <c r="D1077">
        <v>22.4</v>
      </c>
      <c r="E1077">
        <v>-0.67</v>
      </c>
      <c r="F1077">
        <v>-0.15</v>
      </c>
      <c r="G1077" t="s">
        <v>2417</v>
      </c>
      <c r="H1077">
        <v>2354</v>
      </c>
      <c r="I1077">
        <v>22.4</v>
      </c>
      <c r="J1077">
        <v>22.41</v>
      </c>
      <c r="K1077">
        <v>-0.09</v>
      </c>
      <c r="L1077">
        <v>0.99</v>
      </c>
      <c r="M1077" t="s">
        <v>2706</v>
      </c>
      <c r="N1077">
        <v>280.83999999999997</v>
      </c>
      <c r="O1077" t="s">
        <v>580</v>
      </c>
      <c r="P1077">
        <v>22.75</v>
      </c>
      <c r="Q1077">
        <v>22.38</v>
      </c>
      <c r="R1077">
        <v>22.57</v>
      </c>
      <c r="S1077">
        <v>22.55</v>
      </c>
      <c r="T1077">
        <v>1.64</v>
      </c>
      <c r="U1077">
        <v>0.56000000000000005</v>
      </c>
      <c r="V1077">
        <v>-42.89</v>
      </c>
      <c r="W1077">
        <v>-970</v>
      </c>
      <c r="X1077">
        <v>22.51</v>
      </c>
      <c r="Y1077" t="s">
        <v>2755</v>
      </c>
      <c r="Z1077" t="s">
        <v>3896</v>
      </c>
      <c r="AA1077">
        <v>1.42</v>
      </c>
      <c r="AB1077">
        <v>127</v>
      </c>
      <c r="AC1077">
        <v>35</v>
      </c>
      <c r="AD1077">
        <v>8.6999999999999993</v>
      </c>
      <c r="AE1077" t="s">
        <v>4648</v>
      </c>
      <c r="AF1077" t="s">
        <v>1513</v>
      </c>
      <c r="AG1077" t="s">
        <v>4649</v>
      </c>
      <c r="AH1077" t="s">
        <v>191</v>
      </c>
      <c r="AI1077">
        <v>-0.84</v>
      </c>
      <c r="AJ1077">
        <v>-4.3600000000000003</v>
      </c>
      <c r="AK1077">
        <v>3.43</v>
      </c>
      <c r="AL1077">
        <v>9.7799999999999994</v>
      </c>
    </row>
    <row r="1078" spans="1:38" x14ac:dyDescent="0.25">
      <c r="A1078">
        <v>1077</v>
      </c>
      <c r="B1078" t="str">
        <f xml:space="preserve"> "600729"</f>
        <v>600729</v>
      </c>
      <c r="C1078" t="s">
        <v>4650</v>
      </c>
      <c r="D1078">
        <v>28.4</v>
      </c>
      <c r="E1078">
        <v>-0.11</v>
      </c>
      <c r="F1078">
        <v>-0.03</v>
      </c>
      <c r="G1078" t="s">
        <v>1278</v>
      </c>
      <c r="H1078">
        <v>20</v>
      </c>
      <c r="I1078">
        <v>28.4</v>
      </c>
      <c r="J1078">
        <v>28.41</v>
      </c>
      <c r="K1078">
        <v>-0.04</v>
      </c>
      <c r="L1078">
        <v>0.4</v>
      </c>
      <c r="M1078" t="s">
        <v>4651</v>
      </c>
      <c r="N1078">
        <v>12.37</v>
      </c>
      <c r="O1078" t="s">
        <v>532</v>
      </c>
      <c r="P1078">
        <v>28.47</v>
      </c>
      <c r="Q1078">
        <v>28.11</v>
      </c>
      <c r="R1078">
        <v>28.46</v>
      </c>
      <c r="S1078">
        <v>28.43</v>
      </c>
      <c r="T1078">
        <v>1.27</v>
      </c>
      <c r="U1078">
        <v>0.32</v>
      </c>
      <c r="V1078">
        <v>-26.17</v>
      </c>
      <c r="W1078">
        <v>-134</v>
      </c>
      <c r="X1078">
        <v>28.24</v>
      </c>
      <c r="Y1078">
        <v>9562</v>
      </c>
      <c r="Z1078">
        <v>6671</v>
      </c>
      <c r="AA1078">
        <v>1.43</v>
      </c>
      <c r="AB1078">
        <v>20</v>
      </c>
      <c r="AC1078">
        <v>8</v>
      </c>
      <c r="AD1078">
        <v>2.48</v>
      </c>
      <c r="AE1078" t="s">
        <v>2164</v>
      </c>
      <c r="AF1078" t="s">
        <v>191</v>
      </c>
      <c r="AG1078" t="s">
        <v>2215</v>
      </c>
      <c r="AH1078" t="s">
        <v>191</v>
      </c>
      <c r="AI1078">
        <v>3.27</v>
      </c>
      <c r="AJ1078">
        <v>5.62</v>
      </c>
      <c r="AK1078">
        <v>3.93</v>
      </c>
      <c r="AL1078">
        <v>6.69</v>
      </c>
    </row>
    <row r="1079" spans="1:38" x14ac:dyDescent="0.25">
      <c r="A1079">
        <v>1078</v>
      </c>
      <c r="B1079" t="str">
        <f xml:space="preserve"> "000860"</f>
        <v>000860</v>
      </c>
      <c r="C1079" t="s">
        <v>4652</v>
      </c>
      <c r="D1079">
        <v>20.23</v>
      </c>
      <c r="E1079">
        <v>0.1</v>
      </c>
      <c r="F1079">
        <v>0.02</v>
      </c>
      <c r="G1079" t="s">
        <v>2031</v>
      </c>
      <c r="H1079">
        <v>1014</v>
      </c>
      <c r="I1079">
        <v>20.22</v>
      </c>
      <c r="J1079">
        <v>20.23</v>
      </c>
      <c r="K1079">
        <v>0.05</v>
      </c>
      <c r="L1079">
        <v>1.29</v>
      </c>
      <c r="M1079" t="s">
        <v>1333</v>
      </c>
      <c r="N1079">
        <v>23.6</v>
      </c>
      <c r="O1079" t="s">
        <v>123</v>
      </c>
      <c r="P1079">
        <v>20.48</v>
      </c>
      <c r="Q1079">
        <v>20.07</v>
      </c>
      <c r="R1079">
        <v>20.28</v>
      </c>
      <c r="S1079">
        <v>20.21</v>
      </c>
      <c r="T1079">
        <v>2.0299999999999998</v>
      </c>
      <c r="U1079">
        <v>0.8</v>
      </c>
      <c r="V1079">
        <v>13.56</v>
      </c>
      <c r="W1079">
        <v>186</v>
      </c>
      <c r="X1079">
        <v>20.21</v>
      </c>
      <c r="Y1079" t="s">
        <v>1070</v>
      </c>
      <c r="Z1079" t="s">
        <v>2279</v>
      </c>
      <c r="AA1079">
        <v>1.21</v>
      </c>
      <c r="AB1079">
        <v>388</v>
      </c>
      <c r="AC1079">
        <v>12</v>
      </c>
      <c r="AD1079">
        <v>1.95</v>
      </c>
      <c r="AE1079" t="s">
        <v>4653</v>
      </c>
      <c r="AF1079" t="s">
        <v>191</v>
      </c>
      <c r="AG1079" t="s">
        <v>4653</v>
      </c>
      <c r="AH1079" t="s">
        <v>191</v>
      </c>
      <c r="AI1079">
        <v>0.65</v>
      </c>
      <c r="AJ1079">
        <v>3.06</v>
      </c>
      <c r="AK1079">
        <v>6.26</v>
      </c>
      <c r="AL1079">
        <v>9.3800000000000008</v>
      </c>
    </row>
    <row r="1080" spans="1:38" x14ac:dyDescent="0.25">
      <c r="A1080">
        <v>1079</v>
      </c>
      <c r="B1080" t="str">
        <f xml:space="preserve"> "002416"</f>
        <v>002416</v>
      </c>
      <c r="C1080" t="s">
        <v>4654</v>
      </c>
      <c r="D1080">
        <v>11.16</v>
      </c>
      <c r="E1080">
        <v>-0.18</v>
      </c>
      <c r="F1080">
        <v>-0.02</v>
      </c>
      <c r="G1080" t="s">
        <v>4655</v>
      </c>
      <c r="H1080">
        <v>823</v>
      </c>
      <c r="I1080">
        <v>11.15</v>
      </c>
      <c r="J1080">
        <v>11.16</v>
      </c>
      <c r="K1080">
        <v>0.18</v>
      </c>
      <c r="L1080">
        <v>0.86</v>
      </c>
      <c r="M1080" t="s">
        <v>4656</v>
      </c>
      <c r="N1080">
        <v>36.53</v>
      </c>
      <c r="O1080" t="s">
        <v>532</v>
      </c>
      <c r="P1080">
        <v>11.27</v>
      </c>
      <c r="Q1080">
        <v>11.11</v>
      </c>
      <c r="R1080">
        <v>11.18</v>
      </c>
      <c r="S1080">
        <v>11.18</v>
      </c>
      <c r="T1080">
        <v>1.43</v>
      </c>
      <c r="U1080">
        <v>1</v>
      </c>
      <c r="V1080">
        <v>-10.65</v>
      </c>
      <c r="W1080">
        <v>-528</v>
      </c>
      <c r="X1080">
        <v>11.19</v>
      </c>
      <c r="Y1080" t="s">
        <v>3965</v>
      </c>
      <c r="Z1080" t="s">
        <v>3264</v>
      </c>
      <c r="AA1080">
        <v>0.67</v>
      </c>
      <c r="AB1080">
        <v>53</v>
      </c>
      <c r="AC1080">
        <v>557</v>
      </c>
      <c r="AD1080">
        <v>2.2599999999999998</v>
      </c>
      <c r="AE1080" t="s">
        <v>707</v>
      </c>
      <c r="AF1080" t="s">
        <v>191</v>
      </c>
      <c r="AG1080" t="s">
        <v>1924</v>
      </c>
      <c r="AH1080" t="s">
        <v>2006</v>
      </c>
      <c r="AI1080">
        <v>0.54</v>
      </c>
      <c r="AJ1080">
        <v>5.78</v>
      </c>
      <c r="AK1080">
        <v>2.67</v>
      </c>
      <c r="AL1080">
        <v>5.14</v>
      </c>
    </row>
    <row r="1081" spans="1:38" x14ac:dyDescent="0.25">
      <c r="A1081">
        <v>1080</v>
      </c>
      <c r="B1081" t="str">
        <f xml:space="preserve"> "002676"</f>
        <v>002676</v>
      </c>
      <c r="C1081" t="s">
        <v>4657</v>
      </c>
      <c r="D1081" t="s">
        <v>616</v>
      </c>
      <c r="E1081" t="s">
        <v>616</v>
      </c>
      <c r="F1081" t="s">
        <v>616</v>
      </c>
      <c r="G1081" t="s">
        <v>616</v>
      </c>
      <c r="H1081" t="s">
        <v>616</v>
      </c>
      <c r="I1081" t="s">
        <v>616</v>
      </c>
      <c r="J1081" t="s">
        <v>616</v>
      </c>
      <c r="K1081" t="s">
        <v>616</v>
      </c>
      <c r="L1081" t="s">
        <v>616</v>
      </c>
      <c r="M1081" t="s">
        <v>616</v>
      </c>
      <c r="N1081">
        <v>457.31</v>
      </c>
      <c r="O1081" t="s">
        <v>2128</v>
      </c>
      <c r="P1081" t="s">
        <v>616</v>
      </c>
      <c r="Q1081" t="s">
        <v>616</v>
      </c>
      <c r="R1081" t="s">
        <v>616</v>
      </c>
      <c r="S1081">
        <v>15.98</v>
      </c>
      <c r="T1081" t="s">
        <v>616</v>
      </c>
      <c r="U1081" t="s">
        <v>616</v>
      </c>
      <c r="V1081" t="s">
        <v>616</v>
      </c>
      <c r="W1081" t="s">
        <v>616</v>
      </c>
      <c r="X1081" t="s">
        <v>616</v>
      </c>
      <c r="Y1081" t="s">
        <v>616</v>
      </c>
      <c r="Z1081" t="s">
        <v>616</v>
      </c>
      <c r="AA1081" t="s">
        <v>616</v>
      </c>
      <c r="AB1081" t="s">
        <v>616</v>
      </c>
      <c r="AC1081" t="s">
        <v>616</v>
      </c>
      <c r="AD1081">
        <v>10.54</v>
      </c>
      <c r="AE1081" t="s">
        <v>4658</v>
      </c>
      <c r="AF1081" t="s">
        <v>191</v>
      </c>
      <c r="AG1081" t="s">
        <v>4658</v>
      </c>
      <c r="AH1081" t="s">
        <v>191</v>
      </c>
      <c r="AI1081">
        <v>0</v>
      </c>
      <c r="AJ1081">
        <v>0</v>
      </c>
      <c r="AK1081">
        <v>0</v>
      </c>
      <c r="AL1081">
        <v>0</v>
      </c>
    </row>
    <row r="1082" spans="1:38" x14ac:dyDescent="0.25">
      <c r="A1082">
        <v>1081</v>
      </c>
      <c r="B1082" t="str">
        <f xml:space="preserve"> "002055"</f>
        <v>002055</v>
      </c>
      <c r="C1082" t="s">
        <v>4659</v>
      </c>
      <c r="D1082">
        <v>24.57</v>
      </c>
      <c r="E1082">
        <v>0.94</v>
      </c>
      <c r="F1082">
        <v>0.23</v>
      </c>
      <c r="G1082" t="s">
        <v>1842</v>
      </c>
      <c r="H1082">
        <v>828</v>
      </c>
      <c r="I1082">
        <v>24.56</v>
      </c>
      <c r="J1082">
        <v>24.57</v>
      </c>
      <c r="K1082">
        <v>0.04</v>
      </c>
      <c r="L1082">
        <v>1.55</v>
      </c>
      <c r="M1082" t="s">
        <v>4271</v>
      </c>
      <c r="N1082">
        <v>62.62</v>
      </c>
      <c r="O1082" t="s">
        <v>380</v>
      </c>
      <c r="P1082">
        <v>24.7</v>
      </c>
      <c r="Q1082">
        <v>24.25</v>
      </c>
      <c r="R1082">
        <v>24.33</v>
      </c>
      <c r="S1082">
        <v>24.34</v>
      </c>
      <c r="T1082">
        <v>1.85</v>
      </c>
      <c r="U1082">
        <v>0.6</v>
      </c>
      <c r="V1082">
        <v>-5.84</v>
      </c>
      <c r="W1082">
        <v>-67</v>
      </c>
      <c r="X1082">
        <v>24.46</v>
      </c>
      <c r="Y1082" t="s">
        <v>2427</v>
      </c>
      <c r="Z1082" t="s">
        <v>4224</v>
      </c>
      <c r="AA1082">
        <v>1.05</v>
      </c>
      <c r="AB1082">
        <v>183</v>
      </c>
      <c r="AC1082">
        <v>156</v>
      </c>
      <c r="AD1082">
        <v>6.42</v>
      </c>
      <c r="AE1082" t="s">
        <v>799</v>
      </c>
      <c r="AF1082" t="s">
        <v>191</v>
      </c>
      <c r="AG1082" t="s">
        <v>4660</v>
      </c>
      <c r="AH1082" t="s">
        <v>4279</v>
      </c>
      <c r="AI1082">
        <v>-3.95</v>
      </c>
      <c r="AJ1082">
        <v>0.28999999999999998</v>
      </c>
      <c r="AK1082">
        <v>6.46</v>
      </c>
      <c r="AL1082">
        <v>14.43</v>
      </c>
    </row>
    <row r="1083" spans="1:38" x14ac:dyDescent="0.25">
      <c r="A1083">
        <v>1082</v>
      </c>
      <c r="B1083" t="str">
        <f xml:space="preserve"> "601918"</f>
        <v>601918</v>
      </c>
      <c r="C1083" t="s">
        <v>4661</v>
      </c>
      <c r="D1083">
        <v>4.43</v>
      </c>
      <c r="E1083">
        <v>0.45</v>
      </c>
      <c r="F1083">
        <v>0.02</v>
      </c>
      <c r="G1083" t="s">
        <v>3745</v>
      </c>
      <c r="H1083">
        <v>315</v>
      </c>
      <c r="I1083">
        <v>4.42</v>
      </c>
      <c r="J1083">
        <v>4.43</v>
      </c>
      <c r="K1083">
        <v>0</v>
      </c>
      <c r="L1083">
        <v>0.71</v>
      </c>
      <c r="M1083" t="s">
        <v>4662</v>
      </c>
      <c r="N1083">
        <v>37.35</v>
      </c>
      <c r="O1083" t="s">
        <v>150</v>
      </c>
      <c r="P1083">
        <v>4.46</v>
      </c>
      <c r="Q1083">
        <v>4.3899999999999997</v>
      </c>
      <c r="R1083">
        <v>4.42</v>
      </c>
      <c r="S1083">
        <v>4.41</v>
      </c>
      <c r="T1083">
        <v>1.59</v>
      </c>
      <c r="U1083">
        <v>0.93</v>
      </c>
      <c r="V1083">
        <v>-20.260000000000002</v>
      </c>
      <c r="W1083">
        <v>-6527</v>
      </c>
      <c r="X1083">
        <v>4.42</v>
      </c>
      <c r="Y1083" t="s">
        <v>2480</v>
      </c>
      <c r="Z1083" t="s">
        <v>2261</v>
      </c>
      <c r="AA1083">
        <v>1.1299999999999999</v>
      </c>
      <c r="AB1083">
        <v>822</v>
      </c>
      <c r="AC1083">
        <v>45</v>
      </c>
      <c r="AD1083">
        <v>2.4</v>
      </c>
      <c r="AE1083" t="s">
        <v>671</v>
      </c>
      <c r="AF1083" t="s">
        <v>191</v>
      </c>
      <c r="AG1083" t="s">
        <v>671</v>
      </c>
      <c r="AH1083" t="s">
        <v>191</v>
      </c>
      <c r="AI1083">
        <v>-1.56</v>
      </c>
      <c r="AJ1083">
        <v>-2.21</v>
      </c>
      <c r="AK1083">
        <v>2.59</v>
      </c>
      <c r="AL1083">
        <v>4.49</v>
      </c>
    </row>
    <row r="1084" spans="1:38" x14ac:dyDescent="0.25">
      <c r="A1084">
        <v>1083</v>
      </c>
      <c r="B1084" t="str">
        <f xml:space="preserve"> "600096"</f>
        <v>600096</v>
      </c>
      <c r="C1084" t="s">
        <v>4663</v>
      </c>
      <c r="D1084">
        <v>8.66</v>
      </c>
      <c r="E1084">
        <v>1.05</v>
      </c>
      <c r="F1084">
        <v>0.09</v>
      </c>
      <c r="G1084" t="s">
        <v>1522</v>
      </c>
      <c r="H1084">
        <v>32</v>
      </c>
      <c r="I1084">
        <v>8.66</v>
      </c>
      <c r="J1084">
        <v>8.69</v>
      </c>
      <c r="K1084">
        <v>0.12</v>
      </c>
      <c r="L1084">
        <v>0.68</v>
      </c>
      <c r="M1084" t="s">
        <v>4404</v>
      </c>
      <c r="N1084">
        <v>-16.62</v>
      </c>
      <c r="O1084" t="s">
        <v>1936</v>
      </c>
      <c r="P1084">
        <v>8.75</v>
      </c>
      <c r="Q1084">
        <v>8.51</v>
      </c>
      <c r="R1084">
        <v>8.59</v>
      </c>
      <c r="S1084">
        <v>8.57</v>
      </c>
      <c r="T1084">
        <v>2.8</v>
      </c>
      <c r="U1084">
        <v>0.57999999999999996</v>
      </c>
      <c r="V1084">
        <v>-23.59</v>
      </c>
      <c r="W1084">
        <v>-780</v>
      </c>
      <c r="X1084">
        <v>8.64</v>
      </c>
      <c r="Y1084" t="s">
        <v>2124</v>
      </c>
      <c r="Z1084" t="s">
        <v>2398</v>
      </c>
      <c r="AA1084">
        <v>1.08</v>
      </c>
      <c r="AB1084">
        <v>80</v>
      </c>
      <c r="AC1084">
        <v>53</v>
      </c>
      <c r="AD1084">
        <v>3.12</v>
      </c>
      <c r="AE1084" t="s">
        <v>1358</v>
      </c>
      <c r="AF1084" t="s">
        <v>2842</v>
      </c>
      <c r="AG1084" t="s">
        <v>2328</v>
      </c>
      <c r="AH1084" t="s">
        <v>4664</v>
      </c>
      <c r="AI1084">
        <v>-0.69</v>
      </c>
      <c r="AJ1084">
        <v>-1.81</v>
      </c>
      <c r="AK1084">
        <v>2.72</v>
      </c>
      <c r="AL1084">
        <v>6.57</v>
      </c>
    </row>
    <row r="1085" spans="1:38" x14ac:dyDescent="0.25">
      <c r="A1085">
        <v>1084</v>
      </c>
      <c r="B1085" t="str">
        <f xml:space="preserve"> "002042"</f>
        <v>002042</v>
      </c>
      <c r="C1085" t="s">
        <v>4665</v>
      </c>
      <c r="D1085">
        <v>11.29</v>
      </c>
      <c r="E1085">
        <v>0.89</v>
      </c>
      <c r="F1085">
        <v>0.1</v>
      </c>
      <c r="G1085" t="s">
        <v>2568</v>
      </c>
      <c r="H1085">
        <v>1049</v>
      </c>
      <c r="I1085">
        <v>11.29</v>
      </c>
      <c r="J1085">
        <v>11.3</v>
      </c>
      <c r="K1085">
        <v>-0.27</v>
      </c>
      <c r="L1085">
        <v>1.07</v>
      </c>
      <c r="M1085" t="s">
        <v>4464</v>
      </c>
      <c r="N1085">
        <v>13.03</v>
      </c>
      <c r="O1085" t="s">
        <v>1798</v>
      </c>
      <c r="P1085">
        <v>11.33</v>
      </c>
      <c r="Q1085">
        <v>11.16</v>
      </c>
      <c r="R1085">
        <v>11.23</v>
      </c>
      <c r="S1085">
        <v>11.19</v>
      </c>
      <c r="T1085">
        <v>1.52</v>
      </c>
      <c r="U1085">
        <v>1.76</v>
      </c>
      <c r="V1085">
        <v>-46.71</v>
      </c>
      <c r="W1085">
        <v>-2968</v>
      </c>
      <c r="X1085">
        <v>11.25</v>
      </c>
      <c r="Y1085" t="s">
        <v>4666</v>
      </c>
      <c r="Z1085" t="s">
        <v>4164</v>
      </c>
      <c r="AA1085">
        <v>0.74</v>
      </c>
      <c r="AB1085">
        <v>732</v>
      </c>
      <c r="AC1085">
        <v>10</v>
      </c>
      <c r="AD1085">
        <v>1.75</v>
      </c>
      <c r="AE1085" t="s">
        <v>262</v>
      </c>
      <c r="AF1085" t="s">
        <v>2842</v>
      </c>
      <c r="AG1085" t="s">
        <v>3493</v>
      </c>
      <c r="AH1085" t="s">
        <v>3808</v>
      </c>
      <c r="AI1085">
        <v>0.36</v>
      </c>
      <c r="AJ1085">
        <v>3.01</v>
      </c>
      <c r="AK1085">
        <v>2.15</v>
      </c>
      <c r="AL1085">
        <v>4.09</v>
      </c>
    </row>
    <row r="1086" spans="1:38" x14ac:dyDescent="0.25">
      <c r="A1086">
        <v>1085</v>
      </c>
      <c r="B1086" t="str">
        <f xml:space="preserve"> "600069"</f>
        <v>600069</v>
      </c>
      <c r="C1086" t="s">
        <v>4667</v>
      </c>
      <c r="D1086">
        <v>9.15</v>
      </c>
      <c r="E1086">
        <v>-0.22</v>
      </c>
      <c r="F1086">
        <v>-0.02</v>
      </c>
      <c r="G1086" t="s">
        <v>574</v>
      </c>
      <c r="H1086">
        <v>30</v>
      </c>
      <c r="I1086">
        <v>9.1300000000000008</v>
      </c>
      <c r="J1086">
        <v>9.15</v>
      </c>
      <c r="K1086">
        <v>0.11</v>
      </c>
      <c r="L1086">
        <v>0.56000000000000005</v>
      </c>
      <c r="M1086" t="s">
        <v>4668</v>
      </c>
      <c r="N1086">
        <v>527.52</v>
      </c>
      <c r="O1086" t="s">
        <v>1874</v>
      </c>
      <c r="P1086">
        <v>9.19</v>
      </c>
      <c r="Q1086">
        <v>9.1</v>
      </c>
      <c r="R1086">
        <v>9.17</v>
      </c>
      <c r="S1086">
        <v>9.17</v>
      </c>
      <c r="T1086">
        <v>0.98</v>
      </c>
      <c r="U1086">
        <v>0.55000000000000004</v>
      </c>
      <c r="V1086">
        <v>-34.25</v>
      </c>
      <c r="W1086">
        <v>-2800</v>
      </c>
      <c r="X1086">
        <v>9.14</v>
      </c>
      <c r="Y1086" t="s">
        <v>623</v>
      </c>
      <c r="Z1086" t="s">
        <v>3387</v>
      </c>
      <c r="AA1086">
        <v>1.39</v>
      </c>
      <c r="AB1086">
        <v>149</v>
      </c>
      <c r="AC1086">
        <v>736</v>
      </c>
      <c r="AD1086">
        <v>5.61</v>
      </c>
      <c r="AE1086" t="s">
        <v>2674</v>
      </c>
      <c r="AF1086" t="s">
        <v>2842</v>
      </c>
      <c r="AG1086" t="s">
        <v>4669</v>
      </c>
      <c r="AH1086" t="s">
        <v>4670</v>
      </c>
      <c r="AI1086">
        <v>-0.22</v>
      </c>
      <c r="AJ1086">
        <v>1.33</v>
      </c>
      <c r="AK1086">
        <v>2.0299999999999998</v>
      </c>
      <c r="AL1086">
        <v>5.67</v>
      </c>
    </row>
    <row r="1087" spans="1:38" x14ac:dyDescent="0.25">
      <c r="A1087">
        <v>1086</v>
      </c>
      <c r="B1087" t="str">
        <f xml:space="preserve"> "603881"</f>
        <v>603881</v>
      </c>
      <c r="C1087" t="s">
        <v>4671</v>
      </c>
      <c r="D1087">
        <v>54.26</v>
      </c>
      <c r="E1087">
        <v>-1.79</v>
      </c>
      <c r="F1087">
        <v>-0.99</v>
      </c>
      <c r="G1087" t="s">
        <v>4672</v>
      </c>
      <c r="H1087">
        <v>20</v>
      </c>
      <c r="I1087">
        <v>54.21</v>
      </c>
      <c r="J1087">
        <v>54.29</v>
      </c>
      <c r="K1087">
        <v>0.26</v>
      </c>
      <c r="L1087">
        <v>17.18</v>
      </c>
      <c r="M1087" t="s">
        <v>4673</v>
      </c>
      <c r="N1087">
        <v>101.35</v>
      </c>
      <c r="O1087" t="s">
        <v>893</v>
      </c>
      <c r="P1087">
        <v>56.13</v>
      </c>
      <c r="Q1087">
        <v>53.77</v>
      </c>
      <c r="R1087">
        <v>54.2</v>
      </c>
      <c r="S1087">
        <v>55.25</v>
      </c>
      <c r="T1087">
        <v>4.2699999999999996</v>
      </c>
      <c r="U1087">
        <v>1.01</v>
      </c>
      <c r="V1087">
        <v>-35.79</v>
      </c>
      <c r="W1087">
        <v>-97</v>
      </c>
      <c r="X1087">
        <v>54.83</v>
      </c>
      <c r="Y1087" t="s">
        <v>4674</v>
      </c>
      <c r="Z1087" t="s">
        <v>105</v>
      </c>
      <c r="AA1087">
        <v>1.33</v>
      </c>
      <c r="AB1087">
        <v>2</v>
      </c>
      <c r="AC1087">
        <v>55</v>
      </c>
      <c r="AD1087">
        <v>13.65</v>
      </c>
      <c r="AE1087" t="s">
        <v>2970</v>
      </c>
      <c r="AF1087" t="s">
        <v>2842</v>
      </c>
      <c r="AG1087" t="s">
        <v>4675</v>
      </c>
      <c r="AH1087" t="s">
        <v>3668</v>
      </c>
      <c r="AI1087">
        <v>-6.38</v>
      </c>
      <c r="AJ1087">
        <v>15.42</v>
      </c>
      <c r="AK1087">
        <v>86.56</v>
      </c>
      <c r="AL1087">
        <v>102.34</v>
      </c>
    </row>
    <row r="1088" spans="1:38" x14ac:dyDescent="0.25">
      <c r="A1088">
        <v>1087</v>
      </c>
      <c r="B1088" t="str">
        <f xml:space="preserve"> "000726"</f>
        <v>000726</v>
      </c>
      <c r="C1088" t="s">
        <v>4676</v>
      </c>
      <c r="D1088">
        <v>12.38</v>
      </c>
      <c r="E1088">
        <v>1.06</v>
      </c>
      <c r="F1088">
        <v>0.13</v>
      </c>
      <c r="G1088" t="s">
        <v>1308</v>
      </c>
      <c r="H1088">
        <v>194</v>
      </c>
      <c r="I1088">
        <v>12.37</v>
      </c>
      <c r="J1088">
        <v>12.38</v>
      </c>
      <c r="K1088">
        <v>0.08</v>
      </c>
      <c r="L1088">
        <v>0.99</v>
      </c>
      <c r="M1088" t="s">
        <v>4677</v>
      </c>
      <c r="N1088">
        <v>14.53</v>
      </c>
      <c r="O1088" t="s">
        <v>1443</v>
      </c>
      <c r="P1088">
        <v>12.44</v>
      </c>
      <c r="Q1088">
        <v>12.15</v>
      </c>
      <c r="R1088">
        <v>12.21</v>
      </c>
      <c r="S1088">
        <v>12.25</v>
      </c>
      <c r="T1088">
        <v>2.37</v>
      </c>
      <c r="U1088">
        <v>1.32</v>
      </c>
      <c r="V1088">
        <v>-59.65</v>
      </c>
      <c r="W1088">
        <v>-2111</v>
      </c>
      <c r="X1088">
        <v>12.32</v>
      </c>
      <c r="Y1088" t="s">
        <v>2932</v>
      </c>
      <c r="Z1088" t="s">
        <v>1074</v>
      </c>
      <c r="AA1088">
        <v>0.7</v>
      </c>
      <c r="AB1088">
        <v>356</v>
      </c>
      <c r="AC1088">
        <v>86</v>
      </c>
      <c r="AD1088">
        <v>1.67</v>
      </c>
      <c r="AE1088" t="s">
        <v>1822</v>
      </c>
      <c r="AF1088" t="s">
        <v>2842</v>
      </c>
      <c r="AG1088" t="s">
        <v>4678</v>
      </c>
      <c r="AH1088" t="s">
        <v>4679</v>
      </c>
      <c r="AI1088">
        <v>0.98</v>
      </c>
      <c r="AJ1088">
        <v>4.03</v>
      </c>
      <c r="AK1088">
        <v>2.4300000000000002</v>
      </c>
      <c r="AL1088">
        <v>4.7300000000000004</v>
      </c>
    </row>
    <row r="1089" spans="1:38" x14ac:dyDescent="0.25">
      <c r="A1089">
        <v>1088</v>
      </c>
      <c r="B1089" t="str">
        <f xml:space="preserve"> "000796"</f>
        <v>000796</v>
      </c>
      <c r="C1089" t="s">
        <v>4680</v>
      </c>
      <c r="D1089">
        <v>14.19</v>
      </c>
      <c r="E1089">
        <v>0.35</v>
      </c>
      <c r="F1089">
        <v>0.05</v>
      </c>
      <c r="G1089" t="s">
        <v>3689</v>
      </c>
      <c r="H1089">
        <v>563</v>
      </c>
      <c r="I1089">
        <v>14.19</v>
      </c>
      <c r="J1089">
        <v>14.2</v>
      </c>
      <c r="K1089">
        <v>0</v>
      </c>
      <c r="L1089">
        <v>2.33</v>
      </c>
      <c r="M1089" t="s">
        <v>4681</v>
      </c>
      <c r="N1089">
        <v>42.38</v>
      </c>
      <c r="O1089" t="s">
        <v>951</v>
      </c>
      <c r="P1089">
        <v>14.42</v>
      </c>
      <c r="Q1089">
        <v>14.15</v>
      </c>
      <c r="R1089">
        <v>14.16</v>
      </c>
      <c r="S1089">
        <v>14.14</v>
      </c>
      <c r="T1089">
        <v>1.91</v>
      </c>
      <c r="U1089">
        <v>0.69</v>
      </c>
      <c r="V1089">
        <v>60.51</v>
      </c>
      <c r="W1089">
        <v>1916</v>
      </c>
      <c r="X1089">
        <v>14.27</v>
      </c>
      <c r="Y1089" t="s">
        <v>4378</v>
      </c>
      <c r="Z1089" t="s">
        <v>2862</v>
      </c>
      <c r="AA1089">
        <v>1.21</v>
      </c>
      <c r="AB1089">
        <v>173</v>
      </c>
      <c r="AC1089">
        <v>189</v>
      </c>
      <c r="AD1089">
        <v>6.18</v>
      </c>
      <c r="AE1089" t="s">
        <v>2544</v>
      </c>
      <c r="AF1089" t="s">
        <v>2842</v>
      </c>
      <c r="AG1089" t="s">
        <v>4478</v>
      </c>
      <c r="AH1089" t="s">
        <v>4682</v>
      </c>
      <c r="AI1089">
        <v>-2.14</v>
      </c>
      <c r="AJ1089">
        <v>-8.6300000000000008</v>
      </c>
      <c r="AK1089">
        <v>7.31</v>
      </c>
      <c r="AL1089">
        <v>19.190000000000001</v>
      </c>
    </row>
    <row r="1090" spans="1:38" x14ac:dyDescent="0.25">
      <c r="A1090">
        <v>1089</v>
      </c>
      <c r="B1090" t="str">
        <f xml:space="preserve"> "600997"</f>
        <v>600997</v>
      </c>
      <c r="C1090" t="s">
        <v>4683</v>
      </c>
      <c r="D1090">
        <v>7.17</v>
      </c>
      <c r="E1090">
        <v>0.14000000000000001</v>
      </c>
      <c r="F1090">
        <v>0.01</v>
      </c>
      <c r="G1090" t="s">
        <v>225</v>
      </c>
      <c r="H1090">
        <v>1043</v>
      </c>
      <c r="I1090">
        <v>7.17</v>
      </c>
      <c r="J1090">
        <v>7.18</v>
      </c>
      <c r="K1090">
        <v>0</v>
      </c>
      <c r="L1090">
        <v>1.23</v>
      </c>
      <c r="M1090" t="s">
        <v>4443</v>
      </c>
      <c r="N1090">
        <v>25.12</v>
      </c>
      <c r="O1090" t="s">
        <v>150</v>
      </c>
      <c r="P1090">
        <v>7.19</v>
      </c>
      <c r="Q1090">
        <v>7.08</v>
      </c>
      <c r="R1090">
        <v>7.15</v>
      </c>
      <c r="S1090">
        <v>7.16</v>
      </c>
      <c r="T1090">
        <v>1.54</v>
      </c>
      <c r="U1090">
        <v>0.96</v>
      </c>
      <c r="V1090">
        <v>-65.739999999999995</v>
      </c>
      <c r="W1090">
        <v>-3204</v>
      </c>
      <c r="X1090">
        <v>7.14</v>
      </c>
      <c r="Y1090" t="s">
        <v>735</v>
      </c>
      <c r="Z1090" t="s">
        <v>1995</v>
      </c>
      <c r="AA1090">
        <v>0.88</v>
      </c>
      <c r="AB1090">
        <v>52</v>
      </c>
      <c r="AC1090">
        <v>1509</v>
      </c>
      <c r="AD1090">
        <v>1.28</v>
      </c>
      <c r="AE1090" t="s">
        <v>1477</v>
      </c>
      <c r="AF1090" t="s">
        <v>2842</v>
      </c>
      <c r="AG1090" t="s">
        <v>2659</v>
      </c>
      <c r="AH1090" t="s">
        <v>4684</v>
      </c>
      <c r="AI1090">
        <v>-4.1399999999999997</v>
      </c>
      <c r="AJ1090">
        <v>-6.4</v>
      </c>
      <c r="AK1090">
        <v>4.99</v>
      </c>
      <c r="AL1090">
        <v>7.62</v>
      </c>
    </row>
    <row r="1091" spans="1:38" x14ac:dyDescent="0.25">
      <c r="A1091">
        <v>1090</v>
      </c>
      <c r="B1091" t="str">
        <f xml:space="preserve"> "000815"</f>
        <v>000815</v>
      </c>
      <c r="C1091" t="s">
        <v>4685</v>
      </c>
      <c r="D1091">
        <v>16.36</v>
      </c>
      <c r="E1091">
        <v>-2.15</v>
      </c>
      <c r="F1091">
        <v>-0.36</v>
      </c>
      <c r="G1091" t="s">
        <v>844</v>
      </c>
      <c r="H1091">
        <v>1856</v>
      </c>
      <c r="I1091">
        <v>16.36</v>
      </c>
      <c r="J1091">
        <v>16.37</v>
      </c>
      <c r="K1091">
        <v>0.18</v>
      </c>
      <c r="L1091">
        <v>4.3499999999999996</v>
      </c>
      <c r="M1091" t="s">
        <v>3884</v>
      </c>
      <c r="N1091">
        <v>-1625.55</v>
      </c>
      <c r="O1091" t="s">
        <v>1874</v>
      </c>
      <c r="P1091">
        <v>17.2</v>
      </c>
      <c r="Q1091">
        <v>16.27</v>
      </c>
      <c r="R1091">
        <v>16.8</v>
      </c>
      <c r="S1091">
        <v>16.72</v>
      </c>
      <c r="T1091">
        <v>5.56</v>
      </c>
      <c r="U1091">
        <v>2.25</v>
      </c>
      <c r="V1091">
        <v>85.77</v>
      </c>
      <c r="W1091">
        <v>3260</v>
      </c>
      <c r="X1091">
        <v>16.600000000000001</v>
      </c>
      <c r="Y1091" t="s">
        <v>3433</v>
      </c>
      <c r="Z1091" t="s">
        <v>3404</v>
      </c>
      <c r="AA1091">
        <v>1.3</v>
      </c>
      <c r="AB1091">
        <v>204</v>
      </c>
      <c r="AC1091">
        <v>58</v>
      </c>
      <c r="AD1091">
        <v>5.8</v>
      </c>
      <c r="AE1091" t="s">
        <v>4686</v>
      </c>
      <c r="AF1091" t="s">
        <v>2842</v>
      </c>
      <c r="AG1091" t="s">
        <v>972</v>
      </c>
      <c r="AH1091" t="s">
        <v>4687</v>
      </c>
      <c r="AI1091">
        <v>3.48</v>
      </c>
      <c r="AJ1091">
        <v>5.34</v>
      </c>
      <c r="AK1091">
        <v>11.24</v>
      </c>
      <c r="AL1091">
        <v>14.01</v>
      </c>
    </row>
    <row r="1092" spans="1:38" x14ac:dyDescent="0.25">
      <c r="A1092">
        <v>1091</v>
      </c>
      <c r="B1092" t="str">
        <f xml:space="preserve"> "300110"</f>
        <v>300110</v>
      </c>
      <c r="C1092" t="s">
        <v>4688</v>
      </c>
      <c r="D1092">
        <v>11.53</v>
      </c>
      <c r="E1092">
        <v>0.7</v>
      </c>
      <c r="F1092">
        <v>0.08</v>
      </c>
      <c r="G1092" t="s">
        <v>236</v>
      </c>
      <c r="H1092">
        <v>3585</v>
      </c>
      <c r="I1092">
        <v>11.52</v>
      </c>
      <c r="J1092">
        <v>11.54</v>
      </c>
      <c r="K1092">
        <v>-0.43</v>
      </c>
      <c r="L1092">
        <v>1.37</v>
      </c>
      <c r="M1092" t="s">
        <v>2049</v>
      </c>
      <c r="N1092">
        <v>671.5</v>
      </c>
      <c r="O1092" t="s">
        <v>392</v>
      </c>
      <c r="P1092">
        <v>11.65</v>
      </c>
      <c r="Q1092">
        <v>11.26</v>
      </c>
      <c r="R1092">
        <v>11.4</v>
      </c>
      <c r="S1092">
        <v>11.45</v>
      </c>
      <c r="T1092">
        <v>3.41</v>
      </c>
      <c r="U1092">
        <v>1.62</v>
      </c>
      <c r="V1092">
        <v>-85.7</v>
      </c>
      <c r="W1092">
        <v>-7635</v>
      </c>
      <c r="X1092">
        <v>11.47</v>
      </c>
      <c r="Y1092" t="s">
        <v>4689</v>
      </c>
      <c r="Z1092" t="s">
        <v>187</v>
      </c>
      <c r="AA1092">
        <v>0.68</v>
      </c>
      <c r="AB1092">
        <v>191</v>
      </c>
      <c r="AC1092">
        <v>436</v>
      </c>
      <c r="AD1092">
        <v>7.77</v>
      </c>
      <c r="AE1092" t="s">
        <v>4091</v>
      </c>
      <c r="AF1092" t="s">
        <v>2842</v>
      </c>
      <c r="AG1092" t="s">
        <v>4690</v>
      </c>
      <c r="AH1092" t="s">
        <v>3631</v>
      </c>
      <c r="AI1092">
        <v>3.78</v>
      </c>
      <c r="AJ1092">
        <v>2.95</v>
      </c>
      <c r="AK1092">
        <v>4.1500000000000004</v>
      </c>
      <c r="AL1092">
        <v>5.6</v>
      </c>
    </row>
    <row r="1093" spans="1:38" x14ac:dyDescent="0.25">
      <c r="A1093">
        <v>1092</v>
      </c>
      <c r="B1093" t="str">
        <f xml:space="preserve"> "002511"</f>
        <v>002511</v>
      </c>
      <c r="C1093" t="s">
        <v>4691</v>
      </c>
      <c r="D1093">
        <v>15</v>
      </c>
      <c r="E1093">
        <v>5.26</v>
      </c>
      <c r="F1093">
        <v>0.75</v>
      </c>
      <c r="G1093" t="s">
        <v>496</v>
      </c>
      <c r="H1093">
        <v>3257</v>
      </c>
      <c r="I1093">
        <v>14.99</v>
      </c>
      <c r="J1093">
        <v>15</v>
      </c>
      <c r="K1093">
        <v>0</v>
      </c>
      <c r="L1093">
        <v>2.76</v>
      </c>
      <c r="M1093" t="s">
        <v>950</v>
      </c>
      <c r="N1093">
        <v>36.340000000000003</v>
      </c>
      <c r="O1093" t="s">
        <v>1874</v>
      </c>
      <c r="P1093">
        <v>15.05</v>
      </c>
      <c r="Q1093">
        <v>14.29</v>
      </c>
      <c r="R1093">
        <v>14.29</v>
      </c>
      <c r="S1093">
        <v>14.25</v>
      </c>
      <c r="T1093">
        <v>5.33</v>
      </c>
      <c r="U1093">
        <v>1.65</v>
      </c>
      <c r="V1093">
        <v>-78.44</v>
      </c>
      <c r="W1093">
        <v>-4424</v>
      </c>
      <c r="X1093">
        <v>14.81</v>
      </c>
      <c r="Y1093" t="s">
        <v>1405</v>
      </c>
      <c r="Z1093" t="s">
        <v>689</v>
      </c>
      <c r="AA1093">
        <v>0.43</v>
      </c>
      <c r="AB1093">
        <v>134</v>
      </c>
      <c r="AC1093">
        <v>3850</v>
      </c>
      <c r="AD1093">
        <v>4.0199999999999996</v>
      </c>
      <c r="AE1093" t="s">
        <v>4692</v>
      </c>
      <c r="AF1093" t="s">
        <v>2842</v>
      </c>
      <c r="AG1093" t="s">
        <v>4534</v>
      </c>
      <c r="AH1093" t="s">
        <v>173</v>
      </c>
      <c r="AI1093">
        <v>7.37</v>
      </c>
      <c r="AJ1093">
        <v>7.14</v>
      </c>
      <c r="AK1093">
        <v>5.79</v>
      </c>
      <c r="AL1093">
        <v>11.13</v>
      </c>
    </row>
    <row r="1094" spans="1:38" x14ac:dyDescent="0.25">
      <c r="A1094">
        <v>1093</v>
      </c>
      <c r="B1094" t="str">
        <f xml:space="preserve"> "600765"</f>
        <v>600765</v>
      </c>
      <c r="C1094" t="s">
        <v>4693</v>
      </c>
      <c r="D1094">
        <v>14.59</v>
      </c>
      <c r="E1094">
        <v>-1.02</v>
      </c>
      <c r="F1094">
        <v>-0.15</v>
      </c>
      <c r="G1094" t="s">
        <v>3471</v>
      </c>
      <c r="H1094">
        <v>390</v>
      </c>
      <c r="I1094">
        <v>14.59</v>
      </c>
      <c r="J1094">
        <v>14.6</v>
      </c>
      <c r="K1094">
        <v>0</v>
      </c>
      <c r="L1094">
        <v>1.05</v>
      </c>
      <c r="M1094" t="s">
        <v>918</v>
      </c>
      <c r="N1094">
        <v>52.32</v>
      </c>
      <c r="O1094" t="s">
        <v>926</v>
      </c>
      <c r="P1094">
        <v>14.72</v>
      </c>
      <c r="Q1094">
        <v>14.51</v>
      </c>
      <c r="R1094">
        <v>14.69</v>
      </c>
      <c r="S1094">
        <v>14.74</v>
      </c>
      <c r="T1094">
        <v>1.42</v>
      </c>
      <c r="U1094">
        <v>1.02</v>
      </c>
      <c r="V1094">
        <v>0.2</v>
      </c>
      <c r="W1094">
        <v>8</v>
      </c>
      <c r="X1094">
        <v>14.6</v>
      </c>
      <c r="Y1094" t="s">
        <v>3680</v>
      </c>
      <c r="Z1094" t="s">
        <v>1949</v>
      </c>
      <c r="AA1094">
        <v>1.8</v>
      </c>
      <c r="AB1094">
        <v>173</v>
      </c>
      <c r="AC1094">
        <v>285</v>
      </c>
      <c r="AD1094">
        <v>3.16</v>
      </c>
      <c r="AE1094" t="s">
        <v>2054</v>
      </c>
      <c r="AF1094" t="s">
        <v>2842</v>
      </c>
      <c r="AG1094" t="s">
        <v>2054</v>
      </c>
      <c r="AH1094" t="s">
        <v>2842</v>
      </c>
      <c r="AI1094">
        <v>0.62</v>
      </c>
      <c r="AJ1094">
        <v>2.67</v>
      </c>
      <c r="AK1094">
        <v>4.03</v>
      </c>
      <c r="AL1094">
        <v>6.2</v>
      </c>
    </row>
    <row r="1095" spans="1:38" x14ac:dyDescent="0.25">
      <c r="A1095">
        <v>1094</v>
      </c>
      <c r="B1095" t="str">
        <f xml:space="preserve"> "002531"</f>
        <v>002531</v>
      </c>
      <c r="C1095" t="s">
        <v>4694</v>
      </c>
      <c r="D1095">
        <v>6.38</v>
      </c>
      <c r="E1095">
        <v>1.43</v>
      </c>
      <c r="F1095">
        <v>0.09</v>
      </c>
      <c r="G1095" t="s">
        <v>363</v>
      </c>
      <c r="H1095">
        <v>511</v>
      </c>
      <c r="I1095">
        <v>6.38</v>
      </c>
      <c r="J1095">
        <v>6.39</v>
      </c>
      <c r="K1095">
        <v>-0.16</v>
      </c>
      <c r="L1095">
        <v>0.74</v>
      </c>
      <c r="M1095" t="s">
        <v>4695</v>
      </c>
      <c r="N1095">
        <v>23.56</v>
      </c>
      <c r="O1095" t="s">
        <v>648</v>
      </c>
      <c r="P1095">
        <v>6.42</v>
      </c>
      <c r="Q1095">
        <v>6.26</v>
      </c>
      <c r="R1095">
        <v>6.3</v>
      </c>
      <c r="S1095">
        <v>6.29</v>
      </c>
      <c r="T1095">
        <v>2.54</v>
      </c>
      <c r="U1095">
        <v>2.35</v>
      </c>
      <c r="V1095">
        <v>-28.59</v>
      </c>
      <c r="W1095">
        <v>-3197</v>
      </c>
      <c r="X1095">
        <v>6.37</v>
      </c>
      <c r="Y1095" t="s">
        <v>2443</v>
      </c>
      <c r="Z1095" t="s">
        <v>3832</v>
      </c>
      <c r="AA1095">
        <v>0.69</v>
      </c>
      <c r="AB1095">
        <v>603</v>
      </c>
      <c r="AC1095">
        <v>851</v>
      </c>
      <c r="AD1095">
        <v>2.46</v>
      </c>
      <c r="AE1095" t="s">
        <v>1713</v>
      </c>
      <c r="AF1095" t="s">
        <v>2842</v>
      </c>
      <c r="AG1095" t="s">
        <v>3009</v>
      </c>
      <c r="AH1095" t="s">
        <v>3793</v>
      </c>
      <c r="AI1095">
        <v>2.2400000000000002</v>
      </c>
      <c r="AJ1095">
        <v>3.74</v>
      </c>
      <c r="AK1095">
        <v>1.56</v>
      </c>
      <c r="AL1095">
        <v>2.31</v>
      </c>
    </row>
    <row r="1096" spans="1:38" x14ac:dyDescent="0.25">
      <c r="A1096">
        <v>1095</v>
      </c>
      <c r="B1096" t="str">
        <f xml:space="preserve"> "002378"</f>
        <v>002378</v>
      </c>
      <c r="C1096" t="s">
        <v>4696</v>
      </c>
      <c r="D1096">
        <v>12.28</v>
      </c>
      <c r="E1096">
        <v>0.08</v>
      </c>
      <c r="F1096">
        <v>0.01</v>
      </c>
      <c r="G1096" t="s">
        <v>236</v>
      </c>
      <c r="H1096">
        <v>1231</v>
      </c>
      <c r="I1096">
        <v>12.28</v>
      </c>
      <c r="J1096">
        <v>12.29</v>
      </c>
      <c r="K1096">
        <v>-0.08</v>
      </c>
      <c r="L1096">
        <v>1.46</v>
      </c>
      <c r="M1096" t="s">
        <v>3697</v>
      </c>
      <c r="N1096">
        <v>1099.8800000000001</v>
      </c>
      <c r="O1096" t="s">
        <v>449</v>
      </c>
      <c r="P1096">
        <v>12.41</v>
      </c>
      <c r="Q1096">
        <v>12.13</v>
      </c>
      <c r="R1096">
        <v>12.34</v>
      </c>
      <c r="S1096">
        <v>12.27</v>
      </c>
      <c r="T1096">
        <v>2.2799999999999998</v>
      </c>
      <c r="U1096">
        <v>0.6</v>
      </c>
      <c r="V1096">
        <v>-20.25</v>
      </c>
      <c r="W1096">
        <v>-930</v>
      </c>
      <c r="X1096">
        <v>12.28</v>
      </c>
      <c r="Y1096" t="s">
        <v>4697</v>
      </c>
      <c r="Z1096" t="s">
        <v>1557</v>
      </c>
      <c r="AA1096">
        <v>1.06</v>
      </c>
      <c r="AB1096">
        <v>966</v>
      </c>
      <c r="AC1096">
        <v>775</v>
      </c>
      <c r="AD1096">
        <v>5.89</v>
      </c>
      <c r="AE1096" t="s">
        <v>2876</v>
      </c>
      <c r="AF1096" t="s">
        <v>3631</v>
      </c>
      <c r="AG1096" t="s">
        <v>1822</v>
      </c>
      <c r="AH1096" t="s">
        <v>3631</v>
      </c>
      <c r="AI1096">
        <v>-4.21</v>
      </c>
      <c r="AJ1096">
        <v>-6.47</v>
      </c>
      <c r="AK1096">
        <v>5.82</v>
      </c>
      <c r="AL1096">
        <v>13.57</v>
      </c>
    </row>
    <row r="1097" spans="1:38" x14ac:dyDescent="0.25">
      <c r="A1097">
        <v>1096</v>
      </c>
      <c r="B1097" t="str">
        <f xml:space="preserve"> "300373"</f>
        <v>300373</v>
      </c>
      <c r="C1097" t="s">
        <v>4698</v>
      </c>
      <c r="D1097">
        <v>24</v>
      </c>
      <c r="E1097">
        <v>1.48</v>
      </c>
      <c r="F1097">
        <v>0.35</v>
      </c>
      <c r="G1097" t="s">
        <v>3155</v>
      </c>
      <c r="H1097">
        <v>1117</v>
      </c>
      <c r="I1097">
        <v>23.99</v>
      </c>
      <c r="J1097">
        <v>24</v>
      </c>
      <c r="K1097">
        <v>-0.04</v>
      </c>
      <c r="L1097">
        <v>2.5</v>
      </c>
      <c r="M1097" t="s">
        <v>746</v>
      </c>
      <c r="N1097">
        <v>41.89</v>
      </c>
      <c r="O1097" t="s">
        <v>380</v>
      </c>
      <c r="P1097">
        <v>24.27</v>
      </c>
      <c r="Q1097">
        <v>23.46</v>
      </c>
      <c r="R1097">
        <v>23.68</v>
      </c>
      <c r="S1097">
        <v>23.65</v>
      </c>
      <c r="T1097">
        <v>3.42</v>
      </c>
      <c r="U1097">
        <v>0.85</v>
      </c>
      <c r="V1097">
        <v>3.23</v>
      </c>
      <c r="W1097">
        <v>44</v>
      </c>
      <c r="X1097">
        <v>23.89</v>
      </c>
      <c r="Y1097" t="s">
        <v>2786</v>
      </c>
      <c r="Z1097" t="s">
        <v>1532</v>
      </c>
      <c r="AA1097">
        <v>0.73</v>
      </c>
      <c r="AB1097">
        <v>444</v>
      </c>
      <c r="AC1097">
        <v>18</v>
      </c>
      <c r="AD1097">
        <v>5.39</v>
      </c>
      <c r="AE1097" t="s">
        <v>4699</v>
      </c>
      <c r="AF1097" t="s">
        <v>3631</v>
      </c>
      <c r="AG1097" t="s">
        <v>281</v>
      </c>
      <c r="AH1097" t="s">
        <v>4700</v>
      </c>
      <c r="AI1097">
        <v>-2.72</v>
      </c>
      <c r="AJ1097">
        <v>5.96</v>
      </c>
      <c r="AK1097">
        <v>7.61</v>
      </c>
      <c r="AL1097">
        <v>17.309999999999999</v>
      </c>
    </row>
    <row r="1098" spans="1:38" x14ac:dyDescent="0.25">
      <c r="A1098">
        <v>1097</v>
      </c>
      <c r="B1098" t="str">
        <f xml:space="preserve"> "300010"</f>
        <v>300010</v>
      </c>
      <c r="C1098" t="s">
        <v>4701</v>
      </c>
      <c r="D1098">
        <v>12.98</v>
      </c>
      <c r="E1098">
        <v>-0.61</v>
      </c>
      <c r="F1098">
        <v>-0.08</v>
      </c>
      <c r="G1098" t="s">
        <v>4702</v>
      </c>
      <c r="H1098">
        <v>2271</v>
      </c>
      <c r="I1098">
        <v>12.97</v>
      </c>
      <c r="J1098">
        <v>12.98</v>
      </c>
      <c r="K1098">
        <v>0</v>
      </c>
      <c r="L1098">
        <v>1.07</v>
      </c>
      <c r="M1098" t="s">
        <v>4703</v>
      </c>
      <c r="N1098">
        <v>162.07</v>
      </c>
      <c r="O1098" t="s">
        <v>893</v>
      </c>
      <c r="P1098">
        <v>13.05</v>
      </c>
      <c r="Q1098">
        <v>12.83</v>
      </c>
      <c r="R1098">
        <v>13.01</v>
      </c>
      <c r="S1098">
        <v>13.06</v>
      </c>
      <c r="T1098">
        <v>1.68</v>
      </c>
      <c r="U1098">
        <v>0.54</v>
      </c>
      <c r="V1098">
        <v>-7.12</v>
      </c>
      <c r="W1098">
        <v>-303</v>
      </c>
      <c r="X1098">
        <v>12.97</v>
      </c>
      <c r="Y1098" t="s">
        <v>3834</v>
      </c>
      <c r="Z1098" t="s">
        <v>712</v>
      </c>
      <c r="AA1098">
        <v>1.21</v>
      </c>
      <c r="AB1098">
        <v>731</v>
      </c>
      <c r="AC1098">
        <v>672</v>
      </c>
      <c r="AD1098">
        <v>2.14</v>
      </c>
      <c r="AE1098" t="s">
        <v>4704</v>
      </c>
      <c r="AF1098" t="s">
        <v>3631</v>
      </c>
      <c r="AG1098" t="s">
        <v>4705</v>
      </c>
      <c r="AH1098" t="s">
        <v>4706</v>
      </c>
      <c r="AI1098">
        <v>-0.84</v>
      </c>
      <c r="AJ1098">
        <v>6.57</v>
      </c>
      <c r="AK1098">
        <v>5.77</v>
      </c>
      <c r="AL1098">
        <v>10.88</v>
      </c>
    </row>
    <row r="1099" spans="1:38" x14ac:dyDescent="0.25">
      <c r="A1099">
        <v>1098</v>
      </c>
      <c r="B1099" t="str">
        <f xml:space="preserve"> "600694"</f>
        <v>600694</v>
      </c>
      <c r="C1099" t="s">
        <v>4707</v>
      </c>
      <c r="D1099">
        <v>38.51</v>
      </c>
      <c r="E1099">
        <v>0.28999999999999998</v>
      </c>
      <c r="F1099">
        <v>0.11</v>
      </c>
      <c r="G1099" t="s">
        <v>884</v>
      </c>
      <c r="H1099">
        <v>3</v>
      </c>
      <c r="I1099">
        <v>38.49</v>
      </c>
      <c r="J1099">
        <v>38.51</v>
      </c>
      <c r="K1099">
        <v>-0.05</v>
      </c>
      <c r="L1099">
        <v>0.66</v>
      </c>
      <c r="M1099" t="s">
        <v>4708</v>
      </c>
      <c r="N1099">
        <v>10.88</v>
      </c>
      <c r="O1099" t="s">
        <v>532</v>
      </c>
      <c r="P1099">
        <v>38.770000000000003</v>
      </c>
      <c r="Q1099">
        <v>38.4</v>
      </c>
      <c r="R1099">
        <v>38.47</v>
      </c>
      <c r="S1099">
        <v>38.4</v>
      </c>
      <c r="T1099">
        <v>0.96</v>
      </c>
      <c r="U1099">
        <v>1.33</v>
      </c>
      <c r="V1099">
        <v>10.97</v>
      </c>
      <c r="W1099">
        <v>88</v>
      </c>
      <c r="X1099">
        <v>38.57</v>
      </c>
      <c r="Y1099">
        <v>7407</v>
      </c>
      <c r="Z1099" t="s">
        <v>691</v>
      </c>
      <c r="AA1099">
        <v>0.62</v>
      </c>
      <c r="AB1099">
        <v>120</v>
      </c>
      <c r="AC1099">
        <v>39</v>
      </c>
      <c r="AD1099">
        <v>1.58</v>
      </c>
      <c r="AE1099" t="s">
        <v>2268</v>
      </c>
      <c r="AF1099" t="s">
        <v>3631</v>
      </c>
      <c r="AG1099" t="s">
        <v>2268</v>
      </c>
      <c r="AH1099" t="s">
        <v>3631</v>
      </c>
      <c r="AI1099">
        <v>-0.03</v>
      </c>
      <c r="AJ1099">
        <v>2.04</v>
      </c>
      <c r="AK1099">
        <v>1.33</v>
      </c>
      <c r="AL1099">
        <v>3.12</v>
      </c>
    </row>
    <row r="1100" spans="1:38" x14ac:dyDescent="0.25">
      <c r="A1100">
        <v>1099</v>
      </c>
      <c r="B1100" t="str">
        <f xml:space="preserve"> "000029"</f>
        <v>000029</v>
      </c>
      <c r="C1100" t="s">
        <v>4709</v>
      </c>
      <c r="D1100" t="s">
        <v>616</v>
      </c>
      <c r="E1100" t="s">
        <v>616</v>
      </c>
      <c r="F1100" t="s">
        <v>616</v>
      </c>
      <c r="G1100" t="s">
        <v>616</v>
      </c>
      <c r="H1100" t="s">
        <v>616</v>
      </c>
      <c r="I1100" t="s">
        <v>616</v>
      </c>
      <c r="J1100" t="s">
        <v>616</v>
      </c>
      <c r="K1100" t="s">
        <v>616</v>
      </c>
      <c r="L1100" t="s">
        <v>616</v>
      </c>
      <c r="M1100" t="s">
        <v>616</v>
      </c>
      <c r="N1100">
        <v>41.17</v>
      </c>
      <c r="O1100" t="s">
        <v>244</v>
      </c>
      <c r="P1100" t="s">
        <v>616</v>
      </c>
      <c r="Q1100" t="s">
        <v>616</v>
      </c>
      <c r="R1100" t="s">
        <v>616</v>
      </c>
      <c r="S1100">
        <v>11.17</v>
      </c>
      <c r="T1100" t="s">
        <v>616</v>
      </c>
      <c r="U1100" t="s">
        <v>616</v>
      </c>
      <c r="V1100" t="s">
        <v>616</v>
      </c>
      <c r="W1100" t="s">
        <v>616</v>
      </c>
      <c r="X1100" t="s">
        <v>616</v>
      </c>
      <c r="Y1100" t="s">
        <v>616</v>
      </c>
      <c r="Z1100" t="s">
        <v>616</v>
      </c>
      <c r="AA1100" t="s">
        <v>616</v>
      </c>
      <c r="AB1100" t="s">
        <v>616</v>
      </c>
      <c r="AC1100" t="s">
        <v>616</v>
      </c>
      <c r="AD1100">
        <v>4.0599999999999996</v>
      </c>
      <c r="AE1100" t="s">
        <v>262</v>
      </c>
      <c r="AF1100" t="s">
        <v>3631</v>
      </c>
      <c r="AG1100" t="s">
        <v>4710</v>
      </c>
      <c r="AH1100" t="s">
        <v>3918</v>
      </c>
      <c r="AI1100">
        <v>0</v>
      </c>
      <c r="AJ1100">
        <v>0</v>
      </c>
      <c r="AK1100">
        <v>0</v>
      </c>
      <c r="AL1100">
        <v>0</v>
      </c>
    </row>
    <row r="1101" spans="1:38" x14ac:dyDescent="0.25">
      <c r="A1101">
        <v>1100</v>
      </c>
      <c r="B1101" t="str">
        <f xml:space="preserve"> "600151"</f>
        <v>600151</v>
      </c>
      <c r="C1101" t="s">
        <v>4711</v>
      </c>
      <c r="D1101">
        <v>7.85</v>
      </c>
      <c r="E1101">
        <v>-0.51</v>
      </c>
      <c r="F1101">
        <v>-0.04</v>
      </c>
      <c r="G1101" t="s">
        <v>3433</v>
      </c>
      <c r="H1101">
        <v>166</v>
      </c>
      <c r="I1101">
        <v>7.83</v>
      </c>
      <c r="J1101">
        <v>7.84</v>
      </c>
      <c r="K1101">
        <v>0</v>
      </c>
      <c r="L1101">
        <v>0.56000000000000005</v>
      </c>
      <c r="M1101" t="s">
        <v>4712</v>
      </c>
      <c r="N1101">
        <v>-28.36</v>
      </c>
      <c r="O1101" t="s">
        <v>380</v>
      </c>
      <c r="P1101">
        <v>7.89</v>
      </c>
      <c r="Q1101">
        <v>7.8</v>
      </c>
      <c r="R1101">
        <v>7.89</v>
      </c>
      <c r="S1101">
        <v>7.89</v>
      </c>
      <c r="T1101">
        <v>1.1399999999999999</v>
      </c>
      <c r="U1101">
        <v>0.84</v>
      </c>
      <c r="V1101">
        <v>16.54</v>
      </c>
      <c r="W1101">
        <v>1312</v>
      </c>
      <c r="X1101">
        <v>7.84</v>
      </c>
      <c r="Y1101" t="s">
        <v>3401</v>
      </c>
      <c r="Z1101" t="s">
        <v>1973</v>
      </c>
      <c r="AA1101">
        <v>1.48</v>
      </c>
      <c r="AB1101">
        <v>196</v>
      </c>
      <c r="AC1101">
        <v>16</v>
      </c>
      <c r="AD1101">
        <v>1.95</v>
      </c>
      <c r="AE1101" t="s">
        <v>2246</v>
      </c>
      <c r="AF1101" t="s">
        <v>3631</v>
      </c>
      <c r="AG1101" t="s">
        <v>895</v>
      </c>
      <c r="AH1101" t="s">
        <v>2006</v>
      </c>
      <c r="AI1101">
        <v>0.51</v>
      </c>
      <c r="AJ1101">
        <v>3.29</v>
      </c>
      <c r="AK1101">
        <v>2.17</v>
      </c>
      <c r="AL1101">
        <v>3.91</v>
      </c>
    </row>
    <row r="1102" spans="1:38" x14ac:dyDescent="0.25">
      <c r="A1102">
        <v>1101</v>
      </c>
      <c r="B1102" t="str">
        <f xml:space="preserve"> "000877"</f>
        <v>000877</v>
      </c>
      <c r="C1102" t="s">
        <v>4713</v>
      </c>
      <c r="D1102">
        <v>12.79</v>
      </c>
      <c r="E1102">
        <v>2.16</v>
      </c>
      <c r="F1102">
        <v>0.27</v>
      </c>
      <c r="G1102" t="s">
        <v>232</v>
      </c>
      <c r="H1102" t="s">
        <v>1259</v>
      </c>
      <c r="I1102">
        <v>12.78</v>
      </c>
      <c r="J1102">
        <v>12.79</v>
      </c>
      <c r="K1102">
        <v>0.08</v>
      </c>
      <c r="L1102">
        <v>3.41</v>
      </c>
      <c r="M1102" t="s">
        <v>552</v>
      </c>
      <c r="N1102">
        <v>220.65</v>
      </c>
      <c r="O1102" t="s">
        <v>562</v>
      </c>
      <c r="P1102">
        <v>12.8</v>
      </c>
      <c r="Q1102">
        <v>12.53</v>
      </c>
      <c r="R1102">
        <v>12.53</v>
      </c>
      <c r="S1102">
        <v>12.52</v>
      </c>
      <c r="T1102">
        <v>2.16</v>
      </c>
      <c r="U1102">
        <v>1.24</v>
      </c>
      <c r="V1102">
        <v>-46.46</v>
      </c>
      <c r="W1102" t="s">
        <v>4714</v>
      </c>
      <c r="X1102">
        <v>12.7</v>
      </c>
      <c r="Y1102" t="s">
        <v>498</v>
      </c>
      <c r="Z1102" t="s">
        <v>2955</v>
      </c>
      <c r="AA1102">
        <v>0.57999999999999996</v>
      </c>
      <c r="AB1102">
        <v>2829</v>
      </c>
      <c r="AC1102">
        <v>1087</v>
      </c>
      <c r="AD1102">
        <v>1.87</v>
      </c>
      <c r="AE1102" t="s">
        <v>2969</v>
      </c>
      <c r="AF1102" t="s">
        <v>3631</v>
      </c>
      <c r="AG1102" t="s">
        <v>2969</v>
      </c>
      <c r="AH1102" t="s">
        <v>3631</v>
      </c>
      <c r="AI1102">
        <v>1.91</v>
      </c>
      <c r="AJ1102">
        <v>7.75</v>
      </c>
      <c r="AK1102">
        <v>9.8800000000000008</v>
      </c>
      <c r="AL1102">
        <v>17.170000000000002</v>
      </c>
    </row>
    <row r="1103" spans="1:38" x14ac:dyDescent="0.25">
      <c r="A1103">
        <v>1102</v>
      </c>
      <c r="B1103" t="str">
        <f xml:space="preserve"> "000042"</f>
        <v>000042</v>
      </c>
      <c r="C1103" t="s">
        <v>4715</v>
      </c>
      <c r="D1103">
        <v>16.91</v>
      </c>
      <c r="E1103">
        <v>0.12</v>
      </c>
      <c r="F1103">
        <v>0.02</v>
      </c>
      <c r="G1103">
        <v>4883</v>
      </c>
      <c r="H1103">
        <v>35</v>
      </c>
      <c r="I1103">
        <v>16.91</v>
      </c>
      <c r="J1103">
        <v>16.940000000000001</v>
      </c>
      <c r="K1103">
        <v>-0.24</v>
      </c>
      <c r="L1103">
        <v>0.1</v>
      </c>
      <c r="M1103" t="s">
        <v>4716</v>
      </c>
      <c r="N1103">
        <v>37.15</v>
      </c>
      <c r="O1103" t="s">
        <v>244</v>
      </c>
      <c r="P1103">
        <v>16.97</v>
      </c>
      <c r="Q1103">
        <v>16.809999999999999</v>
      </c>
      <c r="R1103">
        <v>16.97</v>
      </c>
      <c r="S1103">
        <v>16.89</v>
      </c>
      <c r="T1103">
        <v>0.95</v>
      </c>
      <c r="U1103">
        <v>0.76</v>
      </c>
      <c r="V1103">
        <v>-78.790000000000006</v>
      </c>
      <c r="W1103">
        <v>-2480</v>
      </c>
      <c r="X1103">
        <v>16.920000000000002</v>
      </c>
      <c r="Y1103">
        <v>1505</v>
      </c>
      <c r="Z1103">
        <v>3379</v>
      </c>
      <c r="AA1103">
        <v>0.45</v>
      </c>
      <c r="AB1103">
        <v>11</v>
      </c>
      <c r="AC1103">
        <v>419</v>
      </c>
      <c r="AD1103">
        <v>1.88</v>
      </c>
      <c r="AE1103" t="s">
        <v>4717</v>
      </c>
      <c r="AF1103" t="s">
        <v>2921</v>
      </c>
      <c r="AG1103" t="s">
        <v>2915</v>
      </c>
      <c r="AH1103" t="s">
        <v>4718</v>
      </c>
      <c r="AI1103">
        <v>0.18</v>
      </c>
      <c r="AJ1103">
        <v>2.2999999999999998</v>
      </c>
      <c r="AK1103">
        <v>0.35</v>
      </c>
      <c r="AL1103">
        <v>0.76</v>
      </c>
    </row>
    <row r="1104" spans="1:38" x14ac:dyDescent="0.25">
      <c r="A1104">
        <v>1103</v>
      </c>
      <c r="B1104" t="str">
        <f xml:space="preserve"> "601558"</f>
        <v>601558</v>
      </c>
      <c r="C1104" t="s">
        <v>4719</v>
      </c>
      <c r="D1104">
        <v>1.86</v>
      </c>
      <c r="E1104">
        <v>0.54</v>
      </c>
      <c r="F1104">
        <v>0.01</v>
      </c>
      <c r="G1104" t="s">
        <v>1169</v>
      </c>
      <c r="H1104">
        <v>11</v>
      </c>
      <c r="I1104">
        <v>1.85</v>
      </c>
      <c r="J1104">
        <v>1.86</v>
      </c>
      <c r="K1104">
        <v>0</v>
      </c>
      <c r="L1104">
        <v>0.5</v>
      </c>
      <c r="M1104" t="s">
        <v>4720</v>
      </c>
      <c r="N1104">
        <v>12.93</v>
      </c>
      <c r="O1104" t="s">
        <v>680</v>
      </c>
      <c r="P1104">
        <v>1.87</v>
      </c>
      <c r="Q1104">
        <v>1.85</v>
      </c>
      <c r="R1104">
        <v>1.85</v>
      </c>
      <c r="S1104">
        <v>1.85</v>
      </c>
      <c r="T1104">
        <v>1.08</v>
      </c>
      <c r="U1104">
        <v>0.67</v>
      </c>
      <c r="V1104">
        <v>-41.86</v>
      </c>
      <c r="W1104" t="s">
        <v>4721</v>
      </c>
      <c r="X1104">
        <v>1.86</v>
      </c>
      <c r="Y1104" t="s">
        <v>934</v>
      </c>
      <c r="Z1104" t="s">
        <v>844</v>
      </c>
      <c r="AA1104">
        <v>1.07</v>
      </c>
      <c r="AB1104" t="s">
        <v>2373</v>
      </c>
      <c r="AC1104" t="s">
        <v>3695</v>
      </c>
      <c r="AD1104">
        <v>6.92</v>
      </c>
      <c r="AE1104" t="s">
        <v>411</v>
      </c>
      <c r="AF1104" t="s">
        <v>2921</v>
      </c>
      <c r="AG1104" t="s">
        <v>4722</v>
      </c>
      <c r="AH1104" t="s">
        <v>702</v>
      </c>
      <c r="AI1104">
        <v>3.33</v>
      </c>
      <c r="AJ1104">
        <v>6.29</v>
      </c>
      <c r="AK1104">
        <v>2.76</v>
      </c>
      <c r="AL1104">
        <v>4.26</v>
      </c>
    </row>
    <row r="1105" spans="1:38" x14ac:dyDescent="0.25">
      <c r="A1105">
        <v>1104</v>
      </c>
      <c r="B1105" t="str">
        <f xml:space="preserve"> "600366"</f>
        <v>600366</v>
      </c>
      <c r="C1105" t="s">
        <v>4723</v>
      </c>
      <c r="D1105">
        <v>20.100000000000001</v>
      </c>
      <c r="E1105">
        <v>0.9</v>
      </c>
      <c r="F1105">
        <v>0.18</v>
      </c>
      <c r="G1105" t="s">
        <v>4724</v>
      </c>
      <c r="H1105">
        <v>99</v>
      </c>
      <c r="I1105">
        <v>20.11</v>
      </c>
      <c r="J1105">
        <v>20.12</v>
      </c>
      <c r="K1105">
        <v>0.15</v>
      </c>
      <c r="L1105">
        <v>1.19</v>
      </c>
      <c r="M1105" t="s">
        <v>2239</v>
      </c>
      <c r="N1105">
        <v>34.590000000000003</v>
      </c>
      <c r="O1105" t="s">
        <v>449</v>
      </c>
      <c r="P1105">
        <v>20.13</v>
      </c>
      <c r="Q1105">
        <v>19.88</v>
      </c>
      <c r="R1105">
        <v>19.97</v>
      </c>
      <c r="S1105">
        <v>19.920000000000002</v>
      </c>
      <c r="T1105">
        <v>1.26</v>
      </c>
      <c r="U1105">
        <v>0.53</v>
      </c>
      <c r="V1105">
        <v>-31.46</v>
      </c>
      <c r="W1105">
        <v>-586</v>
      </c>
      <c r="X1105">
        <v>20.04</v>
      </c>
      <c r="Y1105" t="s">
        <v>2116</v>
      </c>
      <c r="Z1105" t="s">
        <v>1190</v>
      </c>
      <c r="AA1105">
        <v>1.17</v>
      </c>
      <c r="AB1105">
        <v>1</v>
      </c>
      <c r="AC1105">
        <v>78</v>
      </c>
      <c r="AD1105">
        <v>2.52</v>
      </c>
      <c r="AE1105" t="s">
        <v>1941</v>
      </c>
      <c r="AF1105" t="s">
        <v>2921</v>
      </c>
      <c r="AG1105" t="s">
        <v>3917</v>
      </c>
      <c r="AH1105" t="s">
        <v>99</v>
      </c>
      <c r="AI1105">
        <v>-3.83</v>
      </c>
      <c r="AJ1105">
        <v>-3.32</v>
      </c>
      <c r="AK1105">
        <v>6.27</v>
      </c>
      <c r="AL1105">
        <v>12.49</v>
      </c>
    </row>
    <row r="1106" spans="1:38" x14ac:dyDescent="0.25">
      <c r="A1106">
        <v>1105</v>
      </c>
      <c r="B1106" t="str">
        <f xml:space="preserve"> "601101"</f>
        <v>601101</v>
      </c>
      <c r="C1106" t="s">
        <v>4725</v>
      </c>
      <c r="D1106">
        <v>9.33</v>
      </c>
      <c r="E1106">
        <v>0.97</v>
      </c>
      <c r="F1106">
        <v>0.09</v>
      </c>
      <c r="G1106" t="s">
        <v>1668</v>
      </c>
      <c r="H1106">
        <v>64</v>
      </c>
      <c r="I1106">
        <v>9.33</v>
      </c>
      <c r="J1106">
        <v>9.34</v>
      </c>
      <c r="K1106">
        <v>0</v>
      </c>
      <c r="L1106">
        <v>0.97</v>
      </c>
      <c r="M1106" t="s">
        <v>4443</v>
      </c>
      <c r="N1106">
        <v>11.65</v>
      </c>
      <c r="O1106" t="s">
        <v>150</v>
      </c>
      <c r="P1106">
        <v>9.3800000000000008</v>
      </c>
      <c r="Q1106">
        <v>9.2100000000000009</v>
      </c>
      <c r="R1106">
        <v>9.23</v>
      </c>
      <c r="S1106">
        <v>9.24</v>
      </c>
      <c r="T1106">
        <v>1.84</v>
      </c>
      <c r="U1106">
        <v>1.01</v>
      </c>
      <c r="V1106">
        <v>-65.03</v>
      </c>
      <c r="W1106">
        <v>-4763</v>
      </c>
      <c r="X1106">
        <v>9.31</v>
      </c>
      <c r="Y1106" t="s">
        <v>390</v>
      </c>
      <c r="Z1106" t="s">
        <v>3343</v>
      </c>
      <c r="AA1106">
        <v>0.79</v>
      </c>
      <c r="AB1106">
        <v>41</v>
      </c>
      <c r="AC1106">
        <v>954</v>
      </c>
      <c r="AD1106">
        <v>1.58</v>
      </c>
      <c r="AE1106" t="s">
        <v>177</v>
      </c>
      <c r="AF1106" t="s">
        <v>2921</v>
      </c>
      <c r="AG1106" t="s">
        <v>177</v>
      </c>
      <c r="AH1106" t="s">
        <v>2921</v>
      </c>
      <c r="AI1106">
        <v>0.54</v>
      </c>
      <c r="AJ1106">
        <v>-0.96</v>
      </c>
      <c r="AK1106">
        <v>3</v>
      </c>
      <c r="AL1106">
        <v>5.79</v>
      </c>
    </row>
    <row r="1107" spans="1:38" x14ac:dyDescent="0.25">
      <c r="A1107">
        <v>1106</v>
      </c>
      <c r="B1107" t="str">
        <f xml:space="preserve"> "002705"</f>
        <v>002705</v>
      </c>
      <c r="C1107" t="s">
        <v>4726</v>
      </c>
      <c r="D1107">
        <v>13.76</v>
      </c>
      <c r="E1107">
        <v>0.15</v>
      </c>
      <c r="F1107">
        <v>0.02</v>
      </c>
      <c r="G1107" t="s">
        <v>2255</v>
      </c>
      <c r="H1107">
        <v>104</v>
      </c>
      <c r="I1107">
        <v>13.76</v>
      </c>
      <c r="J1107">
        <v>13.77</v>
      </c>
      <c r="K1107">
        <v>0</v>
      </c>
      <c r="L1107">
        <v>0.74</v>
      </c>
      <c r="M1107" t="s">
        <v>4727</v>
      </c>
      <c r="N1107">
        <v>28.93</v>
      </c>
      <c r="O1107" t="s">
        <v>215</v>
      </c>
      <c r="P1107">
        <v>13.84</v>
      </c>
      <c r="Q1107">
        <v>13.68</v>
      </c>
      <c r="R1107">
        <v>13.7</v>
      </c>
      <c r="S1107">
        <v>13.74</v>
      </c>
      <c r="T1107">
        <v>1.1599999999999999</v>
      </c>
      <c r="U1107">
        <v>0.61</v>
      </c>
      <c r="V1107">
        <v>27.36</v>
      </c>
      <c r="W1107">
        <v>385</v>
      </c>
      <c r="X1107">
        <v>13.75</v>
      </c>
      <c r="Y1107" t="s">
        <v>2800</v>
      </c>
      <c r="Z1107">
        <v>5372</v>
      </c>
      <c r="AA1107">
        <v>1.95</v>
      </c>
      <c r="AB1107">
        <v>36</v>
      </c>
      <c r="AC1107">
        <v>172</v>
      </c>
      <c r="AD1107">
        <v>3.18</v>
      </c>
      <c r="AE1107" t="s">
        <v>2875</v>
      </c>
      <c r="AF1107" t="s">
        <v>2921</v>
      </c>
      <c r="AG1107" t="s">
        <v>4728</v>
      </c>
      <c r="AH1107" t="s">
        <v>2341</v>
      </c>
      <c r="AI1107">
        <v>0.51</v>
      </c>
      <c r="AJ1107">
        <v>1.1000000000000001</v>
      </c>
      <c r="AK1107">
        <v>3.39</v>
      </c>
      <c r="AL1107">
        <v>6.84</v>
      </c>
    </row>
    <row r="1108" spans="1:38" x14ac:dyDescent="0.25">
      <c r="A1108">
        <v>1107</v>
      </c>
      <c r="B1108" t="str">
        <f xml:space="preserve"> "002716"</f>
        <v>002716</v>
      </c>
      <c r="C1108" t="s">
        <v>4729</v>
      </c>
      <c r="D1108">
        <v>19.809999999999999</v>
      </c>
      <c r="E1108">
        <v>0.2</v>
      </c>
      <c r="F1108">
        <v>0.04</v>
      </c>
      <c r="G1108" t="s">
        <v>1445</v>
      </c>
      <c r="H1108">
        <v>1184</v>
      </c>
      <c r="I1108">
        <v>19.8</v>
      </c>
      <c r="J1108">
        <v>19.809999999999999</v>
      </c>
      <c r="K1108">
        <v>0.05</v>
      </c>
      <c r="L1108">
        <v>1.3</v>
      </c>
      <c r="M1108" t="s">
        <v>4730</v>
      </c>
      <c r="N1108">
        <v>47.53</v>
      </c>
      <c r="O1108" t="s">
        <v>788</v>
      </c>
      <c r="P1108">
        <v>19.82</v>
      </c>
      <c r="Q1108">
        <v>19.61</v>
      </c>
      <c r="R1108">
        <v>19.77</v>
      </c>
      <c r="S1108">
        <v>19.77</v>
      </c>
      <c r="T1108">
        <v>1.06</v>
      </c>
      <c r="U1108">
        <v>0.66</v>
      </c>
      <c r="V1108">
        <v>-47.95</v>
      </c>
      <c r="W1108">
        <v>-1155</v>
      </c>
      <c r="X1108">
        <v>19.739999999999998</v>
      </c>
      <c r="Y1108" t="s">
        <v>3590</v>
      </c>
      <c r="Z1108" t="s">
        <v>1650</v>
      </c>
      <c r="AA1108">
        <v>0.69</v>
      </c>
      <c r="AB1108">
        <v>66</v>
      </c>
      <c r="AC1108">
        <v>42</v>
      </c>
      <c r="AD1108">
        <v>3.3</v>
      </c>
      <c r="AE1108" t="s">
        <v>2117</v>
      </c>
      <c r="AF1108" t="s">
        <v>2921</v>
      </c>
      <c r="AG1108" t="s">
        <v>4731</v>
      </c>
      <c r="AH1108" t="s">
        <v>4732</v>
      </c>
      <c r="AI1108">
        <v>1.43</v>
      </c>
      <c r="AJ1108">
        <v>3.28</v>
      </c>
      <c r="AK1108">
        <v>6.08</v>
      </c>
      <c r="AL1108">
        <v>11.18</v>
      </c>
    </row>
    <row r="1109" spans="1:38" x14ac:dyDescent="0.25">
      <c r="A1109">
        <v>1108</v>
      </c>
      <c r="B1109" t="str">
        <f xml:space="preserve"> "600076"</f>
        <v>600076</v>
      </c>
      <c r="C1109" t="s">
        <v>4733</v>
      </c>
      <c r="D1109">
        <v>10.8</v>
      </c>
      <c r="E1109">
        <v>1.03</v>
      </c>
      <c r="F1109">
        <v>0.11</v>
      </c>
      <c r="G1109" t="s">
        <v>148</v>
      </c>
      <c r="H1109">
        <v>10</v>
      </c>
      <c r="I1109">
        <v>10.79</v>
      </c>
      <c r="J1109">
        <v>10.8</v>
      </c>
      <c r="K1109">
        <v>0.09</v>
      </c>
      <c r="L1109">
        <v>1.68</v>
      </c>
      <c r="M1109" t="s">
        <v>1757</v>
      </c>
      <c r="N1109">
        <v>24.19</v>
      </c>
      <c r="O1109" t="s">
        <v>1469</v>
      </c>
      <c r="P1109">
        <v>10.81</v>
      </c>
      <c r="Q1109">
        <v>10.57</v>
      </c>
      <c r="R1109">
        <v>10.67</v>
      </c>
      <c r="S1109">
        <v>10.69</v>
      </c>
      <c r="T1109">
        <v>2.25</v>
      </c>
      <c r="U1109">
        <v>1.1499999999999999</v>
      </c>
      <c r="V1109">
        <v>-32.94</v>
      </c>
      <c r="W1109">
        <v>-3296</v>
      </c>
      <c r="X1109">
        <v>10.73</v>
      </c>
      <c r="Y1109" t="s">
        <v>2143</v>
      </c>
      <c r="Z1109" t="s">
        <v>3100</v>
      </c>
      <c r="AA1109">
        <v>0.57999999999999996</v>
      </c>
      <c r="AB1109">
        <v>90</v>
      </c>
      <c r="AC1109">
        <v>489</v>
      </c>
      <c r="AD1109">
        <v>3.54</v>
      </c>
      <c r="AE1109" t="s">
        <v>707</v>
      </c>
      <c r="AF1109" t="s">
        <v>2921</v>
      </c>
      <c r="AG1109" t="s">
        <v>2262</v>
      </c>
      <c r="AH1109" t="s">
        <v>4734</v>
      </c>
      <c r="AI1109">
        <v>1.6</v>
      </c>
      <c r="AJ1109">
        <v>0.84</v>
      </c>
      <c r="AK1109">
        <v>4.29</v>
      </c>
      <c r="AL1109">
        <v>8.98</v>
      </c>
    </row>
    <row r="1110" spans="1:38" x14ac:dyDescent="0.25">
      <c r="A1110">
        <v>1109</v>
      </c>
      <c r="B1110" t="str">
        <f xml:space="preserve"> "002427"</f>
        <v>002427</v>
      </c>
      <c r="C1110" t="s">
        <v>4735</v>
      </c>
      <c r="D1110">
        <v>28.05</v>
      </c>
      <c r="E1110">
        <v>-0.71</v>
      </c>
      <c r="F1110">
        <v>-0.2</v>
      </c>
      <c r="G1110" t="s">
        <v>4183</v>
      </c>
      <c r="H1110">
        <v>1306</v>
      </c>
      <c r="I1110">
        <v>28.04</v>
      </c>
      <c r="J1110">
        <v>28.05</v>
      </c>
      <c r="K1110">
        <v>0</v>
      </c>
      <c r="L1110">
        <v>1.64</v>
      </c>
      <c r="M1110" t="s">
        <v>3201</v>
      </c>
      <c r="N1110">
        <v>45.46</v>
      </c>
      <c r="O1110" t="s">
        <v>1798</v>
      </c>
      <c r="P1110">
        <v>28.73</v>
      </c>
      <c r="Q1110">
        <v>27.83</v>
      </c>
      <c r="R1110">
        <v>28.15</v>
      </c>
      <c r="S1110">
        <v>28.25</v>
      </c>
      <c r="T1110">
        <v>3.19</v>
      </c>
      <c r="U1110">
        <v>0.42</v>
      </c>
      <c r="V1110">
        <v>7.42</v>
      </c>
      <c r="W1110">
        <v>125</v>
      </c>
      <c r="X1110">
        <v>28.22</v>
      </c>
      <c r="Y1110" t="s">
        <v>2180</v>
      </c>
      <c r="Z1110" t="s">
        <v>1374</v>
      </c>
      <c r="AA1110">
        <v>1.51</v>
      </c>
      <c r="AB1110">
        <v>98</v>
      </c>
      <c r="AC1110">
        <v>305</v>
      </c>
      <c r="AD1110">
        <v>4.82</v>
      </c>
      <c r="AE1110" t="s">
        <v>4736</v>
      </c>
      <c r="AF1110" t="s">
        <v>2921</v>
      </c>
      <c r="AG1110" t="s">
        <v>4736</v>
      </c>
      <c r="AH1110" t="s">
        <v>2921</v>
      </c>
      <c r="AI1110">
        <v>0.97</v>
      </c>
      <c r="AJ1110">
        <v>7.84</v>
      </c>
      <c r="AK1110">
        <v>7.95</v>
      </c>
      <c r="AL1110">
        <v>21.02</v>
      </c>
    </row>
    <row r="1111" spans="1:38" x14ac:dyDescent="0.25">
      <c r="A1111">
        <v>1110</v>
      </c>
      <c r="B1111" t="str">
        <f xml:space="preserve"> "000829"</f>
        <v>000829</v>
      </c>
      <c r="C1111" t="s">
        <v>4737</v>
      </c>
      <c r="D1111">
        <v>11.64</v>
      </c>
      <c r="E1111">
        <v>1.39</v>
      </c>
      <c r="F1111">
        <v>0.16</v>
      </c>
      <c r="G1111" t="s">
        <v>95</v>
      </c>
      <c r="H1111">
        <v>2542</v>
      </c>
      <c r="I1111">
        <v>11.64</v>
      </c>
      <c r="J1111">
        <v>11.65</v>
      </c>
      <c r="K1111">
        <v>0</v>
      </c>
      <c r="L1111">
        <v>2.7</v>
      </c>
      <c r="M1111" t="s">
        <v>2173</v>
      </c>
      <c r="N1111">
        <v>962.7</v>
      </c>
      <c r="O1111" t="s">
        <v>580</v>
      </c>
      <c r="P1111">
        <v>11.85</v>
      </c>
      <c r="Q1111">
        <v>11.32</v>
      </c>
      <c r="R1111">
        <v>11.35</v>
      </c>
      <c r="S1111">
        <v>11.48</v>
      </c>
      <c r="T1111">
        <v>4.62</v>
      </c>
      <c r="U1111">
        <v>1.01</v>
      </c>
      <c r="V1111">
        <v>-35.840000000000003</v>
      </c>
      <c r="W1111">
        <v>-2372</v>
      </c>
      <c r="X1111">
        <v>11.6</v>
      </c>
      <c r="Y1111" t="s">
        <v>778</v>
      </c>
      <c r="Z1111" t="s">
        <v>1627</v>
      </c>
      <c r="AA1111">
        <v>1.07</v>
      </c>
      <c r="AB1111">
        <v>846</v>
      </c>
      <c r="AC1111">
        <v>1832</v>
      </c>
      <c r="AD1111">
        <v>4.9800000000000004</v>
      </c>
      <c r="AE1111" t="s">
        <v>4738</v>
      </c>
      <c r="AF1111" t="s">
        <v>2921</v>
      </c>
      <c r="AG1111" t="s">
        <v>3406</v>
      </c>
      <c r="AH1111" t="s">
        <v>1982</v>
      </c>
      <c r="AI1111">
        <v>4.68</v>
      </c>
      <c r="AJ1111">
        <v>14.91</v>
      </c>
      <c r="AK1111">
        <v>8.7799999999999994</v>
      </c>
      <c r="AL1111">
        <v>16.079999999999998</v>
      </c>
    </row>
    <row r="1112" spans="1:38" x14ac:dyDescent="0.25">
      <c r="A1112">
        <v>1111</v>
      </c>
      <c r="B1112" t="str">
        <f xml:space="preserve"> "603989"</f>
        <v>603989</v>
      </c>
      <c r="C1112" t="s">
        <v>4739</v>
      </c>
      <c r="D1112">
        <v>37.22</v>
      </c>
      <c r="E1112">
        <v>-0.53</v>
      </c>
      <c r="F1112">
        <v>-0.2</v>
      </c>
      <c r="G1112" t="s">
        <v>3095</v>
      </c>
      <c r="H1112">
        <v>2</v>
      </c>
      <c r="I1112">
        <v>37.17</v>
      </c>
      <c r="J1112">
        <v>37.200000000000003</v>
      </c>
      <c r="K1112">
        <v>0.05</v>
      </c>
      <c r="L1112">
        <v>1.38</v>
      </c>
      <c r="M1112" t="s">
        <v>4740</v>
      </c>
      <c r="N1112">
        <v>36.07</v>
      </c>
      <c r="O1112" t="s">
        <v>380</v>
      </c>
      <c r="P1112">
        <v>37.520000000000003</v>
      </c>
      <c r="Q1112">
        <v>36.9</v>
      </c>
      <c r="R1112">
        <v>37.520000000000003</v>
      </c>
      <c r="S1112">
        <v>37.42</v>
      </c>
      <c r="T1112">
        <v>1.66</v>
      </c>
      <c r="U1112">
        <v>0.88</v>
      </c>
      <c r="V1112">
        <v>-26.32</v>
      </c>
      <c r="W1112">
        <v>-65</v>
      </c>
      <c r="X1112">
        <v>37.049999999999997</v>
      </c>
      <c r="Y1112">
        <v>8041</v>
      </c>
      <c r="Z1112">
        <v>3606</v>
      </c>
      <c r="AA1112">
        <v>2.23</v>
      </c>
      <c r="AB1112">
        <v>7</v>
      </c>
      <c r="AC1112">
        <v>8</v>
      </c>
      <c r="AD1112">
        <v>6.58</v>
      </c>
      <c r="AE1112" t="s">
        <v>950</v>
      </c>
      <c r="AF1112" t="s">
        <v>2921</v>
      </c>
      <c r="AG1112" t="s">
        <v>4741</v>
      </c>
      <c r="AH1112" t="s">
        <v>1944</v>
      </c>
      <c r="AI1112">
        <v>1.33</v>
      </c>
      <c r="AJ1112">
        <v>3.3</v>
      </c>
      <c r="AK1112">
        <v>5.6</v>
      </c>
      <c r="AL1112">
        <v>9.26</v>
      </c>
    </row>
    <row r="1113" spans="1:38" x14ac:dyDescent="0.25">
      <c r="A1113">
        <v>1112</v>
      </c>
      <c r="B1113" t="str">
        <f xml:space="preserve"> "000687"</f>
        <v>000687</v>
      </c>
      <c r="C1113" t="s">
        <v>4742</v>
      </c>
      <c r="D1113">
        <v>14.53</v>
      </c>
      <c r="E1113">
        <v>0.97</v>
      </c>
      <c r="F1113">
        <v>0.14000000000000001</v>
      </c>
      <c r="G1113" t="s">
        <v>1814</v>
      </c>
      <c r="H1113">
        <v>3743</v>
      </c>
      <c r="I1113">
        <v>14.53</v>
      </c>
      <c r="J1113">
        <v>14.54</v>
      </c>
      <c r="K1113">
        <v>0.48</v>
      </c>
      <c r="L1113">
        <v>1.9</v>
      </c>
      <c r="M1113" t="s">
        <v>2106</v>
      </c>
      <c r="N1113">
        <v>86.78</v>
      </c>
      <c r="O1113" t="s">
        <v>580</v>
      </c>
      <c r="P1113">
        <v>14.53</v>
      </c>
      <c r="Q1113">
        <v>14.12</v>
      </c>
      <c r="R1113">
        <v>14.35</v>
      </c>
      <c r="S1113">
        <v>14.39</v>
      </c>
      <c r="T1113">
        <v>2.85</v>
      </c>
      <c r="U1113">
        <v>0.89</v>
      </c>
      <c r="V1113">
        <v>82.05</v>
      </c>
      <c r="W1113">
        <v>3173</v>
      </c>
      <c r="X1113">
        <v>14.26</v>
      </c>
      <c r="Y1113" t="s">
        <v>3050</v>
      </c>
      <c r="Z1113" t="s">
        <v>1315</v>
      </c>
      <c r="AA1113">
        <v>1.22</v>
      </c>
      <c r="AB1113">
        <v>1848</v>
      </c>
      <c r="AC1113">
        <v>15</v>
      </c>
      <c r="AD1113">
        <v>7.51</v>
      </c>
      <c r="AE1113" t="s">
        <v>4071</v>
      </c>
      <c r="AF1113" t="s">
        <v>1982</v>
      </c>
      <c r="AG1113" t="s">
        <v>1220</v>
      </c>
      <c r="AH1113" t="s">
        <v>4743</v>
      </c>
      <c r="AI1113">
        <v>2.4</v>
      </c>
      <c r="AJ1113">
        <v>0.9</v>
      </c>
      <c r="AK1113">
        <v>5.99</v>
      </c>
      <c r="AL1113">
        <v>12.63</v>
      </c>
    </row>
    <row r="1114" spans="1:38" x14ac:dyDescent="0.25">
      <c r="A1114">
        <v>1113</v>
      </c>
      <c r="B1114" t="str">
        <f xml:space="preserve"> "000592"</f>
        <v>000592</v>
      </c>
      <c r="C1114" t="s">
        <v>4744</v>
      </c>
      <c r="D1114" t="s">
        <v>616</v>
      </c>
      <c r="E1114" t="s">
        <v>616</v>
      </c>
      <c r="F1114" t="s">
        <v>616</v>
      </c>
      <c r="G1114" t="s">
        <v>616</v>
      </c>
      <c r="H1114" t="s">
        <v>616</v>
      </c>
      <c r="I1114" t="s">
        <v>616</v>
      </c>
      <c r="J1114" t="s">
        <v>616</v>
      </c>
      <c r="K1114" t="s">
        <v>616</v>
      </c>
      <c r="L1114" t="s">
        <v>616</v>
      </c>
      <c r="M1114" t="s">
        <v>616</v>
      </c>
      <c r="N1114">
        <v>1665.37</v>
      </c>
      <c r="O1114" t="s">
        <v>1469</v>
      </c>
      <c r="P1114" t="s">
        <v>616</v>
      </c>
      <c r="Q1114" t="s">
        <v>616</v>
      </c>
      <c r="R1114" t="s">
        <v>616</v>
      </c>
      <c r="S1114">
        <v>5.75</v>
      </c>
      <c r="T1114" t="s">
        <v>616</v>
      </c>
      <c r="U1114" t="s">
        <v>616</v>
      </c>
      <c r="V1114" t="s">
        <v>616</v>
      </c>
      <c r="W1114" t="s">
        <v>616</v>
      </c>
      <c r="X1114" t="s">
        <v>616</v>
      </c>
      <c r="Y1114" t="s">
        <v>616</v>
      </c>
      <c r="Z1114" t="s">
        <v>616</v>
      </c>
      <c r="AA1114" t="s">
        <v>616</v>
      </c>
      <c r="AB1114" t="s">
        <v>616</v>
      </c>
      <c r="AC1114" t="s">
        <v>616</v>
      </c>
      <c r="AD1114">
        <v>3.51</v>
      </c>
      <c r="AE1114" t="s">
        <v>886</v>
      </c>
      <c r="AF1114" t="s">
        <v>1982</v>
      </c>
      <c r="AG1114" t="s">
        <v>784</v>
      </c>
      <c r="AH1114" t="s">
        <v>173</v>
      </c>
      <c r="AI1114">
        <v>0</v>
      </c>
      <c r="AJ1114">
        <v>0</v>
      </c>
      <c r="AK1114">
        <v>0</v>
      </c>
      <c r="AL1114">
        <v>0</v>
      </c>
    </row>
    <row r="1115" spans="1:38" x14ac:dyDescent="0.25">
      <c r="A1115">
        <v>1114</v>
      </c>
      <c r="B1115" t="str">
        <f xml:space="preserve"> "601777"</f>
        <v>601777</v>
      </c>
      <c r="C1115" t="s">
        <v>4745</v>
      </c>
      <c r="D1115">
        <v>8.98</v>
      </c>
      <c r="E1115">
        <v>1.35</v>
      </c>
      <c r="F1115">
        <v>0.12</v>
      </c>
      <c r="G1115" t="s">
        <v>3469</v>
      </c>
      <c r="H1115">
        <v>38</v>
      </c>
      <c r="I1115">
        <v>8.98</v>
      </c>
      <c r="J1115">
        <v>8.99</v>
      </c>
      <c r="K1115">
        <v>-0.11</v>
      </c>
      <c r="L1115">
        <v>1.27</v>
      </c>
      <c r="M1115" t="s">
        <v>3110</v>
      </c>
      <c r="N1115">
        <v>45.9</v>
      </c>
      <c r="O1115" t="s">
        <v>169</v>
      </c>
      <c r="P1115">
        <v>9.0399999999999991</v>
      </c>
      <c r="Q1115">
        <v>8.82</v>
      </c>
      <c r="R1115">
        <v>8.89</v>
      </c>
      <c r="S1115">
        <v>8.86</v>
      </c>
      <c r="T1115">
        <v>2.48</v>
      </c>
      <c r="U1115">
        <v>0.54</v>
      </c>
      <c r="V1115">
        <v>-3.37</v>
      </c>
      <c r="W1115">
        <v>-415</v>
      </c>
      <c r="X1115">
        <v>8.91</v>
      </c>
      <c r="Y1115" t="s">
        <v>4121</v>
      </c>
      <c r="Z1115" t="s">
        <v>1568</v>
      </c>
      <c r="AA1115">
        <v>0.98</v>
      </c>
      <c r="AB1115">
        <v>487</v>
      </c>
      <c r="AC1115">
        <v>125</v>
      </c>
      <c r="AD1115">
        <v>1.66</v>
      </c>
      <c r="AE1115" t="s">
        <v>361</v>
      </c>
      <c r="AF1115" t="s">
        <v>1982</v>
      </c>
      <c r="AG1115" t="s">
        <v>361</v>
      </c>
      <c r="AH1115" t="s">
        <v>1982</v>
      </c>
      <c r="AI1115">
        <v>-1.54</v>
      </c>
      <c r="AJ1115">
        <v>1.47</v>
      </c>
      <c r="AK1115">
        <v>5.0999999999999996</v>
      </c>
      <c r="AL1115">
        <v>13.03</v>
      </c>
    </row>
    <row r="1116" spans="1:38" x14ac:dyDescent="0.25">
      <c r="A1116">
        <v>1115</v>
      </c>
      <c r="B1116" t="str">
        <f xml:space="preserve"> "002677"</f>
        <v>002677</v>
      </c>
      <c r="C1116" t="s">
        <v>4746</v>
      </c>
      <c r="D1116">
        <v>17.190000000000001</v>
      </c>
      <c r="E1116">
        <v>1.72</v>
      </c>
      <c r="F1116">
        <v>0.28999999999999998</v>
      </c>
      <c r="G1116" t="s">
        <v>4431</v>
      </c>
      <c r="H1116">
        <v>215</v>
      </c>
      <c r="I1116">
        <v>17.18</v>
      </c>
      <c r="J1116">
        <v>17.190000000000001</v>
      </c>
      <c r="K1116">
        <v>0.17</v>
      </c>
      <c r="L1116">
        <v>1.1499999999999999</v>
      </c>
      <c r="M1116" t="s">
        <v>4747</v>
      </c>
      <c r="N1116">
        <v>55.98</v>
      </c>
      <c r="O1116" t="s">
        <v>215</v>
      </c>
      <c r="P1116">
        <v>17.29</v>
      </c>
      <c r="Q1116">
        <v>16.78</v>
      </c>
      <c r="R1116">
        <v>16.940000000000001</v>
      </c>
      <c r="S1116">
        <v>16.899999999999999</v>
      </c>
      <c r="T1116">
        <v>3.02</v>
      </c>
      <c r="U1116">
        <v>0.99</v>
      </c>
      <c r="V1116">
        <v>-30.02</v>
      </c>
      <c r="W1116">
        <v>-270</v>
      </c>
      <c r="X1116">
        <v>17.079999999999998</v>
      </c>
      <c r="Y1116" t="s">
        <v>1077</v>
      </c>
      <c r="Z1116" t="s">
        <v>4374</v>
      </c>
      <c r="AA1116">
        <v>0.69</v>
      </c>
      <c r="AB1116">
        <v>17</v>
      </c>
      <c r="AC1116">
        <v>194</v>
      </c>
      <c r="AD1116">
        <v>10.44</v>
      </c>
      <c r="AE1116" t="s">
        <v>3611</v>
      </c>
      <c r="AF1116" t="s">
        <v>1982</v>
      </c>
      <c r="AG1116" t="s">
        <v>3227</v>
      </c>
      <c r="AH1116" t="s">
        <v>2352</v>
      </c>
      <c r="AI1116">
        <v>3.87</v>
      </c>
      <c r="AJ1116">
        <v>7.57</v>
      </c>
      <c r="AK1116">
        <v>4.1100000000000003</v>
      </c>
      <c r="AL1116">
        <v>6.95</v>
      </c>
    </row>
    <row r="1117" spans="1:38" x14ac:dyDescent="0.25">
      <c r="A1117">
        <v>1116</v>
      </c>
      <c r="B1117" t="str">
        <f xml:space="preserve"> "603103"</f>
        <v>603103</v>
      </c>
      <c r="C1117" t="s">
        <v>4748</v>
      </c>
      <c r="D1117">
        <v>24.48</v>
      </c>
      <c r="E1117">
        <v>10.02</v>
      </c>
      <c r="F1117">
        <v>2.23</v>
      </c>
      <c r="G1117">
        <v>51</v>
      </c>
      <c r="H1117">
        <v>10</v>
      </c>
      <c r="I1117">
        <v>24.48</v>
      </c>
      <c r="J1117" t="s">
        <v>616</v>
      </c>
      <c r="K1117">
        <v>0</v>
      </c>
      <c r="L1117">
        <v>0.01</v>
      </c>
      <c r="M1117" t="s">
        <v>194</v>
      </c>
      <c r="N1117">
        <v>27.26</v>
      </c>
      <c r="O1117" t="s">
        <v>1126</v>
      </c>
      <c r="P1117">
        <v>24.48</v>
      </c>
      <c r="Q1117">
        <v>24.48</v>
      </c>
      <c r="R1117">
        <v>24.48</v>
      </c>
      <c r="S1117">
        <v>22.25</v>
      </c>
      <c r="T1117">
        <v>0</v>
      </c>
      <c r="U1117">
        <v>0.28000000000000003</v>
      </c>
      <c r="V1117">
        <v>100</v>
      </c>
      <c r="W1117" t="s">
        <v>1356</v>
      </c>
      <c r="X1117">
        <v>24.48</v>
      </c>
      <c r="Y1117">
        <v>51</v>
      </c>
      <c r="Z1117">
        <v>0</v>
      </c>
      <c r="AA1117">
        <v>1</v>
      </c>
      <c r="AB1117" t="s">
        <v>882</v>
      </c>
      <c r="AC1117">
        <v>0</v>
      </c>
      <c r="AD1117">
        <v>4.08</v>
      </c>
      <c r="AE1117" t="s">
        <v>112</v>
      </c>
      <c r="AF1117" t="s">
        <v>1982</v>
      </c>
      <c r="AG1117" t="s">
        <v>4720</v>
      </c>
      <c r="AH1117" t="s">
        <v>2828</v>
      </c>
      <c r="AI1117">
        <v>32.04</v>
      </c>
      <c r="AJ1117">
        <v>32.04</v>
      </c>
      <c r="AK1117">
        <v>0.04</v>
      </c>
      <c r="AL1117">
        <v>0.04</v>
      </c>
    </row>
    <row r="1118" spans="1:38" x14ac:dyDescent="0.25">
      <c r="A1118">
        <v>1117</v>
      </c>
      <c r="B1118" t="str">
        <f xml:space="preserve"> "002596"</f>
        <v>002596</v>
      </c>
      <c r="C1118" t="s">
        <v>4749</v>
      </c>
      <c r="D1118">
        <v>11.36</v>
      </c>
      <c r="E1118">
        <v>4.8899999999999997</v>
      </c>
      <c r="F1118">
        <v>0.53</v>
      </c>
      <c r="G1118" t="s">
        <v>2037</v>
      </c>
      <c r="H1118">
        <v>3071</v>
      </c>
      <c r="I1118">
        <v>11.36</v>
      </c>
      <c r="J1118">
        <v>11.37</v>
      </c>
      <c r="K1118">
        <v>0.09</v>
      </c>
      <c r="L1118">
        <v>3.44</v>
      </c>
      <c r="M1118" t="s">
        <v>4750</v>
      </c>
      <c r="N1118">
        <v>83.06</v>
      </c>
      <c r="O1118" t="s">
        <v>562</v>
      </c>
      <c r="P1118">
        <v>11.49</v>
      </c>
      <c r="Q1118">
        <v>10.9</v>
      </c>
      <c r="R1118">
        <v>10.9</v>
      </c>
      <c r="S1118">
        <v>10.83</v>
      </c>
      <c r="T1118">
        <v>5.45</v>
      </c>
      <c r="U1118">
        <v>0.97</v>
      </c>
      <c r="V1118">
        <v>-5.97</v>
      </c>
      <c r="W1118">
        <v>-504</v>
      </c>
      <c r="X1118">
        <v>11.24</v>
      </c>
      <c r="Y1118" t="s">
        <v>825</v>
      </c>
      <c r="Z1118" t="s">
        <v>1772</v>
      </c>
      <c r="AA1118">
        <v>0.74</v>
      </c>
      <c r="AB1118">
        <v>2574</v>
      </c>
      <c r="AC1118">
        <v>251</v>
      </c>
      <c r="AD1118">
        <v>5.0599999999999996</v>
      </c>
      <c r="AE1118" t="s">
        <v>4751</v>
      </c>
      <c r="AF1118" t="s">
        <v>1982</v>
      </c>
      <c r="AG1118" t="s">
        <v>3544</v>
      </c>
      <c r="AH1118" t="s">
        <v>3576</v>
      </c>
      <c r="AI1118">
        <v>5.19</v>
      </c>
      <c r="AJ1118">
        <v>14.75</v>
      </c>
      <c r="AK1118">
        <v>10.53</v>
      </c>
      <c r="AL1118">
        <v>21.18</v>
      </c>
    </row>
    <row r="1119" spans="1:38" x14ac:dyDescent="0.25">
      <c r="A1119">
        <v>1118</v>
      </c>
      <c r="B1119" t="str">
        <f xml:space="preserve"> "603111"</f>
        <v>603111</v>
      </c>
      <c r="C1119" t="s">
        <v>4752</v>
      </c>
      <c r="D1119">
        <v>14.98</v>
      </c>
      <c r="E1119">
        <v>0.94</v>
      </c>
      <c r="F1119">
        <v>0.14000000000000001</v>
      </c>
      <c r="G1119" t="s">
        <v>1668</v>
      </c>
      <c r="H1119">
        <v>17</v>
      </c>
      <c r="I1119">
        <v>14.97</v>
      </c>
      <c r="J1119">
        <v>14.99</v>
      </c>
      <c r="K1119">
        <v>0.13</v>
      </c>
      <c r="L1119">
        <v>2.44</v>
      </c>
      <c r="M1119" t="s">
        <v>3310</v>
      </c>
      <c r="N1119">
        <v>48.08</v>
      </c>
      <c r="O1119" t="s">
        <v>253</v>
      </c>
      <c r="P1119">
        <v>15.44</v>
      </c>
      <c r="Q1119">
        <v>14.81</v>
      </c>
      <c r="R1119">
        <v>15.06</v>
      </c>
      <c r="S1119">
        <v>14.84</v>
      </c>
      <c r="T1119">
        <v>4.25</v>
      </c>
      <c r="U1119">
        <v>1.73</v>
      </c>
      <c r="V1119">
        <v>58.56</v>
      </c>
      <c r="W1119">
        <v>2465</v>
      </c>
      <c r="X1119">
        <v>15.11</v>
      </c>
      <c r="Y1119" t="s">
        <v>4753</v>
      </c>
      <c r="Z1119" t="s">
        <v>4198</v>
      </c>
      <c r="AA1119">
        <v>1.36</v>
      </c>
      <c r="AB1119">
        <v>106</v>
      </c>
      <c r="AC1119">
        <v>400</v>
      </c>
      <c r="AD1119">
        <v>7.97</v>
      </c>
      <c r="AE1119" t="s">
        <v>4206</v>
      </c>
      <c r="AF1119" t="s">
        <v>1982</v>
      </c>
      <c r="AG1119" t="s">
        <v>4754</v>
      </c>
      <c r="AH1119" t="s">
        <v>2439</v>
      </c>
      <c r="AI1119">
        <v>0</v>
      </c>
      <c r="AJ1119">
        <v>0</v>
      </c>
      <c r="AK1119">
        <v>2.44</v>
      </c>
      <c r="AL1119">
        <v>2.44</v>
      </c>
    </row>
    <row r="1120" spans="1:38" x14ac:dyDescent="0.25">
      <c r="A1120">
        <v>1119</v>
      </c>
      <c r="B1120" t="str">
        <f xml:space="preserve"> "601366"</f>
        <v>601366</v>
      </c>
      <c r="C1120" t="s">
        <v>4755</v>
      </c>
      <c r="D1120">
        <v>12.85</v>
      </c>
      <c r="E1120">
        <v>1.18</v>
      </c>
      <c r="F1120">
        <v>0.15</v>
      </c>
      <c r="G1120" t="s">
        <v>949</v>
      </c>
      <c r="H1120">
        <v>70</v>
      </c>
      <c r="I1120">
        <v>12.84</v>
      </c>
      <c r="J1120">
        <v>12.85</v>
      </c>
      <c r="K1120">
        <v>-0.08</v>
      </c>
      <c r="L1120">
        <v>4.63</v>
      </c>
      <c r="M1120" t="s">
        <v>1718</v>
      </c>
      <c r="N1120">
        <v>26.49</v>
      </c>
      <c r="O1120" t="s">
        <v>532</v>
      </c>
      <c r="P1120">
        <v>12.92</v>
      </c>
      <c r="Q1120">
        <v>12.61</v>
      </c>
      <c r="R1120">
        <v>12.68</v>
      </c>
      <c r="S1120">
        <v>12.7</v>
      </c>
      <c r="T1120">
        <v>2.44</v>
      </c>
      <c r="U1120">
        <v>1.55</v>
      </c>
      <c r="V1120">
        <v>-48.66</v>
      </c>
      <c r="W1120">
        <v>-1716</v>
      </c>
      <c r="X1120">
        <v>12.8</v>
      </c>
      <c r="Y1120" t="s">
        <v>3189</v>
      </c>
      <c r="Z1120" t="s">
        <v>3171</v>
      </c>
      <c r="AA1120">
        <v>0.67</v>
      </c>
      <c r="AB1120">
        <v>219</v>
      </c>
      <c r="AC1120">
        <v>73</v>
      </c>
      <c r="AD1120">
        <v>2.54</v>
      </c>
      <c r="AE1120" t="s">
        <v>1168</v>
      </c>
      <c r="AF1120" t="s">
        <v>1982</v>
      </c>
      <c r="AG1120" t="s">
        <v>2861</v>
      </c>
      <c r="AH1120" t="s">
        <v>1720</v>
      </c>
      <c r="AI1120">
        <v>1.26</v>
      </c>
      <c r="AJ1120">
        <v>4.9800000000000004</v>
      </c>
      <c r="AK1120">
        <v>11.71</v>
      </c>
      <c r="AL1120">
        <v>19.559999999999999</v>
      </c>
    </row>
    <row r="1121" spans="1:38" x14ac:dyDescent="0.25">
      <c r="A1121">
        <v>1120</v>
      </c>
      <c r="B1121" t="str">
        <f xml:space="preserve"> "600067"</f>
        <v>600067</v>
      </c>
      <c r="C1121" t="s">
        <v>4756</v>
      </c>
      <c r="D1121">
        <v>7.41</v>
      </c>
      <c r="E1121">
        <v>0.41</v>
      </c>
      <c r="F1121">
        <v>0.03</v>
      </c>
      <c r="G1121" t="s">
        <v>152</v>
      </c>
      <c r="H1121">
        <v>20</v>
      </c>
      <c r="I1121">
        <v>7.41</v>
      </c>
      <c r="J1121">
        <v>7.42</v>
      </c>
      <c r="K1121">
        <v>-0.13</v>
      </c>
      <c r="L1121">
        <v>0.51</v>
      </c>
      <c r="M1121" t="s">
        <v>4757</v>
      </c>
      <c r="N1121">
        <v>10.81</v>
      </c>
      <c r="O1121" t="s">
        <v>244</v>
      </c>
      <c r="P1121">
        <v>7.44</v>
      </c>
      <c r="Q1121">
        <v>7.36</v>
      </c>
      <c r="R1121">
        <v>7.38</v>
      </c>
      <c r="S1121">
        <v>7.38</v>
      </c>
      <c r="T1121">
        <v>1.08</v>
      </c>
      <c r="U1121">
        <v>0.76</v>
      </c>
      <c r="V1121">
        <v>-15</v>
      </c>
      <c r="W1121">
        <v>-1398</v>
      </c>
      <c r="X1121">
        <v>7.41</v>
      </c>
      <c r="Y1121" t="s">
        <v>915</v>
      </c>
      <c r="Z1121" t="s">
        <v>2180</v>
      </c>
      <c r="AA1121">
        <v>0.95</v>
      </c>
      <c r="AB1121">
        <v>168</v>
      </c>
      <c r="AC1121">
        <v>165</v>
      </c>
      <c r="AD1121">
        <v>1.54</v>
      </c>
      <c r="AE1121" t="s">
        <v>2945</v>
      </c>
      <c r="AF1121" t="s">
        <v>1982</v>
      </c>
      <c r="AG1121" t="s">
        <v>2945</v>
      </c>
      <c r="AH1121" t="s">
        <v>1982</v>
      </c>
      <c r="AI1121">
        <v>-1.72</v>
      </c>
      <c r="AJ1121">
        <v>0.54</v>
      </c>
      <c r="AK1121">
        <v>1.92</v>
      </c>
      <c r="AL1121">
        <v>3.9</v>
      </c>
    </row>
    <row r="1122" spans="1:38" x14ac:dyDescent="0.25">
      <c r="A1122">
        <v>1121</v>
      </c>
      <c r="B1122" t="str">
        <f xml:space="preserve"> "603169"</f>
        <v>603169</v>
      </c>
      <c r="C1122" t="s">
        <v>4758</v>
      </c>
      <c r="D1122" t="s">
        <v>616</v>
      </c>
      <c r="E1122" t="s">
        <v>616</v>
      </c>
      <c r="F1122" t="s">
        <v>616</v>
      </c>
      <c r="G1122" t="s">
        <v>616</v>
      </c>
      <c r="H1122" t="s">
        <v>616</v>
      </c>
      <c r="I1122" t="s">
        <v>616</v>
      </c>
      <c r="J1122" t="s">
        <v>616</v>
      </c>
      <c r="K1122" t="s">
        <v>616</v>
      </c>
      <c r="L1122" t="s">
        <v>616</v>
      </c>
      <c r="M1122" t="s">
        <v>616</v>
      </c>
      <c r="N1122">
        <v>452.28</v>
      </c>
      <c r="O1122" t="s">
        <v>2647</v>
      </c>
      <c r="P1122" t="s">
        <v>616</v>
      </c>
      <c r="Q1122" t="s">
        <v>616</v>
      </c>
      <c r="R1122" t="s">
        <v>616</v>
      </c>
      <c r="S1122">
        <v>10.77</v>
      </c>
      <c r="T1122" t="s">
        <v>616</v>
      </c>
      <c r="U1122" t="s">
        <v>616</v>
      </c>
      <c r="V1122" t="s">
        <v>616</v>
      </c>
      <c r="W1122" t="s">
        <v>616</v>
      </c>
      <c r="X1122" t="s">
        <v>616</v>
      </c>
      <c r="Y1122" t="s">
        <v>616</v>
      </c>
      <c r="Z1122" t="s">
        <v>616</v>
      </c>
      <c r="AA1122" t="s">
        <v>616</v>
      </c>
      <c r="AB1122" t="s">
        <v>616</v>
      </c>
      <c r="AC1122" t="s">
        <v>616</v>
      </c>
      <c r="AD1122">
        <v>3.7</v>
      </c>
      <c r="AE1122" t="s">
        <v>707</v>
      </c>
      <c r="AF1122" t="s">
        <v>173</v>
      </c>
      <c r="AG1122" t="s">
        <v>707</v>
      </c>
      <c r="AH1122" t="s">
        <v>173</v>
      </c>
      <c r="AI1122">
        <v>0.65</v>
      </c>
      <c r="AJ1122">
        <v>0</v>
      </c>
      <c r="AK1122">
        <v>0.37</v>
      </c>
      <c r="AL1122">
        <v>1.36</v>
      </c>
    </row>
    <row r="1123" spans="1:38" x14ac:dyDescent="0.25">
      <c r="A1123">
        <v>1122</v>
      </c>
      <c r="B1123" t="str">
        <f xml:space="preserve"> "600971"</f>
        <v>600971</v>
      </c>
      <c r="C1123" t="s">
        <v>4759</v>
      </c>
      <c r="D1123">
        <v>11.03</v>
      </c>
      <c r="E1123">
        <v>2.7</v>
      </c>
      <c r="F1123">
        <v>0.28999999999999998</v>
      </c>
      <c r="G1123" t="s">
        <v>4760</v>
      </c>
      <c r="H1123">
        <v>89</v>
      </c>
      <c r="I1123">
        <v>11.01</v>
      </c>
      <c r="J1123">
        <v>11.02</v>
      </c>
      <c r="K1123">
        <v>0.27</v>
      </c>
      <c r="L1123">
        <v>2.2999999999999998</v>
      </c>
      <c r="M1123" t="s">
        <v>4761</v>
      </c>
      <c r="N1123">
        <v>8.74</v>
      </c>
      <c r="O1123" t="s">
        <v>150</v>
      </c>
      <c r="P1123">
        <v>11.08</v>
      </c>
      <c r="Q1123">
        <v>10.74</v>
      </c>
      <c r="R1123">
        <v>10.74</v>
      </c>
      <c r="S1123">
        <v>10.74</v>
      </c>
      <c r="T1123">
        <v>3.17</v>
      </c>
      <c r="U1123">
        <v>1.1200000000000001</v>
      </c>
      <c r="V1123">
        <v>-44.58</v>
      </c>
      <c r="W1123">
        <v>-3060</v>
      </c>
      <c r="X1123">
        <v>10.91</v>
      </c>
      <c r="Y1123" t="s">
        <v>3054</v>
      </c>
      <c r="Z1123" t="s">
        <v>778</v>
      </c>
      <c r="AA1123">
        <v>0.73</v>
      </c>
      <c r="AB1123">
        <v>177</v>
      </c>
      <c r="AC1123">
        <v>3537</v>
      </c>
      <c r="AD1123">
        <v>1.69</v>
      </c>
      <c r="AE1123" t="s">
        <v>1384</v>
      </c>
      <c r="AF1123" t="s">
        <v>173</v>
      </c>
      <c r="AG1123" t="s">
        <v>1384</v>
      </c>
      <c r="AH1123" t="s">
        <v>173</v>
      </c>
      <c r="AI1123">
        <v>0.27</v>
      </c>
      <c r="AJ1123">
        <v>-1.87</v>
      </c>
      <c r="AK1123">
        <v>6.95</v>
      </c>
      <c r="AL1123">
        <v>12.57</v>
      </c>
    </row>
    <row r="1124" spans="1:38" x14ac:dyDescent="0.25">
      <c r="A1124">
        <v>1123</v>
      </c>
      <c r="B1124" t="str">
        <f xml:space="preserve"> "300377"</f>
        <v>300377</v>
      </c>
      <c r="C1124" t="s">
        <v>4762</v>
      </c>
      <c r="D1124">
        <v>14.82</v>
      </c>
      <c r="E1124">
        <v>-0.6</v>
      </c>
      <c r="F1124">
        <v>-0.09</v>
      </c>
      <c r="G1124" t="s">
        <v>2292</v>
      </c>
      <c r="H1124">
        <v>2267</v>
      </c>
      <c r="I1124">
        <v>14.82</v>
      </c>
      <c r="J1124">
        <v>14.83</v>
      </c>
      <c r="K1124">
        <v>0</v>
      </c>
      <c r="L1124">
        <v>3.22</v>
      </c>
      <c r="M1124" t="s">
        <v>1928</v>
      </c>
      <c r="N1124">
        <v>109.83</v>
      </c>
      <c r="O1124" t="s">
        <v>893</v>
      </c>
      <c r="P1124">
        <v>15.05</v>
      </c>
      <c r="Q1124">
        <v>14.75</v>
      </c>
      <c r="R1124">
        <v>15.04</v>
      </c>
      <c r="S1124">
        <v>14.91</v>
      </c>
      <c r="T1124">
        <v>2.0099999999999998</v>
      </c>
      <c r="U1124">
        <v>0.62</v>
      </c>
      <c r="V1124">
        <v>38.97</v>
      </c>
      <c r="W1124">
        <v>2377</v>
      </c>
      <c r="X1124">
        <v>14.88</v>
      </c>
      <c r="Y1124" t="s">
        <v>2394</v>
      </c>
      <c r="Z1124" t="s">
        <v>4644</v>
      </c>
      <c r="AA1124">
        <v>1.53</v>
      </c>
      <c r="AB1124">
        <v>1025</v>
      </c>
      <c r="AC1124">
        <v>669</v>
      </c>
      <c r="AD1124">
        <v>4.34</v>
      </c>
      <c r="AE1124" t="s">
        <v>4763</v>
      </c>
      <c r="AF1124" t="s">
        <v>173</v>
      </c>
      <c r="AG1124" t="s">
        <v>4410</v>
      </c>
      <c r="AH1124" t="s">
        <v>4670</v>
      </c>
      <c r="AI1124">
        <v>-2.5</v>
      </c>
      <c r="AJ1124">
        <v>7.39</v>
      </c>
      <c r="AK1124">
        <v>12.15</v>
      </c>
      <c r="AL1124">
        <v>29.08</v>
      </c>
    </row>
    <row r="1125" spans="1:38" x14ac:dyDescent="0.25">
      <c r="A1125">
        <v>1124</v>
      </c>
      <c r="B1125" t="str">
        <f xml:space="preserve"> "000967"</f>
        <v>000967</v>
      </c>
      <c r="C1125" t="s">
        <v>4764</v>
      </c>
      <c r="D1125">
        <v>10.06</v>
      </c>
      <c r="E1125">
        <v>3.93</v>
      </c>
      <c r="F1125">
        <v>0.38</v>
      </c>
      <c r="G1125" t="s">
        <v>4765</v>
      </c>
      <c r="H1125">
        <v>2136</v>
      </c>
      <c r="I1125">
        <v>10.06</v>
      </c>
      <c r="J1125">
        <v>10.07</v>
      </c>
      <c r="K1125">
        <v>-0.1</v>
      </c>
      <c r="L1125">
        <v>3.21</v>
      </c>
      <c r="M1125" t="s">
        <v>1197</v>
      </c>
      <c r="N1125">
        <v>31.46</v>
      </c>
      <c r="O1125" t="s">
        <v>1229</v>
      </c>
      <c r="P1125">
        <v>10.15</v>
      </c>
      <c r="Q1125">
        <v>9.6199999999999992</v>
      </c>
      <c r="R1125">
        <v>9.64</v>
      </c>
      <c r="S1125">
        <v>9.68</v>
      </c>
      <c r="T1125">
        <v>5.48</v>
      </c>
      <c r="U1125">
        <v>4.9400000000000004</v>
      </c>
      <c r="V1125">
        <v>-31.27</v>
      </c>
      <c r="W1125">
        <v>-3197</v>
      </c>
      <c r="X1125">
        <v>9.9600000000000009</v>
      </c>
      <c r="Y1125" t="s">
        <v>1902</v>
      </c>
      <c r="Z1125" t="s">
        <v>351</v>
      </c>
      <c r="AA1125">
        <v>0.49</v>
      </c>
      <c r="AB1125">
        <v>1041</v>
      </c>
      <c r="AC1125">
        <v>1346</v>
      </c>
      <c r="AD1125">
        <v>3.08</v>
      </c>
      <c r="AE1125" t="s">
        <v>888</v>
      </c>
      <c r="AF1125" t="s">
        <v>173</v>
      </c>
      <c r="AG1125" t="s">
        <v>4232</v>
      </c>
      <c r="AH1125" t="s">
        <v>4766</v>
      </c>
      <c r="AI1125">
        <v>4.3600000000000003</v>
      </c>
      <c r="AJ1125">
        <v>6.34</v>
      </c>
      <c r="AK1125">
        <v>4.91</v>
      </c>
      <c r="AL1125">
        <v>6.45</v>
      </c>
    </row>
    <row r="1126" spans="1:38" x14ac:dyDescent="0.25">
      <c r="A1126">
        <v>1125</v>
      </c>
      <c r="B1126" t="str">
        <f xml:space="preserve"> "603188"</f>
        <v>603188</v>
      </c>
      <c r="C1126" t="s">
        <v>4767</v>
      </c>
      <c r="D1126">
        <v>19.09</v>
      </c>
      <c r="E1126">
        <v>0.37</v>
      </c>
      <c r="F1126">
        <v>7.0000000000000007E-2</v>
      </c>
      <c r="G1126" t="s">
        <v>573</v>
      </c>
      <c r="H1126">
        <v>13</v>
      </c>
      <c r="I1126">
        <v>19.100000000000001</v>
      </c>
      <c r="J1126">
        <v>19.11</v>
      </c>
      <c r="K1126">
        <v>0</v>
      </c>
      <c r="L1126">
        <v>0.79</v>
      </c>
      <c r="M1126" t="s">
        <v>4768</v>
      </c>
      <c r="N1126">
        <v>17.32</v>
      </c>
      <c r="O1126" t="s">
        <v>667</v>
      </c>
      <c r="P1126">
        <v>19.16</v>
      </c>
      <c r="Q1126">
        <v>18.79</v>
      </c>
      <c r="R1126">
        <v>18.989999999999998</v>
      </c>
      <c r="S1126">
        <v>19.02</v>
      </c>
      <c r="T1126">
        <v>1.95</v>
      </c>
      <c r="U1126">
        <v>1.24</v>
      </c>
      <c r="V1126">
        <v>-61.32</v>
      </c>
      <c r="W1126">
        <v>-1043</v>
      </c>
      <c r="X1126">
        <v>19.02</v>
      </c>
      <c r="Y1126" t="s">
        <v>4374</v>
      </c>
      <c r="Z1126" t="s">
        <v>2485</v>
      </c>
      <c r="AA1126">
        <v>0.72</v>
      </c>
      <c r="AB1126">
        <v>28</v>
      </c>
      <c r="AC1126">
        <v>6</v>
      </c>
      <c r="AD1126">
        <v>3.15</v>
      </c>
      <c r="AE1126" t="s">
        <v>4769</v>
      </c>
      <c r="AF1126" t="s">
        <v>173</v>
      </c>
      <c r="AG1126" t="s">
        <v>4769</v>
      </c>
      <c r="AH1126" t="s">
        <v>173</v>
      </c>
      <c r="AI1126">
        <v>0.74</v>
      </c>
      <c r="AJ1126">
        <v>4.66</v>
      </c>
      <c r="AK1126">
        <v>2.34</v>
      </c>
      <c r="AL1126">
        <v>3.98</v>
      </c>
    </row>
    <row r="1127" spans="1:38" x14ac:dyDescent="0.25">
      <c r="A1127">
        <v>1126</v>
      </c>
      <c r="B1127" t="str">
        <f xml:space="preserve"> "002261"</f>
        <v>002261</v>
      </c>
      <c r="C1127" t="s">
        <v>4770</v>
      </c>
      <c r="D1127">
        <v>9.8800000000000008</v>
      </c>
      <c r="E1127">
        <v>0.71</v>
      </c>
      <c r="F1127">
        <v>7.0000000000000007E-2</v>
      </c>
      <c r="G1127" t="s">
        <v>630</v>
      </c>
      <c r="H1127">
        <v>1765</v>
      </c>
      <c r="I1127">
        <v>9.8699999999999992</v>
      </c>
      <c r="J1127">
        <v>9.8800000000000008</v>
      </c>
      <c r="K1127">
        <v>0.2</v>
      </c>
      <c r="L1127">
        <v>1.39</v>
      </c>
      <c r="M1127" t="s">
        <v>315</v>
      </c>
      <c r="N1127">
        <v>42.24</v>
      </c>
      <c r="O1127" t="s">
        <v>580</v>
      </c>
      <c r="P1127">
        <v>9.93</v>
      </c>
      <c r="Q1127">
        <v>9.66</v>
      </c>
      <c r="R1127">
        <v>9.75</v>
      </c>
      <c r="S1127">
        <v>9.81</v>
      </c>
      <c r="T1127">
        <v>2.75</v>
      </c>
      <c r="U1127">
        <v>0.61</v>
      </c>
      <c r="V1127">
        <v>-53.5</v>
      </c>
      <c r="W1127">
        <v>-3224</v>
      </c>
      <c r="X1127">
        <v>9.8000000000000007</v>
      </c>
      <c r="Y1127" t="s">
        <v>4556</v>
      </c>
      <c r="Z1127" t="s">
        <v>2441</v>
      </c>
      <c r="AA1127">
        <v>0.91</v>
      </c>
      <c r="AB1127">
        <v>378</v>
      </c>
      <c r="AC1127">
        <v>404</v>
      </c>
      <c r="AD1127">
        <v>2.8</v>
      </c>
      <c r="AE1127" t="s">
        <v>204</v>
      </c>
      <c r="AF1127" t="s">
        <v>173</v>
      </c>
      <c r="AG1127" t="s">
        <v>4771</v>
      </c>
      <c r="AH1127" t="s">
        <v>4362</v>
      </c>
      <c r="AI1127">
        <v>-3.7</v>
      </c>
      <c r="AJ1127">
        <v>-1.59</v>
      </c>
      <c r="AK1127">
        <v>5.76</v>
      </c>
      <c r="AL1127">
        <v>12.76</v>
      </c>
    </row>
    <row r="1128" spans="1:38" x14ac:dyDescent="0.25">
      <c r="A1128">
        <v>1127</v>
      </c>
      <c r="B1128" t="str">
        <f xml:space="preserve"> "600634"</f>
        <v>600634</v>
      </c>
      <c r="C1128" t="s">
        <v>4772</v>
      </c>
      <c r="D1128">
        <v>19.05</v>
      </c>
      <c r="E1128">
        <v>-0.05</v>
      </c>
      <c r="F1128">
        <v>-0.01</v>
      </c>
      <c r="G1128" t="s">
        <v>2099</v>
      </c>
      <c r="H1128">
        <v>112</v>
      </c>
      <c r="I1128">
        <v>19.04</v>
      </c>
      <c r="J1128">
        <v>19.07</v>
      </c>
      <c r="K1128">
        <v>0.11</v>
      </c>
      <c r="L1128">
        <v>0.48</v>
      </c>
      <c r="M1128" t="s">
        <v>4773</v>
      </c>
      <c r="N1128">
        <v>97</v>
      </c>
      <c r="O1128" t="s">
        <v>893</v>
      </c>
      <c r="P1128">
        <v>19.149999999999999</v>
      </c>
      <c r="Q1128">
        <v>18.93</v>
      </c>
      <c r="R1128">
        <v>19.059999999999999</v>
      </c>
      <c r="S1128">
        <v>19.059999999999999</v>
      </c>
      <c r="T1128">
        <v>1.1499999999999999</v>
      </c>
      <c r="U1128">
        <v>0.93</v>
      </c>
      <c r="V1128">
        <v>-8.81</v>
      </c>
      <c r="W1128">
        <v>-84</v>
      </c>
      <c r="X1128">
        <v>18.989999999999998</v>
      </c>
      <c r="Y1128" t="s">
        <v>1278</v>
      </c>
      <c r="Z1128" t="s">
        <v>316</v>
      </c>
      <c r="AA1128">
        <v>1.38</v>
      </c>
      <c r="AB1128">
        <v>44</v>
      </c>
      <c r="AC1128">
        <v>20</v>
      </c>
      <c r="AD1128">
        <v>3.72</v>
      </c>
      <c r="AE1128" t="s">
        <v>4769</v>
      </c>
      <c r="AF1128" t="s">
        <v>173</v>
      </c>
      <c r="AG1128" t="s">
        <v>4769</v>
      </c>
      <c r="AH1128" t="s">
        <v>173</v>
      </c>
      <c r="AI1128">
        <v>1.87</v>
      </c>
      <c r="AJ1128">
        <v>2.58</v>
      </c>
      <c r="AK1128">
        <v>1.69</v>
      </c>
      <c r="AL1128">
        <v>3.08</v>
      </c>
    </row>
    <row r="1129" spans="1:38" x14ac:dyDescent="0.25">
      <c r="A1129">
        <v>1128</v>
      </c>
      <c r="B1129" t="str">
        <f xml:space="preserve"> "600645"</f>
        <v>600645</v>
      </c>
      <c r="C1129" t="s">
        <v>4774</v>
      </c>
      <c r="D1129" t="s">
        <v>616</v>
      </c>
      <c r="E1129" t="s">
        <v>616</v>
      </c>
      <c r="F1129" t="s">
        <v>616</v>
      </c>
      <c r="G1129" t="s">
        <v>616</v>
      </c>
      <c r="H1129" t="s">
        <v>616</v>
      </c>
      <c r="I1129" t="s">
        <v>616</v>
      </c>
      <c r="J1129" t="s">
        <v>616</v>
      </c>
      <c r="K1129" t="s">
        <v>616</v>
      </c>
      <c r="L1129" t="s">
        <v>616</v>
      </c>
      <c r="M1129" t="s">
        <v>616</v>
      </c>
      <c r="N1129">
        <v>653.61</v>
      </c>
      <c r="O1129" t="s">
        <v>392</v>
      </c>
      <c r="P1129" t="s">
        <v>616</v>
      </c>
      <c r="Q1129" t="s">
        <v>616</v>
      </c>
      <c r="R1129" t="s">
        <v>616</v>
      </c>
      <c r="S1129">
        <v>28.4</v>
      </c>
      <c r="T1129" t="s">
        <v>616</v>
      </c>
      <c r="U1129" t="s">
        <v>616</v>
      </c>
      <c r="V1129" t="s">
        <v>616</v>
      </c>
      <c r="W1129" t="s">
        <v>616</v>
      </c>
      <c r="X1129" t="s">
        <v>616</v>
      </c>
      <c r="Y1129" t="s">
        <v>616</v>
      </c>
      <c r="Z1129" t="s">
        <v>616</v>
      </c>
      <c r="AA1129" t="s">
        <v>616</v>
      </c>
      <c r="AB1129" t="s">
        <v>616</v>
      </c>
      <c r="AC1129" t="s">
        <v>616</v>
      </c>
      <c r="AD1129">
        <v>7.3</v>
      </c>
      <c r="AE1129" t="s">
        <v>787</v>
      </c>
      <c r="AF1129" t="s">
        <v>173</v>
      </c>
      <c r="AG1129" t="s">
        <v>4458</v>
      </c>
      <c r="AH1129" t="s">
        <v>475</v>
      </c>
      <c r="AI1129">
        <v>0</v>
      </c>
      <c r="AJ1129">
        <v>0</v>
      </c>
      <c r="AK1129">
        <v>0</v>
      </c>
      <c r="AL1129">
        <v>4.8</v>
      </c>
    </row>
    <row r="1130" spans="1:38" x14ac:dyDescent="0.25">
      <c r="A1130">
        <v>1129</v>
      </c>
      <c r="B1130" t="str">
        <f xml:space="preserve"> "600641"</f>
        <v>600641</v>
      </c>
      <c r="C1130" t="s">
        <v>4775</v>
      </c>
      <c r="D1130">
        <v>13.6</v>
      </c>
      <c r="E1130">
        <v>0.28999999999999998</v>
      </c>
      <c r="F1130">
        <v>0.04</v>
      </c>
      <c r="G1130" t="s">
        <v>3972</v>
      </c>
      <c r="H1130">
        <v>10</v>
      </c>
      <c r="I1130">
        <v>13.59</v>
      </c>
      <c r="J1130">
        <v>13.6</v>
      </c>
      <c r="K1130">
        <v>-0.15</v>
      </c>
      <c r="L1130">
        <v>0.68</v>
      </c>
      <c r="M1130" t="s">
        <v>4776</v>
      </c>
      <c r="N1130">
        <v>3.48</v>
      </c>
      <c r="O1130" t="s">
        <v>244</v>
      </c>
      <c r="P1130">
        <v>13.74</v>
      </c>
      <c r="Q1130">
        <v>13.5</v>
      </c>
      <c r="R1130">
        <v>13.55</v>
      </c>
      <c r="S1130">
        <v>13.56</v>
      </c>
      <c r="T1130">
        <v>1.77</v>
      </c>
      <c r="U1130">
        <v>0.68</v>
      </c>
      <c r="V1130">
        <v>-17.28</v>
      </c>
      <c r="W1130">
        <v>-341</v>
      </c>
      <c r="X1130">
        <v>13.64</v>
      </c>
      <c r="Y1130" t="s">
        <v>1476</v>
      </c>
      <c r="Z1130" t="s">
        <v>2193</v>
      </c>
      <c r="AA1130">
        <v>0.89</v>
      </c>
      <c r="AB1130">
        <v>168</v>
      </c>
      <c r="AC1130">
        <v>228</v>
      </c>
      <c r="AD1130">
        <v>1.91</v>
      </c>
      <c r="AE1130" t="s">
        <v>3838</v>
      </c>
      <c r="AF1130" t="s">
        <v>173</v>
      </c>
      <c r="AG1130" t="s">
        <v>3838</v>
      </c>
      <c r="AH1130" t="s">
        <v>173</v>
      </c>
      <c r="AI1130">
        <v>-1.81</v>
      </c>
      <c r="AJ1130">
        <v>3.82</v>
      </c>
      <c r="AK1130">
        <v>2.35</v>
      </c>
      <c r="AL1130">
        <v>5.68</v>
      </c>
    </row>
    <row r="1131" spans="1:38" x14ac:dyDescent="0.25">
      <c r="A1131">
        <v>1130</v>
      </c>
      <c r="B1131" t="str">
        <f xml:space="preserve"> "000767"</f>
        <v>000767</v>
      </c>
      <c r="C1131" t="s">
        <v>4777</v>
      </c>
      <c r="D1131">
        <v>3.56</v>
      </c>
      <c r="E1131">
        <v>-0.28000000000000003</v>
      </c>
      <c r="F1131">
        <v>-0.01</v>
      </c>
      <c r="G1131" t="s">
        <v>4778</v>
      </c>
      <c r="H1131">
        <v>557</v>
      </c>
      <c r="I1131">
        <v>3.56</v>
      </c>
      <c r="J1131">
        <v>3.57</v>
      </c>
      <c r="K1131">
        <v>0</v>
      </c>
      <c r="L1131">
        <v>0.39</v>
      </c>
      <c r="M1131" t="s">
        <v>4779</v>
      </c>
      <c r="N1131">
        <v>-9.1199999999999992</v>
      </c>
      <c r="O1131" t="s">
        <v>186</v>
      </c>
      <c r="P1131">
        <v>3.58</v>
      </c>
      <c r="Q1131">
        <v>3.54</v>
      </c>
      <c r="R1131">
        <v>3.57</v>
      </c>
      <c r="S1131">
        <v>3.57</v>
      </c>
      <c r="T1131">
        <v>1.1200000000000001</v>
      </c>
      <c r="U1131">
        <v>1.06</v>
      </c>
      <c r="V1131">
        <v>-32.64</v>
      </c>
      <c r="W1131" t="s">
        <v>2785</v>
      </c>
      <c r="X1131">
        <v>3.55</v>
      </c>
      <c r="Y1131" t="s">
        <v>344</v>
      </c>
      <c r="Z1131" t="s">
        <v>3814</v>
      </c>
      <c r="AA1131">
        <v>1.86</v>
      </c>
      <c r="AB1131">
        <v>785</v>
      </c>
      <c r="AC1131">
        <v>4830</v>
      </c>
      <c r="AD1131">
        <v>1.33</v>
      </c>
      <c r="AE1131" t="s">
        <v>4219</v>
      </c>
      <c r="AF1131" t="s">
        <v>173</v>
      </c>
      <c r="AG1131" t="s">
        <v>929</v>
      </c>
      <c r="AH1131" t="s">
        <v>4780</v>
      </c>
      <c r="AI1131">
        <v>1.1399999999999999</v>
      </c>
      <c r="AJ1131">
        <v>3.19</v>
      </c>
      <c r="AK1131">
        <v>1.46</v>
      </c>
      <c r="AL1131">
        <v>2.21</v>
      </c>
    </row>
    <row r="1132" spans="1:38" x14ac:dyDescent="0.25">
      <c r="A1132">
        <v>1131</v>
      </c>
      <c r="B1132" t="str">
        <f xml:space="preserve"> "300100"</f>
        <v>300100</v>
      </c>
      <c r="C1132" t="s">
        <v>4781</v>
      </c>
      <c r="D1132">
        <v>27.51</v>
      </c>
      <c r="E1132">
        <v>-3.68</v>
      </c>
      <c r="F1132">
        <v>-1.05</v>
      </c>
      <c r="G1132" t="s">
        <v>2292</v>
      </c>
      <c r="H1132">
        <v>944</v>
      </c>
      <c r="I1132">
        <v>27.5</v>
      </c>
      <c r="J1132">
        <v>27.51</v>
      </c>
      <c r="K1132">
        <v>0</v>
      </c>
      <c r="L1132">
        <v>6.07</v>
      </c>
      <c r="M1132" t="s">
        <v>51</v>
      </c>
      <c r="N1132">
        <v>31.72</v>
      </c>
      <c r="O1132" t="s">
        <v>169</v>
      </c>
      <c r="P1132">
        <v>29.49</v>
      </c>
      <c r="Q1132">
        <v>27.06</v>
      </c>
      <c r="R1132">
        <v>29</v>
      </c>
      <c r="S1132">
        <v>28.56</v>
      </c>
      <c r="T1132">
        <v>8.51</v>
      </c>
      <c r="U1132">
        <v>4.6399999999999997</v>
      </c>
      <c r="V1132">
        <v>-26.11</v>
      </c>
      <c r="W1132">
        <v>-422</v>
      </c>
      <c r="X1132">
        <v>27.88</v>
      </c>
      <c r="Y1132" t="s">
        <v>2691</v>
      </c>
      <c r="Z1132" t="s">
        <v>2776</v>
      </c>
      <c r="AA1132">
        <v>1.1299999999999999</v>
      </c>
      <c r="AB1132">
        <v>235</v>
      </c>
      <c r="AC1132">
        <v>572</v>
      </c>
      <c r="AD1132">
        <v>4.0599999999999996</v>
      </c>
      <c r="AE1132" t="s">
        <v>4736</v>
      </c>
      <c r="AF1132" t="s">
        <v>2006</v>
      </c>
      <c r="AG1132" t="s">
        <v>159</v>
      </c>
      <c r="AH1132" t="s">
        <v>3620</v>
      </c>
      <c r="AI1132">
        <v>5.97</v>
      </c>
      <c r="AJ1132">
        <v>5.97</v>
      </c>
      <c r="AK1132">
        <v>6.46</v>
      </c>
      <c r="AL1132">
        <v>6.46</v>
      </c>
    </row>
    <row r="1133" spans="1:38" x14ac:dyDescent="0.25">
      <c r="A1133">
        <v>1132</v>
      </c>
      <c r="B1133" t="str">
        <f xml:space="preserve"> "300288"</f>
        <v>300288</v>
      </c>
      <c r="C1133" t="s">
        <v>4782</v>
      </c>
      <c r="D1133">
        <v>32.369999999999997</v>
      </c>
      <c r="E1133">
        <v>2.11</v>
      </c>
      <c r="F1133">
        <v>0.67</v>
      </c>
      <c r="G1133" t="s">
        <v>362</v>
      </c>
      <c r="H1133">
        <v>1489</v>
      </c>
      <c r="I1133">
        <v>32.36</v>
      </c>
      <c r="J1133">
        <v>32.369999999999997</v>
      </c>
      <c r="K1133">
        <v>0</v>
      </c>
      <c r="L1133">
        <v>6.2</v>
      </c>
      <c r="M1133" t="s">
        <v>4783</v>
      </c>
      <c r="N1133">
        <v>20.010000000000002</v>
      </c>
      <c r="O1133" t="s">
        <v>553</v>
      </c>
      <c r="P1133">
        <v>32.43</v>
      </c>
      <c r="Q1133">
        <v>31.4</v>
      </c>
      <c r="R1133">
        <v>31.77</v>
      </c>
      <c r="S1133">
        <v>31.7</v>
      </c>
      <c r="T1133">
        <v>3.25</v>
      </c>
      <c r="U1133">
        <v>1.45</v>
      </c>
      <c r="V1133">
        <v>-57</v>
      </c>
      <c r="W1133">
        <v>-1882</v>
      </c>
      <c r="X1133">
        <v>32.11</v>
      </c>
      <c r="Y1133" t="s">
        <v>953</v>
      </c>
      <c r="Z1133" t="s">
        <v>3167</v>
      </c>
      <c r="AA1133">
        <v>0.78</v>
      </c>
      <c r="AB1133">
        <v>496</v>
      </c>
      <c r="AC1133">
        <v>165</v>
      </c>
      <c r="AD1133">
        <v>8.3000000000000007</v>
      </c>
      <c r="AE1133" t="s">
        <v>3261</v>
      </c>
      <c r="AF1133" t="s">
        <v>2006</v>
      </c>
      <c r="AG1133" t="s">
        <v>2368</v>
      </c>
      <c r="AH1133" t="s">
        <v>463</v>
      </c>
      <c r="AI1133">
        <v>0.59</v>
      </c>
      <c r="AJ1133">
        <v>7.9</v>
      </c>
      <c r="AK1133">
        <v>14.09</v>
      </c>
      <c r="AL1133">
        <v>27.63</v>
      </c>
    </row>
    <row r="1134" spans="1:38" x14ac:dyDescent="0.25">
      <c r="A1134">
        <v>1133</v>
      </c>
      <c r="B1134" t="str">
        <f xml:space="preserve"> "300212"</f>
        <v>300212</v>
      </c>
      <c r="C1134" t="s">
        <v>4784</v>
      </c>
      <c r="D1134">
        <v>29.56</v>
      </c>
      <c r="E1134">
        <v>0.57999999999999996</v>
      </c>
      <c r="F1134">
        <v>0.17</v>
      </c>
      <c r="G1134" t="s">
        <v>1090</v>
      </c>
      <c r="H1134">
        <v>478</v>
      </c>
      <c r="I1134">
        <v>29.55</v>
      </c>
      <c r="J1134">
        <v>29.56</v>
      </c>
      <c r="K1134">
        <v>-0.03</v>
      </c>
      <c r="L1134">
        <v>1.21</v>
      </c>
      <c r="M1134" t="s">
        <v>4443</v>
      </c>
      <c r="N1134">
        <v>68.599999999999994</v>
      </c>
      <c r="O1134" t="s">
        <v>893</v>
      </c>
      <c r="P1134">
        <v>29.74</v>
      </c>
      <c r="Q1134">
        <v>29.26</v>
      </c>
      <c r="R1134">
        <v>29.48</v>
      </c>
      <c r="S1134">
        <v>29.39</v>
      </c>
      <c r="T1134">
        <v>1.63</v>
      </c>
      <c r="U1134">
        <v>0.38</v>
      </c>
      <c r="V1134">
        <v>-77.84</v>
      </c>
      <c r="W1134">
        <v>-1124</v>
      </c>
      <c r="X1134">
        <v>29.56</v>
      </c>
      <c r="Y1134" t="s">
        <v>1420</v>
      </c>
      <c r="Z1134" t="s">
        <v>1508</v>
      </c>
      <c r="AA1134">
        <v>1.37</v>
      </c>
      <c r="AB1134">
        <v>94</v>
      </c>
      <c r="AC1134">
        <v>771</v>
      </c>
      <c r="AD1134">
        <v>4.2300000000000004</v>
      </c>
      <c r="AE1134" t="s">
        <v>4785</v>
      </c>
      <c r="AF1134" t="s">
        <v>2006</v>
      </c>
      <c r="AG1134" t="s">
        <v>4786</v>
      </c>
      <c r="AH1134" t="s">
        <v>3520</v>
      </c>
      <c r="AI1134">
        <v>-3.74</v>
      </c>
      <c r="AJ1134">
        <v>1.3</v>
      </c>
      <c r="AK1134">
        <v>6.45</v>
      </c>
      <c r="AL1134">
        <v>17.14</v>
      </c>
    </row>
    <row r="1135" spans="1:38" x14ac:dyDescent="0.25">
      <c r="A1135">
        <v>1134</v>
      </c>
      <c r="B1135" t="str">
        <f xml:space="preserve"> "002320"</f>
        <v>002320</v>
      </c>
      <c r="C1135" t="s">
        <v>4787</v>
      </c>
      <c r="D1135">
        <v>21.46</v>
      </c>
      <c r="E1135">
        <v>3.22</v>
      </c>
      <c r="F1135">
        <v>0.67</v>
      </c>
      <c r="G1135" t="s">
        <v>2407</v>
      </c>
      <c r="H1135">
        <v>684</v>
      </c>
      <c r="I1135">
        <v>21.46</v>
      </c>
      <c r="J1135">
        <v>21.47</v>
      </c>
      <c r="K1135">
        <v>0.05</v>
      </c>
      <c r="L1135">
        <v>2.36</v>
      </c>
      <c r="M1135" t="s">
        <v>1718</v>
      </c>
      <c r="N1135">
        <v>31</v>
      </c>
      <c r="O1135" t="s">
        <v>440</v>
      </c>
      <c r="P1135">
        <v>21.69</v>
      </c>
      <c r="Q1135">
        <v>20.61</v>
      </c>
      <c r="R1135">
        <v>20.7</v>
      </c>
      <c r="S1135">
        <v>20.79</v>
      </c>
      <c r="T1135">
        <v>5.19</v>
      </c>
      <c r="U1135">
        <v>0.95</v>
      </c>
      <c r="V1135">
        <v>-50.36</v>
      </c>
      <c r="W1135">
        <v>-893</v>
      </c>
      <c r="X1135">
        <v>21.29</v>
      </c>
      <c r="Y1135" t="s">
        <v>4788</v>
      </c>
      <c r="Z1135" t="s">
        <v>121</v>
      </c>
      <c r="AA1135">
        <v>0.75</v>
      </c>
      <c r="AB1135">
        <v>98</v>
      </c>
      <c r="AC1135">
        <v>150</v>
      </c>
      <c r="AD1135">
        <v>3.09</v>
      </c>
      <c r="AE1135" t="s">
        <v>522</v>
      </c>
      <c r="AF1135" t="s">
        <v>2006</v>
      </c>
      <c r="AG1135" t="s">
        <v>883</v>
      </c>
      <c r="AH1135" t="s">
        <v>2940</v>
      </c>
      <c r="AI1135">
        <v>6.66</v>
      </c>
      <c r="AJ1135">
        <v>9.1</v>
      </c>
      <c r="AK1135">
        <v>9.9</v>
      </c>
      <c r="AL1135">
        <v>14.7</v>
      </c>
    </row>
    <row r="1136" spans="1:38" x14ac:dyDescent="0.25">
      <c r="A1136">
        <v>1135</v>
      </c>
      <c r="B1136" t="str">
        <f xml:space="preserve"> "000719"</f>
        <v>000719</v>
      </c>
      <c r="C1136" t="s">
        <v>4789</v>
      </c>
      <c r="D1136">
        <v>10.65</v>
      </c>
      <c r="E1136">
        <v>0</v>
      </c>
      <c r="F1136">
        <v>0</v>
      </c>
      <c r="G1136" t="s">
        <v>3181</v>
      </c>
      <c r="H1136">
        <v>516</v>
      </c>
      <c r="I1136">
        <v>10.64</v>
      </c>
      <c r="J1136">
        <v>10.65</v>
      </c>
      <c r="K1136">
        <v>0</v>
      </c>
      <c r="L1136">
        <v>0.33</v>
      </c>
      <c r="M1136" t="s">
        <v>4790</v>
      </c>
      <c r="N1136">
        <v>16.850000000000001</v>
      </c>
      <c r="O1136" t="s">
        <v>1126</v>
      </c>
      <c r="P1136">
        <v>10.68</v>
      </c>
      <c r="Q1136">
        <v>10.56</v>
      </c>
      <c r="R1136">
        <v>10.66</v>
      </c>
      <c r="S1136">
        <v>10.65</v>
      </c>
      <c r="T1136">
        <v>1.1299999999999999</v>
      </c>
      <c r="U1136">
        <v>0.86</v>
      </c>
      <c r="V1136">
        <v>-21.21</v>
      </c>
      <c r="W1136">
        <v>-674</v>
      </c>
      <c r="X1136">
        <v>10.62</v>
      </c>
      <c r="Y1136" t="s">
        <v>2089</v>
      </c>
      <c r="Z1136" t="s">
        <v>4791</v>
      </c>
      <c r="AA1136">
        <v>1.2</v>
      </c>
      <c r="AB1136">
        <v>259</v>
      </c>
      <c r="AC1136">
        <v>389</v>
      </c>
      <c r="AD1136">
        <v>1.6</v>
      </c>
      <c r="AE1136" t="s">
        <v>1766</v>
      </c>
      <c r="AF1136" t="s">
        <v>2006</v>
      </c>
      <c r="AG1136" t="s">
        <v>3329</v>
      </c>
      <c r="AH1136" t="s">
        <v>2867</v>
      </c>
      <c r="AI1136">
        <v>-0.47</v>
      </c>
      <c r="AJ1136">
        <v>2.7</v>
      </c>
      <c r="AK1136">
        <v>1.1299999999999999</v>
      </c>
      <c r="AL1136">
        <v>2.2599999999999998</v>
      </c>
    </row>
    <row r="1137" spans="1:38" x14ac:dyDescent="0.25">
      <c r="A1137">
        <v>1136</v>
      </c>
      <c r="B1137" t="str">
        <f xml:space="preserve"> "000791"</f>
        <v>000791</v>
      </c>
      <c r="C1137" t="s">
        <v>4792</v>
      </c>
      <c r="D1137">
        <v>11.21</v>
      </c>
      <c r="E1137">
        <v>10.01</v>
      </c>
      <c r="F1137">
        <v>1.02</v>
      </c>
      <c r="G1137" t="s">
        <v>1503</v>
      </c>
      <c r="H1137">
        <v>240</v>
      </c>
      <c r="I1137">
        <v>11.21</v>
      </c>
      <c r="J1137" t="s">
        <v>616</v>
      </c>
      <c r="K1137">
        <v>0</v>
      </c>
      <c r="L1137">
        <v>8.32</v>
      </c>
      <c r="M1137" t="s">
        <v>3186</v>
      </c>
      <c r="N1137">
        <v>-468.96</v>
      </c>
      <c r="O1137" t="s">
        <v>186</v>
      </c>
      <c r="P1137">
        <v>11.21</v>
      </c>
      <c r="Q1137">
        <v>10.71</v>
      </c>
      <c r="R1137">
        <v>11</v>
      </c>
      <c r="S1137">
        <v>10.19</v>
      </c>
      <c r="T1137">
        <v>4.91</v>
      </c>
      <c r="U1137">
        <v>2.4300000000000002</v>
      </c>
      <c r="V1137">
        <v>100</v>
      </c>
      <c r="W1137" t="s">
        <v>2511</v>
      </c>
      <c r="X1137">
        <v>11.1</v>
      </c>
      <c r="Y1137" t="s">
        <v>4793</v>
      </c>
      <c r="Z1137" t="s">
        <v>4794</v>
      </c>
      <c r="AA1137">
        <v>1.84</v>
      </c>
      <c r="AB1137" t="s">
        <v>2294</v>
      </c>
      <c r="AC1137">
        <v>0</v>
      </c>
      <c r="AD1137">
        <v>2.0699999999999998</v>
      </c>
      <c r="AE1137" t="s">
        <v>4795</v>
      </c>
      <c r="AF1137" t="s">
        <v>2006</v>
      </c>
      <c r="AG1137" t="s">
        <v>4795</v>
      </c>
      <c r="AH1137" t="s">
        <v>2006</v>
      </c>
      <c r="AI1137">
        <v>33.14</v>
      </c>
      <c r="AJ1137">
        <v>36.54</v>
      </c>
      <c r="AK1137">
        <v>21.06</v>
      </c>
      <c r="AL1137">
        <v>25.47</v>
      </c>
    </row>
    <row r="1138" spans="1:38" x14ac:dyDescent="0.25">
      <c r="A1138">
        <v>1137</v>
      </c>
      <c r="B1138" t="str">
        <f xml:space="preserve"> "600132"</f>
        <v>600132</v>
      </c>
      <c r="C1138" t="s">
        <v>4796</v>
      </c>
      <c r="D1138">
        <v>22.48</v>
      </c>
      <c r="E1138">
        <v>-2.13</v>
      </c>
      <c r="F1138">
        <v>-0.49</v>
      </c>
      <c r="G1138" t="s">
        <v>393</v>
      </c>
      <c r="H1138">
        <v>10</v>
      </c>
      <c r="I1138">
        <v>22.47</v>
      </c>
      <c r="J1138">
        <v>22.48</v>
      </c>
      <c r="K1138">
        <v>0.09</v>
      </c>
      <c r="L1138">
        <v>0.59</v>
      </c>
      <c r="M1138" t="s">
        <v>4797</v>
      </c>
      <c r="N1138">
        <v>33.630000000000003</v>
      </c>
      <c r="O1138" t="s">
        <v>123</v>
      </c>
      <c r="P1138">
        <v>23.07</v>
      </c>
      <c r="Q1138">
        <v>22.44</v>
      </c>
      <c r="R1138">
        <v>22.8</v>
      </c>
      <c r="S1138">
        <v>22.97</v>
      </c>
      <c r="T1138">
        <v>2.74</v>
      </c>
      <c r="U1138">
        <v>1.1100000000000001</v>
      </c>
      <c r="V1138">
        <v>-25.79</v>
      </c>
      <c r="W1138">
        <v>-368</v>
      </c>
      <c r="X1138">
        <v>22.59</v>
      </c>
      <c r="Y1138" t="s">
        <v>1381</v>
      </c>
      <c r="Z1138">
        <v>8515</v>
      </c>
      <c r="AA1138">
        <v>2.37</v>
      </c>
      <c r="AB1138">
        <v>67</v>
      </c>
      <c r="AC1138">
        <v>443</v>
      </c>
      <c r="AD1138">
        <v>10.83</v>
      </c>
      <c r="AE1138" t="s">
        <v>2618</v>
      </c>
      <c r="AF1138" t="s">
        <v>2006</v>
      </c>
      <c r="AG1138" t="s">
        <v>2618</v>
      </c>
      <c r="AH1138" t="s">
        <v>2006</v>
      </c>
      <c r="AI1138">
        <v>0.72</v>
      </c>
      <c r="AJ1138">
        <v>3.12</v>
      </c>
      <c r="AK1138">
        <v>2.0499999999999998</v>
      </c>
      <c r="AL1138">
        <v>3.26</v>
      </c>
    </row>
    <row r="1139" spans="1:38" x14ac:dyDescent="0.25">
      <c r="A1139">
        <v>1138</v>
      </c>
      <c r="B1139" t="str">
        <f xml:space="preserve"> "603660"</f>
        <v>603660</v>
      </c>
      <c r="C1139" t="s">
        <v>4798</v>
      </c>
      <c r="D1139">
        <v>43.49</v>
      </c>
      <c r="E1139">
        <v>1.23</v>
      </c>
      <c r="F1139">
        <v>0.53</v>
      </c>
      <c r="G1139" t="s">
        <v>3062</v>
      </c>
      <c r="H1139">
        <v>34</v>
      </c>
      <c r="I1139">
        <v>43.46</v>
      </c>
      <c r="J1139">
        <v>43.49</v>
      </c>
      <c r="K1139">
        <v>-0.02</v>
      </c>
      <c r="L1139">
        <v>3.97</v>
      </c>
      <c r="M1139" t="s">
        <v>4799</v>
      </c>
      <c r="N1139">
        <v>72.209999999999994</v>
      </c>
      <c r="O1139" t="s">
        <v>2647</v>
      </c>
      <c r="P1139">
        <v>44.22</v>
      </c>
      <c r="Q1139">
        <v>42.65</v>
      </c>
      <c r="R1139">
        <v>42.65</v>
      </c>
      <c r="S1139">
        <v>42.96</v>
      </c>
      <c r="T1139">
        <v>3.65</v>
      </c>
      <c r="U1139">
        <v>0.8</v>
      </c>
      <c r="V1139">
        <v>-33.520000000000003</v>
      </c>
      <c r="W1139">
        <v>-122</v>
      </c>
      <c r="X1139">
        <v>43.58</v>
      </c>
      <c r="Y1139">
        <v>8501</v>
      </c>
      <c r="Z1139" t="s">
        <v>1869</v>
      </c>
      <c r="AA1139">
        <v>0.75</v>
      </c>
      <c r="AB1139">
        <v>1</v>
      </c>
      <c r="AC1139">
        <v>96</v>
      </c>
      <c r="AD1139">
        <v>9.1199999999999992</v>
      </c>
      <c r="AE1139" t="s">
        <v>4750</v>
      </c>
      <c r="AF1139" t="s">
        <v>2006</v>
      </c>
      <c r="AG1139" t="s">
        <v>3869</v>
      </c>
      <c r="AH1139" t="s">
        <v>579</v>
      </c>
      <c r="AI1139">
        <v>-2.4</v>
      </c>
      <c r="AJ1139">
        <v>0.93</v>
      </c>
      <c r="AK1139">
        <v>13.77</v>
      </c>
      <c r="AL1139">
        <v>28.89</v>
      </c>
    </row>
    <row r="1140" spans="1:38" x14ac:dyDescent="0.25">
      <c r="A1140">
        <v>1139</v>
      </c>
      <c r="B1140" t="str">
        <f xml:space="preserve"> "300278"</f>
        <v>300278</v>
      </c>
      <c r="C1140" t="s">
        <v>4800</v>
      </c>
      <c r="D1140">
        <v>19.940000000000001</v>
      </c>
      <c r="E1140">
        <v>-1.68</v>
      </c>
      <c r="F1140">
        <v>-0.34</v>
      </c>
      <c r="G1140" t="s">
        <v>4801</v>
      </c>
      <c r="H1140">
        <v>2500</v>
      </c>
      <c r="I1140">
        <v>19.88</v>
      </c>
      <c r="J1140">
        <v>19.940000000000001</v>
      </c>
      <c r="K1140">
        <v>0.66</v>
      </c>
      <c r="L1140">
        <v>3.65</v>
      </c>
      <c r="M1140" t="s">
        <v>608</v>
      </c>
      <c r="N1140">
        <v>83.19</v>
      </c>
      <c r="O1140" t="s">
        <v>648</v>
      </c>
      <c r="P1140">
        <v>20.88</v>
      </c>
      <c r="Q1140">
        <v>19.39</v>
      </c>
      <c r="R1140">
        <v>20.11</v>
      </c>
      <c r="S1140">
        <v>20.28</v>
      </c>
      <c r="T1140">
        <v>7.35</v>
      </c>
      <c r="U1140">
        <v>1.59</v>
      </c>
      <c r="V1140">
        <v>36</v>
      </c>
      <c r="W1140">
        <v>680</v>
      </c>
      <c r="X1140">
        <v>19.82</v>
      </c>
      <c r="Y1140" t="s">
        <v>944</v>
      </c>
      <c r="Z1140" t="s">
        <v>4802</v>
      </c>
      <c r="AA1140">
        <v>0.92</v>
      </c>
      <c r="AB1140">
        <v>1000</v>
      </c>
      <c r="AC1140">
        <v>189</v>
      </c>
      <c r="AD1140">
        <v>6.71</v>
      </c>
      <c r="AE1140" t="s">
        <v>4803</v>
      </c>
      <c r="AF1140" t="s">
        <v>2006</v>
      </c>
      <c r="AG1140" t="s">
        <v>764</v>
      </c>
      <c r="AH1140" t="s">
        <v>4804</v>
      </c>
      <c r="AI1140">
        <v>-4.3600000000000003</v>
      </c>
      <c r="AJ1140">
        <v>-1.82</v>
      </c>
      <c r="AK1140">
        <v>10.07</v>
      </c>
      <c r="AL1140">
        <v>15.12</v>
      </c>
    </row>
    <row r="1141" spans="1:38" x14ac:dyDescent="0.25">
      <c r="A1141">
        <v>1140</v>
      </c>
      <c r="B1141" t="str">
        <f xml:space="preserve"> "002099"</f>
        <v>002099</v>
      </c>
      <c r="C1141" t="s">
        <v>4805</v>
      </c>
      <c r="D1141">
        <v>6.7</v>
      </c>
      <c r="E1141">
        <v>0.45</v>
      </c>
      <c r="F1141">
        <v>0.03</v>
      </c>
      <c r="G1141" t="s">
        <v>1230</v>
      </c>
      <c r="H1141">
        <v>465</v>
      </c>
      <c r="I1141">
        <v>6.69</v>
      </c>
      <c r="J1141">
        <v>6.7</v>
      </c>
      <c r="K1141">
        <v>0.15</v>
      </c>
      <c r="L1141">
        <v>0.53</v>
      </c>
      <c r="M1141" t="s">
        <v>4806</v>
      </c>
      <c r="N1141">
        <v>22.31</v>
      </c>
      <c r="O1141" t="s">
        <v>392</v>
      </c>
      <c r="P1141">
        <v>6.73</v>
      </c>
      <c r="Q1141">
        <v>6.66</v>
      </c>
      <c r="R1141">
        <v>6.67</v>
      </c>
      <c r="S1141">
        <v>6.67</v>
      </c>
      <c r="T1141">
        <v>1.05</v>
      </c>
      <c r="U1141">
        <v>0.63</v>
      </c>
      <c r="V1141">
        <v>17.64</v>
      </c>
      <c r="W1141">
        <v>1856</v>
      </c>
      <c r="X1141">
        <v>6.69</v>
      </c>
      <c r="Y1141" t="s">
        <v>121</v>
      </c>
      <c r="Z1141" t="s">
        <v>3181</v>
      </c>
      <c r="AA1141">
        <v>1.26</v>
      </c>
      <c r="AB1141">
        <v>386</v>
      </c>
      <c r="AC1141">
        <v>263</v>
      </c>
      <c r="AD1141">
        <v>2.16</v>
      </c>
      <c r="AE1141" t="s">
        <v>2648</v>
      </c>
      <c r="AF1141" t="s">
        <v>2006</v>
      </c>
      <c r="AG1141" t="s">
        <v>4807</v>
      </c>
      <c r="AH1141" t="s">
        <v>200</v>
      </c>
      <c r="AI1141">
        <v>-0.59</v>
      </c>
      <c r="AJ1141">
        <v>1.82</v>
      </c>
      <c r="AK1141">
        <v>2.1800000000000002</v>
      </c>
      <c r="AL1141">
        <v>4.74</v>
      </c>
    </row>
    <row r="1142" spans="1:38" x14ac:dyDescent="0.25">
      <c r="A1142">
        <v>1141</v>
      </c>
      <c r="B1142" t="str">
        <f xml:space="preserve"> "000875"</f>
        <v>000875</v>
      </c>
      <c r="C1142" t="s">
        <v>4808</v>
      </c>
      <c r="D1142">
        <v>5.0599999999999996</v>
      </c>
      <c r="E1142">
        <v>-0.59</v>
      </c>
      <c r="F1142">
        <v>-0.03</v>
      </c>
      <c r="G1142" t="s">
        <v>184</v>
      </c>
      <c r="H1142">
        <v>1210</v>
      </c>
      <c r="I1142">
        <v>5.05</v>
      </c>
      <c r="J1142">
        <v>5.0599999999999996</v>
      </c>
      <c r="K1142">
        <v>0</v>
      </c>
      <c r="L1142">
        <v>1.08</v>
      </c>
      <c r="M1142" t="s">
        <v>4809</v>
      </c>
      <c r="N1142">
        <v>143.15</v>
      </c>
      <c r="O1142" t="s">
        <v>186</v>
      </c>
      <c r="P1142">
        <v>5.0599999999999996</v>
      </c>
      <c r="Q1142">
        <v>5</v>
      </c>
      <c r="R1142">
        <v>5.03</v>
      </c>
      <c r="S1142">
        <v>5.09</v>
      </c>
      <c r="T1142">
        <v>1.18</v>
      </c>
      <c r="U1142">
        <v>1.56</v>
      </c>
      <c r="V1142">
        <v>5.45</v>
      </c>
      <c r="W1142">
        <v>1376</v>
      </c>
      <c r="X1142">
        <v>5.03</v>
      </c>
      <c r="Y1142" t="s">
        <v>2379</v>
      </c>
      <c r="Z1142" t="s">
        <v>4810</v>
      </c>
      <c r="AA1142">
        <v>1.26</v>
      </c>
      <c r="AB1142">
        <v>2394</v>
      </c>
      <c r="AC1142">
        <v>2434</v>
      </c>
      <c r="AD1142">
        <v>1.41</v>
      </c>
      <c r="AE1142" t="s">
        <v>1335</v>
      </c>
      <c r="AF1142" t="s">
        <v>2006</v>
      </c>
      <c r="AG1142" t="s">
        <v>2683</v>
      </c>
      <c r="AH1142" t="s">
        <v>217</v>
      </c>
      <c r="AI1142">
        <v>1.4</v>
      </c>
      <c r="AJ1142">
        <v>2.85</v>
      </c>
      <c r="AK1142">
        <v>3.46</v>
      </c>
      <c r="AL1142">
        <v>4.54</v>
      </c>
    </row>
    <row r="1143" spans="1:38" x14ac:dyDescent="0.25">
      <c r="A1143">
        <v>1142</v>
      </c>
      <c r="B1143" t="str">
        <f xml:space="preserve"> "600594"</f>
        <v>600594</v>
      </c>
      <c r="C1143" t="s">
        <v>4811</v>
      </c>
      <c r="D1143">
        <v>13.66</v>
      </c>
      <c r="E1143">
        <v>0.52</v>
      </c>
      <c r="F1143">
        <v>7.0000000000000007E-2</v>
      </c>
      <c r="G1143" t="s">
        <v>148</v>
      </c>
      <c r="H1143">
        <v>8</v>
      </c>
      <c r="I1143">
        <v>13.66</v>
      </c>
      <c r="J1143">
        <v>13.67</v>
      </c>
      <c r="K1143">
        <v>0</v>
      </c>
      <c r="L1143">
        <v>1.59</v>
      </c>
      <c r="M1143" t="s">
        <v>1531</v>
      </c>
      <c r="N1143">
        <v>29.45</v>
      </c>
      <c r="O1143" t="s">
        <v>392</v>
      </c>
      <c r="P1143">
        <v>13.73</v>
      </c>
      <c r="Q1143">
        <v>13.51</v>
      </c>
      <c r="R1143">
        <v>13.62</v>
      </c>
      <c r="S1143">
        <v>13.59</v>
      </c>
      <c r="T1143">
        <v>1.62</v>
      </c>
      <c r="U1143">
        <v>0.68</v>
      </c>
      <c r="V1143">
        <v>-33.619999999999997</v>
      </c>
      <c r="W1143">
        <v>-2434</v>
      </c>
      <c r="X1143">
        <v>13.63</v>
      </c>
      <c r="Y1143" t="s">
        <v>2826</v>
      </c>
      <c r="Z1143" t="s">
        <v>3185</v>
      </c>
      <c r="AA1143">
        <v>1.05</v>
      </c>
      <c r="AB1143">
        <v>131</v>
      </c>
      <c r="AC1143">
        <v>264</v>
      </c>
      <c r="AD1143">
        <v>2.65</v>
      </c>
      <c r="AE1143" t="s">
        <v>3575</v>
      </c>
      <c r="AF1143" t="s">
        <v>99</v>
      </c>
      <c r="AG1143" t="s">
        <v>3575</v>
      </c>
      <c r="AH1143" t="s">
        <v>99</v>
      </c>
      <c r="AI1143">
        <v>-1.3</v>
      </c>
      <c r="AJ1143">
        <v>4.59</v>
      </c>
      <c r="AK1143">
        <v>6.16</v>
      </c>
      <c r="AL1143">
        <v>13.26</v>
      </c>
    </row>
    <row r="1144" spans="1:38" x14ac:dyDescent="0.25">
      <c r="A1144">
        <v>1143</v>
      </c>
      <c r="B1144" t="str">
        <f xml:space="preserve"> "601519"</f>
        <v>601519</v>
      </c>
      <c r="C1144" t="s">
        <v>4812</v>
      </c>
      <c r="D1144">
        <v>5.44</v>
      </c>
      <c r="E1144">
        <v>2.2599999999999998</v>
      </c>
      <c r="F1144">
        <v>0.12</v>
      </c>
      <c r="G1144" t="s">
        <v>4813</v>
      </c>
      <c r="H1144">
        <v>38</v>
      </c>
      <c r="I1144">
        <v>5.43</v>
      </c>
      <c r="J1144">
        <v>5.44</v>
      </c>
      <c r="K1144">
        <v>0</v>
      </c>
      <c r="L1144">
        <v>0.38</v>
      </c>
      <c r="M1144" t="s">
        <v>4814</v>
      </c>
      <c r="N1144">
        <v>-52.67</v>
      </c>
      <c r="O1144" t="s">
        <v>893</v>
      </c>
      <c r="P1144">
        <v>5.48</v>
      </c>
      <c r="Q1144">
        <v>5.32</v>
      </c>
      <c r="R1144">
        <v>5.32</v>
      </c>
      <c r="S1144">
        <v>5.32</v>
      </c>
      <c r="T1144">
        <v>3.01</v>
      </c>
      <c r="U1144">
        <v>0.81</v>
      </c>
      <c r="V1144">
        <v>-71.930000000000007</v>
      </c>
      <c r="W1144">
        <v>-5827</v>
      </c>
      <c r="X1144">
        <v>5.39</v>
      </c>
      <c r="Y1144" t="s">
        <v>2559</v>
      </c>
      <c r="Z1144" t="s">
        <v>1489</v>
      </c>
      <c r="AA1144">
        <v>0.81</v>
      </c>
      <c r="AB1144">
        <v>310</v>
      </c>
      <c r="AC1144">
        <v>226</v>
      </c>
      <c r="AD1144">
        <v>12.99</v>
      </c>
      <c r="AE1144" t="s">
        <v>2666</v>
      </c>
      <c r="AF1144" t="s">
        <v>99</v>
      </c>
      <c r="AG1144" t="s">
        <v>2666</v>
      </c>
      <c r="AH1144" t="s">
        <v>99</v>
      </c>
      <c r="AI1144">
        <v>0</v>
      </c>
      <c r="AJ1144">
        <v>6.88</v>
      </c>
      <c r="AK1144">
        <v>1.2</v>
      </c>
      <c r="AL1144">
        <v>2.74</v>
      </c>
    </row>
    <row r="1145" spans="1:38" x14ac:dyDescent="0.25">
      <c r="A1145">
        <v>1144</v>
      </c>
      <c r="B1145" t="str">
        <f xml:space="preserve"> "600432"</f>
        <v>600432</v>
      </c>
      <c r="C1145" t="s">
        <v>4815</v>
      </c>
      <c r="D1145" t="s">
        <v>616</v>
      </c>
      <c r="E1145" t="s">
        <v>616</v>
      </c>
      <c r="F1145" t="s">
        <v>616</v>
      </c>
      <c r="G1145" t="s">
        <v>616</v>
      </c>
      <c r="H1145" t="s">
        <v>616</v>
      </c>
      <c r="I1145" t="s">
        <v>616</v>
      </c>
      <c r="J1145" t="s">
        <v>616</v>
      </c>
      <c r="K1145" t="s">
        <v>616</v>
      </c>
      <c r="L1145" t="s">
        <v>616</v>
      </c>
      <c r="M1145" t="s">
        <v>616</v>
      </c>
      <c r="N1145">
        <v>-8.82</v>
      </c>
      <c r="O1145" t="s">
        <v>449</v>
      </c>
      <c r="P1145" t="s">
        <v>616</v>
      </c>
      <c r="Q1145" t="s">
        <v>616</v>
      </c>
      <c r="R1145" t="s">
        <v>616</v>
      </c>
      <c r="S1145">
        <v>6.74</v>
      </c>
      <c r="T1145" t="s">
        <v>616</v>
      </c>
      <c r="U1145" t="s">
        <v>616</v>
      </c>
      <c r="V1145" t="s">
        <v>616</v>
      </c>
      <c r="W1145" t="s">
        <v>616</v>
      </c>
      <c r="X1145" t="s">
        <v>616</v>
      </c>
      <c r="Y1145" t="s">
        <v>616</v>
      </c>
      <c r="Z1145" t="s">
        <v>616</v>
      </c>
      <c r="AA1145" t="s">
        <v>616</v>
      </c>
      <c r="AB1145" t="s">
        <v>616</v>
      </c>
      <c r="AC1145" t="s">
        <v>616</v>
      </c>
      <c r="AD1145">
        <v>6.84</v>
      </c>
      <c r="AE1145" t="s">
        <v>1147</v>
      </c>
      <c r="AF1145" t="s">
        <v>99</v>
      </c>
      <c r="AG1145" t="s">
        <v>1147</v>
      </c>
      <c r="AH1145" t="s">
        <v>99</v>
      </c>
      <c r="AI1145">
        <v>0</v>
      </c>
      <c r="AJ1145">
        <v>0</v>
      </c>
      <c r="AK1145">
        <v>0</v>
      </c>
      <c r="AL1145">
        <v>0</v>
      </c>
    </row>
    <row r="1146" spans="1:38" x14ac:dyDescent="0.25">
      <c r="A1146">
        <v>1145</v>
      </c>
      <c r="B1146" t="str">
        <f xml:space="preserve"> "600546"</f>
        <v>600546</v>
      </c>
      <c r="C1146" t="s">
        <v>4816</v>
      </c>
      <c r="D1146">
        <v>5.45</v>
      </c>
      <c r="E1146">
        <v>-0.91</v>
      </c>
      <c r="F1146">
        <v>-0.05</v>
      </c>
      <c r="G1146" t="s">
        <v>1237</v>
      </c>
      <c r="H1146">
        <v>17</v>
      </c>
      <c r="I1146">
        <v>5.45</v>
      </c>
      <c r="J1146">
        <v>5.46</v>
      </c>
      <c r="K1146">
        <v>-0.18</v>
      </c>
      <c r="L1146">
        <v>0.69</v>
      </c>
      <c r="M1146" t="s">
        <v>4343</v>
      </c>
      <c r="N1146">
        <v>53.97</v>
      </c>
      <c r="O1146" t="s">
        <v>150</v>
      </c>
      <c r="P1146">
        <v>5.52</v>
      </c>
      <c r="Q1146">
        <v>5.37</v>
      </c>
      <c r="R1146">
        <v>5.51</v>
      </c>
      <c r="S1146">
        <v>5.5</v>
      </c>
      <c r="T1146">
        <v>2.73</v>
      </c>
      <c r="U1146">
        <v>1.32</v>
      </c>
      <c r="V1146">
        <v>-22.57</v>
      </c>
      <c r="W1146">
        <v>-2070</v>
      </c>
      <c r="X1146">
        <v>5.44</v>
      </c>
      <c r="Y1146" t="s">
        <v>4817</v>
      </c>
      <c r="Z1146" t="s">
        <v>2058</v>
      </c>
      <c r="AA1146">
        <v>2.2999999999999998</v>
      </c>
      <c r="AB1146">
        <v>387</v>
      </c>
      <c r="AC1146">
        <v>473</v>
      </c>
      <c r="AD1146">
        <v>2.6</v>
      </c>
      <c r="AE1146" t="s">
        <v>4818</v>
      </c>
      <c r="AF1146" t="s">
        <v>99</v>
      </c>
      <c r="AG1146" t="s">
        <v>4818</v>
      </c>
      <c r="AH1146" t="s">
        <v>99</v>
      </c>
      <c r="AI1146">
        <v>-2.33</v>
      </c>
      <c r="AJ1146">
        <v>-0.91</v>
      </c>
      <c r="AK1146">
        <v>1.64</v>
      </c>
      <c r="AL1146">
        <v>3.31</v>
      </c>
    </row>
    <row r="1147" spans="1:38" x14ac:dyDescent="0.25">
      <c r="A1147">
        <v>1146</v>
      </c>
      <c r="B1147" t="str">
        <f xml:space="preserve"> "601908"</f>
        <v>601908</v>
      </c>
      <c r="C1147" t="s">
        <v>4819</v>
      </c>
      <c r="D1147">
        <v>5.41</v>
      </c>
      <c r="E1147">
        <v>0.19</v>
      </c>
      <c r="F1147">
        <v>0.01</v>
      </c>
      <c r="G1147" t="s">
        <v>3264</v>
      </c>
      <c r="H1147">
        <v>109</v>
      </c>
      <c r="I1147">
        <v>5.41</v>
      </c>
      <c r="J1147">
        <v>5.42</v>
      </c>
      <c r="K1147">
        <v>0.19</v>
      </c>
      <c r="L1147">
        <v>0.25</v>
      </c>
      <c r="M1147" t="s">
        <v>4820</v>
      </c>
      <c r="N1147">
        <v>29.65</v>
      </c>
      <c r="O1147" t="s">
        <v>648</v>
      </c>
      <c r="P1147">
        <v>5.42</v>
      </c>
      <c r="Q1147">
        <v>5.36</v>
      </c>
      <c r="R1147">
        <v>5.38</v>
      </c>
      <c r="S1147">
        <v>5.4</v>
      </c>
      <c r="T1147">
        <v>1.1100000000000001</v>
      </c>
      <c r="U1147">
        <v>0.5</v>
      </c>
      <c r="V1147">
        <v>-53.53</v>
      </c>
      <c r="W1147">
        <v>-3826</v>
      </c>
      <c r="X1147">
        <v>5.39</v>
      </c>
      <c r="Y1147" t="s">
        <v>2193</v>
      </c>
      <c r="Z1147" t="s">
        <v>468</v>
      </c>
      <c r="AA1147">
        <v>1.37</v>
      </c>
      <c r="AB1147">
        <v>54</v>
      </c>
      <c r="AC1147">
        <v>2536</v>
      </c>
      <c r="AD1147">
        <v>1.72</v>
      </c>
      <c r="AE1147" t="s">
        <v>1063</v>
      </c>
      <c r="AF1147" t="s">
        <v>99</v>
      </c>
      <c r="AG1147" t="s">
        <v>2666</v>
      </c>
      <c r="AH1147" t="s">
        <v>99</v>
      </c>
      <c r="AI1147">
        <v>-1.28</v>
      </c>
      <c r="AJ1147">
        <v>-5.25</v>
      </c>
      <c r="AK1147">
        <v>1.21</v>
      </c>
      <c r="AL1147">
        <v>2.77</v>
      </c>
    </row>
    <row r="1148" spans="1:38" x14ac:dyDescent="0.25">
      <c r="A1148">
        <v>1147</v>
      </c>
      <c r="B1148" t="str">
        <f xml:space="preserve"> "000969"</f>
        <v>000969</v>
      </c>
      <c r="C1148" t="s">
        <v>4821</v>
      </c>
      <c r="D1148">
        <v>10.52</v>
      </c>
      <c r="E1148">
        <v>1.35</v>
      </c>
      <c r="F1148">
        <v>0.14000000000000001</v>
      </c>
      <c r="G1148" t="s">
        <v>1599</v>
      </c>
      <c r="H1148">
        <v>1276</v>
      </c>
      <c r="I1148">
        <v>10.51</v>
      </c>
      <c r="J1148">
        <v>10.52</v>
      </c>
      <c r="K1148">
        <v>0.1</v>
      </c>
      <c r="L1148">
        <v>0.85</v>
      </c>
      <c r="M1148" t="s">
        <v>4822</v>
      </c>
      <c r="N1148">
        <v>265.24</v>
      </c>
      <c r="O1148" t="s">
        <v>1229</v>
      </c>
      <c r="P1148">
        <v>10.52</v>
      </c>
      <c r="Q1148">
        <v>10.31</v>
      </c>
      <c r="R1148">
        <v>10.37</v>
      </c>
      <c r="S1148">
        <v>10.38</v>
      </c>
      <c r="T1148">
        <v>2.02</v>
      </c>
      <c r="U1148">
        <v>0.48</v>
      </c>
      <c r="V1148">
        <v>-41.78</v>
      </c>
      <c r="W1148">
        <v>-2369</v>
      </c>
      <c r="X1148">
        <v>10.45</v>
      </c>
      <c r="Y1148" t="s">
        <v>1719</v>
      </c>
      <c r="Z1148" t="s">
        <v>1786</v>
      </c>
      <c r="AA1148">
        <v>0.96</v>
      </c>
      <c r="AB1148">
        <v>235</v>
      </c>
      <c r="AC1148">
        <v>1145</v>
      </c>
      <c r="AD1148">
        <v>2.38</v>
      </c>
      <c r="AE1148" t="s">
        <v>707</v>
      </c>
      <c r="AF1148" t="s">
        <v>99</v>
      </c>
      <c r="AG1148" t="s">
        <v>3593</v>
      </c>
      <c r="AH1148" t="s">
        <v>4823</v>
      </c>
      <c r="AI1148">
        <v>-1.87</v>
      </c>
      <c r="AJ1148">
        <v>-4.1900000000000004</v>
      </c>
      <c r="AK1148">
        <v>3.97</v>
      </c>
      <c r="AL1148">
        <v>9.67</v>
      </c>
    </row>
    <row r="1149" spans="1:38" x14ac:dyDescent="0.25">
      <c r="A1149">
        <v>1148</v>
      </c>
      <c r="B1149" t="str">
        <f xml:space="preserve"> "600343"</f>
        <v>600343</v>
      </c>
      <c r="C1149" t="s">
        <v>4824</v>
      </c>
      <c r="D1149">
        <v>16.899999999999999</v>
      </c>
      <c r="E1149">
        <v>-0.82</v>
      </c>
      <c r="F1149">
        <v>-0.14000000000000001</v>
      </c>
      <c r="G1149" t="s">
        <v>2839</v>
      </c>
      <c r="H1149">
        <v>70</v>
      </c>
      <c r="I1149">
        <v>16.899999999999999</v>
      </c>
      <c r="J1149">
        <v>16.91</v>
      </c>
      <c r="K1149">
        <v>0.06</v>
      </c>
      <c r="L1149">
        <v>0.82</v>
      </c>
      <c r="M1149" t="s">
        <v>4825</v>
      </c>
      <c r="N1149">
        <v>410.28</v>
      </c>
      <c r="O1149" t="s">
        <v>648</v>
      </c>
      <c r="P1149">
        <v>16.98</v>
      </c>
      <c r="Q1149">
        <v>16.82</v>
      </c>
      <c r="R1149">
        <v>16.920000000000002</v>
      </c>
      <c r="S1149">
        <v>17.04</v>
      </c>
      <c r="T1149">
        <v>0.94</v>
      </c>
      <c r="U1149">
        <v>0.95</v>
      </c>
      <c r="V1149">
        <v>15.99</v>
      </c>
      <c r="W1149">
        <v>271</v>
      </c>
      <c r="X1149">
        <v>16.87</v>
      </c>
      <c r="Y1149" t="s">
        <v>2621</v>
      </c>
      <c r="Z1149" t="s">
        <v>1340</v>
      </c>
      <c r="AA1149">
        <v>1.87</v>
      </c>
      <c r="AB1149">
        <v>163</v>
      </c>
      <c r="AC1149">
        <v>197</v>
      </c>
      <c r="AD1149">
        <v>4.8899999999999997</v>
      </c>
      <c r="AE1149" t="s">
        <v>4826</v>
      </c>
      <c r="AF1149" t="s">
        <v>99</v>
      </c>
      <c r="AG1149" t="s">
        <v>4826</v>
      </c>
      <c r="AH1149" t="s">
        <v>99</v>
      </c>
      <c r="AI1149">
        <v>-0.12</v>
      </c>
      <c r="AJ1149">
        <v>1.1399999999999999</v>
      </c>
      <c r="AK1149">
        <v>3.14</v>
      </c>
      <c r="AL1149">
        <v>5.17</v>
      </c>
    </row>
    <row r="1150" spans="1:38" x14ac:dyDescent="0.25">
      <c r="A1150">
        <v>1149</v>
      </c>
      <c r="B1150" t="str">
        <f xml:space="preserve"> "600770"</f>
        <v>600770</v>
      </c>
      <c r="C1150" t="s">
        <v>4827</v>
      </c>
      <c r="D1150">
        <v>8.2899999999999991</v>
      </c>
      <c r="E1150">
        <v>0.12</v>
      </c>
      <c r="F1150">
        <v>0.01</v>
      </c>
      <c r="G1150" t="s">
        <v>3202</v>
      </c>
      <c r="H1150">
        <v>19</v>
      </c>
      <c r="I1150">
        <v>8.2899999999999991</v>
      </c>
      <c r="J1150">
        <v>8.3000000000000007</v>
      </c>
      <c r="K1150">
        <v>0.12</v>
      </c>
      <c r="L1150">
        <v>0.65</v>
      </c>
      <c r="M1150" t="s">
        <v>4828</v>
      </c>
      <c r="N1150">
        <v>267.98</v>
      </c>
      <c r="O1150" t="s">
        <v>3277</v>
      </c>
      <c r="P1150">
        <v>8.32</v>
      </c>
      <c r="Q1150">
        <v>8.1999999999999993</v>
      </c>
      <c r="R1150">
        <v>8.27</v>
      </c>
      <c r="S1150">
        <v>8.2799999999999994</v>
      </c>
      <c r="T1150">
        <v>1.45</v>
      </c>
      <c r="U1150">
        <v>0.48</v>
      </c>
      <c r="V1150">
        <v>-12.41</v>
      </c>
      <c r="W1150">
        <v>-543</v>
      </c>
      <c r="X1150">
        <v>8.27</v>
      </c>
      <c r="Y1150" t="s">
        <v>2023</v>
      </c>
      <c r="Z1150" t="s">
        <v>1878</v>
      </c>
      <c r="AA1150">
        <v>1.24</v>
      </c>
      <c r="AB1150">
        <v>682</v>
      </c>
      <c r="AC1150">
        <v>384</v>
      </c>
      <c r="AD1150">
        <v>3.09</v>
      </c>
      <c r="AE1150" t="s">
        <v>2828</v>
      </c>
      <c r="AF1150" t="s">
        <v>99</v>
      </c>
      <c r="AG1150" t="s">
        <v>2828</v>
      </c>
      <c r="AH1150" t="s">
        <v>99</v>
      </c>
      <c r="AI1150">
        <v>-3.15</v>
      </c>
      <c r="AJ1150">
        <v>1.34</v>
      </c>
      <c r="AK1150">
        <v>3.13</v>
      </c>
      <c r="AL1150">
        <v>7.45</v>
      </c>
    </row>
    <row r="1151" spans="1:38" x14ac:dyDescent="0.25">
      <c r="A1151">
        <v>1150</v>
      </c>
      <c r="B1151" t="str">
        <f xml:space="preserve"> "002043"</f>
        <v>002043</v>
      </c>
      <c r="C1151" t="s">
        <v>4829</v>
      </c>
      <c r="D1151">
        <v>12.5</v>
      </c>
      <c r="E1151">
        <v>-0.87</v>
      </c>
      <c r="F1151">
        <v>-0.11</v>
      </c>
      <c r="G1151" t="s">
        <v>246</v>
      </c>
      <c r="H1151">
        <v>1454</v>
      </c>
      <c r="I1151">
        <v>12.5</v>
      </c>
      <c r="J1151">
        <v>12.51</v>
      </c>
      <c r="K1151">
        <v>0</v>
      </c>
      <c r="L1151">
        <v>2.15</v>
      </c>
      <c r="M1151" t="s">
        <v>1088</v>
      </c>
      <c r="N1151">
        <v>34.07</v>
      </c>
      <c r="O1151" t="s">
        <v>1469</v>
      </c>
      <c r="P1151">
        <v>12.68</v>
      </c>
      <c r="Q1151">
        <v>12.45</v>
      </c>
      <c r="R1151">
        <v>12.66</v>
      </c>
      <c r="S1151">
        <v>12.61</v>
      </c>
      <c r="T1151">
        <v>1.82</v>
      </c>
      <c r="U1151">
        <v>1.06</v>
      </c>
      <c r="V1151">
        <v>22.04</v>
      </c>
      <c r="W1151">
        <v>1098</v>
      </c>
      <c r="X1151">
        <v>12.53</v>
      </c>
      <c r="Y1151" t="s">
        <v>2394</v>
      </c>
      <c r="Z1151" t="s">
        <v>3671</v>
      </c>
      <c r="AA1151">
        <v>1.83</v>
      </c>
      <c r="AB1151">
        <v>299</v>
      </c>
      <c r="AC1151">
        <v>1151</v>
      </c>
      <c r="AD1151">
        <v>6.3</v>
      </c>
      <c r="AE1151" t="s">
        <v>1168</v>
      </c>
      <c r="AF1151" t="s">
        <v>99</v>
      </c>
      <c r="AG1151" t="s">
        <v>3007</v>
      </c>
      <c r="AH1151" t="s">
        <v>3151</v>
      </c>
      <c r="AI1151">
        <v>-0.08</v>
      </c>
      <c r="AJ1151">
        <v>0.56000000000000005</v>
      </c>
      <c r="AK1151">
        <v>8.39</v>
      </c>
      <c r="AL1151">
        <v>12.31</v>
      </c>
    </row>
    <row r="1152" spans="1:38" x14ac:dyDescent="0.25">
      <c r="A1152">
        <v>1151</v>
      </c>
      <c r="B1152" t="str">
        <f xml:space="preserve"> "000049"</f>
        <v>000049</v>
      </c>
      <c r="C1152" t="s">
        <v>4830</v>
      </c>
      <c r="D1152">
        <v>52.38</v>
      </c>
      <c r="E1152">
        <v>1.32</v>
      </c>
      <c r="F1152">
        <v>0.68</v>
      </c>
      <c r="G1152" t="s">
        <v>1373</v>
      </c>
      <c r="H1152">
        <v>740</v>
      </c>
      <c r="I1152">
        <v>52.38</v>
      </c>
      <c r="J1152">
        <v>52.39</v>
      </c>
      <c r="K1152">
        <v>0.1</v>
      </c>
      <c r="L1152">
        <v>1.8</v>
      </c>
      <c r="M1152" t="s">
        <v>2662</v>
      </c>
      <c r="N1152">
        <v>46.95</v>
      </c>
      <c r="O1152" t="s">
        <v>380</v>
      </c>
      <c r="P1152">
        <v>52.67</v>
      </c>
      <c r="Q1152">
        <v>51.38</v>
      </c>
      <c r="R1152">
        <v>51.7</v>
      </c>
      <c r="S1152">
        <v>51.7</v>
      </c>
      <c r="T1152">
        <v>2.5</v>
      </c>
      <c r="U1152">
        <v>1.29</v>
      </c>
      <c r="V1152">
        <v>-27.85</v>
      </c>
      <c r="W1152">
        <v>-664</v>
      </c>
      <c r="X1152">
        <v>52.07</v>
      </c>
      <c r="Y1152" t="s">
        <v>899</v>
      </c>
      <c r="Z1152" t="s">
        <v>1340</v>
      </c>
      <c r="AA1152">
        <v>1.01</v>
      </c>
      <c r="AB1152">
        <v>91</v>
      </c>
      <c r="AC1152">
        <v>120</v>
      </c>
      <c r="AD1152">
        <v>8.81</v>
      </c>
      <c r="AE1152" t="s">
        <v>2526</v>
      </c>
      <c r="AF1152" t="s">
        <v>99</v>
      </c>
      <c r="AG1152" t="s">
        <v>2526</v>
      </c>
      <c r="AH1152" t="s">
        <v>99</v>
      </c>
      <c r="AI1152">
        <v>0.75</v>
      </c>
      <c r="AJ1152">
        <v>0.46</v>
      </c>
      <c r="AK1152">
        <v>4.37</v>
      </c>
      <c r="AL1152">
        <v>8.7899999999999991</v>
      </c>
    </row>
    <row r="1153" spans="1:38" x14ac:dyDescent="0.25">
      <c r="A1153">
        <v>1152</v>
      </c>
      <c r="B1153" t="str">
        <f xml:space="preserve"> "002570"</f>
        <v>002570</v>
      </c>
      <c r="C1153" t="s">
        <v>4831</v>
      </c>
      <c r="D1153">
        <v>10.51</v>
      </c>
      <c r="E1153">
        <v>1.35</v>
      </c>
      <c r="F1153">
        <v>0.14000000000000001</v>
      </c>
      <c r="G1153" t="s">
        <v>1639</v>
      </c>
      <c r="H1153">
        <v>1072</v>
      </c>
      <c r="I1153">
        <v>10.51</v>
      </c>
      <c r="J1153">
        <v>10.52</v>
      </c>
      <c r="K1153">
        <v>0</v>
      </c>
      <c r="L1153">
        <v>0.93</v>
      </c>
      <c r="M1153" t="s">
        <v>4832</v>
      </c>
      <c r="N1153">
        <v>-14.59</v>
      </c>
      <c r="O1153" t="s">
        <v>406</v>
      </c>
      <c r="P1153">
        <v>10.55</v>
      </c>
      <c r="Q1153">
        <v>10.31</v>
      </c>
      <c r="R1153">
        <v>10.37</v>
      </c>
      <c r="S1153">
        <v>10.37</v>
      </c>
      <c r="T1153">
        <v>2.31</v>
      </c>
      <c r="U1153">
        <v>0.56999999999999995</v>
      </c>
      <c r="V1153">
        <v>-48.06</v>
      </c>
      <c r="W1153">
        <v>-7585</v>
      </c>
      <c r="X1153">
        <v>10.48</v>
      </c>
      <c r="Y1153" t="s">
        <v>2226</v>
      </c>
      <c r="Z1153" t="s">
        <v>1593</v>
      </c>
      <c r="AA1153">
        <v>0.75</v>
      </c>
      <c r="AB1153">
        <v>1285</v>
      </c>
      <c r="AC1153">
        <v>2532</v>
      </c>
      <c r="AD1153">
        <v>4.26</v>
      </c>
      <c r="AE1153" t="s">
        <v>1766</v>
      </c>
      <c r="AF1153" t="s">
        <v>1037</v>
      </c>
      <c r="AG1153" t="s">
        <v>1766</v>
      </c>
      <c r="AH1153" t="s">
        <v>1037</v>
      </c>
      <c r="AI1153">
        <v>-0.1</v>
      </c>
      <c r="AJ1153">
        <v>2.94</v>
      </c>
      <c r="AK1153">
        <v>3.39</v>
      </c>
      <c r="AL1153">
        <v>9.1</v>
      </c>
    </row>
    <row r="1154" spans="1:38" x14ac:dyDescent="0.25">
      <c r="A1154">
        <v>1153</v>
      </c>
      <c r="B1154" t="str">
        <f xml:space="preserve"> "000546"</f>
        <v>000546</v>
      </c>
      <c r="C1154" t="s">
        <v>4833</v>
      </c>
      <c r="D1154">
        <v>15.03</v>
      </c>
      <c r="E1154">
        <v>1.9</v>
      </c>
      <c r="F1154">
        <v>0.28000000000000003</v>
      </c>
      <c r="G1154" t="s">
        <v>3111</v>
      </c>
      <c r="H1154">
        <v>753</v>
      </c>
      <c r="I1154">
        <v>15.03</v>
      </c>
      <c r="J1154">
        <v>15.04</v>
      </c>
      <c r="K1154">
        <v>0.27</v>
      </c>
      <c r="L1154">
        <v>1.69</v>
      </c>
      <c r="M1154" t="s">
        <v>4834</v>
      </c>
      <c r="N1154">
        <v>66.209999999999994</v>
      </c>
      <c r="O1154" t="s">
        <v>562</v>
      </c>
      <c r="P1154">
        <v>15.49</v>
      </c>
      <c r="Q1154">
        <v>14.79</v>
      </c>
      <c r="R1154">
        <v>14.8</v>
      </c>
      <c r="S1154">
        <v>14.75</v>
      </c>
      <c r="T1154">
        <v>4.75</v>
      </c>
      <c r="U1154">
        <v>0.6</v>
      </c>
      <c r="V1154">
        <v>-54.8</v>
      </c>
      <c r="W1154">
        <v>-599</v>
      </c>
      <c r="X1154">
        <v>15.15</v>
      </c>
      <c r="Y1154" t="s">
        <v>1043</v>
      </c>
      <c r="Z1154" t="s">
        <v>2088</v>
      </c>
      <c r="AA1154">
        <v>1.22</v>
      </c>
      <c r="AB1154">
        <v>158</v>
      </c>
      <c r="AC1154">
        <v>17</v>
      </c>
      <c r="AD1154">
        <v>3.42</v>
      </c>
      <c r="AE1154" t="s">
        <v>4835</v>
      </c>
      <c r="AF1154" t="s">
        <v>1037</v>
      </c>
      <c r="AG1154" t="s">
        <v>4836</v>
      </c>
      <c r="AH1154" t="s">
        <v>4804</v>
      </c>
      <c r="AI1154">
        <v>0.4</v>
      </c>
      <c r="AJ1154">
        <v>5.4</v>
      </c>
      <c r="AK1154">
        <v>5.8</v>
      </c>
      <c r="AL1154">
        <v>15.77</v>
      </c>
    </row>
    <row r="1155" spans="1:38" x14ac:dyDescent="0.25">
      <c r="A1155">
        <v>1154</v>
      </c>
      <c r="B1155" t="str">
        <f xml:space="preserve"> "002344"</f>
        <v>002344</v>
      </c>
      <c r="C1155" t="s">
        <v>4837</v>
      </c>
      <c r="D1155">
        <v>8.3699999999999992</v>
      </c>
      <c r="E1155">
        <v>0.12</v>
      </c>
      <c r="F1155">
        <v>0.01</v>
      </c>
      <c r="G1155" t="s">
        <v>1786</v>
      </c>
      <c r="H1155">
        <v>592</v>
      </c>
      <c r="I1155">
        <v>8.36</v>
      </c>
      <c r="J1155">
        <v>8.3699999999999992</v>
      </c>
      <c r="K1155">
        <v>0</v>
      </c>
      <c r="L1155">
        <v>0.35</v>
      </c>
      <c r="M1155" t="s">
        <v>4838</v>
      </c>
      <c r="N1155">
        <v>25.7</v>
      </c>
      <c r="O1155" t="s">
        <v>532</v>
      </c>
      <c r="P1155">
        <v>8.39</v>
      </c>
      <c r="Q1155">
        <v>8.33</v>
      </c>
      <c r="R1155">
        <v>8.34</v>
      </c>
      <c r="S1155">
        <v>8.36</v>
      </c>
      <c r="T1155">
        <v>0.72</v>
      </c>
      <c r="U1155">
        <v>0.74</v>
      </c>
      <c r="V1155">
        <v>-7.59</v>
      </c>
      <c r="W1155">
        <v>-612</v>
      </c>
      <c r="X1155">
        <v>8.36</v>
      </c>
      <c r="Y1155" t="s">
        <v>884</v>
      </c>
      <c r="Z1155" t="s">
        <v>884</v>
      </c>
      <c r="AA1155">
        <v>1</v>
      </c>
      <c r="AB1155">
        <v>1130</v>
      </c>
      <c r="AC1155">
        <v>1219</v>
      </c>
      <c r="AD1155">
        <v>1.48</v>
      </c>
      <c r="AE1155" t="s">
        <v>1376</v>
      </c>
      <c r="AF1155" t="s">
        <v>1037</v>
      </c>
      <c r="AG1155" t="s">
        <v>2501</v>
      </c>
      <c r="AH1155" t="s">
        <v>4839</v>
      </c>
      <c r="AI1155">
        <v>-0.24</v>
      </c>
      <c r="AJ1155">
        <v>2.4500000000000002</v>
      </c>
      <c r="AK1155">
        <v>1.44</v>
      </c>
      <c r="AL1155">
        <v>2.71</v>
      </c>
    </row>
    <row r="1156" spans="1:38" x14ac:dyDescent="0.25">
      <c r="A1156">
        <v>1155</v>
      </c>
      <c r="B1156" t="str">
        <f xml:space="preserve"> "601929"</f>
        <v>601929</v>
      </c>
      <c r="C1156" t="s">
        <v>4840</v>
      </c>
      <c r="D1156">
        <v>3.45</v>
      </c>
      <c r="E1156">
        <v>-0.28999999999999998</v>
      </c>
      <c r="F1156">
        <v>-0.01</v>
      </c>
      <c r="G1156" t="s">
        <v>4841</v>
      </c>
      <c r="H1156">
        <v>13</v>
      </c>
      <c r="I1156">
        <v>3.44</v>
      </c>
      <c r="J1156">
        <v>3.45</v>
      </c>
      <c r="K1156">
        <v>0</v>
      </c>
      <c r="L1156">
        <v>0.28000000000000003</v>
      </c>
      <c r="M1156" t="s">
        <v>4842</v>
      </c>
      <c r="N1156">
        <v>33.64</v>
      </c>
      <c r="O1156" t="s">
        <v>1126</v>
      </c>
      <c r="P1156">
        <v>3.47</v>
      </c>
      <c r="Q1156">
        <v>3.43</v>
      </c>
      <c r="R1156">
        <v>3.45</v>
      </c>
      <c r="S1156">
        <v>3.46</v>
      </c>
      <c r="T1156">
        <v>1.1599999999999999</v>
      </c>
      <c r="U1156">
        <v>0.74</v>
      </c>
      <c r="V1156">
        <v>12.75</v>
      </c>
      <c r="W1156">
        <v>6210</v>
      </c>
      <c r="X1156">
        <v>3.45</v>
      </c>
      <c r="Y1156" t="s">
        <v>4583</v>
      </c>
      <c r="Z1156" t="s">
        <v>4843</v>
      </c>
      <c r="AA1156">
        <v>1.0900000000000001</v>
      </c>
      <c r="AB1156" t="s">
        <v>1349</v>
      </c>
      <c r="AC1156">
        <v>234</v>
      </c>
      <c r="AD1156">
        <v>1.7</v>
      </c>
      <c r="AE1156" t="s">
        <v>2205</v>
      </c>
      <c r="AF1156" t="s">
        <v>1037</v>
      </c>
      <c r="AG1156" t="s">
        <v>2205</v>
      </c>
      <c r="AH1156" t="s">
        <v>1037</v>
      </c>
      <c r="AI1156">
        <v>0</v>
      </c>
      <c r="AJ1156">
        <v>2.99</v>
      </c>
      <c r="AK1156">
        <v>0.98</v>
      </c>
      <c r="AL1156">
        <v>2.14</v>
      </c>
    </row>
    <row r="1157" spans="1:38" x14ac:dyDescent="0.25">
      <c r="A1157">
        <v>1156</v>
      </c>
      <c r="B1157" t="str">
        <f xml:space="preserve"> "601858"</f>
        <v>601858</v>
      </c>
      <c r="C1157" t="s">
        <v>4844</v>
      </c>
      <c r="D1157">
        <v>13.56</v>
      </c>
      <c r="E1157">
        <v>7.0000000000000007E-2</v>
      </c>
      <c r="F1157">
        <v>0.01</v>
      </c>
      <c r="G1157" t="s">
        <v>363</v>
      </c>
      <c r="H1157">
        <v>11</v>
      </c>
      <c r="I1157">
        <v>13.54</v>
      </c>
      <c r="J1157">
        <v>13.55</v>
      </c>
      <c r="K1157">
        <v>-7.0000000000000007E-2</v>
      </c>
      <c r="L1157">
        <v>8.3800000000000008</v>
      </c>
      <c r="M1157" t="s">
        <v>1306</v>
      </c>
      <c r="N1157">
        <v>60</v>
      </c>
      <c r="O1157" t="s">
        <v>1126</v>
      </c>
      <c r="P1157">
        <v>13.86</v>
      </c>
      <c r="Q1157">
        <v>13.35</v>
      </c>
      <c r="R1157">
        <v>13.4</v>
      </c>
      <c r="S1157">
        <v>13.55</v>
      </c>
      <c r="T1157">
        <v>3.76</v>
      </c>
      <c r="U1157">
        <v>1.9</v>
      </c>
      <c r="V1157">
        <v>-11.99</v>
      </c>
      <c r="W1157">
        <v>-334</v>
      </c>
      <c r="X1157">
        <v>13.64</v>
      </c>
      <c r="Y1157" t="s">
        <v>3689</v>
      </c>
      <c r="Z1157" t="s">
        <v>3177</v>
      </c>
      <c r="AA1157">
        <v>1.1100000000000001</v>
      </c>
      <c r="AB1157">
        <v>67</v>
      </c>
      <c r="AC1157">
        <v>23</v>
      </c>
      <c r="AD1157">
        <v>3.62</v>
      </c>
      <c r="AE1157" t="s">
        <v>2281</v>
      </c>
      <c r="AF1157" t="s">
        <v>1037</v>
      </c>
      <c r="AG1157" t="s">
        <v>3398</v>
      </c>
      <c r="AH1157" t="s">
        <v>892</v>
      </c>
      <c r="AI1157">
        <v>1.95</v>
      </c>
      <c r="AJ1157">
        <v>7.88</v>
      </c>
      <c r="AK1157">
        <v>19.690000000000001</v>
      </c>
      <c r="AL1157">
        <v>30.35</v>
      </c>
    </row>
    <row r="1158" spans="1:38" x14ac:dyDescent="0.25">
      <c r="A1158">
        <v>1157</v>
      </c>
      <c r="B1158" t="str">
        <f xml:space="preserve"> "600775"</f>
        <v>600775</v>
      </c>
      <c r="C1158" t="s">
        <v>4845</v>
      </c>
      <c r="D1158">
        <v>11.72</v>
      </c>
      <c r="E1158">
        <v>-0.09</v>
      </c>
      <c r="F1158">
        <v>-0.01</v>
      </c>
      <c r="G1158" t="s">
        <v>3031</v>
      </c>
      <c r="H1158">
        <v>100</v>
      </c>
      <c r="I1158">
        <v>11.72</v>
      </c>
      <c r="J1158">
        <v>11.73</v>
      </c>
      <c r="K1158">
        <v>0</v>
      </c>
      <c r="L1158">
        <v>0.89</v>
      </c>
      <c r="M1158" t="s">
        <v>4846</v>
      </c>
      <c r="N1158">
        <v>119.31</v>
      </c>
      <c r="O1158" t="s">
        <v>580</v>
      </c>
      <c r="P1158">
        <v>11.81</v>
      </c>
      <c r="Q1158">
        <v>11.58</v>
      </c>
      <c r="R1158">
        <v>11.77</v>
      </c>
      <c r="S1158">
        <v>11.73</v>
      </c>
      <c r="T1158">
        <v>1.96</v>
      </c>
      <c r="U1158">
        <v>0.53</v>
      </c>
      <c r="V1158">
        <v>-30.78</v>
      </c>
      <c r="W1158">
        <v>-664</v>
      </c>
      <c r="X1158">
        <v>11.66</v>
      </c>
      <c r="Y1158" t="s">
        <v>1286</v>
      </c>
      <c r="Z1158" t="s">
        <v>3272</v>
      </c>
      <c r="AA1158">
        <v>1.44</v>
      </c>
      <c r="AB1158">
        <v>213</v>
      </c>
      <c r="AC1158">
        <v>367</v>
      </c>
      <c r="AD1158">
        <v>3.31</v>
      </c>
      <c r="AE1158" t="s">
        <v>71</v>
      </c>
      <c r="AF1158" t="s">
        <v>1037</v>
      </c>
      <c r="AG1158" t="s">
        <v>1490</v>
      </c>
      <c r="AH1158" t="s">
        <v>4847</v>
      </c>
      <c r="AI1158">
        <v>-2.0099999999999998</v>
      </c>
      <c r="AJ1158">
        <v>-0.09</v>
      </c>
      <c r="AK1158">
        <v>3.19</v>
      </c>
      <c r="AL1158">
        <v>9.3000000000000007</v>
      </c>
    </row>
    <row r="1159" spans="1:38" x14ac:dyDescent="0.25">
      <c r="A1159">
        <v>1158</v>
      </c>
      <c r="B1159" t="str">
        <f xml:space="preserve"> "600033"</f>
        <v>600033</v>
      </c>
      <c r="C1159" t="s">
        <v>4848</v>
      </c>
      <c r="D1159">
        <v>3.9</v>
      </c>
      <c r="E1159">
        <v>0.26</v>
      </c>
      <c r="F1159">
        <v>0.01</v>
      </c>
      <c r="G1159" t="s">
        <v>2307</v>
      </c>
      <c r="H1159">
        <v>1572</v>
      </c>
      <c r="I1159">
        <v>3.89</v>
      </c>
      <c r="J1159">
        <v>3.9</v>
      </c>
      <c r="K1159">
        <v>0.26</v>
      </c>
      <c r="L1159">
        <v>0.28999999999999998</v>
      </c>
      <c r="M1159" t="s">
        <v>4849</v>
      </c>
      <c r="N1159">
        <v>12.92</v>
      </c>
      <c r="O1159" t="s">
        <v>1348</v>
      </c>
      <c r="P1159">
        <v>3.9</v>
      </c>
      <c r="Q1159">
        <v>3.87</v>
      </c>
      <c r="R1159">
        <v>3.89</v>
      </c>
      <c r="S1159">
        <v>3.89</v>
      </c>
      <c r="T1159">
        <v>0.77</v>
      </c>
      <c r="U1159">
        <v>0.75</v>
      </c>
      <c r="V1159">
        <v>-26.48</v>
      </c>
      <c r="W1159" t="s">
        <v>2821</v>
      </c>
      <c r="X1159">
        <v>3.89</v>
      </c>
      <c r="Y1159" t="s">
        <v>2398</v>
      </c>
      <c r="Z1159" t="s">
        <v>2432</v>
      </c>
      <c r="AA1159">
        <v>0.87</v>
      </c>
      <c r="AB1159">
        <v>162</v>
      </c>
      <c r="AC1159">
        <v>4183</v>
      </c>
      <c r="AD1159">
        <v>1.27</v>
      </c>
      <c r="AE1159" t="s">
        <v>2608</v>
      </c>
      <c r="AF1159" t="s">
        <v>1037</v>
      </c>
      <c r="AG1159" t="s">
        <v>2608</v>
      </c>
      <c r="AH1159" t="s">
        <v>1037</v>
      </c>
      <c r="AI1159">
        <v>-0.51</v>
      </c>
      <c r="AJ1159">
        <v>1.3</v>
      </c>
      <c r="AK1159">
        <v>1.05</v>
      </c>
      <c r="AL1159">
        <v>2.21</v>
      </c>
    </row>
    <row r="1160" spans="1:38" x14ac:dyDescent="0.25">
      <c r="A1160">
        <v>1159</v>
      </c>
      <c r="B1160" t="str">
        <f xml:space="preserve"> "600580"</f>
        <v>600580</v>
      </c>
      <c r="C1160" t="s">
        <v>4850</v>
      </c>
      <c r="D1160">
        <v>8.2899999999999991</v>
      </c>
      <c r="E1160">
        <v>0.61</v>
      </c>
      <c r="F1160">
        <v>0.05</v>
      </c>
      <c r="G1160" t="s">
        <v>1938</v>
      </c>
      <c r="H1160">
        <v>2</v>
      </c>
      <c r="I1160">
        <v>8.2899999999999991</v>
      </c>
      <c r="J1160">
        <v>8.3000000000000007</v>
      </c>
      <c r="K1160">
        <v>0.12</v>
      </c>
      <c r="L1160">
        <v>0.51</v>
      </c>
      <c r="M1160" t="s">
        <v>4851</v>
      </c>
      <c r="N1160">
        <v>41.14</v>
      </c>
      <c r="O1160" t="s">
        <v>680</v>
      </c>
      <c r="P1160">
        <v>8.31</v>
      </c>
      <c r="Q1160">
        <v>8.1999999999999993</v>
      </c>
      <c r="R1160">
        <v>8.2799999999999994</v>
      </c>
      <c r="S1160">
        <v>8.24</v>
      </c>
      <c r="T1160">
        <v>1.33</v>
      </c>
      <c r="U1160">
        <v>0.61</v>
      </c>
      <c r="V1160">
        <v>-52.77</v>
      </c>
      <c r="W1160">
        <v>-4228</v>
      </c>
      <c r="X1160">
        <v>8.2799999999999994</v>
      </c>
      <c r="Y1160" t="s">
        <v>658</v>
      </c>
      <c r="Z1160" t="s">
        <v>2458</v>
      </c>
      <c r="AA1160">
        <v>0.53</v>
      </c>
      <c r="AB1160">
        <v>64</v>
      </c>
      <c r="AC1160">
        <v>1651</v>
      </c>
      <c r="AD1160">
        <v>2.0499999999999998</v>
      </c>
      <c r="AE1160" t="s">
        <v>2683</v>
      </c>
      <c r="AF1160" t="s">
        <v>1037</v>
      </c>
      <c r="AG1160" t="s">
        <v>204</v>
      </c>
      <c r="AH1160" t="s">
        <v>4852</v>
      </c>
      <c r="AI1160">
        <v>-0.84</v>
      </c>
      <c r="AJ1160">
        <v>2.2200000000000002</v>
      </c>
      <c r="AK1160">
        <v>1.93</v>
      </c>
      <c r="AL1160">
        <v>4.71</v>
      </c>
    </row>
    <row r="1161" spans="1:38" x14ac:dyDescent="0.25">
      <c r="A1161">
        <v>1160</v>
      </c>
      <c r="B1161" t="str">
        <f xml:space="preserve"> "600123"</f>
        <v>600123</v>
      </c>
      <c r="C1161" t="s">
        <v>4853</v>
      </c>
      <c r="D1161">
        <v>9.34</v>
      </c>
      <c r="E1161">
        <v>0.76</v>
      </c>
      <c r="F1161">
        <v>7.0000000000000007E-2</v>
      </c>
      <c r="G1161" t="s">
        <v>297</v>
      </c>
      <c r="H1161">
        <v>70</v>
      </c>
      <c r="I1161">
        <v>9.34</v>
      </c>
      <c r="J1161">
        <v>9.35</v>
      </c>
      <c r="K1161">
        <v>0.11</v>
      </c>
      <c r="L1161">
        <v>1.42</v>
      </c>
      <c r="M1161" t="s">
        <v>2878</v>
      </c>
      <c r="N1161">
        <v>10.45</v>
      </c>
      <c r="O1161" t="s">
        <v>150</v>
      </c>
      <c r="P1161">
        <v>9.3699999999999992</v>
      </c>
      <c r="Q1161">
        <v>9.19</v>
      </c>
      <c r="R1161">
        <v>9.2100000000000009</v>
      </c>
      <c r="S1161">
        <v>9.27</v>
      </c>
      <c r="T1161">
        <v>1.94</v>
      </c>
      <c r="U1161">
        <v>0.78</v>
      </c>
      <c r="V1161">
        <v>23.69</v>
      </c>
      <c r="W1161">
        <v>6455</v>
      </c>
      <c r="X1161">
        <v>9.3000000000000007</v>
      </c>
      <c r="Y1161" t="s">
        <v>2441</v>
      </c>
      <c r="Z1161" t="s">
        <v>4854</v>
      </c>
      <c r="AA1161">
        <v>0.72</v>
      </c>
      <c r="AB1161">
        <v>1394</v>
      </c>
      <c r="AC1161">
        <v>2325</v>
      </c>
      <c r="AD1161">
        <v>1.1599999999999999</v>
      </c>
      <c r="AE1161" t="s">
        <v>357</v>
      </c>
      <c r="AF1161" t="s">
        <v>1037</v>
      </c>
      <c r="AG1161" t="s">
        <v>357</v>
      </c>
      <c r="AH1161" t="s">
        <v>1037</v>
      </c>
      <c r="AI1161">
        <v>-0.64</v>
      </c>
      <c r="AJ1161">
        <v>-1.79</v>
      </c>
      <c r="AK1161">
        <v>5.84</v>
      </c>
      <c r="AL1161">
        <v>10.55</v>
      </c>
    </row>
    <row r="1162" spans="1:38" x14ac:dyDescent="0.25">
      <c r="A1162">
        <v>1161</v>
      </c>
      <c r="B1162" t="str">
        <f xml:space="preserve"> "600217"</f>
        <v>600217</v>
      </c>
      <c r="C1162" t="s">
        <v>4855</v>
      </c>
      <c r="D1162">
        <v>7.56</v>
      </c>
      <c r="E1162">
        <v>3.7</v>
      </c>
      <c r="F1162">
        <v>0.27</v>
      </c>
      <c r="G1162" t="s">
        <v>1069</v>
      </c>
      <c r="H1162">
        <v>19</v>
      </c>
      <c r="I1162">
        <v>7.55</v>
      </c>
      <c r="J1162">
        <v>7.56</v>
      </c>
      <c r="K1162">
        <v>0</v>
      </c>
      <c r="L1162">
        <v>4.05</v>
      </c>
      <c r="M1162" t="s">
        <v>3597</v>
      </c>
      <c r="N1162">
        <v>51.37</v>
      </c>
      <c r="O1162" t="s">
        <v>1155</v>
      </c>
      <c r="P1162">
        <v>7.65</v>
      </c>
      <c r="Q1162">
        <v>7.2</v>
      </c>
      <c r="R1162">
        <v>7.29</v>
      </c>
      <c r="S1162">
        <v>7.29</v>
      </c>
      <c r="T1162">
        <v>6.17</v>
      </c>
      <c r="U1162">
        <v>4.33</v>
      </c>
      <c r="V1162">
        <v>-62.85</v>
      </c>
      <c r="W1162">
        <v>-5870</v>
      </c>
      <c r="X1162">
        <v>7.48</v>
      </c>
      <c r="Y1162" t="s">
        <v>1834</v>
      </c>
      <c r="Z1162" t="s">
        <v>4137</v>
      </c>
      <c r="AA1162">
        <v>0.85</v>
      </c>
      <c r="AB1162">
        <v>799</v>
      </c>
      <c r="AC1162">
        <v>1081</v>
      </c>
      <c r="AD1162">
        <v>6.73</v>
      </c>
      <c r="AE1162" t="s">
        <v>1715</v>
      </c>
      <c r="AF1162" t="s">
        <v>1037</v>
      </c>
      <c r="AG1162" t="s">
        <v>4658</v>
      </c>
      <c r="AH1162" t="s">
        <v>463</v>
      </c>
      <c r="AI1162">
        <v>3.56</v>
      </c>
      <c r="AJ1162">
        <v>7.08</v>
      </c>
      <c r="AK1162">
        <v>6.42</v>
      </c>
      <c r="AL1162">
        <v>8.74</v>
      </c>
    </row>
    <row r="1163" spans="1:38" x14ac:dyDescent="0.25">
      <c r="A1163">
        <v>1162</v>
      </c>
      <c r="B1163" t="str">
        <f xml:space="preserve"> "002335"</f>
        <v>002335</v>
      </c>
      <c r="C1163" t="s">
        <v>4856</v>
      </c>
      <c r="D1163">
        <v>38.229999999999997</v>
      </c>
      <c r="E1163">
        <v>0.42</v>
      </c>
      <c r="F1163">
        <v>0.16</v>
      </c>
      <c r="G1163" t="s">
        <v>3357</v>
      </c>
      <c r="H1163">
        <v>123</v>
      </c>
      <c r="I1163">
        <v>38.22</v>
      </c>
      <c r="J1163">
        <v>38.229999999999997</v>
      </c>
      <c r="K1163">
        <v>0.03</v>
      </c>
      <c r="L1163">
        <v>1.08</v>
      </c>
      <c r="M1163" t="s">
        <v>4857</v>
      </c>
      <c r="N1163">
        <v>19.21</v>
      </c>
      <c r="O1163" t="s">
        <v>680</v>
      </c>
      <c r="P1163">
        <v>38.28</v>
      </c>
      <c r="Q1163">
        <v>37.51</v>
      </c>
      <c r="R1163">
        <v>38.1</v>
      </c>
      <c r="S1163">
        <v>38.07</v>
      </c>
      <c r="T1163">
        <v>2.02</v>
      </c>
      <c r="U1163">
        <v>0.79</v>
      </c>
      <c r="V1163">
        <v>-29.31</v>
      </c>
      <c r="W1163">
        <v>-167</v>
      </c>
      <c r="X1163">
        <v>37.880000000000003</v>
      </c>
      <c r="Y1163" t="s">
        <v>1821</v>
      </c>
      <c r="Z1163" t="s">
        <v>1869</v>
      </c>
      <c r="AA1163">
        <v>1.18</v>
      </c>
      <c r="AB1163">
        <v>49</v>
      </c>
      <c r="AC1163">
        <v>277</v>
      </c>
      <c r="AD1163">
        <v>3.15</v>
      </c>
      <c r="AE1163" t="s">
        <v>4858</v>
      </c>
      <c r="AF1163" t="s">
        <v>1459</v>
      </c>
      <c r="AG1163" t="s">
        <v>2845</v>
      </c>
      <c r="AH1163" t="s">
        <v>4859</v>
      </c>
      <c r="AI1163">
        <v>-1.8</v>
      </c>
      <c r="AJ1163">
        <v>0.37</v>
      </c>
      <c r="AK1163">
        <v>4.03</v>
      </c>
      <c r="AL1163">
        <v>7.88</v>
      </c>
    </row>
    <row r="1164" spans="1:38" x14ac:dyDescent="0.25">
      <c r="A1164">
        <v>1163</v>
      </c>
      <c r="B1164" t="str">
        <f xml:space="preserve"> "000928"</f>
        <v>000928</v>
      </c>
      <c r="C1164" t="s">
        <v>4860</v>
      </c>
      <c r="D1164">
        <v>8.4700000000000006</v>
      </c>
      <c r="E1164">
        <v>-0.82</v>
      </c>
      <c r="F1164">
        <v>-7.0000000000000007E-2</v>
      </c>
      <c r="G1164" t="s">
        <v>912</v>
      </c>
      <c r="H1164">
        <v>1163</v>
      </c>
      <c r="I1164">
        <v>8.4700000000000006</v>
      </c>
      <c r="J1164">
        <v>8.48</v>
      </c>
      <c r="K1164">
        <v>-0.12</v>
      </c>
      <c r="L1164">
        <v>1.44</v>
      </c>
      <c r="M1164" t="s">
        <v>4861</v>
      </c>
      <c r="N1164">
        <v>21.16</v>
      </c>
      <c r="O1164" t="s">
        <v>263</v>
      </c>
      <c r="P1164">
        <v>8.58</v>
      </c>
      <c r="Q1164">
        <v>8.4</v>
      </c>
      <c r="R1164">
        <v>8.56</v>
      </c>
      <c r="S1164">
        <v>8.5399999999999991</v>
      </c>
      <c r="T1164">
        <v>2.11</v>
      </c>
      <c r="U1164">
        <v>1.1000000000000001</v>
      </c>
      <c r="V1164">
        <v>12.33</v>
      </c>
      <c r="W1164">
        <v>1083</v>
      </c>
      <c r="X1164">
        <v>8.4600000000000009</v>
      </c>
      <c r="Y1164" t="s">
        <v>974</v>
      </c>
      <c r="Z1164" t="s">
        <v>3385</v>
      </c>
      <c r="AA1164">
        <v>2.2000000000000002</v>
      </c>
      <c r="AB1164">
        <v>181</v>
      </c>
      <c r="AC1164">
        <v>1282</v>
      </c>
      <c r="AD1164">
        <v>2.4</v>
      </c>
      <c r="AE1164" t="s">
        <v>126</v>
      </c>
      <c r="AF1164" t="s">
        <v>1459</v>
      </c>
      <c r="AG1164" t="s">
        <v>4763</v>
      </c>
      <c r="AH1164" t="s">
        <v>200</v>
      </c>
      <c r="AI1164">
        <v>0.47</v>
      </c>
      <c r="AJ1164">
        <v>3.8</v>
      </c>
      <c r="AK1164">
        <v>4.4800000000000004</v>
      </c>
      <c r="AL1164">
        <v>7.97</v>
      </c>
    </row>
    <row r="1165" spans="1:38" x14ac:dyDescent="0.25">
      <c r="A1165">
        <v>1164</v>
      </c>
      <c r="B1165" t="str">
        <f xml:space="preserve"> "300666"</f>
        <v>300666</v>
      </c>
      <c r="C1165" t="s">
        <v>4862</v>
      </c>
      <c r="D1165">
        <v>48.63</v>
      </c>
      <c r="E1165">
        <v>-2.5099999999999998</v>
      </c>
      <c r="F1165">
        <v>-1.25</v>
      </c>
      <c r="G1165" t="s">
        <v>2583</v>
      </c>
      <c r="H1165">
        <v>1627</v>
      </c>
      <c r="I1165">
        <v>48.63</v>
      </c>
      <c r="J1165">
        <v>48.64</v>
      </c>
      <c r="K1165">
        <v>-0.02</v>
      </c>
      <c r="L1165">
        <v>12.46</v>
      </c>
      <c r="M1165" t="s">
        <v>3522</v>
      </c>
      <c r="N1165">
        <v>258.41000000000003</v>
      </c>
      <c r="O1165" t="s">
        <v>859</v>
      </c>
      <c r="P1165">
        <v>50.56</v>
      </c>
      <c r="Q1165">
        <v>48.36</v>
      </c>
      <c r="R1165">
        <v>50.13</v>
      </c>
      <c r="S1165">
        <v>49.88</v>
      </c>
      <c r="T1165">
        <v>4.41</v>
      </c>
      <c r="U1165">
        <v>0.54</v>
      </c>
      <c r="V1165">
        <v>49.88</v>
      </c>
      <c r="W1165">
        <v>635</v>
      </c>
      <c r="X1165">
        <v>49.07</v>
      </c>
      <c r="Y1165" t="s">
        <v>1494</v>
      </c>
      <c r="Z1165" t="s">
        <v>275</v>
      </c>
      <c r="AA1165">
        <v>1.77</v>
      </c>
      <c r="AB1165">
        <v>293</v>
      </c>
      <c r="AC1165">
        <v>198</v>
      </c>
      <c r="AD1165">
        <v>20.37</v>
      </c>
      <c r="AE1165" t="s">
        <v>1666</v>
      </c>
      <c r="AF1165" t="s">
        <v>1459</v>
      </c>
      <c r="AG1165" t="s">
        <v>4863</v>
      </c>
      <c r="AH1165" t="s">
        <v>3224</v>
      </c>
      <c r="AI1165">
        <v>-5.46</v>
      </c>
      <c r="AJ1165">
        <v>-0.21</v>
      </c>
      <c r="AK1165">
        <v>58.02</v>
      </c>
      <c r="AL1165">
        <v>128.99</v>
      </c>
    </row>
    <row r="1166" spans="1:38" x14ac:dyDescent="0.25">
      <c r="A1166">
        <v>1165</v>
      </c>
      <c r="B1166" t="str">
        <f xml:space="preserve"> "300476"</f>
        <v>300476</v>
      </c>
      <c r="C1166" t="s">
        <v>4864</v>
      </c>
      <c r="D1166">
        <v>24.85</v>
      </c>
      <c r="E1166">
        <v>-0.96</v>
      </c>
      <c r="F1166">
        <v>-0.24</v>
      </c>
      <c r="G1166" t="s">
        <v>2732</v>
      </c>
      <c r="H1166">
        <v>165</v>
      </c>
      <c r="I1166">
        <v>24.85</v>
      </c>
      <c r="J1166">
        <v>24.9</v>
      </c>
      <c r="K1166">
        <v>-0.28000000000000003</v>
      </c>
      <c r="L1166">
        <v>2.12</v>
      </c>
      <c r="M1166" t="s">
        <v>4865</v>
      </c>
      <c r="N1166">
        <v>46.31</v>
      </c>
      <c r="O1166" t="s">
        <v>380</v>
      </c>
      <c r="P1166">
        <v>25.2</v>
      </c>
      <c r="Q1166">
        <v>24.62</v>
      </c>
      <c r="R1166">
        <v>25.1</v>
      </c>
      <c r="S1166">
        <v>25.09</v>
      </c>
      <c r="T1166">
        <v>2.31</v>
      </c>
      <c r="U1166">
        <v>1.25</v>
      </c>
      <c r="V1166">
        <v>-0.28999999999999998</v>
      </c>
      <c r="W1166">
        <v>-2</v>
      </c>
      <c r="X1166">
        <v>24.8</v>
      </c>
      <c r="Y1166" t="s">
        <v>1986</v>
      </c>
      <c r="Z1166" t="s">
        <v>2558</v>
      </c>
      <c r="AA1166">
        <v>1.27</v>
      </c>
      <c r="AB1166">
        <v>140</v>
      </c>
      <c r="AC1166">
        <v>52</v>
      </c>
      <c r="AD1166">
        <v>4.24</v>
      </c>
      <c r="AE1166" t="s">
        <v>2324</v>
      </c>
      <c r="AF1166" t="s">
        <v>1459</v>
      </c>
      <c r="AG1166" t="s">
        <v>1228</v>
      </c>
      <c r="AH1166" t="s">
        <v>4866</v>
      </c>
      <c r="AI1166">
        <v>-2.7</v>
      </c>
      <c r="AJ1166">
        <v>-2.74</v>
      </c>
      <c r="AK1166">
        <v>5.99</v>
      </c>
      <c r="AL1166">
        <v>10.59</v>
      </c>
    </row>
    <row r="1167" spans="1:38" x14ac:dyDescent="0.25">
      <c r="A1167">
        <v>1166</v>
      </c>
      <c r="B1167" t="str">
        <f xml:space="preserve"> "002727"</f>
        <v>002727</v>
      </c>
      <c r="C1167" t="s">
        <v>4867</v>
      </c>
      <c r="D1167">
        <v>20.41</v>
      </c>
      <c r="E1167">
        <v>0.2</v>
      </c>
      <c r="F1167">
        <v>0.04</v>
      </c>
      <c r="G1167" t="s">
        <v>1954</v>
      </c>
      <c r="H1167">
        <v>147</v>
      </c>
      <c r="I1167">
        <v>20.41</v>
      </c>
      <c r="J1167">
        <v>20.420000000000002</v>
      </c>
      <c r="K1167">
        <v>0.15</v>
      </c>
      <c r="L1167">
        <v>1.1000000000000001</v>
      </c>
      <c r="M1167" t="s">
        <v>4868</v>
      </c>
      <c r="N1167">
        <v>24.58</v>
      </c>
      <c r="O1167" t="s">
        <v>392</v>
      </c>
      <c r="P1167">
        <v>20.43</v>
      </c>
      <c r="Q1167">
        <v>20.16</v>
      </c>
      <c r="R1167">
        <v>20.329999999999998</v>
      </c>
      <c r="S1167">
        <v>20.37</v>
      </c>
      <c r="T1167">
        <v>1.33</v>
      </c>
      <c r="U1167">
        <v>1.01</v>
      </c>
      <c r="V1167">
        <v>1.49</v>
      </c>
      <c r="W1167">
        <v>13</v>
      </c>
      <c r="X1167">
        <v>20.27</v>
      </c>
      <c r="Y1167" t="s">
        <v>3130</v>
      </c>
      <c r="Z1167" t="s">
        <v>4399</v>
      </c>
      <c r="AA1167">
        <v>1.18</v>
      </c>
      <c r="AB1167">
        <v>4</v>
      </c>
      <c r="AC1167">
        <v>185</v>
      </c>
      <c r="AD1167">
        <v>4.07</v>
      </c>
      <c r="AE1167" t="s">
        <v>4869</v>
      </c>
      <c r="AF1167" t="s">
        <v>1459</v>
      </c>
      <c r="AG1167" t="s">
        <v>4870</v>
      </c>
      <c r="AH1167" t="s">
        <v>750</v>
      </c>
      <c r="AI1167">
        <v>-1.4</v>
      </c>
      <c r="AJ1167">
        <v>2.2000000000000002</v>
      </c>
      <c r="AK1167">
        <v>3.61</v>
      </c>
      <c r="AL1167">
        <v>6.57</v>
      </c>
    </row>
    <row r="1168" spans="1:38" x14ac:dyDescent="0.25">
      <c r="A1168">
        <v>1167</v>
      </c>
      <c r="B1168" t="str">
        <f xml:space="preserve"> "000615"</f>
        <v>000615</v>
      </c>
      <c r="C1168" t="s">
        <v>4871</v>
      </c>
      <c r="D1168" t="s">
        <v>616</v>
      </c>
      <c r="E1168" t="s">
        <v>616</v>
      </c>
      <c r="F1168" t="s">
        <v>616</v>
      </c>
      <c r="G1168" t="s">
        <v>616</v>
      </c>
      <c r="H1168" t="s">
        <v>616</v>
      </c>
      <c r="I1168" t="s">
        <v>616</v>
      </c>
      <c r="J1168" t="s">
        <v>616</v>
      </c>
      <c r="K1168" t="s">
        <v>616</v>
      </c>
      <c r="L1168" t="s">
        <v>616</v>
      </c>
      <c r="M1168" t="s">
        <v>616</v>
      </c>
      <c r="N1168">
        <v>-183.83</v>
      </c>
      <c r="O1168" t="s">
        <v>244</v>
      </c>
      <c r="P1168" t="s">
        <v>616</v>
      </c>
      <c r="Q1168" t="s">
        <v>616</v>
      </c>
      <c r="R1168" t="s">
        <v>616</v>
      </c>
      <c r="S1168">
        <v>13.61</v>
      </c>
      <c r="T1168" t="s">
        <v>616</v>
      </c>
      <c r="U1168" t="s">
        <v>616</v>
      </c>
      <c r="V1168" t="s">
        <v>616</v>
      </c>
      <c r="W1168" t="s">
        <v>616</v>
      </c>
      <c r="X1168" t="s">
        <v>616</v>
      </c>
      <c r="Y1168" t="s">
        <v>616</v>
      </c>
      <c r="Z1168" t="s">
        <v>616</v>
      </c>
      <c r="AA1168" t="s">
        <v>616</v>
      </c>
      <c r="AB1168" t="s">
        <v>616</v>
      </c>
      <c r="AC1168" t="s">
        <v>616</v>
      </c>
      <c r="AD1168">
        <v>6.49</v>
      </c>
      <c r="AE1168" t="s">
        <v>4872</v>
      </c>
      <c r="AF1168" t="s">
        <v>1459</v>
      </c>
      <c r="AG1168" t="s">
        <v>4458</v>
      </c>
      <c r="AH1168" t="s">
        <v>2253</v>
      </c>
      <c r="AI1168">
        <v>0</v>
      </c>
      <c r="AJ1168">
        <v>0</v>
      </c>
      <c r="AK1168">
        <v>0</v>
      </c>
      <c r="AL1168">
        <v>0</v>
      </c>
    </row>
    <row r="1169" spans="1:38" x14ac:dyDescent="0.25">
      <c r="A1169">
        <v>1168</v>
      </c>
      <c r="B1169" t="str">
        <f xml:space="preserve"> "000848"</f>
        <v>000848</v>
      </c>
      <c r="C1169" t="s">
        <v>4873</v>
      </c>
      <c r="D1169">
        <v>10.85</v>
      </c>
      <c r="E1169">
        <v>4.03</v>
      </c>
      <c r="F1169">
        <v>0.42</v>
      </c>
      <c r="G1169" t="s">
        <v>4874</v>
      </c>
      <c r="H1169">
        <v>1914</v>
      </c>
      <c r="I1169">
        <v>10.84</v>
      </c>
      <c r="J1169">
        <v>10.85</v>
      </c>
      <c r="K1169">
        <v>0.18</v>
      </c>
      <c r="L1169">
        <v>2.46</v>
      </c>
      <c r="M1169" t="s">
        <v>2807</v>
      </c>
      <c r="N1169">
        <v>23.32</v>
      </c>
      <c r="O1169" t="s">
        <v>406</v>
      </c>
      <c r="P1169">
        <v>10.91</v>
      </c>
      <c r="Q1169">
        <v>10.51</v>
      </c>
      <c r="R1169">
        <v>10.53</v>
      </c>
      <c r="S1169">
        <v>10.43</v>
      </c>
      <c r="T1169">
        <v>3.84</v>
      </c>
      <c r="U1169">
        <v>1.1200000000000001</v>
      </c>
      <c r="V1169">
        <v>-36.369999999999997</v>
      </c>
      <c r="W1169">
        <v>-2901</v>
      </c>
      <c r="X1169">
        <v>10.78</v>
      </c>
      <c r="Y1169" t="s">
        <v>3109</v>
      </c>
      <c r="Z1169" t="s">
        <v>378</v>
      </c>
      <c r="AA1169">
        <v>0.6</v>
      </c>
      <c r="AB1169">
        <v>449</v>
      </c>
      <c r="AC1169">
        <v>306</v>
      </c>
      <c r="AD1169">
        <v>5.86</v>
      </c>
      <c r="AE1169" t="s">
        <v>2305</v>
      </c>
      <c r="AF1169" t="s">
        <v>1459</v>
      </c>
      <c r="AG1169" t="s">
        <v>2403</v>
      </c>
      <c r="AH1169" t="s">
        <v>1459</v>
      </c>
      <c r="AI1169">
        <v>3.33</v>
      </c>
      <c r="AJ1169">
        <v>7.21</v>
      </c>
      <c r="AK1169">
        <v>6.15</v>
      </c>
      <c r="AL1169">
        <v>13.45</v>
      </c>
    </row>
    <row r="1170" spans="1:38" x14ac:dyDescent="0.25">
      <c r="A1170">
        <v>1169</v>
      </c>
      <c r="B1170" t="str">
        <f xml:space="preserve"> "002102"</f>
        <v>002102</v>
      </c>
      <c r="C1170" t="s">
        <v>4875</v>
      </c>
      <c r="D1170">
        <v>4.03</v>
      </c>
      <c r="E1170">
        <v>1.26</v>
      </c>
      <c r="F1170">
        <v>0.05</v>
      </c>
      <c r="G1170" t="s">
        <v>4876</v>
      </c>
      <c r="H1170">
        <v>2173</v>
      </c>
      <c r="I1170">
        <v>4.0199999999999996</v>
      </c>
      <c r="J1170">
        <v>4.03</v>
      </c>
      <c r="K1170">
        <v>0</v>
      </c>
      <c r="L1170">
        <v>2.72</v>
      </c>
      <c r="M1170" t="s">
        <v>333</v>
      </c>
      <c r="N1170">
        <v>67.52</v>
      </c>
      <c r="O1170" t="s">
        <v>392</v>
      </c>
      <c r="P1170">
        <v>4.0999999999999996</v>
      </c>
      <c r="Q1170">
        <v>3.96</v>
      </c>
      <c r="R1170">
        <v>3.98</v>
      </c>
      <c r="S1170">
        <v>3.98</v>
      </c>
      <c r="T1170">
        <v>3.52</v>
      </c>
      <c r="U1170">
        <v>2.59</v>
      </c>
      <c r="V1170">
        <v>-11.05</v>
      </c>
      <c r="W1170">
        <v>-8116</v>
      </c>
      <c r="X1170">
        <v>4.04</v>
      </c>
      <c r="Y1170" t="s">
        <v>860</v>
      </c>
      <c r="Z1170" t="s">
        <v>2150</v>
      </c>
      <c r="AA1170">
        <v>0.77</v>
      </c>
      <c r="AB1170">
        <v>3656</v>
      </c>
      <c r="AC1170" t="s">
        <v>530</v>
      </c>
      <c r="AD1170">
        <v>2.08</v>
      </c>
      <c r="AE1170" t="s">
        <v>2182</v>
      </c>
      <c r="AF1170" t="s">
        <v>1459</v>
      </c>
      <c r="AG1170" t="s">
        <v>2071</v>
      </c>
      <c r="AH1170" t="s">
        <v>4877</v>
      </c>
      <c r="AI1170">
        <v>1.77</v>
      </c>
      <c r="AJ1170">
        <v>2.2799999999999998</v>
      </c>
      <c r="AK1170">
        <v>5.64</v>
      </c>
      <c r="AL1170">
        <v>7.97</v>
      </c>
    </row>
    <row r="1171" spans="1:38" x14ac:dyDescent="0.25">
      <c r="A1171">
        <v>1170</v>
      </c>
      <c r="B1171" t="str">
        <f xml:space="preserve"> "002695"</f>
        <v>002695</v>
      </c>
      <c r="C1171" t="s">
        <v>4878</v>
      </c>
      <c r="D1171">
        <v>21.23</v>
      </c>
      <c r="E1171">
        <v>-2.12</v>
      </c>
      <c r="F1171">
        <v>-0.46</v>
      </c>
      <c r="G1171" t="s">
        <v>982</v>
      </c>
      <c r="H1171">
        <v>1755</v>
      </c>
      <c r="I1171">
        <v>21.23</v>
      </c>
      <c r="J1171">
        <v>21.24</v>
      </c>
      <c r="K1171">
        <v>0</v>
      </c>
      <c r="L1171">
        <v>3.1</v>
      </c>
      <c r="M1171" t="s">
        <v>2173</v>
      </c>
      <c r="N1171">
        <v>66.31</v>
      </c>
      <c r="O1171" t="s">
        <v>406</v>
      </c>
      <c r="P1171">
        <v>21.58</v>
      </c>
      <c r="Q1171">
        <v>21</v>
      </c>
      <c r="R1171">
        <v>21.01</v>
      </c>
      <c r="S1171">
        <v>21.69</v>
      </c>
      <c r="T1171">
        <v>2.67</v>
      </c>
      <c r="U1171">
        <v>0.88</v>
      </c>
      <c r="V1171">
        <v>55.21</v>
      </c>
      <c r="W1171">
        <v>1055</v>
      </c>
      <c r="X1171">
        <v>21.19</v>
      </c>
      <c r="Y1171" t="s">
        <v>384</v>
      </c>
      <c r="Z1171" t="s">
        <v>3050</v>
      </c>
      <c r="AA1171">
        <v>1.53</v>
      </c>
      <c r="AB1171">
        <v>391</v>
      </c>
      <c r="AC1171">
        <v>16</v>
      </c>
      <c r="AD1171">
        <v>6.39</v>
      </c>
      <c r="AE1171" t="s">
        <v>1600</v>
      </c>
      <c r="AF1171" t="s">
        <v>1459</v>
      </c>
      <c r="AG1171" t="s">
        <v>112</v>
      </c>
      <c r="AH1171" t="s">
        <v>4265</v>
      </c>
      <c r="AI1171">
        <v>3.92</v>
      </c>
      <c r="AJ1171">
        <v>6.58</v>
      </c>
      <c r="AK1171">
        <v>17.72</v>
      </c>
      <c r="AL1171">
        <v>20.84</v>
      </c>
    </row>
    <row r="1172" spans="1:38" x14ac:dyDescent="0.25">
      <c r="A1172">
        <v>1171</v>
      </c>
      <c r="B1172" t="str">
        <f xml:space="preserve"> "603557"</f>
        <v>603557</v>
      </c>
      <c r="C1172" t="s">
        <v>4879</v>
      </c>
      <c r="D1172">
        <v>22.57</v>
      </c>
      <c r="E1172">
        <v>1.3</v>
      </c>
      <c r="F1172">
        <v>0.28999999999999998</v>
      </c>
      <c r="G1172" t="s">
        <v>3695</v>
      </c>
      <c r="H1172">
        <v>16</v>
      </c>
      <c r="I1172">
        <v>22.56</v>
      </c>
      <c r="J1172">
        <v>22.57</v>
      </c>
      <c r="K1172">
        <v>0.04</v>
      </c>
      <c r="L1172">
        <v>5.21</v>
      </c>
      <c r="M1172" t="s">
        <v>4880</v>
      </c>
      <c r="N1172">
        <v>52.26</v>
      </c>
      <c r="O1172" t="s">
        <v>1443</v>
      </c>
      <c r="P1172">
        <v>22.7</v>
      </c>
      <c r="Q1172">
        <v>22.02</v>
      </c>
      <c r="R1172">
        <v>22.11</v>
      </c>
      <c r="S1172">
        <v>22.28</v>
      </c>
      <c r="T1172">
        <v>3.05</v>
      </c>
      <c r="U1172">
        <v>0.59</v>
      </c>
      <c r="V1172">
        <v>-47.71</v>
      </c>
      <c r="W1172">
        <v>-346</v>
      </c>
      <c r="X1172">
        <v>22.48</v>
      </c>
      <c r="Y1172" t="s">
        <v>1836</v>
      </c>
      <c r="Z1172" t="s">
        <v>1579</v>
      </c>
      <c r="AA1172">
        <v>0.79</v>
      </c>
      <c r="AB1172">
        <v>28</v>
      </c>
      <c r="AC1172">
        <v>6</v>
      </c>
      <c r="AD1172">
        <v>8.1300000000000008</v>
      </c>
      <c r="AE1172" t="s">
        <v>2021</v>
      </c>
      <c r="AF1172" t="s">
        <v>1459</v>
      </c>
      <c r="AG1172" t="s">
        <v>4881</v>
      </c>
      <c r="AH1172" t="s">
        <v>1554</v>
      </c>
      <c r="AI1172">
        <v>-1.44</v>
      </c>
      <c r="AJ1172">
        <v>0.94</v>
      </c>
      <c r="AK1172">
        <v>20.46</v>
      </c>
      <c r="AL1172">
        <v>49.5</v>
      </c>
    </row>
    <row r="1173" spans="1:38" x14ac:dyDescent="0.25">
      <c r="A1173">
        <v>1172</v>
      </c>
      <c r="B1173" t="str">
        <f xml:space="preserve"> "002123"</f>
        <v>002123</v>
      </c>
      <c r="C1173" t="s">
        <v>4882</v>
      </c>
      <c r="D1173">
        <v>12.3</v>
      </c>
      <c r="E1173">
        <v>0.41</v>
      </c>
      <c r="F1173">
        <v>0.05</v>
      </c>
      <c r="G1173" t="s">
        <v>236</v>
      </c>
      <c r="H1173">
        <v>1136</v>
      </c>
      <c r="I1173">
        <v>12.29</v>
      </c>
      <c r="J1173">
        <v>12.3</v>
      </c>
      <c r="K1173">
        <v>0.16</v>
      </c>
      <c r="L1173">
        <v>2.2799999999999998</v>
      </c>
      <c r="M1173" t="s">
        <v>3697</v>
      </c>
      <c r="N1173">
        <v>34.200000000000003</v>
      </c>
      <c r="O1173" t="s">
        <v>580</v>
      </c>
      <c r="P1173">
        <v>12.41</v>
      </c>
      <c r="Q1173">
        <v>12.1</v>
      </c>
      <c r="R1173">
        <v>12.14</v>
      </c>
      <c r="S1173">
        <v>12.25</v>
      </c>
      <c r="T1173">
        <v>2.5299999999999998</v>
      </c>
      <c r="U1173">
        <v>0.44</v>
      </c>
      <c r="V1173">
        <v>-24.89</v>
      </c>
      <c r="W1173">
        <v>-1265</v>
      </c>
      <c r="X1173">
        <v>12.27</v>
      </c>
      <c r="Y1173" t="s">
        <v>3394</v>
      </c>
      <c r="Z1173" t="s">
        <v>3394</v>
      </c>
      <c r="AA1173">
        <v>1</v>
      </c>
      <c r="AB1173">
        <v>888</v>
      </c>
      <c r="AC1173">
        <v>1012</v>
      </c>
      <c r="AD1173">
        <v>2.11</v>
      </c>
      <c r="AE1173" t="s">
        <v>3879</v>
      </c>
      <c r="AF1173" t="s">
        <v>1459</v>
      </c>
      <c r="AG1173" t="s">
        <v>4491</v>
      </c>
      <c r="AH1173" t="s">
        <v>4883</v>
      </c>
      <c r="AI1173">
        <v>-1.05</v>
      </c>
      <c r="AJ1173">
        <v>1.49</v>
      </c>
      <c r="AK1173">
        <v>7.76</v>
      </c>
      <c r="AL1173">
        <v>28.4</v>
      </c>
    </row>
    <row r="1174" spans="1:38" x14ac:dyDescent="0.25">
      <c r="A1174">
        <v>1173</v>
      </c>
      <c r="B1174" t="str">
        <f xml:space="preserve"> "600475"</f>
        <v>600475</v>
      </c>
      <c r="C1174" t="s">
        <v>4884</v>
      </c>
      <c r="D1174">
        <v>18.93</v>
      </c>
      <c r="E1174">
        <v>2.5499999999999998</v>
      </c>
      <c r="F1174">
        <v>0.47</v>
      </c>
      <c r="G1174" t="s">
        <v>2988</v>
      </c>
      <c r="H1174">
        <v>18</v>
      </c>
      <c r="I1174">
        <v>18.93</v>
      </c>
      <c r="J1174">
        <v>18.940000000000001</v>
      </c>
      <c r="K1174">
        <v>0.05</v>
      </c>
      <c r="L1174">
        <v>3.89</v>
      </c>
      <c r="M1174" t="s">
        <v>2611</v>
      </c>
      <c r="N1174">
        <v>20.85</v>
      </c>
      <c r="O1174" t="s">
        <v>648</v>
      </c>
      <c r="P1174">
        <v>18.95</v>
      </c>
      <c r="Q1174">
        <v>18.37</v>
      </c>
      <c r="R1174">
        <v>18.55</v>
      </c>
      <c r="S1174">
        <v>18.46</v>
      </c>
      <c r="T1174">
        <v>3.14</v>
      </c>
      <c r="U1174">
        <v>3.2</v>
      </c>
      <c r="V1174">
        <v>9.83</v>
      </c>
      <c r="W1174">
        <v>586</v>
      </c>
      <c r="X1174">
        <v>18.75</v>
      </c>
      <c r="Y1174" t="s">
        <v>3896</v>
      </c>
      <c r="Z1174" t="s">
        <v>1571</v>
      </c>
      <c r="AA1174">
        <v>0.62</v>
      </c>
      <c r="AB1174">
        <v>3175</v>
      </c>
      <c r="AC1174">
        <v>145</v>
      </c>
      <c r="AD1174">
        <v>2.37</v>
      </c>
      <c r="AE1174" t="s">
        <v>4885</v>
      </c>
      <c r="AF1174" t="s">
        <v>1459</v>
      </c>
      <c r="AG1174" t="s">
        <v>3110</v>
      </c>
      <c r="AH1174" t="s">
        <v>3224</v>
      </c>
      <c r="AI1174">
        <v>3.16</v>
      </c>
      <c r="AJ1174">
        <v>5.7</v>
      </c>
      <c r="AK1174">
        <v>6.91</v>
      </c>
      <c r="AL1174">
        <v>9.98</v>
      </c>
    </row>
    <row r="1175" spans="1:38" x14ac:dyDescent="0.25">
      <c r="A1175">
        <v>1174</v>
      </c>
      <c r="B1175" t="str">
        <f xml:space="preserve"> "603368"</f>
        <v>603368</v>
      </c>
      <c r="C1175" t="s">
        <v>4886</v>
      </c>
      <c r="D1175">
        <v>57.21</v>
      </c>
      <c r="E1175">
        <v>0.42</v>
      </c>
      <c r="F1175">
        <v>0.24</v>
      </c>
      <c r="G1175">
        <v>8796</v>
      </c>
      <c r="H1175">
        <v>1</v>
      </c>
      <c r="I1175">
        <v>57.2</v>
      </c>
      <c r="J1175">
        <v>57.23</v>
      </c>
      <c r="K1175">
        <v>0.02</v>
      </c>
      <c r="L1175">
        <v>1.18</v>
      </c>
      <c r="M1175" t="s">
        <v>4887</v>
      </c>
      <c r="N1175">
        <v>27.6</v>
      </c>
      <c r="O1175" t="s">
        <v>392</v>
      </c>
      <c r="P1175">
        <v>57.65</v>
      </c>
      <c r="Q1175">
        <v>57.02</v>
      </c>
      <c r="R1175">
        <v>57.02</v>
      </c>
      <c r="S1175">
        <v>56.97</v>
      </c>
      <c r="T1175">
        <v>1.1100000000000001</v>
      </c>
      <c r="U1175">
        <v>0.66</v>
      </c>
      <c r="V1175">
        <v>76.400000000000006</v>
      </c>
      <c r="W1175">
        <v>221</v>
      </c>
      <c r="X1175">
        <v>57.29</v>
      </c>
      <c r="Y1175">
        <v>4673</v>
      </c>
      <c r="Z1175">
        <v>4123</v>
      </c>
      <c r="AA1175">
        <v>1.1299999999999999</v>
      </c>
      <c r="AB1175">
        <v>73</v>
      </c>
      <c r="AC1175">
        <v>7</v>
      </c>
      <c r="AD1175">
        <v>3.23</v>
      </c>
      <c r="AE1175" t="s">
        <v>3201</v>
      </c>
      <c r="AF1175" t="s">
        <v>1459</v>
      </c>
      <c r="AG1175" t="s">
        <v>4888</v>
      </c>
      <c r="AH1175" t="s">
        <v>4889</v>
      </c>
      <c r="AI1175">
        <v>1.02</v>
      </c>
      <c r="AJ1175">
        <v>7.4</v>
      </c>
      <c r="AK1175">
        <v>5.98</v>
      </c>
      <c r="AL1175">
        <v>10.14</v>
      </c>
    </row>
    <row r="1176" spans="1:38" x14ac:dyDescent="0.25">
      <c r="A1176">
        <v>1175</v>
      </c>
      <c r="B1176" t="str">
        <f xml:space="preserve"> "002707"</f>
        <v>002707</v>
      </c>
      <c r="C1176" t="s">
        <v>4890</v>
      </c>
      <c r="D1176">
        <v>12.61</v>
      </c>
      <c r="E1176">
        <v>0.8</v>
      </c>
      <c r="F1176">
        <v>0.1</v>
      </c>
      <c r="G1176" t="s">
        <v>1786</v>
      </c>
      <c r="H1176">
        <v>832</v>
      </c>
      <c r="I1176">
        <v>12.6</v>
      </c>
      <c r="J1176">
        <v>12.61</v>
      </c>
      <c r="K1176">
        <v>0</v>
      </c>
      <c r="L1176">
        <v>0.85</v>
      </c>
      <c r="M1176" t="s">
        <v>4891</v>
      </c>
      <c r="N1176">
        <v>55.43</v>
      </c>
      <c r="O1176" t="s">
        <v>951</v>
      </c>
      <c r="P1176">
        <v>12.63</v>
      </c>
      <c r="Q1176">
        <v>12.47</v>
      </c>
      <c r="R1176">
        <v>12.48</v>
      </c>
      <c r="S1176">
        <v>12.51</v>
      </c>
      <c r="T1176">
        <v>1.28</v>
      </c>
      <c r="U1176">
        <v>0.56000000000000005</v>
      </c>
      <c r="V1176">
        <v>-18.8</v>
      </c>
      <c r="W1176">
        <v>-641</v>
      </c>
      <c r="X1176">
        <v>12.59</v>
      </c>
      <c r="Y1176" t="s">
        <v>2255</v>
      </c>
      <c r="Z1176" t="s">
        <v>1887</v>
      </c>
      <c r="AA1176">
        <v>0.69</v>
      </c>
      <c r="AB1176">
        <v>281</v>
      </c>
      <c r="AC1176">
        <v>299</v>
      </c>
      <c r="AD1176">
        <v>5.56</v>
      </c>
      <c r="AE1176" t="s">
        <v>4525</v>
      </c>
      <c r="AF1176" t="s">
        <v>1459</v>
      </c>
      <c r="AG1176" t="s">
        <v>1607</v>
      </c>
      <c r="AH1176" t="s">
        <v>4892</v>
      </c>
      <c r="AI1176">
        <v>-0.16</v>
      </c>
      <c r="AJ1176">
        <v>-5.05</v>
      </c>
      <c r="AK1176">
        <v>3.08</v>
      </c>
      <c r="AL1176">
        <v>8.35</v>
      </c>
    </row>
    <row r="1177" spans="1:38" x14ac:dyDescent="0.25">
      <c r="A1177">
        <v>1176</v>
      </c>
      <c r="B1177" t="str">
        <f xml:space="preserve"> "600429"</f>
        <v>600429</v>
      </c>
      <c r="C1177" t="s">
        <v>4893</v>
      </c>
      <c r="D1177">
        <v>7.05</v>
      </c>
      <c r="E1177">
        <v>-1.1200000000000001</v>
      </c>
      <c r="F1177">
        <v>-0.08</v>
      </c>
      <c r="G1177" t="s">
        <v>3559</v>
      </c>
      <c r="H1177">
        <v>14</v>
      </c>
      <c r="I1177">
        <v>7.06</v>
      </c>
      <c r="J1177">
        <v>7.07</v>
      </c>
      <c r="K1177">
        <v>0</v>
      </c>
      <c r="L1177">
        <v>0.49</v>
      </c>
      <c r="M1177" t="s">
        <v>4894</v>
      </c>
      <c r="N1177">
        <v>152.87</v>
      </c>
      <c r="O1177" t="s">
        <v>406</v>
      </c>
      <c r="P1177">
        <v>7.15</v>
      </c>
      <c r="Q1177">
        <v>7.03</v>
      </c>
      <c r="R1177">
        <v>7.11</v>
      </c>
      <c r="S1177">
        <v>7.13</v>
      </c>
      <c r="T1177">
        <v>1.68</v>
      </c>
      <c r="U1177">
        <v>0.55000000000000004</v>
      </c>
      <c r="V1177">
        <v>-5.38</v>
      </c>
      <c r="W1177">
        <v>-353</v>
      </c>
      <c r="X1177">
        <v>7.06</v>
      </c>
      <c r="Y1177" t="s">
        <v>1949</v>
      </c>
      <c r="Z1177" t="s">
        <v>4112</v>
      </c>
      <c r="AA1177">
        <v>2.11</v>
      </c>
      <c r="AB1177">
        <v>8</v>
      </c>
      <c r="AC1177">
        <v>780</v>
      </c>
      <c r="AD1177">
        <v>2.21</v>
      </c>
      <c r="AE1177" t="s">
        <v>2347</v>
      </c>
      <c r="AF1177" t="s">
        <v>1459</v>
      </c>
      <c r="AG1177" t="s">
        <v>4895</v>
      </c>
      <c r="AH1177" t="s">
        <v>4069</v>
      </c>
      <c r="AI1177">
        <v>1.88</v>
      </c>
      <c r="AJ1177">
        <v>5.07</v>
      </c>
      <c r="AK1177">
        <v>2.88</v>
      </c>
      <c r="AL1177">
        <v>4.91</v>
      </c>
    </row>
    <row r="1178" spans="1:38" x14ac:dyDescent="0.25">
      <c r="A1178">
        <v>1177</v>
      </c>
      <c r="B1178" t="str">
        <f xml:space="preserve"> "300176"</f>
        <v>300176</v>
      </c>
      <c r="C1178" t="s">
        <v>4896</v>
      </c>
      <c r="D1178">
        <v>98.25</v>
      </c>
      <c r="E1178">
        <v>9.18</v>
      </c>
      <c r="F1178">
        <v>8.26</v>
      </c>
      <c r="G1178" t="s">
        <v>1504</v>
      </c>
      <c r="H1178">
        <v>63</v>
      </c>
      <c r="I1178">
        <v>98.24</v>
      </c>
      <c r="J1178">
        <v>98.25</v>
      </c>
      <c r="K1178">
        <v>0</v>
      </c>
      <c r="L1178">
        <v>1.76</v>
      </c>
      <c r="M1178" t="s">
        <v>3119</v>
      </c>
      <c r="N1178">
        <v>114.71</v>
      </c>
      <c r="O1178" t="s">
        <v>169</v>
      </c>
      <c r="P1178">
        <v>98.9</v>
      </c>
      <c r="Q1178">
        <v>90</v>
      </c>
      <c r="R1178">
        <v>90.15</v>
      </c>
      <c r="S1178">
        <v>89.99</v>
      </c>
      <c r="T1178">
        <v>9.89</v>
      </c>
      <c r="U1178">
        <v>4.82</v>
      </c>
      <c r="V1178">
        <v>15.41</v>
      </c>
      <c r="W1178">
        <v>13</v>
      </c>
      <c r="X1178">
        <v>95.85</v>
      </c>
      <c r="Y1178">
        <v>7754</v>
      </c>
      <c r="Z1178" t="s">
        <v>808</v>
      </c>
      <c r="AA1178">
        <v>0.7</v>
      </c>
      <c r="AB1178">
        <v>6</v>
      </c>
      <c r="AC1178">
        <v>11</v>
      </c>
      <c r="AD1178">
        <v>15.92</v>
      </c>
      <c r="AE1178" t="s">
        <v>1314</v>
      </c>
      <c r="AF1178" t="s">
        <v>702</v>
      </c>
      <c r="AG1178" t="s">
        <v>1314</v>
      </c>
      <c r="AH1178" t="s">
        <v>702</v>
      </c>
      <c r="AI1178">
        <v>15.33</v>
      </c>
      <c r="AJ1178">
        <v>16.22</v>
      </c>
      <c r="AK1178">
        <v>2.85</v>
      </c>
      <c r="AL1178">
        <v>3.58</v>
      </c>
    </row>
    <row r="1179" spans="1:38" x14ac:dyDescent="0.25">
      <c r="A1179">
        <v>1178</v>
      </c>
      <c r="B1179" t="str">
        <f xml:space="preserve"> "002093"</f>
        <v>002093</v>
      </c>
      <c r="C1179" t="s">
        <v>4897</v>
      </c>
      <c r="D1179">
        <v>10.45</v>
      </c>
      <c r="E1179">
        <v>-2.25</v>
      </c>
      <c r="F1179">
        <v>-0.24</v>
      </c>
      <c r="G1179" t="s">
        <v>459</v>
      </c>
      <c r="H1179">
        <v>2116</v>
      </c>
      <c r="I1179">
        <v>10.45</v>
      </c>
      <c r="J1179">
        <v>10.46</v>
      </c>
      <c r="K1179">
        <v>0.19</v>
      </c>
      <c r="L1179">
        <v>2.36</v>
      </c>
      <c r="M1179" t="s">
        <v>2964</v>
      </c>
      <c r="N1179">
        <v>67.38</v>
      </c>
      <c r="O1179" t="s">
        <v>467</v>
      </c>
      <c r="P1179">
        <v>10.69</v>
      </c>
      <c r="Q1179">
        <v>10.24</v>
      </c>
      <c r="R1179">
        <v>10.69</v>
      </c>
      <c r="S1179">
        <v>10.69</v>
      </c>
      <c r="T1179">
        <v>4.21</v>
      </c>
      <c r="U1179">
        <v>0.53</v>
      </c>
      <c r="V1179">
        <v>-22.42</v>
      </c>
      <c r="W1179">
        <v>-1495</v>
      </c>
      <c r="X1179">
        <v>10.4</v>
      </c>
      <c r="Y1179" t="s">
        <v>609</v>
      </c>
      <c r="Z1179" t="s">
        <v>1864</v>
      </c>
      <c r="AA1179">
        <v>1.74</v>
      </c>
      <c r="AB1179">
        <v>110</v>
      </c>
      <c r="AC1179">
        <v>465</v>
      </c>
      <c r="AD1179">
        <v>3.64</v>
      </c>
      <c r="AE1179" t="s">
        <v>262</v>
      </c>
      <c r="AF1179" t="s">
        <v>702</v>
      </c>
      <c r="AG1179" t="s">
        <v>4306</v>
      </c>
      <c r="AH1179" t="s">
        <v>3921</v>
      </c>
      <c r="AI1179">
        <v>-5.26</v>
      </c>
      <c r="AJ1179">
        <v>2.25</v>
      </c>
      <c r="AK1179">
        <v>7.88</v>
      </c>
      <c r="AL1179">
        <v>24.74</v>
      </c>
    </row>
    <row r="1180" spans="1:38" x14ac:dyDescent="0.25">
      <c r="A1180">
        <v>1179</v>
      </c>
      <c r="B1180" t="str">
        <f xml:space="preserve"> "300426"</f>
        <v>300426</v>
      </c>
      <c r="C1180" t="s">
        <v>4898</v>
      </c>
      <c r="D1180">
        <v>26.31</v>
      </c>
      <c r="E1180">
        <v>0.3</v>
      </c>
      <c r="F1180">
        <v>0.08</v>
      </c>
      <c r="G1180" t="s">
        <v>3234</v>
      </c>
      <c r="H1180">
        <v>72</v>
      </c>
      <c r="I1180">
        <v>26.31</v>
      </c>
      <c r="J1180">
        <v>26.32</v>
      </c>
      <c r="K1180">
        <v>0.27</v>
      </c>
      <c r="L1180">
        <v>0.94</v>
      </c>
      <c r="M1180" t="s">
        <v>4899</v>
      </c>
      <c r="N1180">
        <v>87.59</v>
      </c>
      <c r="O1180" t="s">
        <v>1126</v>
      </c>
      <c r="P1180">
        <v>26.48</v>
      </c>
      <c r="Q1180">
        <v>25.8</v>
      </c>
      <c r="R1180">
        <v>26.23</v>
      </c>
      <c r="S1180">
        <v>26.23</v>
      </c>
      <c r="T1180">
        <v>2.59</v>
      </c>
      <c r="U1180">
        <v>0.48</v>
      </c>
      <c r="V1180">
        <v>-16.670000000000002</v>
      </c>
      <c r="W1180">
        <v>-30</v>
      </c>
      <c r="X1180">
        <v>26.13</v>
      </c>
      <c r="Y1180">
        <v>6635</v>
      </c>
      <c r="Z1180">
        <v>7511</v>
      </c>
      <c r="AA1180">
        <v>0.88</v>
      </c>
      <c r="AB1180">
        <v>1</v>
      </c>
      <c r="AC1180">
        <v>11</v>
      </c>
      <c r="AD1180">
        <v>9.94</v>
      </c>
      <c r="AE1180" t="s">
        <v>1000</v>
      </c>
      <c r="AF1180" t="s">
        <v>702</v>
      </c>
      <c r="AG1180" t="s">
        <v>598</v>
      </c>
      <c r="AH1180" t="s">
        <v>1794</v>
      </c>
      <c r="AI1180">
        <v>-2.74</v>
      </c>
      <c r="AJ1180">
        <v>-4.33</v>
      </c>
      <c r="AK1180">
        <v>4.9000000000000004</v>
      </c>
      <c r="AL1180">
        <v>10.77</v>
      </c>
    </row>
    <row r="1181" spans="1:38" x14ac:dyDescent="0.25">
      <c r="A1181">
        <v>1180</v>
      </c>
      <c r="B1181" t="str">
        <f xml:space="preserve"> "002418"</f>
        <v>002418</v>
      </c>
      <c r="C1181" t="s">
        <v>4900</v>
      </c>
      <c r="D1181">
        <v>9.26</v>
      </c>
      <c r="E1181">
        <v>-0.86</v>
      </c>
      <c r="F1181">
        <v>-0.08</v>
      </c>
      <c r="G1181" t="s">
        <v>3885</v>
      </c>
      <c r="H1181">
        <v>347</v>
      </c>
      <c r="I1181">
        <v>9.26</v>
      </c>
      <c r="J1181">
        <v>9.27</v>
      </c>
      <c r="K1181">
        <v>0</v>
      </c>
      <c r="L1181">
        <v>0.74</v>
      </c>
      <c r="M1181" t="s">
        <v>4901</v>
      </c>
      <c r="N1181">
        <v>72.790000000000006</v>
      </c>
      <c r="O1181" t="s">
        <v>1229</v>
      </c>
      <c r="P1181">
        <v>9.39</v>
      </c>
      <c r="Q1181">
        <v>9.1999999999999993</v>
      </c>
      <c r="R1181">
        <v>9.33</v>
      </c>
      <c r="S1181">
        <v>9.34</v>
      </c>
      <c r="T1181">
        <v>2.0299999999999998</v>
      </c>
      <c r="U1181">
        <v>0.68</v>
      </c>
      <c r="V1181">
        <v>-18.87</v>
      </c>
      <c r="W1181">
        <v>-273</v>
      </c>
      <c r="X1181">
        <v>9.2799999999999994</v>
      </c>
      <c r="Y1181" t="s">
        <v>2786</v>
      </c>
      <c r="Z1181" t="s">
        <v>3590</v>
      </c>
      <c r="AA1181">
        <v>1.47</v>
      </c>
      <c r="AB1181">
        <v>42</v>
      </c>
      <c r="AC1181">
        <v>20</v>
      </c>
      <c r="AD1181">
        <v>4.9800000000000004</v>
      </c>
      <c r="AE1181" t="s">
        <v>357</v>
      </c>
      <c r="AF1181" t="s">
        <v>702</v>
      </c>
      <c r="AG1181" t="s">
        <v>4902</v>
      </c>
      <c r="AH1181" t="s">
        <v>2392</v>
      </c>
      <c r="AI1181">
        <v>-2.42</v>
      </c>
      <c r="AJ1181">
        <v>-2.63</v>
      </c>
      <c r="AK1181">
        <v>2.39</v>
      </c>
      <c r="AL1181">
        <v>6.17</v>
      </c>
    </row>
    <row r="1182" spans="1:38" x14ac:dyDescent="0.25">
      <c r="A1182">
        <v>1181</v>
      </c>
      <c r="B1182" t="str">
        <f xml:space="preserve"> "300457"</f>
        <v>300457</v>
      </c>
      <c r="C1182" t="s">
        <v>4903</v>
      </c>
      <c r="D1182">
        <v>33.909999999999997</v>
      </c>
      <c r="E1182">
        <v>-0.06</v>
      </c>
      <c r="F1182">
        <v>-0.02</v>
      </c>
      <c r="G1182" t="s">
        <v>1448</v>
      </c>
      <c r="H1182">
        <v>1335</v>
      </c>
      <c r="I1182">
        <v>33.909999999999997</v>
      </c>
      <c r="J1182">
        <v>33.92</v>
      </c>
      <c r="K1182">
        <v>-0.12</v>
      </c>
      <c r="L1182">
        <v>7.39</v>
      </c>
      <c r="M1182" t="s">
        <v>3758</v>
      </c>
      <c r="N1182">
        <v>45.96</v>
      </c>
      <c r="O1182" t="s">
        <v>380</v>
      </c>
      <c r="P1182">
        <v>34.39</v>
      </c>
      <c r="Q1182">
        <v>32.5</v>
      </c>
      <c r="R1182">
        <v>32.97</v>
      </c>
      <c r="S1182">
        <v>33.93</v>
      </c>
      <c r="T1182">
        <v>5.57</v>
      </c>
      <c r="U1182">
        <v>1.21</v>
      </c>
      <c r="V1182">
        <v>-31.04</v>
      </c>
      <c r="W1182">
        <v>-484</v>
      </c>
      <c r="X1182">
        <v>33.6</v>
      </c>
      <c r="Y1182" t="s">
        <v>2839</v>
      </c>
      <c r="Z1182" t="s">
        <v>3707</v>
      </c>
      <c r="AA1182">
        <v>1.03</v>
      </c>
      <c r="AB1182">
        <v>140</v>
      </c>
      <c r="AC1182">
        <v>82</v>
      </c>
      <c r="AD1182">
        <v>9.18</v>
      </c>
      <c r="AE1182" t="s">
        <v>4168</v>
      </c>
      <c r="AF1182" t="s">
        <v>702</v>
      </c>
      <c r="AG1182" t="s">
        <v>3110</v>
      </c>
      <c r="AH1182" t="s">
        <v>4904</v>
      </c>
      <c r="AI1182">
        <v>-5.75</v>
      </c>
      <c r="AJ1182">
        <v>-5.67</v>
      </c>
      <c r="AK1182">
        <v>19.149999999999999</v>
      </c>
      <c r="AL1182">
        <v>37.81</v>
      </c>
    </row>
    <row r="1183" spans="1:38" x14ac:dyDescent="0.25">
      <c r="A1183">
        <v>1182</v>
      </c>
      <c r="B1183" t="str">
        <f xml:space="preserve"> "002275"</f>
        <v>002275</v>
      </c>
      <c r="C1183" t="s">
        <v>4905</v>
      </c>
      <c r="D1183">
        <v>17.8</v>
      </c>
      <c r="E1183">
        <v>-0.45</v>
      </c>
      <c r="F1183">
        <v>-0.08</v>
      </c>
      <c r="G1183" t="s">
        <v>1077</v>
      </c>
      <c r="H1183">
        <v>120</v>
      </c>
      <c r="I1183">
        <v>17.8</v>
      </c>
      <c r="J1183">
        <v>17.82</v>
      </c>
      <c r="K1183">
        <v>-0.22</v>
      </c>
      <c r="L1183">
        <v>0.25</v>
      </c>
      <c r="M1183" t="s">
        <v>4906</v>
      </c>
      <c r="N1183">
        <v>20.81</v>
      </c>
      <c r="O1183" t="s">
        <v>392</v>
      </c>
      <c r="P1183">
        <v>17.95</v>
      </c>
      <c r="Q1183">
        <v>17.7</v>
      </c>
      <c r="R1183">
        <v>17.809999999999999</v>
      </c>
      <c r="S1183">
        <v>17.88</v>
      </c>
      <c r="T1183">
        <v>1.4</v>
      </c>
      <c r="U1183">
        <v>0.68</v>
      </c>
      <c r="V1183">
        <v>-49.28</v>
      </c>
      <c r="W1183">
        <v>-342</v>
      </c>
      <c r="X1183">
        <v>17.86</v>
      </c>
      <c r="Y1183">
        <v>7382</v>
      </c>
      <c r="Z1183">
        <v>5851</v>
      </c>
      <c r="AA1183">
        <v>1.26</v>
      </c>
      <c r="AB1183">
        <v>59</v>
      </c>
      <c r="AC1183">
        <v>5</v>
      </c>
      <c r="AD1183">
        <v>4.3</v>
      </c>
      <c r="AE1183" t="s">
        <v>4907</v>
      </c>
      <c r="AF1183" t="s">
        <v>702</v>
      </c>
      <c r="AG1183" t="s">
        <v>4908</v>
      </c>
      <c r="AH1183" t="s">
        <v>4341</v>
      </c>
      <c r="AI1183">
        <v>0.56000000000000005</v>
      </c>
      <c r="AJ1183">
        <v>4.7699999999999996</v>
      </c>
      <c r="AK1183">
        <v>1.1499999999999999</v>
      </c>
      <c r="AL1183">
        <v>2.0699999999999998</v>
      </c>
    </row>
    <row r="1184" spans="1:38" x14ac:dyDescent="0.25">
      <c r="A1184">
        <v>1183</v>
      </c>
      <c r="B1184" t="str">
        <f xml:space="preserve"> "000516"</f>
        <v>000516</v>
      </c>
      <c r="C1184" t="s">
        <v>4909</v>
      </c>
      <c r="D1184">
        <v>5.32</v>
      </c>
      <c r="E1184">
        <v>0</v>
      </c>
      <c r="F1184">
        <v>0</v>
      </c>
      <c r="G1184" t="s">
        <v>236</v>
      </c>
      <c r="H1184">
        <v>2158</v>
      </c>
      <c r="I1184">
        <v>5.31</v>
      </c>
      <c r="J1184">
        <v>5.32</v>
      </c>
      <c r="K1184">
        <v>0.38</v>
      </c>
      <c r="L1184">
        <v>0.7</v>
      </c>
      <c r="M1184" t="s">
        <v>3898</v>
      </c>
      <c r="N1184">
        <v>42.69</v>
      </c>
      <c r="O1184" t="s">
        <v>532</v>
      </c>
      <c r="P1184">
        <v>5.34</v>
      </c>
      <c r="Q1184">
        <v>5.28</v>
      </c>
      <c r="R1184">
        <v>5.32</v>
      </c>
      <c r="S1184">
        <v>5.32</v>
      </c>
      <c r="T1184">
        <v>1.1299999999999999</v>
      </c>
      <c r="U1184">
        <v>0.6</v>
      </c>
      <c r="V1184">
        <v>-12.21</v>
      </c>
      <c r="W1184">
        <v>-3697</v>
      </c>
      <c r="X1184">
        <v>5.3</v>
      </c>
      <c r="Y1184" t="s">
        <v>920</v>
      </c>
      <c r="Z1184" t="s">
        <v>4012</v>
      </c>
      <c r="AA1184">
        <v>1.27</v>
      </c>
      <c r="AB1184">
        <v>1332</v>
      </c>
      <c r="AC1184">
        <v>106</v>
      </c>
      <c r="AD1184">
        <v>2.95</v>
      </c>
      <c r="AE1184" t="s">
        <v>1216</v>
      </c>
      <c r="AF1184" t="s">
        <v>702</v>
      </c>
      <c r="AG1184" t="s">
        <v>886</v>
      </c>
      <c r="AH1184" t="s">
        <v>3311</v>
      </c>
      <c r="AI1184">
        <v>-0.19</v>
      </c>
      <c r="AJ1184">
        <v>4.93</v>
      </c>
      <c r="AK1184">
        <v>3.56</v>
      </c>
      <c r="AL1184">
        <v>6.49</v>
      </c>
    </row>
    <row r="1185" spans="1:38" x14ac:dyDescent="0.25">
      <c r="A1185">
        <v>1184</v>
      </c>
      <c r="B1185" t="str">
        <f xml:space="preserve"> "600035"</f>
        <v>600035</v>
      </c>
      <c r="C1185" t="s">
        <v>4910</v>
      </c>
      <c r="D1185">
        <v>6.05</v>
      </c>
      <c r="E1185">
        <v>2.02</v>
      </c>
      <c r="F1185">
        <v>0.12</v>
      </c>
      <c r="G1185" t="s">
        <v>983</v>
      </c>
      <c r="H1185">
        <v>3309</v>
      </c>
      <c r="I1185">
        <v>6.04</v>
      </c>
      <c r="J1185">
        <v>6.05</v>
      </c>
      <c r="K1185">
        <v>0.17</v>
      </c>
      <c r="L1185">
        <v>0.6</v>
      </c>
      <c r="M1185" t="s">
        <v>4911</v>
      </c>
      <c r="N1185">
        <v>16.059999999999999</v>
      </c>
      <c r="O1185" t="s">
        <v>1348</v>
      </c>
      <c r="P1185">
        <v>6.05</v>
      </c>
      <c r="Q1185">
        <v>5.91</v>
      </c>
      <c r="R1185">
        <v>5.91</v>
      </c>
      <c r="S1185">
        <v>5.93</v>
      </c>
      <c r="T1185">
        <v>2.36</v>
      </c>
      <c r="U1185">
        <v>1.1599999999999999</v>
      </c>
      <c r="V1185">
        <v>-36.369999999999997</v>
      </c>
      <c r="W1185">
        <v>-4737</v>
      </c>
      <c r="X1185">
        <v>6.01</v>
      </c>
      <c r="Y1185" t="s">
        <v>3644</v>
      </c>
      <c r="Z1185" t="s">
        <v>4912</v>
      </c>
      <c r="AA1185">
        <v>0.54</v>
      </c>
      <c r="AB1185">
        <v>105</v>
      </c>
      <c r="AC1185">
        <v>1219</v>
      </c>
      <c r="AD1185">
        <v>1.82</v>
      </c>
      <c r="AE1185" t="s">
        <v>531</v>
      </c>
      <c r="AF1185" t="s">
        <v>702</v>
      </c>
      <c r="AG1185" t="s">
        <v>2387</v>
      </c>
      <c r="AH1185" t="s">
        <v>4380</v>
      </c>
      <c r="AI1185">
        <v>0.5</v>
      </c>
      <c r="AJ1185">
        <v>4.8499999999999996</v>
      </c>
      <c r="AK1185">
        <v>1.51</v>
      </c>
      <c r="AL1185">
        <v>3.16</v>
      </c>
    </row>
    <row r="1186" spans="1:38" x14ac:dyDescent="0.25">
      <c r="A1186">
        <v>1185</v>
      </c>
      <c r="B1186" t="str">
        <f xml:space="preserve"> "000058"</f>
        <v>000058</v>
      </c>
      <c r="C1186" t="s">
        <v>4913</v>
      </c>
      <c r="D1186">
        <v>8.4700000000000006</v>
      </c>
      <c r="E1186">
        <v>-2.31</v>
      </c>
      <c r="F1186">
        <v>-0.2</v>
      </c>
      <c r="G1186" t="s">
        <v>3844</v>
      </c>
      <c r="H1186">
        <v>1719</v>
      </c>
      <c r="I1186">
        <v>8.4600000000000009</v>
      </c>
      <c r="J1186">
        <v>8.4700000000000006</v>
      </c>
      <c r="K1186">
        <v>0.12</v>
      </c>
      <c r="L1186">
        <v>1.74</v>
      </c>
      <c r="M1186" t="s">
        <v>4914</v>
      </c>
      <c r="N1186">
        <v>104.64</v>
      </c>
      <c r="O1186" t="s">
        <v>532</v>
      </c>
      <c r="P1186">
        <v>8.6199999999999992</v>
      </c>
      <c r="Q1186">
        <v>8.4600000000000009</v>
      </c>
      <c r="R1186">
        <v>8.61</v>
      </c>
      <c r="S1186">
        <v>8.67</v>
      </c>
      <c r="T1186">
        <v>1.85</v>
      </c>
      <c r="U1186">
        <v>0.36</v>
      </c>
      <c r="V1186">
        <v>18.46</v>
      </c>
      <c r="W1186">
        <v>947</v>
      </c>
      <c r="X1186">
        <v>8.5</v>
      </c>
      <c r="Y1186" t="s">
        <v>4155</v>
      </c>
      <c r="Z1186" t="s">
        <v>4378</v>
      </c>
      <c r="AA1186">
        <v>1.98</v>
      </c>
      <c r="AB1186">
        <v>1337</v>
      </c>
      <c r="AC1186">
        <v>147</v>
      </c>
      <c r="AD1186">
        <v>5.96</v>
      </c>
      <c r="AE1186" t="s">
        <v>361</v>
      </c>
      <c r="AF1186" t="s">
        <v>702</v>
      </c>
      <c r="AG1186" t="s">
        <v>2024</v>
      </c>
      <c r="AH1186" t="s">
        <v>1137</v>
      </c>
      <c r="AI1186">
        <v>-1.4</v>
      </c>
      <c r="AJ1186">
        <v>9.15</v>
      </c>
      <c r="AK1186">
        <v>8.25</v>
      </c>
      <c r="AL1186">
        <v>26.18</v>
      </c>
    </row>
    <row r="1187" spans="1:38" x14ac:dyDescent="0.25">
      <c r="A1187">
        <v>1186</v>
      </c>
      <c r="B1187" t="str">
        <f xml:space="preserve"> "300043"</f>
        <v>300043</v>
      </c>
      <c r="C1187" t="s">
        <v>4915</v>
      </c>
      <c r="D1187">
        <v>8.41</v>
      </c>
      <c r="E1187">
        <v>2.19</v>
      </c>
      <c r="F1187">
        <v>0.18</v>
      </c>
      <c r="G1187" t="s">
        <v>158</v>
      </c>
      <c r="H1187">
        <v>2499</v>
      </c>
      <c r="I1187">
        <v>8.41</v>
      </c>
      <c r="J1187">
        <v>8.42</v>
      </c>
      <c r="K1187">
        <v>-0.36</v>
      </c>
      <c r="L1187">
        <v>2.5299999999999998</v>
      </c>
      <c r="M1187" t="s">
        <v>4916</v>
      </c>
      <c r="N1187">
        <v>31.77</v>
      </c>
      <c r="O1187" t="s">
        <v>807</v>
      </c>
      <c r="P1187">
        <v>8.4700000000000006</v>
      </c>
      <c r="Q1187">
        <v>8.08</v>
      </c>
      <c r="R1187">
        <v>8.18</v>
      </c>
      <c r="S1187">
        <v>8.23</v>
      </c>
      <c r="T1187">
        <v>4.74</v>
      </c>
      <c r="U1187">
        <v>1.89</v>
      </c>
      <c r="V1187">
        <v>-53.03</v>
      </c>
      <c r="W1187">
        <v>-3265</v>
      </c>
      <c r="X1187">
        <v>8.3000000000000007</v>
      </c>
      <c r="Y1187" t="s">
        <v>4917</v>
      </c>
      <c r="Z1187" t="s">
        <v>236</v>
      </c>
      <c r="AA1187">
        <v>0.54</v>
      </c>
      <c r="AB1187">
        <v>478</v>
      </c>
      <c r="AC1187">
        <v>407</v>
      </c>
      <c r="AD1187">
        <v>4.25</v>
      </c>
      <c r="AE1187" t="s">
        <v>361</v>
      </c>
      <c r="AF1187" t="s">
        <v>702</v>
      </c>
      <c r="AG1187" t="s">
        <v>2927</v>
      </c>
      <c r="AH1187" t="s">
        <v>4918</v>
      </c>
      <c r="AI1187">
        <v>4.5999999999999996</v>
      </c>
      <c r="AJ1187">
        <v>9.7899999999999991</v>
      </c>
      <c r="AK1187">
        <v>6.45</v>
      </c>
      <c r="AL1187">
        <v>9.2200000000000006</v>
      </c>
    </row>
    <row r="1188" spans="1:38" x14ac:dyDescent="0.25">
      <c r="A1188">
        <v>1187</v>
      </c>
      <c r="B1188" t="str">
        <f xml:space="preserve"> "002619"</f>
        <v>002619</v>
      </c>
      <c r="C1188" t="s">
        <v>4919</v>
      </c>
      <c r="D1188" t="s">
        <v>616</v>
      </c>
      <c r="E1188" t="s">
        <v>616</v>
      </c>
      <c r="F1188" t="s">
        <v>616</v>
      </c>
      <c r="G1188" t="s">
        <v>616</v>
      </c>
      <c r="H1188" t="s">
        <v>616</v>
      </c>
      <c r="I1188" t="s">
        <v>616</v>
      </c>
      <c r="J1188" t="s">
        <v>616</v>
      </c>
      <c r="K1188" t="s">
        <v>616</v>
      </c>
      <c r="L1188" t="s">
        <v>616</v>
      </c>
      <c r="M1188" t="s">
        <v>616</v>
      </c>
      <c r="N1188">
        <v>44.11</v>
      </c>
      <c r="O1188" t="s">
        <v>1126</v>
      </c>
      <c r="P1188" t="s">
        <v>616</v>
      </c>
      <c r="Q1188" t="s">
        <v>616</v>
      </c>
      <c r="R1188" t="s">
        <v>616</v>
      </c>
      <c r="S1188">
        <v>6.37</v>
      </c>
      <c r="T1188" t="s">
        <v>616</v>
      </c>
      <c r="U1188" t="s">
        <v>616</v>
      </c>
      <c r="V1188" t="s">
        <v>616</v>
      </c>
      <c r="W1188" t="s">
        <v>616</v>
      </c>
      <c r="X1188" t="s">
        <v>616</v>
      </c>
      <c r="Y1188" t="s">
        <v>616</v>
      </c>
      <c r="Z1188" t="s">
        <v>616</v>
      </c>
      <c r="AA1188" t="s">
        <v>616</v>
      </c>
      <c r="AB1188" t="s">
        <v>616</v>
      </c>
      <c r="AC1188" t="s">
        <v>616</v>
      </c>
      <c r="AD1188">
        <v>2.96</v>
      </c>
      <c r="AE1188" t="s">
        <v>1778</v>
      </c>
      <c r="AF1188" t="s">
        <v>702</v>
      </c>
      <c r="AG1188" t="s">
        <v>3208</v>
      </c>
      <c r="AH1188" t="s">
        <v>1662</v>
      </c>
      <c r="AI1188">
        <v>0</v>
      </c>
      <c r="AJ1188">
        <v>0</v>
      </c>
      <c r="AK1188">
        <v>0</v>
      </c>
      <c r="AL1188">
        <v>0</v>
      </c>
    </row>
    <row r="1189" spans="1:38" x14ac:dyDescent="0.25">
      <c r="A1189">
        <v>1188</v>
      </c>
      <c r="B1189" t="str">
        <f xml:space="preserve"> "002518"</f>
        <v>002518</v>
      </c>
      <c r="C1189" t="s">
        <v>4920</v>
      </c>
      <c r="D1189">
        <v>17.760000000000002</v>
      </c>
      <c r="E1189">
        <v>-0.06</v>
      </c>
      <c r="F1189">
        <v>-0.01</v>
      </c>
      <c r="G1189" t="s">
        <v>1207</v>
      </c>
      <c r="H1189">
        <v>264</v>
      </c>
      <c r="I1189">
        <v>17.760000000000002</v>
      </c>
      <c r="J1189">
        <v>17.77</v>
      </c>
      <c r="K1189">
        <v>0.06</v>
      </c>
      <c r="L1189">
        <v>0.48</v>
      </c>
      <c r="M1189" t="s">
        <v>4921</v>
      </c>
      <c r="N1189">
        <v>35.17</v>
      </c>
      <c r="O1189" t="s">
        <v>680</v>
      </c>
      <c r="P1189">
        <v>17.850000000000001</v>
      </c>
      <c r="Q1189">
        <v>17.61</v>
      </c>
      <c r="R1189">
        <v>17.82</v>
      </c>
      <c r="S1189">
        <v>17.77</v>
      </c>
      <c r="T1189">
        <v>1.35</v>
      </c>
      <c r="U1189">
        <v>0.62</v>
      </c>
      <c r="V1189">
        <v>-38.56</v>
      </c>
      <c r="W1189">
        <v>-348</v>
      </c>
      <c r="X1189">
        <v>17.7</v>
      </c>
      <c r="Y1189" t="s">
        <v>125</v>
      </c>
      <c r="Z1189" t="s">
        <v>2241</v>
      </c>
      <c r="AA1189">
        <v>1.35</v>
      </c>
      <c r="AB1189">
        <v>47</v>
      </c>
      <c r="AC1189">
        <v>186</v>
      </c>
      <c r="AD1189">
        <v>4.97</v>
      </c>
      <c r="AE1189" t="s">
        <v>2428</v>
      </c>
      <c r="AF1189" t="s">
        <v>702</v>
      </c>
      <c r="AG1189" t="s">
        <v>2174</v>
      </c>
      <c r="AH1189" t="s">
        <v>4922</v>
      </c>
      <c r="AI1189">
        <v>-2.63</v>
      </c>
      <c r="AJ1189">
        <v>2.2999999999999998</v>
      </c>
      <c r="AK1189">
        <v>1.68</v>
      </c>
      <c r="AL1189">
        <v>4.3499999999999996</v>
      </c>
    </row>
    <row r="1190" spans="1:38" x14ac:dyDescent="0.25">
      <c r="A1190">
        <v>1189</v>
      </c>
      <c r="B1190" t="str">
        <f xml:space="preserve"> "600184"</f>
        <v>600184</v>
      </c>
      <c r="C1190" t="s">
        <v>4923</v>
      </c>
      <c r="D1190">
        <v>20.55</v>
      </c>
      <c r="E1190">
        <v>-0.44</v>
      </c>
      <c r="F1190">
        <v>-0.09</v>
      </c>
      <c r="G1190" t="s">
        <v>124</v>
      </c>
      <c r="H1190">
        <v>30</v>
      </c>
      <c r="I1190">
        <v>20.55</v>
      </c>
      <c r="J1190">
        <v>20.56</v>
      </c>
      <c r="K1190">
        <v>0.1</v>
      </c>
      <c r="L1190">
        <v>0.3</v>
      </c>
      <c r="M1190" t="s">
        <v>4924</v>
      </c>
      <c r="N1190">
        <v>701.27</v>
      </c>
      <c r="O1190" t="s">
        <v>926</v>
      </c>
      <c r="P1190">
        <v>20.77</v>
      </c>
      <c r="Q1190">
        <v>20.5</v>
      </c>
      <c r="R1190">
        <v>20.58</v>
      </c>
      <c r="S1190">
        <v>20.64</v>
      </c>
      <c r="T1190">
        <v>1.31</v>
      </c>
      <c r="U1190">
        <v>0.83</v>
      </c>
      <c r="V1190">
        <v>42.18</v>
      </c>
      <c r="W1190">
        <v>312</v>
      </c>
      <c r="X1190">
        <v>20.56</v>
      </c>
      <c r="Y1190">
        <v>9040</v>
      </c>
      <c r="Z1190">
        <v>3603</v>
      </c>
      <c r="AA1190">
        <v>2.5099999999999998</v>
      </c>
      <c r="AB1190">
        <v>61</v>
      </c>
      <c r="AC1190">
        <v>19</v>
      </c>
      <c r="AD1190">
        <v>4.66</v>
      </c>
      <c r="AE1190" t="s">
        <v>4925</v>
      </c>
      <c r="AF1190" t="s">
        <v>702</v>
      </c>
      <c r="AG1190" t="s">
        <v>3504</v>
      </c>
      <c r="AH1190" t="s">
        <v>4202</v>
      </c>
      <c r="AI1190">
        <v>-0.87</v>
      </c>
      <c r="AJ1190">
        <v>1.53</v>
      </c>
      <c r="AK1190">
        <v>1.01</v>
      </c>
      <c r="AL1190">
        <v>2.12</v>
      </c>
    </row>
    <row r="1191" spans="1:38" x14ac:dyDescent="0.25">
      <c r="A1191">
        <v>1190</v>
      </c>
      <c r="B1191" t="str">
        <f xml:space="preserve"> "603338"</f>
        <v>603338</v>
      </c>
      <c r="C1191" t="s">
        <v>4926</v>
      </c>
      <c r="D1191">
        <v>64.16</v>
      </c>
      <c r="E1191">
        <v>1.55</v>
      </c>
      <c r="F1191">
        <v>0.98</v>
      </c>
      <c r="G1191">
        <v>7900</v>
      </c>
      <c r="H1191">
        <v>1</v>
      </c>
      <c r="I1191">
        <v>64.02</v>
      </c>
      <c r="J1191">
        <v>64.19</v>
      </c>
      <c r="K1191">
        <v>-0.06</v>
      </c>
      <c r="L1191">
        <v>1.71</v>
      </c>
      <c r="M1191" t="s">
        <v>4927</v>
      </c>
      <c r="N1191">
        <v>34.86</v>
      </c>
      <c r="O1191" t="s">
        <v>648</v>
      </c>
      <c r="P1191">
        <v>65.3</v>
      </c>
      <c r="Q1191">
        <v>62.5</v>
      </c>
      <c r="R1191">
        <v>63.19</v>
      </c>
      <c r="S1191">
        <v>63.18</v>
      </c>
      <c r="T1191">
        <v>4.43</v>
      </c>
      <c r="U1191">
        <v>0.86</v>
      </c>
      <c r="V1191">
        <v>64.25</v>
      </c>
      <c r="W1191">
        <v>221</v>
      </c>
      <c r="X1191">
        <v>63.83</v>
      </c>
      <c r="Y1191">
        <v>3639</v>
      </c>
      <c r="Z1191">
        <v>4261</v>
      </c>
      <c r="AA1191">
        <v>0.85</v>
      </c>
      <c r="AB1191">
        <v>9</v>
      </c>
      <c r="AC1191">
        <v>10</v>
      </c>
      <c r="AD1191">
        <v>8.64</v>
      </c>
      <c r="AE1191" t="s">
        <v>2339</v>
      </c>
      <c r="AF1191" t="s">
        <v>3732</v>
      </c>
      <c r="AG1191" t="s">
        <v>4928</v>
      </c>
      <c r="AH1191" t="s">
        <v>1850</v>
      </c>
      <c r="AI1191">
        <v>5.03</v>
      </c>
      <c r="AJ1191">
        <v>10.49</v>
      </c>
      <c r="AK1191">
        <v>7.13</v>
      </c>
      <c r="AL1191">
        <v>11.62</v>
      </c>
    </row>
    <row r="1192" spans="1:38" x14ac:dyDescent="0.25">
      <c r="A1192">
        <v>1191</v>
      </c>
      <c r="B1192" t="str">
        <f xml:space="preserve"> "000626"</f>
        <v>000626</v>
      </c>
      <c r="C1192" t="s">
        <v>4929</v>
      </c>
      <c r="D1192">
        <v>17.41</v>
      </c>
      <c r="E1192">
        <v>0.64</v>
      </c>
      <c r="F1192">
        <v>0.11</v>
      </c>
      <c r="G1192" t="s">
        <v>1334</v>
      </c>
      <c r="H1192">
        <v>437</v>
      </c>
      <c r="I1192">
        <v>17.399999999999999</v>
      </c>
      <c r="J1192">
        <v>17.41</v>
      </c>
      <c r="K1192">
        <v>0.06</v>
      </c>
      <c r="L1192">
        <v>0.92</v>
      </c>
      <c r="M1192" t="s">
        <v>4930</v>
      </c>
      <c r="N1192">
        <v>21.09</v>
      </c>
      <c r="O1192" t="s">
        <v>2001</v>
      </c>
      <c r="P1192">
        <v>17.59</v>
      </c>
      <c r="Q1192">
        <v>17.260000000000002</v>
      </c>
      <c r="R1192">
        <v>17.39</v>
      </c>
      <c r="S1192">
        <v>17.3</v>
      </c>
      <c r="T1192">
        <v>1.91</v>
      </c>
      <c r="U1192">
        <v>0.7</v>
      </c>
      <c r="V1192">
        <v>-4.54</v>
      </c>
      <c r="W1192">
        <v>-68</v>
      </c>
      <c r="X1192">
        <v>17.420000000000002</v>
      </c>
      <c r="Y1192" t="s">
        <v>1454</v>
      </c>
      <c r="Z1192" t="s">
        <v>3590</v>
      </c>
      <c r="AA1192">
        <v>1.26</v>
      </c>
      <c r="AB1192">
        <v>170</v>
      </c>
      <c r="AC1192">
        <v>117</v>
      </c>
      <c r="AD1192">
        <v>3.38</v>
      </c>
      <c r="AE1192" t="s">
        <v>3374</v>
      </c>
      <c r="AF1192" t="s">
        <v>3732</v>
      </c>
      <c r="AG1192" t="s">
        <v>2626</v>
      </c>
      <c r="AH1192" t="s">
        <v>4931</v>
      </c>
      <c r="AI1192">
        <v>-0.8</v>
      </c>
      <c r="AJ1192">
        <v>5.52</v>
      </c>
      <c r="AK1192">
        <v>3.17</v>
      </c>
      <c r="AL1192">
        <v>7.48</v>
      </c>
    </row>
    <row r="1193" spans="1:38" x14ac:dyDescent="0.25">
      <c r="A1193">
        <v>1192</v>
      </c>
      <c r="B1193" t="str">
        <f xml:space="preserve"> "002237"</f>
        <v>002237</v>
      </c>
      <c r="C1193" t="s">
        <v>4932</v>
      </c>
      <c r="D1193">
        <v>11.44</v>
      </c>
      <c r="E1193">
        <v>-0.52</v>
      </c>
      <c r="F1193">
        <v>-0.06</v>
      </c>
      <c r="G1193" t="s">
        <v>3032</v>
      </c>
      <c r="H1193">
        <v>827</v>
      </c>
      <c r="I1193">
        <v>11.44</v>
      </c>
      <c r="J1193">
        <v>11.45</v>
      </c>
      <c r="K1193">
        <v>-0.09</v>
      </c>
      <c r="L1193">
        <v>0.88</v>
      </c>
      <c r="M1193" t="s">
        <v>4933</v>
      </c>
      <c r="N1193">
        <v>26.37</v>
      </c>
      <c r="O1193" t="s">
        <v>788</v>
      </c>
      <c r="P1193">
        <v>11.49</v>
      </c>
      <c r="Q1193">
        <v>11.4</v>
      </c>
      <c r="R1193">
        <v>11.49</v>
      </c>
      <c r="S1193">
        <v>11.5</v>
      </c>
      <c r="T1193">
        <v>0.78</v>
      </c>
      <c r="U1193">
        <v>0.81</v>
      </c>
      <c r="V1193">
        <v>-2.76</v>
      </c>
      <c r="W1193">
        <v>-194</v>
      </c>
      <c r="X1193">
        <v>11.43</v>
      </c>
      <c r="Y1193" t="s">
        <v>882</v>
      </c>
      <c r="Z1193" t="s">
        <v>1745</v>
      </c>
      <c r="AA1193">
        <v>2.31</v>
      </c>
      <c r="AB1193">
        <v>420</v>
      </c>
      <c r="AC1193">
        <v>1306</v>
      </c>
      <c r="AD1193">
        <v>2.57</v>
      </c>
      <c r="AE1193" t="s">
        <v>2036</v>
      </c>
      <c r="AF1193" t="s">
        <v>3732</v>
      </c>
      <c r="AG1193" t="s">
        <v>2669</v>
      </c>
      <c r="AH1193" t="s">
        <v>2190</v>
      </c>
      <c r="AI1193">
        <v>-0.26</v>
      </c>
      <c r="AJ1193">
        <v>1.24</v>
      </c>
      <c r="AK1193">
        <v>2.87</v>
      </c>
      <c r="AL1193">
        <v>6.32</v>
      </c>
    </row>
    <row r="1194" spans="1:38" x14ac:dyDescent="0.25">
      <c r="A1194">
        <v>1193</v>
      </c>
      <c r="B1194" t="str">
        <f xml:space="preserve"> "600773"</f>
        <v>600773</v>
      </c>
      <c r="C1194" t="s">
        <v>4934</v>
      </c>
      <c r="D1194">
        <v>14.28</v>
      </c>
      <c r="E1194">
        <v>0.14000000000000001</v>
      </c>
      <c r="F1194">
        <v>0.02</v>
      </c>
      <c r="G1194" t="s">
        <v>844</v>
      </c>
      <c r="H1194">
        <v>42</v>
      </c>
      <c r="I1194">
        <v>14.27</v>
      </c>
      <c r="J1194">
        <v>14.28</v>
      </c>
      <c r="K1194">
        <v>7.0000000000000007E-2</v>
      </c>
      <c r="L1194">
        <v>1.89</v>
      </c>
      <c r="M1194" t="s">
        <v>4935</v>
      </c>
      <c r="N1194">
        <v>135.31</v>
      </c>
      <c r="O1194" t="s">
        <v>244</v>
      </c>
      <c r="P1194">
        <v>14.43</v>
      </c>
      <c r="Q1194">
        <v>14.1</v>
      </c>
      <c r="R1194">
        <v>14.27</v>
      </c>
      <c r="S1194">
        <v>14.26</v>
      </c>
      <c r="T1194">
        <v>2.31</v>
      </c>
      <c r="U1194">
        <v>0.48</v>
      </c>
      <c r="V1194">
        <v>46.05</v>
      </c>
      <c r="W1194">
        <v>1656</v>
      </c>
      <c r="X1194">
        <v>14.28</v>
      </c>
      <c r="Y1194" t="s">
        <v>3810</v>
      </c>
      <c r="Z1194" t="s">
        <v>400</v>
      </c>
      <c r="AA1194">
        <v>0.97</v>
      </c>
      <c r="AB1194">
        <v>433</v>
      </c>
      <c r="AC1194">
        <v>21</v>
      </c>
      <c r="AD1194">
        <v>4.0199999999999996</v>
      </c>
      <c r="AE1194" t="s">
        <v>1106</v>
      </c>
      <c r="AF1194" t="s">
        <v>3732</v>
      </c>
      <c r="AG1194" t="s">
        <v>1106</v>
      </c>
      <c r="AH1194" t="s">
        <v>3732</v>
      </c>
      <c r="AI1194">
        <v>-4.03</v>
      </c>
      <c r="AJ1194">
        <v>-4.99</v>
      </c>
      <c r="AK1194">
        <v>8.64</v>
      </c>
      <c r="AL1194">
        <v>21.76</v>
      </c>
    </row>
    <row r="1195" spans="1:38" x14ac:dyDescent="0.25">
      <c r="A1195">
        <v>1194</v>
      </c>
      <c r="B1195" t="str">
        <f xml:space="preserve"> "002586"</f>
        <v>002586</v>
      </c>
      <c r="C1195" t="s">
        <v>4936</v>
      </c>
      <c r="D1195">
        <v>9.99</v>
      </c>
      <c r="E1195">
        <v>1.1100000000000001</v>
      </c>
      <c r="F1195">
        <v>0.11</v>
      </c>
      <c r="G1195" t="s">
        <v>1641</v>
      </c>
      <c r="H1195">
        <v>1002</v>
      </c>
      <c r="I1195">
        <v>9.98</v>
      </c>
      <c r="J1195">
        <v>9.99</v>
      </c>
      <c r="K1195">
        <v>-0.1</v>
      </c>
      <c r="L1195">
        <v>0.81</v>
      </c>
      <c r="M1195" t="s">
        <v>4937</v>
      </c>
      <c r="N1195">
        <v>225.64</v>
      </c>
      <c r="O1195" t="s">
        <v>263</v>
      </c>
      <c r="P1195">
        <v>10.02</v>
      </c>
      <c r="Q1195">
        <v>9.75</v>
      </c>
      <c r="R1195">
        <v>9.93</v>
      </c>
      <c r="S1195">
        <v>9.8800000000000008</v>
      </c>
      <c r="T1195">
        <v>2.73</v>
      </c>
      <c r="U1195">
        <v>1.48</v>
      </c>
      <c r="V1195">
        <v>-76.930000000000007</v>
      </c>
      <c r="W1195">
        <v>-3889</v>
      </c>
      <c r="X1195">
        <v>9.9</v>
      </c>
      <c r="Y1195" t="s">
        <v>393</v>
      </c>
      <c r="Z1195" t="s">
        <v>1796</v>
      </c>
      <c r="AA1195">
        <v>1.05</v>
      </c>
      <c r="AB1195">
        <v>133</v>
      </c>
      <c r="AC1195">
        <v>744</v>
      </c>
      <c r="AD1195">
        <v>2.59</v>
      </c>
      <c r="AE1195" t="s">
        <v>755</v>
      </c>
      <c r="AF1195" t="s">
        <v>3732</v>
      </c>
      <c r="AG1195" t="s">
        <v>3846</v>
      </c>
      <c r="AH1195" t="s">
        <v>4918</v>
      </c>
      <c r="AI1195">
        <v>0.81</v>
      </c>
      <c r="AJ1195">
        <v>2.78</v>
      </c>
      <c r="AK1195">
        <v>1.8</v>
      </c>
      <c r="AL1195">
        <v>3.53</v>
      </c>
    </row>
    <row r="1196" spans="1:38" x14ac:dyDescent="0.25">
      <c r="A1196">
        <v>1195</v>
      </c>
      <c r="B1196" t="str">
        <f xml:space="preserve"> "002446"</f>
        <v>002446</v>
      </c>
      <c r="C1196" t="s">
        <v>4938</v>
      </c>
      <c r="D1196">
        <v>13.65</v>
      </c>
      <c r="E1196">
        <v>-0.51</v>
      </c>
      <c r="F1196">
        <v>-7.0000000000000007E-2</v>
      </c>
      <c r="G1196" t="s">
        <v>194</v>
      </c>
      <c r="H1196">
        <v>1677</v>
      </c>
      <c r="I1196">
        <v>13.64</v>
      </c>
      <c r="J1196">
        <v>13.65</v>
      </c>
      <c r="K1196">
        <v>-7.0000000000000007E-2</v>
      </c>
      <c r="L1196">
        <v>3.06</v>
      </c>
      <c r="M1196" t="s">
        <v>989</v>
      </c>
      <c r="N1196">
        <v>57.66</v>
      </c>
      <c r="O1196" t="s">
        <v>580</v>
      </c>
      <c r="P1196">
        <v>13.75</v>
      </c>
      <c r="Q1196">
        <v>13.3</v>
      </c>
      <c r="R1196">
        <v>13.61</v>
      </c>
      <c r="S1196">
        <v>13.72</v>
      </c>
      <c r="T1196">
        <v>3.28</v>
      </c>
      <c r="U1196">
        <v>0.41</v>
      </c>
      <c r="V1196">
        <v>-20.67</v>
      </c>
      <c r="W1196">
        <v>-401</v>
      </c>
      <c r="X1196">
        <v>13.53</v>
      </c>
      <c r="Y1196" t="s">
        <v>4481</v>
      </c>
      <c r="Z1196" t="s">
        <v>792</v>
      </c>
      <c r="AA1196">
        <v>1.38</v>
      </c>
      <c r="AB1196">
        <v>53</v>
      </c>
      <c r="AC1196">
        <v>254</v>
      </c>
      <c r="AD1196">
        <v>4.1399999999999997</v>
      </c>
      <c r="AE1196" t="s">
        <v>4939</v>
      </c>
      <c r="AF1196" t="s">
        <v>3732</v>
      </c>
      <c r="AG1196" t="s">
        <v>2912</v>
      </c>
      <c r="AH1196" t="s">
        <v>4940</v>
      </c>
      <c r="AI1196">
        <v>-2.2200000000000002</v>
      </c>
      <c r="AJ1196">
        <v>7.48</v>
      </c>
      <c r="AK1196">
        <v>12.88</v>
      </c>
      <c r="AL1196">
        <v>40.53</v>
      </c>
    </row>
    <row r="1197" spans="1:38" x14ac:dyDescent="0.25">
      <c r="A1197">
        <v>1196</v>
      </c>
      <c r="B1197" t="str">
        <f xml:space="preserve"> "600216"</f>
        <v>600216</v>
      </c>
      <c r="C1197" t="s">
        <v>4941</v>
      </c>
      <c r="D1197">
        <v>10.8</v>
      </c>
      <c r="E1197">
        <v>-0.28000000000000003</v>
      </c>
      <c r="F1197">
        <v>-0.03</v>
      </c>
      <c r="G1197" t="s">
        <v>4198</v>
      </c>
      <c r="H1197">
        <v>192</v>
      </c>
      <c r="I1197">
        <v>10.79</v>
      </c>
      <c r="J1197">
        <v>10.8</v>
      </c>
      <c r="K1197">
        <v>0.09</v>
      </c>
      <c r="L1197">
        <v>0.53</v>
      </c>
      <c r="M1197" t="s">
        <v>4942</v>
      </c>
      <c r="N1197">
        <v>57.67</v>
      </c>
      <c r="O1197" t="s">
        <v>392</v>
      </c>
      <c r="P1197">
        <v>10.91</v>
      </c>
      <c r="Q1197">
        <v>10.77</v>
      </c>
      <c r="R1197">
        <v>10.82</v>
      </c>
      <c r="S1197">
        <v>10.83</v>
      </c>
      <c r="T1197">
        <v>1.29</v>
      </c>
      <c r="U1197">
        <v>0.52</v>
      </c>
      <c r="V1197">
        <v>57.64</v>
      </c>
      <c r="W1197">
        <v>1762</v>
      </c>
      <c r="X1197">
        <v>10.84</v>
      </c>
      <c r="Y1197" t="s">
        <v>1190</v>
      </c>
      <c r="Z1197" t="s">
        <v>1381</v>
      </c>
      <c r="AA1197">
        <v>1.47</v>
      </c>
      <c r="AB1197">
        <v>116</v>
      </c>
      <c r="AC1197">
        <v>3</v>
      </c>
      <c r="AD1197">
        <v>1.52</v>
      </c>
      <c r="AE1197" t="s">
        <v>3715</v>
      </c>
      <c r="AF1197" t="s">
        <v>3732</v>
      </c>
      <c r="AG1197" t="s">
        <v>4943</v>
      </c>
      <c r="AH1197" t="s">
        <v>475</v>
      </c>
      <c r="AI1197">
        <v>-0.83</v>
      </c>
      <c r="AJ1197">
        <v>1.31</v>
      </c>
      <c r="AK1197">
        <v>2.11</v>
      </c>
      <c r="AL1197">
        <v>5.64</v>
      </c>
    </row>
    <row r="1198" spans="1:38" x14ac:dyDescent="0.25">
      <c r="A1198">
        <v>1197</v>
      </c>
      <c r="B1198" t="str">
        <f xml:space="preserve"> "603803"</f>
        <v>603803</v>
      </c>
      <c r="C1198" t="s">
        <v>4944</v>
      </c>
      <c r="D1198">
        <v>24.69</v>
      </c>
      <c r="E1198">
        <v>1.27</v>
      </c>
      <c r="F1198">
        <v>0.31</v>
      </c>
      <c r="G1198" t="s">
        <v>3192</v>
      </c>
      <c r="H1198">
        <v>11</v>
      </c>
      <c r="I1198">
        <v>24.69</v>
      </c>
      <c r="J1198">
        <v>24.7</v>
      </c>
      <c r="K1198">
        <v>0.08</v>
      </c>
      <c r="L1198">
        <v>10.74</v>
      </c>
      <c r="M1198" t="s">
        <v>1306</v>
      </c>
      <c r="N1198">
        <v>64.930000000000007</v>
      </c>
      <c r="O1198" t="s">
        <v>580</v>
      </c>
      <c r="P1198">
        <v>24.77</v>
      </c>
      <c r="Q1198">
        <v>23.65</v>
      </c>
      <c r="R1198">
        <v>24.26</v>
      </c>
      <c r="S1198">
        <v>24.38</v>
      </c>
      <c r="T1198">
        <v>4.59</v>
      </c>
      <c r="U1198">
        <v>0.59</v>
      </c>
      <c r="V1198">
        <v>-37.36</v>
      </c>
      <c r="W1198">
        <v>-408</v>
      </c>
      <c r="X1198">
        <v>24.37</v>
      </c>
      <c r="Y1198" t="s">
        <v>1199</v>
      </c>
      <c r="Z1198" t="s">
        <v>4378</v>
      </c>
      <c r="AA1198">
        <v>0.94</v>
      </c>
      <c r="AB1198">
        <v>24</v>
      </c>
      <c r="AC1198">
        <v>327</v>
      </c>
      <c r="AD1198">
        <v>4.4000000000000004</v>
      </c>
      <c r="AE1198" t="s">
        <v>1470</v>
      </c>
      <c r="AF1198" t="s">
        <v>3732</v>
      </c>
      <c r="AG1198" t="s">
        <v>4945</v>
      </c>
      <c r="AH1198" t="s">
        <v>803</v>
      </c>
      <c r="AI1198">
        <v>-3.29</v>
      </c>
      <c r="AJ1198">
        <v>-2.68</v>
      </c>
      <c r="AK1198">
        <v>38.39</v>
      </c>
      <c r="AL1198">
        <v>101.46</v>
      </c>
    </row>
    <row r="1199" spans="1:38" x14ac:dyDescent="0.25">
      <c r="A1199">
        <v>1198</v>
      </c>
      <c r="B1199" t="str">
        <f xml:space="preserve"> "002737"</f>
        <v>002737</v>
      </c>
      <c r="C1199" t="s">
        <v>4946</v>
      </c>
      <c r="D1199">
        <v>35.6</v>
      </c>
      <c r="E1199">
        <v>2.42</v>
      </c>
      <c r="F1199">
        <v>0.84</v>
      </c>
      <c r="G1199" t="s">
        <v>2966</v>
      </c>
      <c r="H1199">
        <v>355</v>
      </c>
      <c r="I1199">
        <v>35.590000000000003</v>
      </c>
      <c r="J1199">
        <v>35.6</v>
      </c>
      <c r="K1199">
        <v>0</v>
      </c>
      <c r="L1199">
        <v>2.0699999999999998</v>
      </c>
      <c r="M1199" t="s">
        <v>4947</v>
      </c>
      <c r="N1199">
        <v>27.13</v>
      </c>
      <c r="O1199" t="s">
        <v>392</v>
      </c>
      <c r="P1199">
        <v>35.76</v>
      </c>
      <c r="Q1199">
        <v>34.78</v>
      </c>
      <c r="R1199">
        <v>34.78</v>
      </c>
      <c r="S1199">
        <v>34.76</v>
      </c>
      <c r="T1199">
        <v>2.82</v>
      </c>
      <c r="U1199">
        <v>1.58</v>
      </c>
      <c r="V1199">
        <v>-67.95</v>
      </c>
      <c r="W1199">
        <v>-581</v>
      </c>
      <c r="X1199">
        <v>35.46</v>
      </c>
      <c r="Y1199" t="s">
        <v>1785</v>
      </c>
      <c r="Z1199" t="s">
        <v>999</v>
      </c>
      <c r="AA1199">
        <v>0.74</v>
      </c>
      <c r="AB1199">
        <v>1</v>
      </c>
      <c r="AC1199">
        <v>551</v>
      </c>
      <c r="AD1199">
        <v>3.82</v>
      </c>
      <c r="AE1199" t="s">
        <v>540</v>
      </c>
      <c r="AF1199" t="s">
        <v>3732</v>
      </c>
      <c r="AG1199" t="s">
        <v>3574</v>
      </c>
      <c r="AH1199" t="s">
        <v>1100</v>
      </c>
      <c r="AI1199">
        <v>4.8</v>
      </c>
      <c r="AJ1199">
        <v>5.39</v>
      </c>
      <c r="AK1199">
        <v>5.9</v>
      </c>
      <c r="AL1199">
        <v>8.6199999999999992</v>
      </c>
    </row>
    <row r="1200" spans="1:38" x14ac:dyDescent="0.25">
      <c r="A1200">
        <v>1199</v>
      </c>
      <c r="B1200" t="str">
        <f xml:space="preserve"> "002192"</f>
        <v>002192</v>
      </c>
      <c r="C1200" t="s">
        <v>4948</v>
      </c>
      <c r="D1200">
        <v>40.03</v>
      </c>
      <c r="E1200">
        <v>-0.3</v>
      </c>
      <c r="F1200">
        <v>-0.12</v>
      </c>
      <c r="G1200" t="s">
        <v>4368</v>
      </c>
      <c r="H1200">
        <v>810</v>
      </c>
      <c r="I1200">
        <v>40.03</v>
      </c>
      <c r="J1200">
        <v>40.04</v>
      </c>
      <c r="K1200">
        <v>-0.02</v>
      </c>
      <c r="L1200">
        <v>2.58</v>
      </c>
      <c r="M1200" t="s">
        <v>3339</v>
      </c>
      <c r="N1200">
        <v>8284.27</v>
      </c>
      <c r="O1200" t="s">
        <v>380</v>
      </c>
      <c r="P1200">
        <v>41.19</v>
      </c>
      <c r="Q1200">
        <v>39.81</v>
      </c>
      <c r="R1200">
        <v>40.43</v>
      </c>
      <c r="S1200">
        <v>40.15</v>
      </c>
      <c r="T1200">
        <v>3.44</v>
      </c>
      <c r="U1200">
        <v>0.65</v>
      </c>
      <c r="V1200">
        <v>64.86</v>
      </c>
      <c r="W1200">
        <v>609</v>
      </c>
      <c r="X1200">
        <v>40.5</v>
      </c>
      <c r="Y1200" t="s">
        <v>1704</v>
      </c>
      <c r="Z1200" t="s">
        <v>2932</v>
      </c>
      <c r="AA1200">
        <v>1.1499999999999999</v>
      </c>
      <c r="AB1200">
        <v>681</v>
      </c>
      <c r="AC1200">
        <v>55</v>
      </c>
      <c r="AD1200">
        <v>14.17</v>
      </c>
      <c r="AE1200" t="s">
        <v>2807</v>
      </c>
      <c r="AF1200" t="s">
        <v>3732</v>
      </c>
      <c r="AG1200" t="s">
        <v>2146</v>
      </c>
      <c r="AH1200" t="s">
        <v>1917</v>
      </c>
      <c r="AI1200">
        <v>-1.77</v>
      </c>
      <c r="AJ1200">
        <v>-6.54</v>
      </c>
      <c r="AK1200">
        <v>8.6999999999999993</v>
      </c>
      <c r="AL1200">
        <v>22.31</v>
      </c>
    </row>
    <row r="1201" spans="1:38" x14ac:dyDescent="0.25">
      <c r="A1201">
        <v>1200</v>
      </c>
      <c r="B1201" t="str">
        <f xml:space="preserve"> "601678"</f>
        <v>601678</v>
      </c>
      <c r="C1201" t="s">
        <v>4949</v>
      </c>
      <c r="D1201">
        <v>8.74</v>
      </c>
      <c r="E1201">
        <v>1.63</v>
      </c>
      <c r="F1201">
        <v>0.14000000000000001</v>
      </c>
      <c r="G1201" t="s">
        <v>965</v>
      </c>
      <c r="H1201">
        <v>387</v>
      </c>
      <c r="I1201">
        <v>8.7200000000000006</v>
      </c>
      <c r="J1201">
        <v>8.73</v>
      </c>
      <c r="K1201">
        <v>-0.11</v>
      </c>
      <c r="L1201">
        <v>1.49</v>
      </c>
      <c r="M1201" t="s">
        <v>2049</v>
      </c>
      <c r="N1201">
        <v>14.36</v>
      </c>
      <c r="O1201" t="s">
        <v>667</v>
      </c>
      <c r="P1201">
        <v>8.82</v>
      </c>
      <c r="Q1201">
        <v>8.68</v>
      </c>
      <c r="R1201">
        <v>8.69</v>
      </c>
      <c r="S1201">
        <v>8.6</v>
      </c>
      <c r="T1201">
        <v>1.63</v>
      </c>
      <c r="U1201">
        <v>1.1399999999999999</v>
      </c>
      <c r="V1201">
        <v>-13.18</v>
      </c>
      <c r="W1201">
        <v>-835</v>
      </c>
      <c r="X1201">
        <v>8.76</v>
      </c>
      <c r="Y1201" t="s">
        <v>1709</v>
      </c>
      <c r="Z1201" t="s">
        <v>3054</v>
      </c>
      <c r="AA1201">
        <v>0.81</v>
      </c>
      <c r="AB1201">
        <v>531</v>
      </c>
      <c r="AC1201">
        <v>48</v>
      </c>
      <c r="AD1201">
        <v>1.98</v>
      </c>
      <c r="AE1201" t="s">
        <v>1011</v>
      </c>
      <c r="AF1201" t="s">
        <v>3732</v>
      </c>
      <c r="AG1201" t="s">
        <v>1011</v>
      </c>
      <c r="AH1201" t="s">
        <v>3732</v>
      </c>
      <c r="AI1201">
        <v>-1.58</v>
      </c>
      <c r="AJ1201">
        <v>0.11</v>
      </c>
      <c r="AK1201">
        <v>4.01</v>
      </c>
      <c r="AL1201">
        <v>8.02</v>
      </c>
    </row>
    <row r="1202" spans="1:38" x14ac:dyDescent="0.25">
      <c r="A1202">
        <v>1201</v>
      </c>
      <c r="B1202" t="str">
        <f xml:space="preserve"> "000889"</f>
        <v>000889</v>
      </c>
      <c r="C1202" t="s">
        <v>4950</v>
      </c>
      <c r="D1202" t="s">
        <v>616</v>
      </c>
      <c r="E1202" t="s">
        <v>616</v>
      </c>
      <c r="F1202" t="s">
        <v>616</v>
      </c>
      <c r="G1202" t="s">
        <v>616</v>
      </c>
      <c r="H1202" t="s">
        <v>616</v>
      </c>
      <c r="I1202" t="s">
        <v>616</v>
      </c>
      <c r="J1202" t="s">
        <v>616</v>
      </c>
      <c r="K1202" t="s">
        <v>616</v>
      </c>
      <c r="L1202" t="s">
        <v>616</v>
      </c>
      <c r="M1202" t="s">
        <v>616</v>
      </c>
      <c r="N1202">
        <v>48.08</v>
      </c>
      <c r="O1202" t="s">
        <v>580</v>
      </c>
      <c r="P1202" t="s">
        <v>616</v>
      </c>
      <c r="Q1202" t="s">
        <v>616</v>
      </c>
      <c r="R1202" t="s">
        <v>616</v>
      </c>
      <c r="S1202">
        <v>16.670000000000002</v>
      </c>
      <c r="T1202" t="s">
        <v>616</v>
      </c>
      <c r="U1202" t="s">
        <v>616</v>
      </c>
      <c r="V1202" t="s">
        <v>616</v>
      </c>
      <c r="W1202" t="s">
        <v>616</v>
      </c>
      <c r="X1202" t="s">
        <v>616</v>
      </c>
      <c r="Y1202" t="s">
        <v>616</v>
      </c>
      <c r="Z1202" t="s">
        <v>616</v>
      </c>
      <c r="AA1202" t="s">
        <v>616</v>
      </c>
      <c r="AB1202" t="s">
        <v>616</v>
      </c>
      <c r="AC1202" t="s">
        <v>616</v>
      </c>
      <c r="AD1202">
        <v>4.08</v>
      </c>
      <c r="AE1202" t="s">
        <v>3470</v>
      </c>
      <c r="AF1202" t="s">
        <v>3732</v>
      </c>
      <c r="AG1202" t="s">
        <v>2221</v>
      </c>
      <c r="AH1202" t="s">
        <v>4951</v>
      </c>
      <c r="AI1202">
        <v>0</v>
      </c>
      <c r="AJ1202">
        <v>0</v>
      </c>
      <c r="AK1202">
        <v>0</v>
      </c>
      <c r="AL1202">
        <v>0</v>
      </c>
    </row>
    <row r="1203" spans="1:38" x14ac:dyDescent="0.25">
      <c r="A1203">
        <v>1202</v>
      </c>
      <c r="B1203" t="str">
        <f xml:space="preserve"> "300458"</f>
        <v>300458</v>
      </c>
      <c r="C1203" t="s">
        <v>4952</v>
      </c>
      <c r="D1203">
        <v>31.12</v>
      </c>
      <c r="E1203">
        <v>1.1399999999999999</v>
      </c>
      <c r="F1203">
        <v>0.35</v>
      </c>
      <c r="G1203" t="s">
        <v>3834</v>
      </c>
      <c r="H1203">
        <v>392</v>
      </c>
      <c r="I1203">
        <v>31.11</v>
      </c>
      <c r="J1203">
        <v>31.12</v>
      </c>
      <c r="K1203">
        <v>0.1</v>
      </c>
      <c r="L1203">
        <v>2.39</v>
      </c>
      <c r="M1203" t="s">
        <v>1635</v>
      </c>
      <c r="N1203">
        <v>3063.34</v>
      </c>
      <c r="O1203" t="s">
        <v>380</v>
      </c>
      <c r="P1203">
        <v>31.48</v>
      </c>
      <c r="Q1203">
        <v>30.5</v>
      </c>
      <c r="R1203">
        <v>31</v>
      </c>
      <c r="S1203">
        <v>30.77</v>
      </c>
      <c r="T1203">
        <v>3.18</v>
      </c>
      <c r="U1203">
        <v>0.45</v>
      </c>
      <c r="V1203">
        <v>45.98</v>
      </c>
      <c r="W1203">
        <v>380</v>
      </c>
      <c r="X1203">
        <v>31.04</v>
      </c>
      <c r="Y1203" t="s">
        <v>1683</v>
      </c>
      <c r="Z1203" t="s">
        <v>2126</v>
      </c>
      <c r="AA1203">
        <v>0.89</v>
      </c>
      <c r="AB1203">
        <v>49</v>
      </c>
      <c r="AC1203">
        <v>88</v>
      </c>
      <c r="AD1203">
        <v>5.17</v>
      </c>
      <c r="AE1203" t="s">
        <v>977</v>
      </c>
      <c r="AF1203" t="s">
        <v>3732</v>
      </c>
      <c r="AG1203" t="s">
        <v>2327</v>
      </c>
      <c r="AH1203" t="s">
        <v>4953</v>
      </c>
      <c r="AI1203">
        <v>-7.05</v>
      </c>
      <c r="AJ1203">
        <v>-4.01</v>
      </c>
      <c r="AK1203">
        <v>12.17</v>
      </c>
      <c r="AL1203">
        <v>29.02</v>
      </c>
    </row>
    <row r="1204" spans="1:38" x14ac:dyDescent="0.25">
      <c r="A1204">
        <v>1203</v>
      </c>
      <c r="B1204" t="str">
        <f xml:space="preserve"> "601388"</f>
        <v>601388</v>
      </c>
      <c r="C1204" t="s">
        <v>4954</v>
      </c>
      <c r="D1204">
        <v>5.1100000000000003</v>
      </c>
      <c r="E1204">
        <v>0.39</v>
      </c>
      <c r="F1204">
        <v>0.02</v>
      </c>
      <c r="G1204" t="s">
        <v>4955</v>
      </c>
      <c r="H1204">
        <v>69</v>
      </c>
      <c r="I1204">
        <v>5.0999999999999996</v>
      </c>
      <c r="J1204">
        <v>5.1100000000000003</v>
      </c>
      <c r="K1204">
        <v>0</v>
      </c>
      <c r="L1204">
        <v>2.13</v>
      </c>
      <c r="M1204" t="s">
        <v>2151</v>
      </c>
      <c r="N1204">
        <v>28.9</v>
      </c>
      <c r="O1204" t="s">
        <v>449</v>
      </c>
      <c r="P1204">
        <v>5.13</v>
      </c>
      <c r="Q1204">
        <v>5.0599999999999996</v>
      </c>
      <c r="R1204">
        <v>5.09</v>
      </c>
      <c r="S1204">
        <v>5.09</v>
      </c>
      <c r="T1204">
        <v>1.38</v>
      </c>
      <c r="U1204">
        <v>0.55000000000000004</v>
      </c>
      <c r="V1204">
        <v>-33.26</v>
      </c>
      <c r="W1204" t="s">
        <v>4956</v>
      </c>
      <c r="X1204">
        <v>5.0999999999999996</v>
      </c>
      <c r="Y1204" t="s">
        <v>2685</v>
      </c>
      <c r="Z1204" t="s">
        <v>423</v>
      </c>
      <c r="AA1204">
        <v>1.04</v>
      </c>
      <c r="AB1204">
        <v>3132</v>
      </c>
      <c r="AC1204">
        <v>1251</v>
      </c>
      <c r="AD1204">
        <v>4.3899999999999997</v>
      </c>
      <c r="AE1204" t="s">
        <v>1761</v>
      </c>
      <c r="AF1204" t="s">
        <v>3311</v>
      </c>
      <c r="AG1204" t="s">
        <v>1761</v>
      </c>
      <c r="AH1204" t="s">
        <v>3311</v>
      </c>
      <c r="AI1204">
        <v>-2.67</v>
      </c>
      <c r="AJ1204">
        <v>-6.24</v>
      </c>
      <c r="AK1204">
        <v>9.9600000000000009</v>
      </c>
      <c r="AL1204">
        <v>21.45</v>
      </c>
    </row>
    <row r="1205" spans="1:38" x14ac:dyDescent="0.25">
      <c r="A1205">
        <v>1204</v>
      </c>
      <c r="B1205" t="str">
        <f xml:space="preserve"> "600776"</f>
        <v>600776</v>
      </c>
      <c r="C1205" t="s">
        <v>4957</v>
      </c>
      <c r="D1205">
        <v>8.24</v>
      </c>
      <c r="E1205">
        <v>-3.4</v>
      </c>
      <c r="F1205">
        <v>-0.28999999999999998</v>
      </c>
      <c r="G1205" t="s">
        <v>1020</v>
      </c>
      <c r="H1205">
        <v>1</v>
      </c>
      <c r="I1205">
        <v>8.24</v>
      </c>
      <c r="J1205">
        <v>8.25</v>
      </c>
      <c r="K1205">
        <v>0</v>
      </c>
      <c r="L1205">
        <v>2.88</v>
      </c>
      <c r="M1205" t="s">
        <v>2942</v>
      </c>
      <c r="N1205">
        <v>92.31</v>
      </c>
      <c r="O1205" t="s">
        <v>580</v>
      </c>
      <c r="P1205">
        <v>8.4700000000000006</v>
      </c>
      <c r="Q1205">
        <v>8.06</v>
      </c>
      <c r="R1205">
        <v>8.4</v>
      </c>
      <c r="S1205">
        <v>8.5299999999999994</v>
      </c>
      <c r="T1205">
        <v>4.8099999999999996</v>
      </c>
      <c r="U1205">
        <v>0.61</v>
      </c>
      <c r="V1205">
        <v>15.1</v>
      </c>
      <c r="W1205">
        <v>585</v>
      </c>
      <c r="X1205">
        <v>8.1999999999999993</v>
      </c>
      <c r="Y1205" t="s">
        <v>1390</v>
      </c>
      <c r="Z1205" t="s">
        <v>362</v>
      </c>
      <c r="AA1205">
        <v>1.65</v>
      </c>
      <c r="AB1205">
        <v>142</v>
      </c>
      <c r="AC1205">
        <v>52</v>
      </c>
      <c r="AD1205">
        <v>3.59</v>
      </c>
      <c r="AE1205" t="s">
        <v>126</v>
      </c>
      <c r="AF1205" t="s">
        <v>3311</v>
      </c>
      <c r="AG1205" t="s">
        <v>2148</v>
      </c>
      <c r="AH1205" t="s">
        <v>4958</v>
      </c>
      <c r="AI1205">
        <v>-3.74</v>
      </c>
      <c r="AJ1205">
        <v>9.43</v>
      </c>
      <c r="AK1205">
        <v>10.95</v>
      </c>
      <c r="AL1205">
        <v>26.53</v>
      </c>
    </row>
    <row r="1206" spans="1:38" x14ac:dyDescent="0.25">
      <c r="A1206">
        <v>1205</v>
      </c>
      <c r="B1206" t="str">
        <f xml:space="preserve"> "600200"</f>
        <v>600200</v>
      </c>
      <c r="C1206" t="s">
        <v>4959</v>
      </c>
      <c r="D1206">
        <v>14.33</v>
      </c>
      <c r="E1206">
        <v>7.0000000000000007E-2</v>
      </c>
      <c r="F1206">
        <v>0.01</v>
      </c>
      <c r="G1206" t="s">
        <v>2944</v>
      </c>
      <c r="H1206">
        <v>18</v>
      </c>
      <c r="I1206">
        <v>14.33</v>
      </c>
      <c r="J1206">
        <v>14.34</v>
      </c>
      <c r="K1206">
        <v>7.0000000000000007E-2</v>
      </c>
      <c r="L1206">
        <v>0.77</v>
      </c>
      <c r="M1206" t="s">
        <v>4960</v>
      </c>
      <c r="N1206">
        <v>78.209999999999994</v>
      </c>
      <c r="O1206" t="s">
        <v>392</v>
      </c>
      <c r="P1206">
        <v>14.44</v>
      </c>
      <c r="Q1206">
        <v>14.25</v>
      </c>
      <c r="R1206">
        <v>14.33</v>
      </c>
      <c r="S1206">
        <v>14.32</v>
      </c>
      <c r="T1206">
        <v>1.33</v>
      </c>
      <c r="U1206">
        <v>0.6</v>
      </c>
      <c r="V1206">
        <v>-29.47</v>
      </c>
      <c r="W1206">
        <v>-1039</v>
      </c>
      <c r="X1206">
        <v>14.32</v>
      </c>
      <c r="Y1206" t="s">
        <v>121</v>
      </c>
      <c r="Z1206" t="s">
        <v>3266</v>
      </c>
      <c r="AA1206">
        <v>1.1499999999999999</v>
      </c>
      <c r="AB1206">
        <v>66</v>
      </c>
      <c r="AC1206">
        <v>590</v>
      </c>
      <c r="AD1206">
        <v>3.47</v>
      </c>
      <c r="AE1206" t="s">
        <v>2735</v>
      </c>
      <c r="AF1206" t="s">
        <v>3311</v>
      </c>
      <c r="AG1206" t="s">
        <v>4961</v>
      </c>
      <c r="AH1206" t="s">
        <v>4962</v>
      </c>
      <c r="AI1206">
        <v>-0.49</v>
      </c>
      <c r="AJ1206">
        <v>5.37</v>
      </c>
      <c r="AK1206">
        <v>3.85</v>
      </c>
      <c r="AL1206">
        <v>7.18</v>
      </c>
    </row>
    <row r="1207" spans="1:38" x14ac:dyDescent="0.25">
      <c r="A1207">
        <v>1206</v>
      </c>
      <c r="B1207" t="str">
        <f xml:space="preserve"> "000038"</f>
        <v>000038</v>
      </c>
      <c r="C1207" t="s">
        <v>4963</v>
      </c>
      <c r="D1207" t="s">
        <v>616</v>
      </c>
      <c r="E1207" t="s">
        <v>616</v>
      </c>
      <c r="F1207" t="s">
        <v>616</v>
      </c>
      <c r="G1207" t="s">
        <v>616</v>
      </c>
      <c r="H1207" t="s">
        <v>616</v>
      </c>
      <c r="I1207" t="s">
        <v>616</v>
      </c>
      <c r="J1207" t="s">
        <v>616</v>
      </c>
      <c r="K1207" t="s">
        <v>616</v>
      </c>
      <c r="L1207" t="s">
        <v>616</v>
      </c>
      <c r="M1207" t="s">
        <v>616</v>
      </c>
      <c r="N1207">
        <v>28.12</v>
      </c>
      <c r="O1207" t="s">
        <v>1126</v>
      </c>
      <c r="P1207" t="s">
        <v>616</v>
      </c>
      <c r="Q1207" t="s">
        <v>616</v>
      </c>
      <c r="R1207" t="s">
        <v>616</v>
      </c>
      <c r="S1207">
        <v>19.78</v>
      </c>
      <c r="T1207" t="s">
        <v>616</v>
      </c>
      <c r="U1207" t="s">
        <v>616</v>
      </c>
      <c r="V1207" t="s">
        <v>616</v>
      </c>
      <c r="W1207" t="s">
        <v>616</v>
      </c>
      <c r="X1207" t="s">
        <v>616</v>
      </c>
      <c r="Y1207" t="s">
        <v>616</v>
      </c>
      <c r="Z1207" t="s">
        <v>616</v>
      </c>
      <c r="AA1207" t="s">
        <v>616</v>
      </c>
      <c r="AB1207" t="s">
        <v>616</v>
      </c>
      <c r="AC1207" t="s">
        <v>616</v>
      </c>
      <c r="AD1207">
        <v>1.99</v>
      </c>
      <c r="AE1207" t="s">
        <v>2985</v>
      </c>
      <c r="AF1207" t="s">
        <v>3311</v>
      </c>
      <c r="AG1207" t="s">
        <v>4964</v>
      </c>
      <c r="AH1207" t="s">
        <v>1897</v>
      </c>
      <c r="AI1207">
        <v>0</v>
      </c>
      <c r="AJ1207">
        <v>0</v>
      </c>
      <c r="AK1207">
        <v>0</v>
      </c>
      <c r="AL1207">
        <v>0</v>
      </c>
    </row>
    <row r="1208" spans="1:38" x14ac:dyDescent="0.25">
      <c r="A1208">
        <v>1207</v>
      </c>
      <c r="B1208" t="str">
        <f xml:space="preserve"> "603118"</f>
        <v>603118</v>
      </c>
      <c r="C1208" t="s">
        <v>4965</v>
      </c>
      <c r="D1208">
        <v>13.18</v>
      </c>
      <c r="E1208">
        <v>-0.45</v>
      </c>
      <c r="F1208">
        <v>-0.06</v>
      </c>
      <c r="G1208" t="s">
        <v>2599</v>
      </c>
      <c r="H1208">
        <v>5</v>
      </c>
      <c r="I1208">
        <v>13.17</v>
      </c>
      <c r="J1208">
        <v>13.18</v>
      </c>
      <c r="K1208">
        <v>0</v>
      </c>
      <c r="L1208">
        <v>1.68</v>
      </c>
      <c r="M1208" t="s">
        <v>4966</v>
      </c>
      <c r="N1208">
        <v>38.18</v>
      </c>
      <c r="O1208" t="s">
        <v>553</v>
      </c>
      <c r="P1208">
        <v>13.22</v>
      </c>
      <c r="Q1208">
        <v>13.05</v>
      </c>
      <c r="R1208">
        <v>13.15</v>
      </c>
      <c r="S1208">
        <v>13.24</v>
      </c>
      <c r="T1208">
        <v>1.28</v>
      </c>
      <c r="U1208">
        <v>0.4</v>
      </c>
      <c r="V1208">
        <v>4.62</v>
      </c>
      <c r="W1208">
        <v>137</v>
      </c>
      <c r="X1208">
        <v>13.14</v>
      </c>
      <c r="Y1208" t="s">
        <v>915</v>
      </c>
      <c r="Z1208" t="s">
        <v>2966</v>
      </c>
      <c r="AA1208">
        <v>1.49</v>
      </c>
      <c r="AB1208">
        <v>462</v>
      </c>
      <c r="AC1208">
        <v>125</v>
      </c>
      <c r="AD1208">
        <v>2.39</v>
      </c>
      <c r="AE1208" t="s">
        <v>1091</v>
      </c>
      <c r="AF1208" t="s">
        <v>3311</v>
      </c>
      <c r="AG1208" t="s">
        <v>1546</v>
      </c>
      <c r="AH1208" t="s">
        <v>526</v>
      </c>
      <c r="AI1208">
        <v>-1.79</v>
      </c>
      <c r="AJ1208">
        <v>-3.37</v>
      </c>
      <c r="AK1208">
        <v>8.31</v>
      </c>
      <c r="AL1208">
        <v>22.52</v>
      </c>
    </row>
    <row r="1209" spans="1:38" x14ac:dyDescent="0.25">
      <c r="A1209">
        <v>1208</v>
      </c>
      <c r="B1209" t="str">
        <f xml:space="preserve"> "002312"</f>
        <v>002312</v>
      </c>
      <c r="C1209" t="s">
        <v>4967</v>
      </c>
      <c r="D1209">
        <v>7.33</v>
      </c>
      <c r="E1209">
        <v>-1.08</v>
      </c>
      <c r="F1209">
        <v>-0.08</v>
      </c>
      <c r="G1209" t="s">
        <v>496</v>
      </c>
      <c r="H1209">
        <v>3803</v>
      </c>
      <c r="I1209">
        <v>7.33</v>
      </c>
      <c r="J1209">
        <v>7.34</v>
      </c>
      <c r="K1209">
        <v>0</v>
      </c>
      <c r="L1209">
        <v>1.87</v>
      </c>
      <c r="M1209" t="s">
        <v>1306</v>
      </c>
      <c r="N1209">
        <v>-26.14</v>
      </c>
      <c r="O1209" t="s">
        <v>553</v>
      </c>
      <c r="P1209">
        <v>7.45</v>
      </c>
      <c r="Q1209">
        <v>7.27</v>
      </c>
      <c r="R1209">
        <v>7.38</v>
      </c>
      <c r="S1209">
        <v>7.41</v>
      </c>
      <c r="T1209">
        <v>2.4300000000000002</v>
      </c>
      <c r="U1209">
        <v>0.72</v>
      </c>
      <c r="V1209">
        <v>48.37</v>
      </c>
      <c r="W1209">
        <v>7939</v>
      </c>
      <c r="X1209">
        <v>7.33</v>
      </c>
      <c r="Y1209" t="s">
        <v>2743</v>
      </c>
      <c r="Z1209" t="s">
        <v>1516</v>
      </c>
      <c r="AA1209">
        <v>1.85</v>
      </c>
      <c r="AB1209">
        <v>1792</v>
      </c>
      <c r="AC1209">
        <v>999</v>
      </c>
      <c r="AD1209">
        <v>3.44</v>
      </c>
      <c r="AE1209" t="s">
        <v>803</v>
      </c>
      <c r="AF1209" t="s">
        <v>3311</v>
      </c>
      <c r="AG1209" t="s">
        <v>352</v>
      </c>
      <c r="AH1209" t="s">
        <v>4968</v>
      </c>
      <c r="AI1209">
        <v>0.96</v>
      </c>
      <c r="AJ1209">
        <v>4.12</v>
      </c>
      <c r="AK1209">
        <v>6.76</v>
      </c>
      <c r="AL1209">
        <v>14.85</v>
      </c>
    </row>
    <row r="1210" spans="1:38" x14ac:dyDescent="0.25">
      <c r="A1210">
        <v>1209</v>
      </c>
      <c r="B1210" t="str">
        <f xml:space="preserve"> "002011"</f>
        <v>002011</v>
      </c>
      <c r="C1210" t="s">
        <v>4969</v>
      </c>
      <c r="D1210">
        <v>11.21</v>
      </c>
      <c r="E1210">
        <v>2.94</v>
      </c>
      <c r="F1210">
        <v>0.32</v>
      </c>
      <c r="G1210" t="s">
        <v>1387</v>
      </c>
      <c r="H1210">
        <v>6359</v>
      </c>
      <c r="I1210">
        <v>11.2</v>
      </c>
      <c r="J1210">
        <v>11.21</v>
      </c>
      <c r="K1210">
        <v>0</v>
      </c>
      <c r="L1210">
        <v>4.75</v>
      </c>
      <c r="M1210" t="s">
        <v>4970</v>
      </c>
      <c r="N1210">
        <v>78.099999999999994</v>
      </c>
      <c r="O1210" t="s">
        <v>648</v>
      </c>
      <c r="P1210">
        <v>11.38</v>
      </c>
      <c r="Q1210">
        <v>10.73</v>
      </c>
      <c r="R1210">
        <v>10.89</v>
      </c>
      <c r="S1210">
        <v>10.89</v>
      </c>
      <c r="T1210">
        <v>5.97</v>
      </c>
      <c r="U1210">
        <v>2.27</v>
      </c>
      <c r="V1210">
        <v>-41.57</v>
      </c>
      <c r="W1210">
        <v>-4116</v>
      </c>
      <c r="X1210">
        <v>11.12</v>
      </c>
      <c r="Y1210" t="s">
        <v>351</v>
      </c>
      <c r="Z1210" t="s">
        <v>4765</v>
      </c>
      <c r="AA1210">
        <v>0.67</v>
      </c>
      <c r="AB1210">
        <v>1241</v>
      </c>
      <c r="AC1210">
        <v>26</v>
      </c>
      <c r="AD1210">
        <v>2.34</v>
      </c>
      <c r="AE1210" t="s">
        <v>2951</v>
      </c>
      <c r="AF1210" t="s">
        <v>3311</v>
      </c>
      <c r="AG1210" t="s">
        <v>324</v>
      </c>
      <c r="AH1210" t="s">
        <v>4310</v>
      </c>
      <c r="AI1210">
        <v>3.13</v>
      </c>
      <c r="AJ1210">
        <v>9.15</v>
      </c>
      <c r="AK1210">
        <v>9.01</v>
      </c>
      <c r="AL1210">
        <v>15.22</v>
      </c>
    </row>
    <row r="1211" spans="1:38" x14ac:dyDescent="0.25">
      <c r="A1211">
        <v>1210</v>
      </c>
      <c r="B1211" t="str">
        <f xml:space="preserve"> "000543"</f>
        <v>000543</v>
      </c>
      <c r="C1211" t="s">
        <v>4971</v>
      </c>
      <c r="D1211">
        <v>5.74</v>
      </c>
      <c r="E1211">
        <v>1.06</v>
      </c>
      <c r="F1211">
        <v>0.06</v>
      </c>
      <c r="G1211" t="s">
        <v>2301</v>
      </c>
      <c r="H1211">
        <v>746</v>
      </c>
      <c r="I1211">
        <v>5.73</v>
      </c>
      <c r="J1211">
        <v>5.74</v>
      </c>
      <c r="K1211">
        <v>0.35</v>
      </c>
      <c r="L1211">
        <v>0.87</v>
      </c>
      <c r="M1211" t="s">
        <v>4972</v>
      </c>
      <c r="N1211">
        <v>-93.94</v>
      </c>
      <c r="O1211" t="s">
        <v>186</v>
      </c>
      <c r="P1211">
        <v>5.76</v>
      </c>
      <c r="Q1211">
        <v>5.65</v>
      </c>
      <c r="R1211">
        <v>5.66</v>
      </c>
      <c r="S1211">
        <v>5.68</v>
      </c>
      <c r="T1211">
        <v>1.94</v>
      </c>
      <c r="U1211">
        <v>1.66</v>
      </c>
      <c r="V1211">
        <v>-2.63</v>
      </c>
      <c r="W1211">
        <v>-891</v>
      </c>
      <c r="X1211">
        <v>5.71</v>
      </c>
      <c r="Y1211" t="s">
        <v>1142</v>
      </c>
      <c r="Z1211" t="s">
        <v>1462</v>
      </c>
      <c r="AA1211">
        <v>0.65</v>
      </c>
      <c r="AB1211">
        <v>883</v>
      </c>
      <c r="AC1211">
        <v>754</v>
      </c>
      <c r="AD1211">
        <v>0.98</v>
      </c>
      <c r="AE1211" t="s">
        <v>1365</v>
      </c>
      <c r="AF1211" t="s">
        <v>3311</v>
      </c>
      <c r="AG1211" t="s">
        <v>1365</v>
      </c>
      <c r="AH1211" t="s">
        <v>3311</v>
      </c>
      <c r="AI1211">
        <v>2.5</v>
      </c>
      <c r="AJ1211">
        <v>4.3600000000000003</v>
      </c>
      <c r="AK1211">
        <v>2.39</v>
      </c>
      <c r="AL1211">
        <v>3.47</v>
      </c>
    </row>
    <row r="1212" spans="1:38" x14ac:dyDescent="0.25">
      <c r="A1212">
        <v>1211</v>
      </c>
      <c r="B1212" t="str">
        <f xml:space="preserve"> "300148"</f>
        <v>300148</v>
      </c>
      <c r="C1212" t="s">
        <v>4973</v>
      </c>
      <c r="D1212">
        <v>12.15</v>
      </c>
      <c r="E1212">
        <v>1.67</v>
      </c>
      <c r="F1212">
        <v>0.2</v>
      </c>
      <c r="G1212" t="s">
        <v>4974</v>
      </c>
      <c r="H1212">
        <v>2259</v>
      </c>
      <c r="I1212">
        <v>12.14</v>
      </c>
      <c r="J1212">
        <v>12.15</v>
      </c>
      <c r="K1212">
        <v>-0.08</v>
      </c>
      <c r="L1212">
        <v>1.17</v>
      </c>
      <c r="M1212" t="s">
        <v>1314</v>
      </c>
      <c r="N1212">
        <v>46.6</v>
      </c>
      <c r="O1212" t="s">
        <v>1126</v>
      </c>
      <c r="P1212">
        <v>12.23</v>
      </c>
      <c r="Q1212">
        <v>11.85</v>
      </c>
      <c r="R1212">
        <v>11.91</v>
      </c>
      <c r="S1212">
        <v>11.95</v>
      </c>
      <c r="T1212">
        <v>3.18</v>
      </c>
      <c r="U1212">
        <v>1.19</v>
      </c>
      <c r="V1212">
        <v>-45.63</v>
      </c>
      <c r="W1212">
        <v>-2570</v>
      </c>
      <c r="X1212">
        <v>12.03</v>
      </c>
      <c r="Y1212" t="s">
        <v>2116</v>
      </c>
      <c r="Z1212" t="s">
        <v>4689</v>
      </c>
      <c r="AA1212">
        <v>0.63</v>
      </c>
      <c r="AB1212">
        <v>283</v>
      </c>
      <c r="AC1212">
        <v>420</v>
      </c>
      <c r="AD1212">
        <v>2.3199999999999998</v>
      </c>
      <c r="AE1212" t="s">
        <v>4975</v>
      </c>
      <c r="AF1212" t="s">
        <v>3311</v>
      </c>
      <c r="AG1212" t="s">
        <v>4939</v>
      </c>
      <c r="AH1212" t="s">
        <v>4976</v>
      </c>
      <c r="AI1212">
        <v>0.25</v>
      </c>
      <c r="AJ1212">
        <v>5.01</v>
      </c>
      <c r="AK1212">
        <v>2.8</v>
      </c>
      <c r="AL1212">
        <v>6.06</v>
      </c>
    </row>
    <row r="1213" spans="1:38" x14ac:dyDescent="0.25">
      <c r="A1213">
        <v>1212</v>
      </c>
      <c r="B1213" t="str">
        <f xml:space="preserve"> "000572"</f>
        <v>000572</v>
      </c>
      <c r="C1213" t="s">
        <v>4977</v>
      </c>
      <c r="D1213">
        <v>6.24</v>
      </c>
      <c r="E1213">
        <v>-2.65</v>
      </c>
      <c r="F1213">
        <v>-0.17</v>
      </c>
      <c r="G1213" t="s">
        <v>529</v>
      </c>
      <c r="H1213" t="s">
        <v>2061</v>
      </c>
      <c r="I1213">
        <v>6.23</v>
      </c>
      <c r="J1213">
        <v>6.24</v>
      </c>
      <c r="K1213">
        <v>-0.16</v>
      </c>
      <c r="L1213">
        <v>7.24</v>
      </c>
      <c r="M1213" t="s">
        <v>4500</v>
      </c>
      <c r="N1213">
        <v>210.53</v>
      </c>
      <c r="O1213" t="s">
        <v>169</v>
      </c>
      <c r="P1213">
        <v>6.6</v>
      </c>
      <c r="Q1213">
        <v>6.22</v>
      </c>
      <c r="R1213">
        <v>6.36</v>
      </c>
      <c r="S1213">
        <v>6.41</v>
      </c>
      <c r="T1213">
        <v>5.93</v>
      </c>
      <c r="U1213">
        <v>1.1299999999999999</v>
      </c>
      <c r="V1213">
        <v>59.32</v>
      </c>
      <c r="W1213" t="s">
        <v>1799</v>
      </c>
      <c r="X1213">
        <v>6.38</v>
      </c>
      <c r="Y1213" t="s">
        <v>4978</v>
      </c>
      <c r="Z1213" t="s">
        <v>1245</v>
      </c>
      <c r="AA1213">
        <v>1.25</v>
      </c>
      <c r="AB1213">
        <v>2125</v>
      </c>
      <c r="AC1213">
        <v>1022</v>
      </c>
      <c r="AD1213">
        <v>1.36</v>
      </c>
      <c r="AE1213" t="s">
        <v>1778</v>
      </c>
      <c r="AF1213" t="s">
        <v>3311</v>
      </c>
      <c r="AG1213" t="s">
        <v>1778</v>
      </c>
      <c r="AH1213" t="s">
        <v>958</v>
      </c>
      <c r="AI1213">
        <v>-4</v>
      </c>
      <c r="AJ1213">
        <v>18.86</v>
      </c>
      <c r="AK1213">
        <v>32.520000000000003</v>
      </c>
      <c r="AL1213">
        <v>39.369999999999997</v>
      </c>
    </row>
    <row r="1214" spans="1:38" x14ac:dyDescent="0.25">
      <c r="A1214">
        <v>1213</v>
      </c>
      <c r="B1214" t="str">
        <f xml:space="preserve"> "002317"</f>
        <v>002317</v>
      </c>
      <c r="C1214" t="s">
        <v>4979</v>
      </c>
      <c r="D1214">
        <v>12.6</v>
      </c>
      <c r="E1214">
        <v>1.1200000000000001</v>
      </c>
      <c r="F1214">
        <v>0.14000000000000001</v>
      </c>
      <c r="G1214" t="s">
        <v>541</v>
      </c>
      <c r="H1214">
        <v>838</v>
      </c>
      <c r="I1214">
        <v>12.59</v>
      </c>
      <c r="J1214">
        <v>12.6</v>
      </c>
      <c r="K1214">
        <v>0</v>
      </c>
      <c r="L1214">
        <v>1.66</v>
      </c>
      <c r="M1214" t="s">
        <v>3058</v>
      </c>
      <c r="N1214">
        <v>20.73</v>
      </c>
      <c r="O1214" t="s">
        <v>392</v>
      </c>
      <c r="P1214">
        <v>12.75</v>
      </c>
      <c r="Q1214">
        <v>12.41</v>
      </c>
      <c r="R1214">
        <v>12.5</v>
      </c>
      <c r="S1214">
        <v>12.46</v>
      </c>
      <c r="T1214">
        <v>2.73</v>
      </c>
      <c r="U1214">
        <v>1.03</v>
      </c>
      <c r="V1214">
        <v>7.66</v>
      </c>
      <c r="W1214">
        <v>313</v>
      </c>
      <c r="X1214">
        <v>12.64</v>
      </c>
      <c r="Y1214" t="s">
        <v>4980</v>
      </c>
      <c r="Z1214" t="s">
        <v>1444</v>
      </c>
      <c r="AA1214">
        <v>0.96</v>
      </c>
      <c r="AB1214">
        <v>1224</v>
      </c>
      <c r="AC1214">
        <v>515</v>
      </c>
      <c r="AD1214">
        <v>2.9</v>
      </c>
      <c r="AE1214" t="s">
        <v>4981</v>
      </c>
      <c r="AF1214" t="s">
        <v>3311</v>
      </c>
      <c r="AG1214" t="s">
        <v>4584</v>
      </c>
      <c r="AH1214" t="s">
        <v>4982</v>
      </c>
      <c r="AI1214">
        <v>5.35</v>
      </c>
      <c r="AJ1214">
        <v>9</v>
      </c>
      <c r="AK1214">
        <v>7.85</v>
      </c>
      <c r="AL1214">
        <v>9.7100000000000009</v>
      </c>
    </row>
    <row r="1215" spans="1:38" x14ac:dyDescent="0.25">
      <c r="A1215">
        <v>1214</v>
      </c>
      <c r="B1215" t="str">
        <f xml:space="preserve"> "000528"</f>
        <v>000528</v>
      </c>
      <c r="C1215" t="s">
        <v>4983</v>
      </c>
      <c r="D1215">
        <v>9.1199999999999992</v>
      </c>
      <c r="E1215">
        <v>-0.44</v>
      </c>
      <c r="F1215">
        <v>-0.04</v>
      </c>
      <c r="G1215" t="s">
        <v>4984</v>
      </c>
      <c r="H1215">
        <v>2108</v>
      </c>
      <c r="I1215">
        <v>9.11</v>
      </c>
      <c r="J1215">
        <v>9.1199999999999992</v>
      </c>
      <c r="K1215">
        <v>0</v>
      </c>
      <c r="L1215">
        <v>0.84</v>
      </c>
      <c r="M1215" t="s">
        <v>4985</v>
      </c>
      <c r="N1215">
        <v>21.06</v>
      </c>
      <c r="O1215" t="s">
        <v>648</v>
      </c>
      <c r="P1215">
        <v>9.17</v>
      </c>
      <c r="Q1215">
        <v>9.09</v>
      </c>
      <c r="R1215">
        <v>9.1199999999999992</v>
      </c>
      <c r="S1215">
        <v>9.16</v>
      </c>
      <c r="T1215">
        <v>0.87</v>
      </c>
      <c r="U1215">
        <v>0.99</v>
      </c>
      <c r="V1215">
        <v>16.61</v>
      </c>
      <c r="W1215">
        <v>2357</v>
      </c>
      <c r="X1215">
        <v>9.1199999999999992</v>
      </c>
      <c r="Y1215" t="s">
        <v>4986</v>
      </c>
      <c r="Z1215" t="s">
        <v>3702</v>
      </c>
      <c r="AA1215">
        <v>1.37</v>
      </c>
      <c r="AB1215">
        <v>2642</v>
      </c>
      <c r="AC1215">
        <v>224</v>
      </c>
      <c r="AD1215">
        <v>1.1399999999999999</v>
      </c>
      <c r="AE1215" t="s">
        <v>2756</v>
      </c>
      <c r="AF1215" t="s">
        <v>3311</v>
      </c>
      <c r="AG1215" t="s">
        <v>2756</v>
      </c>
      <c r="AH1215" t="s">
        <v>3311</v>
      </c>
      <c r="AI1215">
        <v>0.33</v>
      </c>
      <c r="AJ1215">
        <v>3.64</v>
      </c>
      <c r="AK1215">
        <v>2.62</v>
      </c>
      <c r="AL1215">
        <v>5.09</v>
      </c>
    </row>
    <row r="1216" spans="1:38" x14ac:dyDescent="0.25">
      <c r="A1216">
        <v>1215</v>
      </c>
      <c r="B1216" t="str">
        <f xml:space="preserve"> "002614"</f>
        <v>002614</v>
      </c>
      <c r="C1216" t="s">
        <v>4987</v>
      </c>
      <c r="D1216">
        <v>18.3</v>
      </c>
      <c r="E1216">
        <v>2.0099999999999998</v>
      </c>
      <c r="F1216">
        <v>0.36</v>
      </c>
      <c r="G1216" t="s">
        <v>2421</v>
      </c>
      <c r="H1216">
        <v>415</v>
      </c>
      <c r="I1216">
        <v>18.3</v>
      </c>
      <c r="J1216">
        <v>18.309999999999999</v>
      </c>
      <c r="K1216">
        <v>0</v>
      </c>
      <c r="L1216">
        <v>1.51</v>
      </c>
      <c r="M1216" t="s">
        <v>4988</v>
      </c>
      <c r="N1216">
        <v>55.6</v>
      </c>
      <c r="O1216" t="s">
        <v>215</v>
      </c>
      <c r="P1216">
        <v>18.440000000000001</v>
      </c>
      <c r="Q1216">
        <v>17.82</v>
      </c>
      <c r="R1216">
        <v>18.04</v>
      </c>
      <c r="S1216">
        <v>17.940000000000001</v>
      </c>
      <c r="T1216">
        <v>3.46</v>
      </c>
      <c r="U1216">
        <v>1.1100000000000001</v>
      </c>
      <c r="V1216">
        <v>-56.09</v>
      </c>
      <c r="W1216">
        <v>-1512</v>
      </c>
      <c r="X1216">
        <v>18.239999999999998</v>
      </c>
      <c r="Y1216" t="s">
        <v>433</v>
      </c>
      <c r="Z1216" t="s">
        <v>1189</v>
      </c>
      <c r="AA1216">
        <v>0.53</v>
      </c>
      <c r="AB1216">
        <v>105</v>
      </c>
      <c r="AC1216">
        <v>1343</v>
      </c>
      <c r="AD1216">
        <v>3.86</v>
      </c>
      <c r="AE1216" t="s">
        <v>4678</v>
      </c>
      <c r="AF1216" t="s">
        <v>3311</v>
      </c>
      <c r="AG1216" t="s">
        <v>4989</v>
      </c>
      <c r="AH1216" t="s">
        <v>1848</v>
      </c>
      <c r="AI1216">
        <v>0.55000000000000004</v>
      </c>
      <c r="AJ1216">
        <v>4.21</v>
      </c>
      <c r="AK1216">
        <v>4.0599999999999996</v>
      </c>
      <c r="AL1216">
        <v>8.32</v>
      </c>
    </row>
    <row r="1217" spans="1:38" x14ac:dyDescent="0.25">
      <c r="A1217">
        <v>1216</v>
      </c>
      <c r="B1217" t="str">
        <f xml:space="preserve"> "601015"</f>
        <v>601015</v>
      </c>
      <c r="C1217" t="s">
        <v>4990</v>
      </c>
      <c r="D1217">
        <v>11.03</v>
      </c>
      <c r="E1217">
        <v>3.18</v>
      </c>
      <c r="F1217">
        <v>0.34</v>
      </c>
      <c r="G1217" t="s">
        <v>3296</v>
      </c>
      <c r="H1217">
        <v>20</v>
      </c>
      <c r="I1217">
        <v>11.02</v>
      </c>
      <c r="J1217">
        <v>11.03</v>
      </c>
      <c r="K1217">
        <v>-0.09</v>
      </c>
      <c r="L1217">
        <v>4.41</v>
      </c>
      <c r="M1217" t="s">
        <v>185</v>
      </c>
      <c r="N1217">
        <v>55.36</v>
      </c>
      <c r="O1217" t="s">
        <v>150</v>
      </c>
      <c r="P1217">
        <v>11.1</v>
      </c>
      <c r="Q1217">
        <v>10.7</v>
      </c>
      <c r="R1217">
        <v>10.76</v>
      </c>
      <c r="S1217">
        <v>10.69</v>
      </c>
      <c r="T1217">
        <v>3.74</v>
      </c>
      <c r="U1217">
        <v>1.1399999999999999</v>
      </c>
      <c r="V1217">
        <v>-65.17</v>
      </c>
      <c r="W1217">
        <v>-3335</v>
      </c>
      <c r="X1217">
        <v>10.98</v>
      </c>
      <c r="Y1217" t="s">
        <v>3174</v>
      </c>
      <c r="Z1217" t="s">
        <v>102</v>
      </c>
      <c r="AA1217">
        <v>0.72</v>
      </c>
      <c r="AB1217">
        <v>31</v>
      </c>
      <c r="AC1217">
        <v>21</v>
      </c>
      <c r="AD1217">
        <v>3.63</v>
      </c>
      <c r="AE1217" t="s">
        <v>1548</v>
      </c>
      <c r="AF1217" t="s">
        <v>3311</v>
      </c>
      <c r="AG1217" t="s">
        <v>4970</v>
      </c>
      <c r="AH1217" t="s">
        <v>526</v>
      </c>
      <c r="AI1217">
        <v>0.27</v>
      </c>
      <c r="AJ1217">
        <v>-2.56</v>
      </c>
      <c r="AK1217">
        <v>12.92</v>
      </c>
      <c r="AL1217">
        <v>23.79</v>
      </c>
    </row>
    <row r="1218" spans="1:38" x14ac:dyDescent="0.25">
      <c r="A1218">
        <v>1217</v>
      </c>
      <c r="B1218" t="str">
        <f xml:space="preserve"> "300202"</f>
        <v>300202</v>
      </c>
      <c r="C1218" t="s">
        <v>4991</v>
      </c>
      <c r="D1218">
        <v>18.649999999999999</v>
      </c>
      <c r="E1218">
        <v>-0.64</v>
      </c>
      <c r="F1218">
        <v>-0.12</v>
      </c>
      <c r="G1218" t="s">
        <v>1739</v>
      </c>
      <c r="H1218">
        <v>1322</v>
      </c>
      <c r="I1218">
        <v>18.63</v>
      </c>
      <c r="J1218">
        <v>18.649999999999999</v>
      </c>
      <c r="K1218">
        <v>-0.43</v>
      </c>
      <c r="L1218">
        <v>0.98</v>
      </c>
      <c r="M1218" t="s">
        <v>4992</v>
      </c>
      <c r="N1218">
        <v>321.3</v>
      </c>
      <c r="O1218" t="s">
        <v>648</v>
      </c>
      <c r="P1218">
        <v>18.989999999999998</v>
      </c>
      <c r="Q1218">
        <v>18.5</v>
      </c>
      <c r="R1218">
        <v>18.8</v>
      </c>
      <c r="S1218">
        <v>18.77</v>
      </c>
      <c r="T1218">
        <v>2.61</v>
      </c>
      <c r="U1218">
        <v>0.44</v>
      </c>
      <c r="V1218">
        <v>-67.08</v>
      </c>
      <c r="W1218">
        <v>-1182</v>
      </c>
      <c r="X1218">
        <v>18.68</v>
      </c>
      <c r="Y1218" t="s">
        <v>2088</v>
      </c>
      <c r="Z1218" t="s">
        <v>3158</v>
      </c>
      <c r="AA1218">
        <v>1.25</v>
      </c>
      <c r="AB1218">
        <v>53</v>
      </c>
      <c r="AC1218">
        <v>305</v>
      </c>
      <c r="AD1218">
        <v>6.01</v>
      </c>
      <c r="AE1218" t="s">
        <v>4993</v>
      </c>
      <c r="AF1218" t="s">
        <v>958</v>
      </c>
      <c r="AG1218" t="s">
        <v>1470</v>
      </c>
      <c r="AH1218" t="s">
        <v>4994</v>
      </c>
      <c r="AI1218">
        <v>-2.61</v>
      </c>
      <c r="AJ1218">
        <v>6.75</v>
      </c>
      <c r="AK1218">
        <v>3.33</v>
      </c>
      <c r="AL1218">
        <v>12.05</v>
      </c>
    </row>
    <row r="1219" spans="1:38" x14ac:dyDescent="0.25">
      <c r="A1219">
        <v>1218</v>
      </c>
      <c r="B1219" t="str">
        <f xml:space="preserve"> "600456"</f>
        <v>600456</v>
      </c>
      <c r="C1219" t="s">
        <v>4995</v>
      </c>
      <c r="D1219">
        <v>23.78</v>
      </c>
      <c r="E1219">
        <v>-2.34</v>
      </c>
      <c r="F1219">
        <v>-0.56999999999999995</v>
      </c>
      <c r="G1219" t="s">
        <v>337</v>
      </c>
      <c r="H1219">
        <v>40</v>
      </c>
      <c r="I1219">
        <v>23.78</v>
      </c>
      <c r="J1219">
        <v>23.79</v>
      </c>
      <c r="K1219">
        <v>0.25</v>
      </c>
      <c r="L1219">
        <v>2.61</v>
      </c>
      <c r="M1219" t="s">
        <v>4296</v>
      </c>
      <c r="N1219">
        <v>-97.82</v>
      </c>
      <c r="O1219" t="s">
        <v>449</v>
      </c>
      <c r="P1219">
        <v>24.71</v>
      </c>
      <c r="Q1219">
        <v>23.52</v>
      </c>
      <c r="R1219">
        <v>24.2</v>
      </c>
      <c r="S1219">
        <v>24.35</v>
      </c>
      <c r="T1219">
        <v>4.8899999999999997</v>
      </c>
      <c r="U1219">
        <v>0.76</v>
      </c>
      <c r="V1219">
        <v>-16.78</v>
      </c>
      <c r="W1219">
        <v>-167</v>
      </c>
      <c r="X1219">
        <v>24.06</v>
      </c>
      <c r="Y1219" t="s">
        <v>2276</v>
      </c>
      <c r="Z1219" t="s">
        <v>1355</v>
      </c>
      <c r="AA1219">
        <v>1.36</v>
      </c>
      <c r="AB1219">
        <v>7</v>
      </c>
      <c r="AC1219">
        <v>17</v>
      </c>
      <c r="AD1219">
        <v>3.05</v>
      </c>
      <c r="AE1219" t="s">
        <v>2233</v>
      </c>
      <c r="AF1219" t="s">
        <v>958</v>
      </c>
      <c r="AG1219" t="s">
        <v>2233</v>
      </c>
      <c r="AH1219" t="s">
        <v>958</v>
      </c>
      <c r="AI1219">
        <v>-5.97</v>
      </c>
      <c r="AJ1219">
        <v>-7.97</v>
      </c>
      <c r="AK1219">
        <v>7.67</v>
      </c>
      <c r="AL1219">
        <v>19.82</v>
      </c>
    </row>
    <row r="1220" spans="1:38" x14ac:dyDescent="0.25">
      <c r="A1220">
        <v>1219</v>
      </c>
      <c r="B1220" t="str">
        <f xml:space="preserve"> "000885"</f>
        <v>000885</v>
      </c>
      <c r="C1220" t="s">
        <v>4996</v>
      </c>
      <c r="D1220">
        <v>20.59</v>
      </c>
      <c r="E1220">
        <v>2.0299999999999998</v>
      </c>
      <c r="F1220">
        <v>0.41</v>
      </c>
      <c r="G1220" t="s">
        <v>4997</v>
      </c>
      <c r="H1220">
        <v>5455</v>
      </c>
      <c r="I1220">
        <v>20.59</v>
      </c>
      <c r="J1220">
        <v>20.6</v>
      </c>
      <c r="K1220">
        <v>0</v>
      </c>
      <c r="L1220">
        <v>6.72</v>
      </c>
      <c r="M1220" t="s">
        <v>4099</v>
      </c>
      <c r="N1220">
        <v>40.229999999999997</v>
      </c>
      <c r="O1220" t="s">
        <v>562</v>
      </c>
      <c r="P1220">
        <v>22.2</v>
      </c>
      <c r="Q1220">
        <v>19.899999999999999</v>
      </c>
      <c r="R1220">
        <v>20.100000000000001</v>
      </c>
      <c r="S1220">
        <v>20.18</v>
      </c>
      <c r="T1220">
        <v>11.4</v>
      </c>
      <c r="U1220">
        <v>2.75</v>
      </c>
      <c r="V1220">
        <v>14.51</v>
      </c>
      <c r="W1220">
        <v>503</v>
      </c>
      <c r="X1220">
        <v>20.83</v>
      </c>
      <c r="Y1220" t="s">
        <v>759</v>
      </c>
      <c r="Z1220" t="s">
        <v>184</v>
      </c>
      <c r="AA1220">
        <v>1.05</v>
      </c>
      <c r="AB1220">
        <v>651</v>
      </c>
      <c r="AC1220">
        <v>1202</v>
      </c>
      <c r="AD1220">
        <v>3.87</v>
      </c>
      <c r="AE1220" t="s">
        <v>4673</v>
      </c>
      <c r="AF1220" t="s">
        <v>958</v>
      </c>
      <c r="AG1220" t="s">
        <v>4998</v>
      </c>
      <c r="AH1220" t="s">
        <v>4380</v>
      </c>
      <c r="AI1220">
        <v>4.62</v>
      </c>
      <c r="AJ1220">
        <v>6.96</v>
      </c>
      <c r="AK1220">
        <v>13.09</v>
      </c>
      <c r="AL1220">
        <v>18.96</v>
      </c>
    </row>
    <row r="1221" spans="1:38" x14ac:dyDescent="0.25">
      <c r="A1221">
        <v>1220</v>
      </c>
      <c r="B1221" t="str">
        <f xml:space="preserve"> "603698"</f>
        <v>603698</v>
      </c>
      <c r="C1221" t="s">
        <v>4999</v>
      </c>
      <c r="D1221">
        <v>24.73</v>
      </c>
      <c r="E1221">
        <v>-0.2</v>
      </c>
      <c r="F1221">
        <v>-0.05</v>
      </c>
      <c r="G1221" t="s">
        <v>3041</v>
      </c>
      <c r="H1221">
        <v>8</v>
      </c>
      <c r="I1221">
        <v>24.72</v>
      </c>
      <c r="J1221">
        <v>24.73</v>
      </c>
      <c r="K1221">
        <v>0.04</v>
      </c>
      <c r="L1221">
        <v>1.23</v>
      </c>
      <c r="M1221" t="s">
        <v>5000</v>
      </c>
      <c r="N1221">
        <v>39.369999999999997</v>
      </c>
      <c r="O1221" t="s">
        <v>667</v>
      </c>
      <c r="P1221">
        <v>24.8</v>
      </c>
      <c r="Q1221">
        <v>24.34</v>
      </c>
      <c r="R1221">
        <v>24.78</v>
      </c>
      <c r="S1221">
        <v>24.78</v>
      </c>
      <c r="T1221">
        <v>1.86</v>
      </c>
      <c r="U1221">
        <v>0.74</v>
      </c>
      <c r="V1221">
        <v>30.08</v>
      </c>
      <c r="W1221">
        <v>112</v>
      </c>
      <c r="X1221">
        <v>24.58</v>
      </c>
      <c r="Y1221">
        <v>6345</v>
      </c>
      <c r="Z1221">
        <v>4560</v>
      </c>
      <c r="AA1221">
        <v>1.39</v>
      </c>
      <c r="AB1221">
        <v>32</v>
      </c>
      <c r="AC1221">
        <v>6</v>
      </c>
      <c r="AD1221">
        <v>4.2</v>
      </c>
      <c r="AE1221" t="s">
        <v>1436</v>
      </c>
      <c r="AF1221" t="s">
        <v>958</v>
      </c>
      <c r="AG1221" t="s">
        <v>5001</v>
      </c>
      <c r="AH1221" t="s">
        <v>662</v>
      </c>
      <c r="AI1221">
        <v>-0.16</v>
      </c>
      <c r="AJ1221">
        <v>3</v>
      </c>
      <c r="AK1221">
        <v>5.01</v>
      </c>
      <c r="AL1221">
        <v>9.59</v>
      </c>
    </row>
    <row r="1222" spans="1:38" x14ac:dyDescent="0.25">
      <c r="A1222">
        <v>1221</v>
      </c>
      <c r="B1222" t="str">
        <f xml:space="preserve"> "002657"</f>
        <v>002657</v>
      </c>
      <c r="C1222" t="s">
        <v>5002</v>
      </c>
      <c r="D1222">
        <v>30.18</v>
      </c>
      <c r="E1222">
        <v>-7.0000000000000007E-2</v>
      </c>
      <c r="F1222">
        <v>-0.02</v>
      </c>
      <c r="G1222" t="s">
        <v>1489</v>
      </c>
      <c r="H1222">
        <v>776</v>
      </c>
      <c r="I1222">
        <v>30.17</v>
      </c>
      <c r="J1222">
        <v>30.18</v>
      </c>
      <c r="K1222">
        <v>-0.03</v>
      </c>
      <c r="L1222">
        <v>1.7</v>
      </c>
      <c r="M1222" t="s">
        <v>640</v>
      </c>
      <c r="N1222">
        <v>54.94</v>
      </c>
      <c r="O1222" t="s">
        <v>893</v>
      </c>
      <c r="P1222">
        <v>30.3</v>
      </c>
      <c r="Q1222">
        <v>29.8</v>
      </c>
      <c r="R1222">
        <v>30.17</v>
      </c>
      <c r="S1222">
        <v>30.2</v>
      </c>
      <c r="T1222">
        <v>1.66</v>
      </c>
      <c r="U1222">
        <v>0.75</v>
      </c>
      <c r="V1222">
        <v>-31.1</v>
      </c>
      <c r="W1222">
        <v>-251</v>
      </c>
      <c r="X1222">
        <v>30.06</v>
      </c>
      <c r="Y1222" t="s">
        <v>3825</v>
      </c>
      <c r="Z1222" t="s">
        <v>4374</v>
      </c>
      <c r="AA1222">
        <v>1.18</v>
      </c>
      <c r="AB1222">
        <v>59</v>
      </c>
      <c r="AC1222">
        <v>77</v>
      </c>
      <c r="AD1222">
        <v>3.6</v>
      </c>
      <c r="AE1222" t="s">
        <v>3261</v>
      </c>
      <c r="AF1222" t="s">
        <v>958</v>
      </c>
      <c r="AG1222" t="s">
        <v>233</v>
      </c>
      <c r="AH1222" t="s">
        <v>5003</v>
      </c>
      <c r="AI1222">
        <v>-2.5499999999999998</v>
      </c>
      <c r="AJ1222">
        <v>4.18</v>
      </c>
      <c r="AK1222">
        <v>6.41</v>
      </c>
      <c r="AL1222">
        <v>13</v>
      </c>
    </row>
    <row r="1223" spans="1:38" x14ac:dyDescent="0.25">
      <c r="A1223">
        <v>1222</v>
      </c>
      <c r="B1223" t="str">
        <f xml:space="preserve"> "603707"</f>
        <v>603707</v>
      </c>
      <c r="C1223" t="s">
        <v>5004</v>
      </c>
      <c r="D1223">
        <v>24.04</v>
      </c>
      <c r="E1223">
        <v>0.97</v>
      </c>
      <c r="F1223">
        <v>0.23</v>
      </c>
      <c r="G1223" t="s">
        <v>2551</v>
      </c>
      <c r="H1223">
        <v>3</v>
      </c>
      <c r="I1223">
        <v>24.01</v>
      </c>
      <c r="J1223">
        <v>24.04</v>
      </c>
      <c r="K1223">
        <v>0.04</v>
      </c>
      <c r="L1223">
        <v>2.1800000000000002</v>
      </c>
      <c r="M1223" t="s">
        <v>5005</v>
      </c>
      <c r="N1223">
        <v>41.29</v>
      </c>
      <c r="O1223" t="s">
        <v>392</v>
      </c>
      <c r="P1223">
        <v>24.4</v>
      </c>
      <c r="Q1223">
        <v>23.44</v>
      </c>
      <c r="R1223">
        <v>23.94</v>
      </c>
      <c r="S1223">
        <v>23.81</v>
      </c>
      <c r="T1223">
        <v>4.03</v>
      </c>
      <c r="U1223">
        <v>0.4</v>
      </c>
      <c r="V1223">
        <v>-30.11</v>
      </c>
      <c r="W1223">
        <v>-168</v>
      </c>
      <c r="X1223">
        <v>23.9</v>
      </c>
      <c r="Y1223">
        <v>6962</v>
      </c>
      <c r="Z1223">
        <v>6868</v>
      </c>
      <c r="AA1223">
        <v>1.01</v>
      </c>
      <c r="AB1223">
        <v>21</v>
      </c>
      <c r="AC1223">
        <v>5</v>
      </c>
      <c r="AD1223">
        <v>5.47</v>
      </c>
      <c r="AE1223" t="s">
        <v>5006</v>
      </c>
      <c r="AF1223" t="s">
        <v>958</v>
      </c>
      <c r="AG1223" t="s">
        <v>5007</v>
      </c>
      <c r="AH1223" t="s">
        <v>122</v>
      </c>
      <c r="AI1223">
        <v>-2.91</v>
      </c>
      <c r="AJ1223">
        <v>0.21</v>
      </c>
      <c r="AK1223">
        <v>13.18</v>
      </c>
      <c r="AL1223">
        <v>29.77</v>
      </c>
    </row>
    <row r="1224" spans="1:38" x14ac:dyDescent="0.25">
      <c r="A1224">
        <v>1223</v>
      </c>
      <c r="B1224" t="str">
        <f xml:space="preserve"> "002609"</f>
        <v>002609</v>
      </c>
      <c r="C1224" t="s">
        <v>5008</v>
      </c>
      <c r="D1224">
        <v>15.25</v>
      </c>
      <c r="E1224">
        <v>-0.26</v>
      </c>
      <c r="F1224">
        <v>-0.04</v>
      </c>
      <c r="G1224" t="s">
        <v>4112</v>
      </c>
      <c r="H1224">
        <v>283</v>
      </c>
      <c r="I1224">
        <v>15.24</v>
      </c>
      <c r="J1224">
        <v>15.25</v>
      </c>
      <c r="K1224">
        <v>7.0000000000000007E-2</v>
      </c>
      <c r="L1224">
        <v>0.45</v>
      </c>
      <c r="M1224" t="s">
        <v>5009</v>
      </c>
      <c r="N1224">
        <v>89.72</v>
      </c>
      <c r="O1224" t="s">
        <v>553</v>
      </c>
      <c r="P1224">
        <v>15.36</v>
      </c>
      <c r="Q1224">
        <v>15.15</v>
      </c>
      <c r="R1224">
        <v>15.36</v>
      </c>
      <c r="S1224">
        <v>15.29</v>
      </c>
      <c r="T1224">
        <v>1.37</v>
      </c>
      <c r="U1224">
        <v>0.82</v>
      </c>
      <c r="V1224">
        <v>-43.27</v>
      </c>
      <c r="W1224">
        <v>-1239</v>
      </c>
      <c r="X1224">
        <v>15.22</v>
      </c>
      <c r="Y1224">
        <v>6598</v>
      </c>
      <c r="Z1224">
        <v>7337</v>
      </c>
      <c r="AA1224">
        <v>0.9</v>
      </c>
      <c r="AB1224">
        <v>129</v>
      </c>
      <c r="AC1224">
        <v>493</v>
      </c>
      <c r="AD1224">
        <v>4.9000000000000004</v>
      </c>
      <c r="AE1224" t="s">
        <v>3329</v>
      </c>
      <c r="AF1224" t="s">
        <v>958</v>
      </c>
      <c r="AG1224" t="s">
        <v>719</v>
      </c>
      <c r="AH1224" t="s">
        <v>5010</v>
      </c>
      <c r="AI1224">
        <v>-0.78</v>
      </c>
      <c r="AJ1224">
        <v>-0.85</v>
      </c>
      <c r="AK1224">
        <v>1.71</v>
      </c>
      <c r="AL1224">
        <v>3.21</v>
      </c>
    </row>
    <row r="1225" spans="1:38" x14ac:dyDescent="0.25">
      <c r="A1225">
        <v>1224</v>
      </c>
      <c r="B1225" t="str">
        <f xml:space="preserve"> "000822"</f>
        <v>000822</v>
      </c>
      <c r="C1225" t="s">
        <v>5011</v>
      </c>
      <c r="D1225">
        <v>11.36</v>
      </c>
      <c r="E1225">
        <v>1.43</v>
      </c>
      <c r="F1225">
        <v>0.16</v>
      </c>
      <c r="G1225" t="s">
        <v>934</v>
      </c>
      <c r="H1225">
        <v>3256</v>
      </c>
      <c r="I1225">
        <v>11.36</v>
      </c>
      <c r="J1225">
        <v>11.37</v>
      </c>
      <c r="K1225">
        <v>0</v>
      </c>
      <c r="L1225">
        <v>1.65</v>
      </c>
      <c r="M1225" t="s">
        <v>3697</v>
      </c>
      <c r="N1225">
        <v>15.07</v>
      </c>
      <c r="O1225" t="s">
        <v>667</v>
      </c>
      <c r="P1225">
        <v>11.39</v>
      </c>
      <c r="Q1225">
        <v>11.15</v>
      </c>
      <c r="R1225">
        <v>11.24</v>
      </c>
      <c r="S1225">
        <v>11.2</v>
      </c>
      <c r="T1225">
        <v>2.14</v>
      </c>
      <c r="U1225">
        <v>0.56999999999999995</v>
      </c>
      <c r="V1225">
        <v>7.96</v>
      </c>
      <c r="W1225">
        <v>739</v>
      </c>
      <c r="X1225">
        <v>11.25</v>
      </c>
      <c r="Y1225" t="s">
        <v>2441</v>
      </c>
      <c r="Z1225" t="s">
        <v>3613</v>
      </c>
      <c r="AA1225">
        <v>0.85</v>
      </c>
      <c r="AB1225">
        <v>291</v>
      </c>
      <c r="AC1225">
        <v>1170</v>
      </c>
      <c r="AD1225">
        <v>4.09</v>
      </c>
      <c r="AE1225" t="s">
        <v>243</v>
      </c>
      <c r="AF1225" t="s">
        <v>958</v>
      </c>
      <c r="AG1225" t="s">
        <v>243</v>
      </c>
      <c r="AH1225" t="s">
        <v>958</v>
      </c>
      <c r="AI1225">
        <v>-5.25</v>
      </c>
      <c r="AJ1225">
        <v>-2.74</v>
      </c>
      <c r="AK1225">
        <v>8.0399999999999991</v>
      </c>
      <c r="AL1225">
        <v>16.22</v>
      </c>
    </row>
    <row r="1226" spans="1:38" x14ac:dyDescent="0.25">
      <c r="A1226">
        <v>1225</v>
      </c>
      <c r="B1226" t="str">
        <f xml:space="preserve"> "600169"</f>
        <v>600169</v>
      </c>
      <c r="C1226" t="s">
        <v>5012</v>
      </c>
      <c r="D1226">
        <v>3.96</v>
      </c>
      <c r="E1226">
        <v>0.25</v>
      </c>
      <c r="F1226">
        <v>0.01</v>
      </c>
      <c r="G1226" t="s">
        <v>3109</v>
      </c>
      <c r="H1226">
        <v>1</v>
      </c>
      <c r="I1226">
        <v>3.95</v>
      </c>
      <c r="J1226">
        <v>3.96</v>
      </c>
      <c r="K1226">
        <v>0.25</v>
      </c>
      <c r="L1226">
        <v>0.37</v>
      </c>
      <c r="M1226" t="s">
        <v>5013</v>
      </c>
      <c r="N1226">
        <v>352.67</v>
      </c>
      <c r="O1226" t="s">
        <v>648</v>
      </c>
      <c r="P1226">
        <v>3.96</v>
      </c>
      <c r="Q1226">
        <v>3.93</v>
      </c>
      <c r="R1226">
        <v>3.94</v>
      </c>
      <c r="S1226">
        <v>3.95</v>
      </c>
      <c r="T1226">
        <v>0.76</v>
      </c>
      <c r="U1226">
        <v>0.94</v>
      </c>
      <c r="V1226">
        <v>-0.64</v>
      </c>
      <c r="W1226">
        <v>-224</v>
      </c>
      <c r="X1226">
        <v>3.94</v>
      </c>
      <c r="Y1226" t="s">
        <v>2172</v>
      </c>
      <c r="Z1226" t="s">
        <v>3781</v>
      </c>
      <c r="AA1226">
        <v>1.36</v>
      </c>
      <c r="AB1226">
        <v>2546</v>
      </c>
      <c r="AC1226">
        <v>1344</v>
      </c>
      <c r="AD1226">
        <v>2.48</v>
      </c>
      <c r="AE1226" t="s">
        <v>3243</v>
      </c>
      <c r="AF1226" t="s">
        <v>958</v>
      </c>
      <c r="AG1226" t="s">
        <v>1104</v>
      </c>
      <c r="AH1226" t="s">
        <v>613</v>
      </c>
      <c r="AI1226">
        <v>-0.75</v>
      </c>
      <c r="AJ1226">
        <v>2.06</v>
      </c>
      <c r="AK1226">
        <v>0.97</v>
      </c>
      <c r="AL1226">
        <v>2.34</v>
      </c>
    </row>
    <row r="1227" spans="1:38" x14ac:dyDescent="0.25">
      <c r="A1227">
        <v>1226</v>
      </c>
      <c r="B1227" t="str">
        <f xml:space="preserve"> "002756"</f>
        <v>002756</v>
      </c>
      <c r="C1227" t="s">
        <v>5014</v>
      </c>
      <c r="D1227" t="s">
        <v>616</v>
      </c>
      <c r="E1227" t="s">
        <v>616</v>
      </c>
      <c r="F1227" t="s">
        <v>616</v>
      </c>
      <c r="G1227" t="s">
        <v>616</v>
      </c>
      <c r="H1227" t="s">
        <v>616</v>
      </c>
      <c r="I1227" t="s">
        <v>616</v>
      </c>
      <c r="J1227" t="s">
        <v>616</v>
      </c>
      <c r="K1227" t="s">
        <v>616</v>
      </c>
      <c r="L1227" t="s">
        <v>616</v>
      </c>
      <c r="M1227" t="s">
        <v>616</v>
      </c>
      <c r="N1227">
        <v>30.47</v>
      </c>
      <c r="O1227" t="s">
        <v>416</v>
      </c>
      <c r="P1227" t="s">
        <v>616</v>
      </c>
      <c r="Q1227" t="s">
        <v>616</v>
      </c>
      <c r="R1227" t="s">
        <v>616</v>
      </c>
      <c r="S1227">
        <v>28.2</v>
      </c>
      <c r="T1227" t="s">
        <v>616</v>
      </c>
      <c r="U1227" t="s">
        <v>616</v>
      </c>
      <c r="V1227" t="s">
        <v>616</v>
      </c>
      <c r="W1227" t="s">
        <v>616</v>
      </c>
      <c r="X1227" t="s">
        <v>616</v>
      </c>
      <c r="Y1227" t="s">
        <v>616</v>
      </c>
      <c r="Z1227" t="s">
        <v>616</v>
      </c>
      <c r="AA1227" t="s">
        <v>616</v>
      </c>
      <c r="AB1227" t="s">
        <v>616</v>
      </c>
      <c r="AC1227" t="s">
        <v>616</v>
      </c>
      <c r="AD1227">
        <v>3.19</v>
      </c>
      <c r="AE1227" t="s">
        <v>852</v>
      </c>
      <c r="AF1227" t="s">
        <v>958</v>
      </c>
      <c r="AG1227" t="s">
        <v>3110</v>
      </c>
      <c r="AH1227" t="s">
        <v>1794</v>
      </c>
      <c r="AI1227">
        <v>0</v>
      </c>
      <c r="AJ1227">
        <v>0</v>
      </c>
      <c r="AK1227">
        <v>0</v>
      </c>
      <c r="AL1227">
        <v>0</v>
      </c>
    </row>
    <row r="1228" spans="1:38" x14ac:dyDescent="0.25">
      <c r="A1228">
        <v>1227</v>
      </c>
      <c r="B1228" t="str">
        <f xml:space="preserve"> "300183"</f>
        <v>300183</v>
      </c>
      <c r="C1228" t="s">
        <v>5015</v>
      </c>
      <c r="D1228">
        <v>22.38</v>
      </c>
      <c r="E1228">
        <v>1.96</v>
      </c>
      <c r="F1228">
        <v>0.43</v>
      </c>
      <c r="G1228" t="s">
        <v>4293</v>
      </c>
      <c r="H1228">
        <v>909</v>
      </c>
      <c r="I1228">
        <v>22.37</v>
      </c>
      <c r="J1228">
        <v>22.38</v>
      </c>
      <c r="K1228">
        <v>0.04</v>
      </c>
      <c r="L1228">
        <v>2.54</v>
      </c>
      <c r="M1228" t="s">
        <v>1333</v>
      </c>
      <c r="N1228">
        <v>38.51</v>
      </c>
      <c r="O1228" t="s">
        <v>553</v>
      </c>
      <c r="P1228">
        <v>22.48</v>
      </c>
      <c r="Q1228">
        <v>21.45</v>
      </c>
      <c r="R1228">
        <v>21.96</v>
      </c>
      <c r="S1228">
        <v>21.95</v>
      </c>
      <c r="T1228">
        <v>4.6900000000000004</v>
      </c>
      <c r="U1228">
        <v>1.44</v>
      </c>
      <c r="V1228">
        <v>-25.35</v>
      </c>
      <c r="W1228">
        <v>-470</v>
      </c>
      <c r="X1228">
        <v>22.06</v>
      </c>
      <c r="Y1228" t="s">
        <v>5016</v>
      </c>
      <c r="Z1228" t="s">
        <v>1507</v>
      </c>
      <c r="AA1228">
        <v>0.62</v>
      </c>
      <c r="AB1228">
        <v>373</v>
      </c>
      <c r="AC1228">
        <v>25</v>
      </c>
      <c r="AD1228">
        <v>3.99</v>
      </c>
      <c r="AE1228" t="s">
        <v>112</v>
      </c>
      <c r="AF1228" t="s">
        <v>475</v>
      </c>
      <c r="AG1228" t="s">
        <v>2025</v>
      </c>
      <c r="AH1228" t="s">
        <v>5017</v>
      </c>
      <c r="AI1228">
        <v>0</v>
      </c>
      <c r="AJ1228">
        <v>4.34</v>
      </c>
      <c r="AK1228">
        <v>5.65</v>
      </c>
      <c r="AL1228">
        <v>11.37</v>
      </c>
    </row>
    <row r="1229" spans="1:38" x14ac:dyDescent="0.25">
      <c r="A1229">
        <v>1228</v>
      </c>
      <c r="B1229" t="str">
        <f xml:space="preserve"> "002562"</f>
        <v>002562</v>
      </c>
      <c r="C1229" t="s">
        <v>5018</v>
      </c>
      <c r="D1229">
        <v>18.73</v>
      </c>
      <c r="E1229">
        <v>0.05</v>
      </c>
      <c r="F1229">
        <v>0.01</v>
      </c>
      <c r="G1229" t="s">
        <v>1059</v>
      </c>
      <c r="H1229">
        <v>574</v>
      </c>
      <c r="I1229">
        <v>18.72</v>
      </c>
      <c r="J1229">
        <v>18.73</v>
      </c>
      <c r="K1229">
        <v>-0.16</v>
      </c>
      <c r="L1229">
        <v>1.72</v>
      </c>
      <c r="M1229" t="s">
        <v>5019</v>
      </c>
      <c r="N1229">
        <v>32.82</v>
      </c>
      <c r="O1229" t="s">
        <v>667</v>
      </c>
      <c r="P1229">
        <v>18.93</v>
      </c>
      <c r="Q1229">
        <v>18.52</v>
      </c>
      <c r="R1229">
        <v>18.73</v>
      </c>
      <c r="S1229">
        <v>18.72</v>
      </c>
      <c r="T1229">
        <v>2.19</v>
      </c>
      <c r="U1229">
        <v>0.65</v>
      </c>
      <c r="V1229">
        <v>10.74</v>
      </c>
      <c r="W1229">
        <v>216</v>
      </c>
      <c r="X1229">
        <v>18.739999999999998</v>
      </c>
      <c r="Y1229" t="s">
        <v>3272</v>
      </c>
      <c r="Z1229" t="s">
        <v>1189</v>
      </c>
      <c r="AA1229">
        <v>0.85</v>
      </c>
      <c r="AB1229">
        <v>382</v>
      </c>
      <c r="AC1229">
        <v>448</v>
      </c>
      <c r="AD1229">
        <v>5.43</v>
      </c>
      <c r="AE1229" t="s">
        <v>2293</v>
      </c>
      <c r="AF1229" t="s">
        <v>475</v>
      </c>
      <c r="AG1229" t="s">
        <v>719</v>
      </c>
      <c r="AH1229" t="s">
        <v>5020</v>
      </c>
      <c r="AI1229">
        <v>-1.47</v>
      </c>
      <c r="AJ1229">
        <v>-1.42</v>
      </c>
      <c r="AK1229">
        <v>7.46</v>
      </c>
      <c r="AL1229">
        <v>14.99</v>
      </c>
    </row>
    <row r="1230" spans="1:38" x14ac:dyDescent="0.25">
      <c r="A1230">
        <v>1229</v>
      </c>
      <c r="B1230" t="str">
        <f xml:space="preserve"> "300170"</f>
        <v>300170</v>
      </c>
      <c r="C1230" t="s">
        <v>5021</v>
      </c>
      <c r="D1230">
        <v>11.82</v>
      </c>
      <c r="E1230">
        <v>-0.92</v>
      </c>
      <c r="F1230">
        <v>-0.11</v>
      </c>
      <c r="G1230" t="s">
        <v>991</v>
      </c>
      <c r="H1230">
        <v>1508</v>
      </c>
      <c r="I1230">
        <v>11.82</v>
      </c>
      <c r="J1230">
        <v>11.83</v>
      </c>
      <c r="K1230">
        <v>-0.17</v>
      </c>
      <c r="L1230">
        <v>1.62</v>
      </c>
      <c r="M1230" t="s">
        <v>3361</v>
      </c>
      <c r="N1230">
        <v>39.26</v>
      </c>
      <c r="O1230" t="s">
        <v>893</v>
      </c>
      <c r="P1230">
        <v>11.94</v>
      </c>
      <c r="Q1230">
        <v>11.74</v>
      </c>
      <c r="R1230">
        <v>11.88</v>
      </c>
      <c r="S1230">
        <v>11.93</v>
      </c>
      <c r="T1230">
        <v>1.68</v>
      </c>
      <c r="U1230">
        <v>0.81</v>
      </c>
      <c r="V1230">
        <v>12.83</v>
      </c>
      <c r="W1230">
        <v>678</v>
      </c>
      <c r="X1230">
        <v>11.83</v>
      </c>
      <c r="Y1230" t="s">
        <v>5022</v>
      </c>
      <c r="Z1230" t="s">
        <v>2432</v>
      </c>
      <c r="AA1230">
        <v>1.51</v>
      </c>
      <c r="AB1230">
        <v>281</v>
      </c>
      <c r="AC1230">
        <v>67</v>
      </c>
      <c r="AD1230">
        <v>4.67</v>
      </c>
      <c r="AE1230" t="s">
        <v>2891</v>
      </c>
      <c r="AF1230" t="s">
        <v>475</v>
      </c>
      <c r="AG1230" t="s">
        <v>4393</v>
      </c>
      <c r="AH1230" t="s">
        <v>5023</v>
      </c>
      <c r="AI1230">
        <v>-3.11</v>
      </c>
      <c r="AJ1230">
        <v>0.77</v>
      </c>
      <c r="AK1230">
        <v>5.84</v>
      </c>
      <c r="AL1230">
        <v>11.58</v>
      </c>
    </row>
    <row r="1231" spans="1:38" x14ac:dyDescent="0.25">
      <c r="A1231">
        <v>1230</v>
      </c>
      <c r="B1231" t="str">
        <f xml:space="preserve"> "300252"</f>
        <v>300252</v>
      </c>
      <c r="C1231" t="s">
        <v>5024</v>
      </c>
      <c r="D1231">
        <v>22.81</v>
      </c>
      <c r="E1231">
        <v>-0.61</v>
      </c>
      <c r="F1231">
        <v>-0.14000000000000001</v>
      </c>
      <c r="G1231" t="s">
        <v>1974</v>
      </c>
      <c r="H1231">
        <v>847</v>
      </c>
      <c r="I1231">
        <v>22.81</v>
      </c>
      <c r="J1231">
        <v>22.82</v>
      </c>
      <c r="K1231">
        <v>0</v>
      </c>
      <c r="L1231">
        <v>1.67</v>
      </c>
      <c r="M1231" t="s">
        <v>2179</v>
      </c>
      <c r="N1231">
        <v>45.21</v>
      </c>
      <c r="O1231" t="s">
        <v>680</v>
      </c>
      <c r="P1231">
        <v>23.08</v>
      </c>
      <c r="Q1231">
        <v>22.7</v>
      </c>
      <c r="R1231">
        <v>22.88</v>
      </c>
      <c r="S1231">
        <v>22.95</v>
      </c>
      <c r="T1231">
        <v>1.66</v>
      </c>
      <c r="U1231">
        <v>0.42</v>
      </c>
      <c r="V1231">
        <v>51.95</v>
      </c>
      <c r="W1231">
        <v>573</v>
      </c>
      <c r="X1231">
        <v>22.86</v>
      </c>
      <c r="Y1231" t="s">
        <v>1341</v>
      </c>
      <c r="Z1231" t="s">
        <v>2061</v>
      </c>
      <c r="AA1231">
        <v>1.33</v>
      </c>
      <c r="AB1231">
        <v>390</v>
      </c>
      <c r="AC1231">
        <v>117</v>
      </c>
      <c r="AD1231">
        <v>4.43</v>
      </c>
      <c r="AE1231" t="s">
        <v>4970</v>
      </c>
      <c r="AF1231" t="s">
        <v>475</v>
      </c>
      <c r="AG1231" t="s">
        <v>2504</v>
      </c>
      <c r="AH1231" t="s">
        <v>409</v>
      </c>
      <c r="AI1231">
        <v>-3.35</v>
      </c>
      <c r="AJ1231">
        <v>-3.59</v>
      </c>
      <c r="AK1231">
        <v>7.44</v>
      </c>
      <c r="AL1231">
        <v>21.47</v>
      </c>
    </row>
    <row r="1232" spans="1:38" x14ac:dyDescent="0.25">
      <c r="A1232">
        <v>1231</v>
      </c>
      <c r="B1232" t="str">
        <f xml:space="preserve"> "600693"</f>
        <v>600693</v>
      </c>
      <c r="C1232" t="s">
        <v>5025</v>
      </c>
      <c r="D1232">
        <v>11.28</v>
      </c>
      <c r="E1232">
        <v>0.09</v>
      </c>
      <c r="F1232">
        <v>0.01</v>
      </c>
      <c r="G1232" t="s">
        <v>2542</v>
      </c>
      <c r="H1232">
        <v>3</v>
      </c>
      <c r="I1232">
        <v>11.28</v>
      </c>
      <c r="J1232">
        <v>11.29</v>
      </c>
      <c r="K1232">
        <v>-0.09</v>
      </c>
      <c r="L1232">
        <v>0.51</v>
      </c>
      <c r="M1232" t="s">
        <v>5026</v>
      </c>
      <c r="N1232">
        <v>54.33</v>
      </c>
      <c r="O1232" t="s">
        <v>532</v>
      </c>
      <c r="P1232">
        <v>11.44</v>
      </c>
      <c r="Q1232">
        <v>11.17</v>
      </c>
      <c r="R1232">
        <v>11.24</v>
      </c>
      <c r="S1232">
        <v>11.27</v>
      </c>
      <c r="T1232">
        <v>2.4</v>
      </c>
      <c r="U1232">
        <v>0.64</v>
      </c>
      <c r="V1232">
        <v>-67.95</v>
      </c>
      <c r="W1232">
        <v>-547</v>
      </c>
      <c r="X1232">
        <v>11.3</v>
      </c>
      <c r="Y1232" t="s">
        <v>1653</v>
      </c>
      <c r="Z1232" t="s">
        <v>2453</v>
      </c>
      <c r="AA1232">
        <v>1.33</v>
      </c>
      <c r="AB1232">
        <v>23</v>
      </c>
      <c r="AC1232">
        <v>282</v>
      </c>
      <c r="AD1232">
        <v>5.05</v>
      </c>
      <c r="AE1232" t="s">
        <v>5027</v>
      </c>
      <c r="AF1232" t="s">
        <v>475</v>
      </c>
      <c r="AG1232" t="s">
        <v>2612</v>
      </c>
      <c r="AH1232" t="s">
        <v>2896</v>
      </c>
      <c r="AI1232">
        <v>2.5499999999999998</v>
      </c>
      <c r="AJ1232">
        <v>1.9</v>
      </c>
      <c r="AK1232">
        <v>3.01</v>
      </c>
      <c r="AL1232">
        <v>4.4400000000000004</v>
      </c>
    </row>
    <row r="1233" spans="1:38" x14ac:dyDescent="0.25">
      <c r="A1233">
        <v>1232</v>
      </c>
      <c r="B1233" t="str">
        <f xml:space="preserve"> "002145"</f>
        <v>002145</v>
      </c>
      <c r="C1233" t="s">
        <v>5028</v>
      </c>
      <c r="D1233">
        <v>6.36</v>
      </c>
      <c r="E1233">
        <v>0.63</v>
      </c>
      <c r="F1233">
        <v>0.04</v>
      </c>
      <c r="G1233" t="s">
        <v>335</v>
      </c>
      <c r="H1233">
        <v>1160</v>
      </c>
      <c r="I1233">
        <v>6.36</v>
      </c>
      <c r="J1233">
        <v>6.37</v>
      </c>
      <c r="K1233">
        <v>-0.16</v>
      </c>
      <c r="L1233">
        <v>1.78</v>
      </c>
      <c r="M1233" t="s">
        <v>2442</v>
      </c>
      <c r="N1233">
        <v>21.54</v>
      </c>
      <c r="O1233" t="s">
        <v>667</v>
      </c>
      <c r="P1233">
        <v>6.45</v>
      </c>
      <c r="Q1233">
        <v>6.34</v>
      </c>
      <c r="R1233">
        <v>6.34</v>
      </c>
      <c r="S1233">
        <v>6.32</v>
      </c>
      <c r="T1233">
        <v>1.74</v>
      </c>
      <c r="U1233">
        <v>0.65</v>
      </c>
      <c r="V1233">
        <v>1.57</v>
      </c>
      <c r="W1233">
        <v>345</v>
      </c>
      <c r="X1233">
        <v>6.38</v>
      </c>
      <c r="Y1233" t="s">
        <v>912</v>
      </c>
      <c r="Z1233" t="s">
        <v>830</v>
      </c>
      <c r="AA1233">
        <v>1.25</v>
      </c>
      <c r="AB1233">
        <v>2080</v>
      </c>
      <c r="AC1233">
        <v>1137</v>
      </c>
      <c r="AD1233">
        <v>3.46</v>
      </c>
      <c r="AE1233" t="s">
        <v>1477</v>
      </c>
      <c r="AF1233" t="s">
        <v>475</v>
      </c>
      <c r="AG1233" t="s">
        <v>888</v>
      </c>
      <c r="AH1233" t="s">
        <v>4248</v>
      </c>
      <c r="AI1233">
        <v>0.63</v>
      </c>
      <c r="AJ1233">
        <v>4.26</v>
      </c>
      <c r="AK1233">
        <v>6.33</v>
      </c>
      <c r="AL1233">
        <v>15.51</v>
      </c>
    </row>
    <row r="1234" spans="1:38" x14ac:dyDescent="0.25">
      <c r="A1234">
        <v>1233</v>
      </c>
      <c r="B1234" t="str">
        <f xml:space="preserve"> "600197"</f>
        <v>600197</v>
      </c>
      <c r="C1234" t="s">
        <v>5029</v>
      </c>
      <c r="D1234">
        <v>22.92</v>
      </c>
      <c r="E1234">
        <v>-0.78</v>
      </c>
      <c r="F1234">
        <v>-0.18</v>
      </c>
      <c r="G1234" t="s">
        <v>5030</v>
      </c>
      <c r="H1234">
        <v>17</v>
      </c>
      <c r="I1234">
        <v>22.9</v>
      </c>
      <c r="J1234">
        <v>22.92</v>
      </c>
      <c r="K1234">
        <v>0.22</v>
      </c>
      <c r="L1234">
        <v>1.48</v>
      </c>
      <c r="M1234" t="s">
        <v>598</v>
      </c>
      <c r="N1234">
        <v>31.25</v>
      </c>
      <c r="O1234" t="s">
        <v>123</v>
      </c>
      <c r="P1234">
        <v>23.2</v>
      </c>
      <c r="Q1234">
        <v>22.66</v>
      </c>
      <c r="R1234">
        <v>23.14</v>
      </c>
      <c r="S1234">
        <v>23.1</v>
      </c>
      <c r="T1234">
        <v>2.34</v>
      </c>
      <c r="U1234">
        <v>0.81</v>
      </c>
      <c r="V1234">
        <v>-50.75</v>
      </c>
      <c r="W1234">
        <v>-234</v>
      </c>
      <c r="X1234">
        <v>22.89</v>
      </c>
      <c r="Y1234" t="s">
        <v>2781</v>
      </c>
      <c r="Z1234" t="s">
        <v>2862</v>
      </c>
      <c r="AA1234">
        <v>1.51</v>
      </c>
      <c r="AB1234">
        <v>39</v>
      </c>
      <c r="AC1234">
        <v>8</v>
      </c>
      <c r="AD1234">
        <v>5.12</v>
      </c>
      <c r="AE1234" t="s">
        <v>5031</v>
      </c>
      <c r="AF1234" t="s">
        <v>475</v>
      </c>
      <c r="AG1234" t="s">
        <v>5031</v>
      </c>
      <c r="AH1234" t="s">
        <v>475</v>
      </c>
      <c r="AI1234">
        <v>-2.68</v>
      </c>
      <c r="AJ1234">
        <v>-0.91</v>
      </c>
      <c r="AK1234">
        <v>5.9</v>
      </c>
      <c r="AL1234">
        <v>10.59</v>
      </c>
    </row>
    <row r="1235" spans="1:38" x14ac:dyDescent="0.25">
      <c r="A1235">
        <v>1234</v>
      </c>
      <c r="B1235" t="str">
        <f xml:space="preserve"> "300409"</f>
        <v>300409</v>
      </c>
      <c r="C1235" t="s">
        <v>5032</v>
      </c>
      <c r="D1235">
        <v>46.99</v>
      </c>
      <c r="E1235">
        <v>0.36</v>
      </c>
      <c r="F1235">
        <v>0.17</v>
      </c>
      <c r="G1235" t="s">
        <v>1198</v>
      </c>
      <c r="H1235">
        <v>1514</v>
      </c>
      <c r="I1235">
        <v>46.99</v>
      </c>
      <c r="J1235">
        <v>47</v>
      </c>
      <c r="K1235">
        <v>-0.36</v>
      </c>
      <c r="L1235">
        <v>4.2300000000000004</v>
      </c>
      <c r="M1235" t="s">
        <v>439</v>
      </c>
      <c r="N1235">
        <v>73.94</v>
      </c>
      <c r="O1235" t="s">
        <v>859</v>
      </c>
      <c r="P1235">
        <v>47.88</v>
      </c>
      <c r="Q1235">
        <v>46.33</v>
      </c>
      <c r="R1235">
        <v>46.39</v>
      </c>
      <c r="S1235">
        <v>46.82</v>
      </c>
      <c r="T1235">
        <v>3.31</v>
      </c>
      <c r="U1235">
        <v>0.69</v>
      </c>
      <c r="V1235">
        <v>-48.2</v>
      </c>
      <c r="W1235">
        <v>-438</v>
      </c>
      <c r="X1235">
        <v>47.2</v>
      </c>
      <c r="Y1235" t="s">
        <v>5033</v>
      </c>
      <c r="Z1235" t="s">
        <v>1420</v>
      </c>
      <c r="AA1235">
        <v>1.19</v>
      </c>
      <c r="AB1235">
        <v>7</v>
      </c>
      <c r="AC1235">
        <v>592</v>
      </c>
      <c r="AD1235">
        <v>8.34</v>
      </c>
      <c r="AE1235" t="s">
        <v>185</v>
      </c>
      <c r="AF1235" t="s">
        <v>475</v>
      </c>
      <c r="AG1235" t="s">
        <v>4533</v>
      </c>
      <c r="AH1235" t="s">
        <v>5034</v>
      </c>
      <c r="AI1235">
        <v>-10.44</v>
      </c>
      <c r="AJ1235">
        <v>-12.82</v>
      </c>
      <c r="AK1235">
        <v>22.71</v>
      </c>
      <c r="AL1235">
        <v>34.869999999999997</v>
      </c>
    </row>
    <row r="1236" spans="1:38" x14ac:dyDescent="0.25">
      <c r="A1236">
        <v>1235</v>
      </c>
      <c r="B1236" t="str">
        <f xml:space="preserve"> "002277"</f>
        <v>002277</v>
      </c>
      <c r="C1236" t="s">
        <v>5035</v>
      </c>
      <c r="D1236">
        <v>7.13</v>
      </c>
      <c r="E1236">
        <v>1.1299999999999999</v>
      </c>
      <c r="F1236">
        <v>0.08</v>
      </c>
      <c r="G1236" t="s">
        <v>1363</v>
      </c>
      <c r="H1236">
        <v>3205</v>
      </c>
      <c r="I1236">
        <v>7.13</v>
      </c>
      <c r="J1236">
        <v>7.14</v>
      </c>
      <c r="K1236">
        <v>0.14000000000000001</v>
      </c>
      <c r="L1236">
        <v>2.5099999999999998</v>
      </c>
      <c r="M1236" t="s">
        <v>424</v>
      </c>
      <c r="N1236">
        <v>18.809999999999999</v>
      </c>
      <c r="O1236" t="s">
        <v>532</v>
      </c>
      <c r="P1236">
        <v>7.23</v>
      </c>
      <c r="Q1236">
        <v>6.99</v>
      </c>
      <c r="R1236">
        <v>7.02</v>
      </c>
      <c r="S1236">
        <v>7.05</v>
      </c>
      <c r="T1236">
        <v>3.4</v>
      </c>
      <c r="U1236">
        <v>1.47</v>
      </c>
      <c r="V1236">
        <v>-36.33</v>
      </c>
      <c r="W1236">
        <v>-8100</v>
      </c>
      <c r="X1236">
        <v>7.12</v>
      </c>
      <c r="Y1236" t="s">
        <v>759</v>
      </c>
      <c r="Z1236" t="s">
        <v>5036</v>
      </c>
      <c r="AA1236">
        <v>0.71</v>
      </c>
      <c r="AB1236">
        <v>610</v>
      </c>
      <c r="AC1236">
        <v>919</v>
      </c>
      <c r="AD1236">
        <v>1.97</v>
      </c>
      <c r="AE1236" t="s">
        <v>1202</v>
      </c>
      <c r="AF1236" t="s">
        <v>475</v>
      </c>
      <c r="AG1236" t="s">
        <v>1202</v>
      </c>
      <c r="AH1236" t="s">
        <v>475</v>
      </c>
      <c r="AI1236">
        <v>0.99</v>
      </c>
      <c r="AJ1236">
        <v>3.78</v>
      </c>
      <c r="AK1236">
        <v>6.31</v>
      </c>
      <c r="AL1236">
        <v>11.03</v>
      </c>
    </row>
    <row r="1237" spans="1:38" x14ac:dyDescent="0.25">
      <c r="A1237">
        <v>1236</v>
      </c>
      <c r="B1237" t="str">
        <f xml:space="preserve"> "002345"</f>
        <v>002345</v>
      </c>
      <c r="C1237" t="s">
        <v>5037</v>
      </c>
      <c r="D1237">
        <v>11.15</v>
      </c>
      <c r="E1237">
        <v>0.81</v>
      </c>
      <c r="F1237">
        <v>0.09</v>
      </c>
      <c r="G1237" t="s">
        <v>1661</v>
      </c>
      <c r="H1237">
        <v>2491</v>
      </c>
      <c r="I1237">
        <v>11.15</v>
      </c>
      <c r="J1237">
        <v>11.16</v>
      </c>
      <c r="K1237">
        <v>0</v>
      </c>
      <c r="L1237">
        <v>0.47</v>
      </c>
      <c r="M1237" t="s">
        <v>5038</v>
      </c>
      <c r="N1237">
        <v>31.03</v>
      </c>
      <c r="O1237" t="s">
        <v>2984</v>
      </c>
      <c r="P1237">
        <v>11.16</v>
      </c>
      <c r="Q1237">
        <v>11.04</v>
      </c>
      <c r="R1237">
        <v>11.05</v>
      </c>
      <c r="S1237">
        <v>11.06</v>
      </c>
      <c r="T1237">
        <v>1.08</v>
      </c>
      <c r="U1237">
        <v>0.53</v>
      </c>
      <c r="V1237">
        <v>-48.33</v>
      </c>
      <c r="W1237">
        <v>-4355</v>
      </c>
      <c r="X1237">
        <v>11.1</v>
      </c>
      <c r="Y1237" t="s">
        <v>3238</v>
      </c>
      <c r="Z1237" t="s">
        <v>4788</v>
      </c>
      <c r="AA1237">
        <v>0.88</v>
      </c>
      <c r="AB1237">
        <v>987</v>
      </c>
      <c r="AC1237">
        <v>1163</v>
      </c>
      <c r="AD1237">
        <v>3.7</v>
      </c>
      <c r="AE1237" t="s">
        <v>3663</v>
      </c>
      <c r="AF1237" t="s">
        <v>475</v>
      </c>
      <c r="AG1237" t="s">
        <v>4424</v>
      </c>
      <c r="AH1237" t="s">
        <v>1930</v>
      </c>
      <c r="AI1237">
        <v>-0.36</v>
      </c>
      <c r="AJ1237">
        <v>1.55</v>
      </c>
      <c r="AK1237">
        <v>1.21</v>
      </c>
      <c r="AL1237">
        <v>4.87</v>
      </c>
    </row>
    <row r="1238" spans="1:38" x14ac:dyDescent="0.25">
      <c r="A1238">
        <v>1237</v>
      </c>
      <c r="B1238" t="str">
        <f xml:space="preserve"> "603277"</f>
        <v>603277</v>
      </c>
      <c r="C1238" t="s">
        <v>5039</v>
      </c>
      <c r="D1238">
        <v>25.13</v>
      </c>
      <c r="E1238">
        <v>1.05</v>
      </c>
      <c r="F1238">
        <v>0.26</v>
      </c>
      <c r="G1238" t="s">
        <v>1355</v>
      </c>
      <c r="H1238">
        <v>59</v>
      </c>
      <c r="I1238">
        <v>25.11</v>
      </c>
      <c r="J1238">
        <v>25.12</v>
      </c>
      <c r="K1238">
        <v>-0.04</v>
      </c>
      <c r="L1238">
        <v>7.21</v>
      </c>
      <c r="M1238" t="s">
        <v>60</v>
      </c>
      <c r="N1238">
        <v>43.59</v>
      </c>
      <c r="O1238" t="s">
        <v>648</v>
      </c>
      <c r="P1238">
        <v>25.3</v>
      </c>
      <c r="Q1238">
        <v>24.62</v>
      </c>
      <c r="R1238">
        <v>24.79</v>
      </c>
      <c r="S1238">
        <v>24.87</v>
      </c>
      <c r="T1238">
        <v>2.73</v>
      </c>
      <c r="U1238">
        <v>0.64</v>
      </c>
      <c r="V1238">
        <v>-35.94</v>
      </c>
      <c r="W1238">
        <v>-429</v>
      </c>
      <c r="X1238">
        <v>25.09</v>
      </c>
      <c r="Y1238" t="s">
        <v>1805</v>
      </c>
      <c r="Z1238" t="s">
        <v>1476</v>
      </c>
      <c r="AA1238">
        <v>0.85</v>
      </c>
      <c r="AB1238">
        <v>64</v>
      </c>
      <c r="AC1238">
        <v>14</v>
      </c>
      <c r="AD1238">
        <v>6.81</v>
      </c>
      <c r="AE1238" t="s">
        <v>1922</v>
      </c>
      <c r="AF1238" t="s">
        <v>475</v>
      </c>
      <c r="AG1238" t="s">
        <v>5040</v>
      </c>
      <c r="AH1238" t="s">
        <v>2999</v>
      </c>
      <c r="AI1238">
        <v>-5.38</v>
      </c>
      <c r="AJ1238">
        <v>-3.16</v>
      </c>
      <c r="AK1238">
        <v>30.12</v>
      </c>
      <c r="AL1238">
        <v>63.26</v>
      </c>
    </row>
    <row r="1239" spans="1:38" x14ac:dyDescent="0.25">
      <c r="A1239">
        <v>1238</v>
      </c>
      <c r="B1239" t="str">
        <f xml:space="preserve"> "601900"</f>
        <v>601900</v>
      </c>
      <c r="C1239" t="s">
        <v>5041</v>
      </c>
      <c r="D1239">
        <v>12.29</v>
      </c>
      <c r="E1239">
        <v>-0.24</v>
      </c>
      <c r="F1239">
        <v>-0.03</v>
      </c>
      <c r="G1239" t="s">
        <v>3062</v>
      </c>
      <c r="H1239">
        <v>2</v>
      </c>
      <c r="I1239">
        <v>12.29</v>
      </c>
      <c r="J1239">
        <v>12.3</v>
      </c>
      <c r="K1239">
        <v>0</v>
      </c>
      <c r="L1239">
        <v>1.1399999999999999</v>
      </c>
      <c r="M1239" t="s">
        <v>5042</v>
      </c>
      <c r="N1239">
        <v>22.89</v>
      </c>
      <c r="O1239" t="s">
        <v>1126</v>
      </c>
      <c r="P1239">
        <v>12.42</v>
      </c>
      <c r="Q1239">
        <v>12.26</v>
      </c>
      <c r="R1239">
        <v>12.28</v>
      </c>
      <c r="S1239">
        <v>12.32</v>
      </c>
      <c r="T1239">
        <v>1.3</v>
      </c>
      <c r="U1239">
        <v>0.9</v>
      </c>
      <c r="V1239">
        <v>-15.63</v>
      </c>
      <c r="W1239">
        <v>-258</v>
      </c>
      <c r="X1239">
        <v>12.32</v>
      </c>
      <c r="Y1239" t="s">
        <v>1869</v>
      </c>
      <c r="Z1239">
        <v>8514</v>
      </c>
      <c r="AA1239">
        <v>1.34</v>
      </c>
      <c r="AB1239">
        <v>129</v>
      </c>
      <c r="AC1239">
        <v>208</v>
      </c>
      <c r="AD1239">
        <v>2.71</v>
      </c>
      <c r="AE1239" t="s">
        <v>2981</v>
      </c>
      <c r="AF1239" t="s">
        <v>475</v>
      </c>
      <c r="AG1239" t="s">
        <v>2861</v>
      </c>
      <c r="AH1239" t="s">
        <v>4000</v>
      </c>
      <c r="AI1239">
        <v>1.1499999999999999</v>
      </c>
      <c r="AJ1239">
        <v>4.1500000000000004</v>
      </c>
      <c r="AK1239">
        <v>4.26</v>
      </c>
      <c r="AL1239">
        <v>7.43</v>
      </c>
    </row>
    <row r="1240" spans="1:38" x14ac:dyDescent="0.25">
      <c r="A1240">
        <v>1239</v>
      </c>
      <c r="B1240" t="str">
        <f xml:space="preserve"> "300219"</f>
        <v>300219</v>
      </c>
      <c r="C1240" t="s">
        <v>5043</v>
      </c>
      <c r="D1240">
        <v>14.08</v>
      </c>
      <c r="E1240">
        <v>1.51</v>
      </c>
      <c r="F1240">
        <v>0.21</v>
      </c>
      <c r="G1240" t="s">
        <v>4198</v>
      </c>
      <c r="H1240">
        <v>577</v>
      </c>
      <c r="I1240">
        <v>14.07</v>
      </c>
      <c r="J1240">
        <v>14.08</v>
      </c>
      <c r="K1240">
        <v>0</v>
      </c>
      <c r="L1240">
        <v>0.92</v>
      </c>
      <c r="M1240" t="s">
        <v>5044</v>
      </c>
      <c r="N1240">
        <v>28.64</v>
      </c>
      <c r="O1240" t="s">
        <v>380</v>
      </c>
      <c r="P1240">
        <v>14.16</v>
      </c>
      <c r="Q1240">
        <v>13.87</v>
      </c>
      <c r="R1240">
        <v>13.88</v>
      </c>
      <c r="S1240">
        <v>13.87</v>
      </c>
      <c r="T1240">
        <v>2.09</v>
      </c>
      <c r="U1240">
        <v>0.63</v>
      </c>
      <c r="V1240">
        <v>-62.49</v>
      </c>
      <c r="W1240">
        <v>-2389</v>
      </c>
      <c r="X1240">
        <v>14.06</v>
      </c>
      <c r="Y1240" t="s">
        <v>3025</v>
      </c>
      <c r="Z1240" t="s">
        <v>623</v>
      </c>
      <c r="AA1240">
        <v>0.84</v>
      </c>
      <c r="AB1240">
        <v>213</v>
      </c>
      <c r="AC1240">
        <v>238</v>
      </c>
      <c r="AD1240">
        <v>3.28</v>
      </c>
      <c r="AE1240" t="s">
        <v>4273</v>
      </c>
      <c r="AF1240" t="s">
        <v>841</v>
      </c>
      <c r="AG1240" t="s">
        <v>2804</v>
      </c>
      <c r="AH1240" t="s">
        <v>5045</v>
      </c>
      <c r="AI1240">
        <v>-0.56000000000000005</v>
      </c>
      <c r="AJ1240">
        <v>8.06</v>
      </c>
      <c r="AK1240">
        <v>3.48</v>
      </c>
      <c r="AL1240">
        <v>8.1999999999999993</v>
      </c>
    </row>
    <row r="1241" spans="1:38" x14ac:dyDescent="0.25">
      <c r="A1241">
        <v>1240</v>
      </c>
      <c r="B1241" t="str">
        <f xml:space="preserve"> "000762"</f>
        <v>000762</v>
      </c>
      <c r="C1241" t="s">
        <v>5046</v>
      </c>
      <c r="D1241">
        <v>19.27</v>
      </c>
      <c r="E1241">
        <v>-0.05</v>
      </c>
      <c r="F1241">
        <v>-0.01</v>
      </c>
      <c r="G1241" t="s">
        <v>4874</v>
      </c>
      <c r="H1241">
        <v>3268</v>
      </c>
      <c r="I1241">
        <v>19.27</v>
      </c>
      <c r="J1241">
        <v>19.28</v>
      </c>
      <c r="K1241">
        <v>-0.05</v>
      </c>
      <c r="L1241">
        <v>5.07</v>
      </c>
      <c r="M1241" t="s">
        <v>195</v>
      </c>
      <c r="N1241">
        <v>-153.87</v>
      </c>
      <c r="O1241" t="s">
        <v>449</v>
      </c>
      <c r="P1241">
        <v>19.600000000000001</v>
      </c>
      <c r="Q1241">
        <v>19.100000000000001</v>
      </c>
      <c r="R1241">
        <v>19.190000000000001</v>
      </c>
      <c r="S1241">
        <v>19.28</v>
      </c>
      <c r="T1241">
        <v>2.59</v>
      </c>
      <c r="U1241">
        <v>0.62</v>
      </c>
      <c r="V1241">
        <v>33.630000000000003</v>
      </c>
      <c r="W1241">
        <v>2126</v>
      </c>
      <c r="X1241">
        <v>19.32</v>
      </c>
      <c r="Y1241" t="s">
        <v>132</v>
      </c>
      <c r="Z1241" t="s">
        <v>516</v>
      </c>
      <c r="AA1241">
        <v>0.96</v>
      </c>
      <c r="AB1241">
        <v>3368</v>
      </c>
      <c r="AC1241">
        <v>341</v>
      </c>
      <c r="AD1241">
        <v>4.8</v>
      </c>
      <c r="AE1241" t="s">
        <v>4869</v>
      </c>
      <c r="AF1241" t="s">
        <v>841</v>
      </c>
      <c r="AG1241" t="s">
        <v>4438</v>
      </c>
      <c r="AH1241" t="s">
        <v>5047</v>
      </c>
      <c r="AI1241">
        <v>-4.6500000000000004</v>
      </c>
      <c r="AJ1241">
        <v>-4.37</v>
      </c>
      <c r="AK1241">
        <v>20.54</v>
      </c>
      <c r="AL1241">
        <v>45.72</v>
      </c>
    </row>
    <row r="1242" spans="1:38" x14ac:dyDescent="0.25">
      <c r="A1242">
        <v>1241</v>
      </c>
      <c r="B1242" t="str">
        <f xml:space="preserve"> "002095"</f>
        <v>002095</v>
      </c>
      <c r="C1242" t="s">
        <v>5048</v>
      </c>
      <c r="D1242">
        <v>39.700000000000003</v>
      </c>
      <c r="E1242">
        <v>0.81</v>
      </c>
      <c r="F1242">
        <v>0.32</v>
      </c>
      <c r="G1242" t="s">
        <v>2360</v>
      </c>
      <c r="H1242">
        <v>608</v>
      </c>
      <c r="I1242">
        <v>39.69</v>
      </c>
      <c r="J1242">
        <v>39.700000000000003</v>
      </c>
      <c r="K1242">
        <v>-0.05</v>
      </c>
      <c r="L1242">
        <v>0.88</v>
      </c>
      <c r="M1242" t="s">
        <v>5049</v>
      </c>
      <c r="N1242">
        <v>365.39</v>
      </c>
      <c r="O1242" t="s">
        <v>553</v>
      </c>
      <c r="P1242">
        <v>39.729999999999997</v>
      </c>
      <c r="Q1242">
        <v>39.03</v>
      </c>
      <c r="R1242">
        <v>39.25</v>
      </c>
      <c r="S1242">
        <v>39.380000000000003</v>
      </c>
      <c r="T1242">
        <v>1.78</v>
      </c>
      <c r="U1242">
        <v>0.65</v>
      </c>
      <c r="V1242">
        <v>-38.24</v>
      </c>
      <c r="W1242">
        <v>-208</v>
      </c>
      <c r="X1242">
        <v>39.4</v>
      </c>
      <c r="Y1242">
        <v>9461</v>
      </c>
      <c r="Z1242" t="s">
        <v>124</v>
      </c>
      <c r="AA1242">
        <v>0.75</v>
      </c>
      <c r="AB1242">
        <v>2</v>
      </c>
      <c r="AC1242">
        <v>8</v>
      </c>
      <c r="AD1242">
        <v>12.2</v>
      </c>
      <c r="AE1242" t="s">
        <v>424</v>
      </c>
      <c r="AF1242" t="s">
        <v>841</v>
      </c>
      <c r="AG1242" t="s">
        <v>5050</v>
      </c>
      <c r="AH1242" t="s">
        <v>1144</v>
      </c>
      <c r="AI1242">
        <v>-5.61</v>
      </c>
      <c r="AJ1242">
        <v>-1.88</v>
      </c>
      <c r="AK1242">
        <v>3.86</v>
      </c>
      <c r="AL1242">
        <v>7.58</v>
      </c>
    </row>
    <row r="1243" spans="1:38" x14ac:dyDescent="0.25">
      <c r="A1243">
        <v>1242</v>
      </c>
      <c r="B1243" t="str">
        <f xml:space="preserve"> "002859"</f>
        <v>002859</v>
      </c>
      <c r="C1243" t="s">
        <v>5051</v>
      </c>
      <c r="D1243">
        <v>39.21</v>
      </c>
      <c r="E1243">
        <v>1.53</v>
      </c>
      <c r="F1243">
        <v>0.59</v>
      </c>
      <c r="G1243" t="s">
        <v>2765</v>
      </c>
      <c r="H1243">
        <v>1163</v>
      </c>
      <c r="I1243">
        <v>39.21</v>
      </c>
      <c r="J1243">
        <v>39.22</v>
      </c>
      <c r="K1243">
        <v>-0.15</v>
      </c>
      <c r="L1243">
        <v>15.26</v>
      </c>
      <c r="M1243" t="s">
        <v>3287</v>
      </c>
      <c r="N1243">
        <v>62.28</v>
      </c>
      <c r="O1243" t="s">
        <v>380</v>
      </c>
      <c r="P1243">
        <v>40.28</v>
      </c>
      <c r="Q1243">
        <v>38.299999999999997</v>
      </c>
      <c r="R1243">
        <v>38.619999999999997</v>
      </c>
      <c r="S1243">
        <v>38.619999999999997</v>
      </c>
      <c r="T1243">
        <v>5.13</v>
      </c>
      <c r="U1243">
        <v>1.31</v>
      </c>
      <c r="V1243">
        <v>34.5</v>
      </c>
      <c r="W1243">
        <v>247</v>
      </c>
      <c r="X1243">
        <v>39.6</v>
      </c>
      <c r="Y1243" t="s">
        <v>3885</v>
      </c>
      <c r="Z1243" t="s">
        <v>5052</v>
      </c>
      <c r="AA1243">
        <v>0.85</v>
      </c>
      <c r="AB1243">
        <v>142</v>
      </c>
      <c r="AC1243">
        <v>10</v>
      </c>
      <c r="AD1243">
        <v>8.15</v>
      </c>
      <c r="AE1243" t="s">
        <v>5053</v>
      </c>
      <c r="AF1243" t="s">
        <v>841</v>
      </c>
      <c r="AG1243" t="s">
        <v>5054</v>
      </c>
      <c r="AH1243" t="s">
        <v>1681</v>
      </c>
      <c r="AI1243">
        <v>-2.83</v>
      </c>
      <c r="AJ1243">
        <v>2.89</v>
      </c>
      <c r="AK1243">
        <v>35.18</v>
      </c>
      <c r="AL1243">
        <v>73.599999999999994</v>
      </c>
    </row>
    <row r="1244" spans="1:38" x14ac:dyDescent="0.25">
      <c r="A1244">
        <v>1243</v>
      </c>
      <c r="B1244" t="str">
        <f xml:space="preserve"> "002113"</f>
        <v>002113</v>
      </c>
      <c r="C1244" t="s">
        <v>5055</v>
      </c>
      <c r="D1244">
        <v>13.28</v>
      </c>
      <c r="E1244">
        <v>-0.38</v>
      </c>
      <c r="F1244">
        <v>-0.05</v>
      </c>
      <c r="G1244" t="s">
        <v>1142</v>
      </c>
      <c r="H1244">
        <v>657</v>
      </c>
      <c r="I1244">
        <v>13.28</v>
      </c>
      <c r="J1244">
        <v>13.29</v>
      </c>
      <c r="K1244">
        <v>0</v>
      </c>
      <c r="L1244">
        <v>1.29</v>
      </c>
      <c r="M1244" t="s">
        <v>5056</v>
      </c>
      <c r="N1244">
        <v>292.04000000000002</v>
      </c>
      <c r="O1244" t="s">
        <v>244</v>
      </c>
      <c r="P1244">
        <v>13.41</v>
      </c>
      <c r="Q1244">
        <v>13.13</v>
      </c>
      <c r="R1244">
        <v>13.39</v>
      </c>
      <c r="S1244">
        <v>13.33</v>
      </c>
      <c r="T1244">
        <v>2.1</v>
      </c>
      <c r="U1244">
        <v>0.65</v>
      </c>
      <c r="V1244">
        <v>63.81</v>
      </c>
      <c r="W1244">
        <v>1992</v>
      </c>
      <c r="X1244">
        <v>13.29</v>
      </c>
      <c r="Y1244" t="s">
        <v>2458</v>
      </c>
      <c r="Z1244" t="s">
        <v>3090</v>
      </c>
      <c r="AA1244">
        <v>1.57</v>
      </c>
      <c r="AB1244">
        <v>546</v>
      </c>
      <c r="AC1244">
        <v>123</v>
      </c>
      <c r="AD1244">
        <v>10.27</v>
      </c>
      <c r="AE1244" t="s">
        <v>4158</v>
      </c>
      <c r="AF1244" t="s">
        <v>841</v>
      </c>
      <c r="AG1244" t="s">
        <v>5057</v>
      </c>
      <c r="AH1244" t="s">
        <v>200</v>
      </c>
      <c r="AI1244">
        <v>-3.56</v>
      </c>
      <c r="AJ1244">
        <v>-8.2200000000000006</v>
      </c>
      <c r="AK1244">
        <v>4.92</v>
      </c>
      <c r="AL1244">
        <v>11.2</v>
      </c>
    </row>
    <row r="1245" spans="1:38" x14ac:dyDescent="0.25">
      <c r="A1245">
        <v>1244</v>
      </c>
      <c r="B1245" t="str">
        <f xml:space="preserve"> "600165"</f>
        <v>600165</v>
      </c>
      <c r="C1245" t="s">
        <v>5058</v>
      </c>
      <c r="D1245">
        <v>14.62</v>
      </c>
      <c r="E1245">
        <v>0.21</v>
      </c>
      <c r="F1245">
        <v>0.03</v>
      </c>
      <c r="G1245" t="s">
        <v>370</v>
      </c>
      <c r="H1245">
        <v>80</v>
      </c>
      <c r="I1245">
        <v>14.62</v>
      </c>
      <c r="J1245">
        <v>14.63</v>
      </c>
      <c r="K1245">
        <v>0.14000000000000001</v>
      </c>
      <c r="L1245">
        <v>0.76</v>
      </c>
      <c r="M1245" t="s">
        <v>5059</v>
      </c>
      <c r="N1245">
        <v>-414.52</v>
      </c>
      <c r="O1245" t="s">
        <v>1229</v>
      </c>
      <c r="P1245">
        <v>14.67</v>
      </c>
      <c r="Q1245">
        <v>14.47</v>
      </c>
      <c r="R1245">
        <v>14.59</v>
      </c>
      <c r="S1245">
        <v>14.59</v>
      </c>
      <c r="T1245">
        <v>1.37</v>
      </c>
      <c r="U1245">
        <v>1.7</v>
      </c>
      <c r="V1245">
        <v>-36.700000000000003</v>
      </c>
      <c r="W1245">
        <v>-415</v>
      </c>
      <c r="X1245">
        <v>14.59</v>
      </c>
      <c r="Y1245" t="s">
        <v>3941</v>
      </c>
      <c r="Z1245" t="s">
        <v>1271</v>
      </c>
      <c r="AA1245">
        <v>0.28000000000000003</v>
      </c>
      <c r="AB1245">
        <v>23</v>
      </c>
      <c r="AC1245">
        <v>345</v>
      </c>
      <c r="AD1245">
        <v>12.77</v>
      </c>
      <c r="AE1245" t="s">
        <v>2612</v>
      </c>
      <c r="AF1245" t="s">
        <v>841</v>
      </c>
      <c r="AG1245" t="s">
        <v>2612</v>
      </c>
      <c r="AH1245" t="s">
        <v>841</v>
      </c>
      <c r="AI1245">
        <v>-0.88</v>
      </c>
      <c r="AJ1245">
        <v>0.62</v>
      </c>
      <c r="AK1245">
        <v>1.1599999999999999</v>
      </c>
      <c r="AL1245">
        <v>3</v>
      </c>
    </row>
    <row r="1246" spans="1:38" x14ac:dyDescent="0.25">
      <c r="A1246">
        <v>1245</v>
      </c>
      <c r="B1246" t="str">
        <f xml:space="preserve"> "600988"</f>
        <v>600988</v>
      </c>
      <c r="C1246" t="s">
        <v>5060</v>
      </c>
      <c r="D1246">
        <v>14.03</v>
      </c>
      <c r="E1246">
        <v>0.43</v>
      </c>
      <c r="F1246">
        <v>0.06</v>
      </c>
      <c r="G1246" t="s">
        <v>5061</v>
      </c>
      <c r="H1246">
        <v>128</v>
      </c>
      <c r="I1246">
        <v>14.02</v>
      </c>
      <c r="J1246">
        <v>14.03</v>
      </c>
      <c r="K1246">
        <v>7.0000000000000007E-2</v>
      </c>
      <c r="L1246">
        <v>1.34</v>
      </c>
      <c r="M1246" t="s">
        <v>2706</v>
      </c>
      <c r="N1246">
        <v>62.81</v>
      </c>
      <c r="O1246" t="s">
        <v>788</v>
      </c>
      <c r="P1246">
        <v>14.04</v>
      </c>
      <c r="Q1246">
        <v>13.85</v>
      </c>
      <c r="R1246">
        <v>13.92</v>
      </c>
      <c r="S1246">
        <v>13.97</v>
      </c>
      <c r="T1246">
        <v>1.36</v>
      </c>
      <c r="U1246">
        <v>0.96</v>
      </c>
      <c r="V1246">
        <v>-10.41</v>
      </c>
      <c r="W1246">
        <v>-447</v>
      </c>
      <c r="X1246">
        <v>13.96</v>
      </c>
      <c r="Y1246" t="s">
        <v>2335</v>
      </c>
      <c r="Z1246" t="s">
        <v>4189</v>
      </c>
      <c r="AA1246">
        <v>1.01</v>
      </c>
      <c r="AB1246">
        <v>217</v>
      </c>
      <c r="AC1246">
        <v>166</v>
      </c>
      <c r="AD1246">
        <v>3.91</v>
      </c>
      <c r="AE1246" t="s">
        <v>4273</v>
      </c>
      <c r="AF1246" t="s">
        <v>841</v>
      </c>
      <c r="AG1246" t="s">
        <v>5062</v>
      </c>
      <c r="AH1246" t="s">
        <v>5063</v>
      </c>
      <c r="AI1246">
        <v>0.21</v>
      </c>
      <c r="AJ1246">
        <v>4.55</v>
      </c>
      <c r="AK1246">
        <v>3.7</v>
      </c>
      <c r="AL1246">
        <v>8.31</v>
      </c>
    </row>
    <row r="1247" spans="1:38" x14ac:dyDescent="0.25">
      <c r="A1247">
        <v>1246</v>
      </c>
      <c r="B1247" t="str">
        <f xml:space="preserve"> "002663"</f>
        <v>002663</v>
      </c>
      <c r="C1247" t="s">
        <v>5064</v>
      </c>
      <c r="D1247">
        <v>5.57</v>
      </c>
      <c r="E1247">
        <v>2.0099999999999998</v>
      </c>
      <c r="F1247">
        <v>0.11</v>
      </c>
      <c r="G1247" t="s">
        <v>1242</v>
      </c>
      <c r="H1247">
        <v>1826</v>
      </c>
      <c r="I1247">
        <v>5.56</v>
      </c>
      <c r="J1247">
        <v>5.57</v>
      </c>
      <c r="K1247">
        <v>0</v>
      </c>
      <c r="L1247">
        <v>0.98</v>
      </c>
      <c r="M1247" t="s">
        <v>5065</v>
      </c>
      <c r="N1247">
        <v>53.55</v>
      </c>
      <c r="O1247" t="s">
        <v>1221</v>
      </c>
      <c r="P1247">
        <v>5.58</v>
      </c>
      <c r="Q1247">
        <v>5.41</v>
      </c>
      <c r="R1247">
        <v>5.46</v>
      </c>
      <c r="S1247">
        <v>5.46</v>
      </c>
      <c r="T1247">
        <v>3.11</v>
      </c>
      <c r="U1247">
        <v>2.0099999999999998</v>
      </c>
      <c r="V1247">
        <v>-12.62</v>
      </c>
      <c r="W1247">
        <v>-1798</v>
      </c>
      <c r="X1247">
        <v>5.52</v>
      </c>
      <c r="Y1247" t="s">
        <v>5066</v>
      </c>
      <c r="Z1247" t="s">
        <v>5067</v>
      </c>
      <c r="AA1247">
        <v>0.59</v>
      </c>
      <c r="AB1247">
        <v>3334</v>
      </c>
      <c r="AC1247">
        <v>230</v>
      </c>
      <c r="AD1247">
        <v>2.1800000000000002</v>
      </c>
      <c r="AE1247" t="s">
        <v>2434</v>
      </c>
      <c r="AF1247" t="s">
        <v>841</v>
      </c>
      <c r="AG1247" t="s">
        <v>1132</v>
      </c>
      <c r="AH1247" t="s">
        <v>2482</v>
      </c>
      <c r="AI1247">
        <v>1.46</v>
      </c>
      <c r="AJ1247">
        <v>4.9000000000000004</v>
      </c>
      <c r="AK1247">
        <v>1.92</v>
      </c>
      <c r="AL1247">
        <v>3.44</v>
      </c>
    </row>
    <row r="1248" spans="1:38" x14ac:dyDescent="0.25">
      <c r="A1248">
        <v>1247</v>
      </c>
      <c r="B1248" t="str">
        <f xml:space="preserve"> "603058"</f>
        <v>603058</v>
      </c>
      <c r="C1248" t="s">
        <v>5068</v>
      </c>
      <c r="D1248">
        <v>23.72</v>
      </c>
      <c r="E1248">
        <v>10.02</v>
      </c>
      <c r="F1248">
        <v>2.16</v>
      </c>
      <c r="G1248" t="s">
        <v>1786</v>
      </c>
      <c r="H1248">
        <v>30</v>
      </c>
      <c r="I1248">
        <v>23.72</v>
      </c>
      <c r="J1248" t="s">
        <v>616</v>
      </c>
      <c r="K1248">
        <v>0</v>
      </c>
      <c r="L1248">
        <v>9.1199999999999992</v>
      </c>
      <c r="M1248" t="s">
        <v>5069</v>
      </c>
      <c r="N1248">
        <v>123.45</v>
      </c>
      <c r="O1248" t="s">
        <v>1874</v>
      </c>
      <c r="P1248">
        <v>23.72</v>
      </c>
      <c r="Q1248">
        <v>21.7</v>
      </c>
      <c r="R1248">
        <v>21.8</v>
      </c>
      <c r="S1248">
        <v>21.56</v>
      </c>
      <c r="T1248">
        <v>9.3699999999999992</v>
      </c>
      <c r="U1248">
        <v>3.38</v>
      </c>
      <c r="V1248">
        <v>100</v>
      </c>
      <c r="W1248">
        <v>380</v>
      </c>
      <c r="X1248">
        <v>23.21</v>
      </c>
      <c r="Y1248" t="s">
        <v>1726</v>
      </c>
      <c r="Z1248" t="s">
        <v>5033</v>
      </c>
      <c r="AA1248">
        <v>0.51</v>
      </c>
      <c r="AB1248">
        <v>317</v>
      </c>
      <c r="AC1248">
        <v>0</v>
      </c>
      <c r="AD1248">
        <v>12.47</v>
      </c>
      <c r="AE1248" t="s">
        <v>5070</v>
      </c>
      <c r="AF1248" t="s">
        <v>4147</v>
      </c>
      <c r="AG1248" t="s">
        <v>5071</v>
      </c>
      <c r="AH1248" t="s">
        <v>1384</v>
      </c>
      <c r="AI1248">
        <v>10.33</v>
      </c>
      <c r="AJ1248">
        <v>19.98</v>
      </c>
      <c r="AK1248">
        <v>14.4</v>
      </c>
      <c r="AL1248">
        <v>22.64</v>
      </c>
    </row>
    <row r="1249" spans="1:38" x14ac:dyDescent="0.25">
      <c r="A1249">
        <v>1248</v>
      </c>
      <c r="B1249" t="str">
        <f xml:space="preserve"> "600686"</f>
        <v>600686</v>
      </c>
      <c r="C1249" t="s">
        <v>5072</v>
      </c>
      <c r="D1249">
        <v>16.46</v>
      </c>
      <c r="E1249">
        <v>-1.73</v>
      </c>
      <c r="F1249">
        <v>-0.28999999999999998</v>
      </c>
      <c r="G1249" t="s">
        <v>4554</v>
      </c>
      <c r="H1249">
        <v>8</v>
      </c>
      <c r="I1249">
        <v>16.43</v>
      </c>
      <c r="J1249">
        <v>16.45</v>
      </c>
      <c r="K1249">
        <v>0.12</v>
      </c>
      <c r="L1249">
        <v>1.73</v>
      </c>
      <c r="M1249" t="s">
        <v>315</v>
      </c>
      <c r="N1249">
        <v>130.15</v>
      </c>
      <c r="O1249" t="s">
        <v>169</v>
      </c>
      <c r="P1249">
        <v>16.88</v>
      </c>
      <c r="Q1249">
        <v>16.399999999999999</v>
      </c>
      <c r="R1249">
        <v>16.690000000000001</v>
      </c>
      <c r="S1249">
        <v>16.75</v>
      </c>
      <c r="T1249">
        <v>2.87</v>
      </c>
      <c r="U1249">
        <v>0.41</v>
      </c>
      <c r="V1249">
        <v>-7.88</v>
      </c>
      <c r="W1249">
        <v>-127</v>
      </c>
      <c r="X1249">
        <v>16.57</v>
      </c>
      <c r="Y1249" t="s">
        <v>5073</v>
      </c>
      <c r="Z1249" t="s">
        <v>4003</v>
      </c>
      <c r="AA1249">
        <v>1.22</v>
      </c>
      <c r="AB1249">
        <v>159</v>
      </c>
      <c r="AC1249">
        <v>2</v>
      </c>
      <c r="AD1249">
        <v>3.22</v>
      </c>
      <c r="AE1249" t="s">
        <v>3081</v>
      </c>
      <c r="AF1249" t="s">
        <v>1144</v>
      </c>
      <c r="AG1249" t="s">
        <v>879</v>
      </c>
      <c r="AH1249" t="s">
        <v>1486</v>
      </c>
      <c r="AI1249">
        <v>-5.73</v>
      </c>
      <c r="AJ1249">
        <v>-5.62</v>
      </c>
      <c r="AK1249">
        <v>8.01</v>
      </c>
      <c r="AL1249">
        <v>22.73</v>
      </c>
    </row>
    <row r="1250" spans="1:38" x14ac:dyDescent="0.25">
      <c r="A1250">
        <v>1249</v>
      </c>
      <c r="B1250" t="str">
        <f xml:space="preserve"> "000603"</f>
        <v>000603</v>
      </c>
      <c r="C1250" t="s">
        <v>5074</v>
      </c>
      <c r="D1250">
        <v>13.8</v>
      </c>
      <c r="E1250">
        <v>0</v>
      </c>
      <c r="F1250">
        <v>0</v>
      </c>
      <c r="G1250" t="s">
        <v>2862</v>
      </c>
      <c r="H1250">
        <v>2248</v>
      </c>
      <c r="I1250">
        <v>13.8</v>
      </c>
      <c r="J1250">
        <v>13.83</v>
      </c>
      <c r="K1250">
        <v>-0.28999999999999998</v>
      </c>
      <c r="L1250">
        <v>0.63</v>
      </c>
      <c r="M1250" t="s">
        <v>5075</v>
      </c>
      <c r="N1250">
        <v>51.41</v>
      </c>
      <c r="O1250" t="s">
        <v>449</v>
      </c>
      <c r="P1250">
        <v>13.9</v>
      </c>
      <c r="Q1250">
        <v>13.69</v>
      </c>
      <c r="R1250">
        <v>13.8</v>
      </c>
      <c r="S1250">
        <v>13.8</v>
      </c>
      <c r="T1250">
        <v>1.52</v>
      </c>
      <c r="U1250">
        <v>0.79</v>
      </c>
      <c r="V1250">
        <v>-20.64</v>
      </c>
      <c r="W1250">
        <v>-193</v>
      </c>
      <c r="X1250">
        <v>13.8</v>
      </c>
      <c r="Y1250" t="s">
        <v>530</v>
      </c>
      <c r="Z1250" t="s">
        <v>808</v>
      </c>
      <c r="AA1250">
        <v>1.34</v>
      </c>
      <c r="AB1250">
        <v>116</v>
      </c>
      <c r="AC1250">
        <v>6</v>
      </c>
      <c r="AD1250">
        <v>4.43</v>
      </c>
      <c r="AE1250" t="s">
        <v>5076</v>
      </c>
      <c r="AF1250" t="s">
        <v>5077</v>
      </c>
      <c r="AG1250" t="s">
        <v>4100</v>
      </c>
      <c r="AH1250" t="s">
        <v>4169</v>
      </c>
      <c r="AI1250">
        <v>-2.2000000000000002</v>
      </c>
      <c r="AJ1250">
        <v>1.32</v>
      </c>
      <c r="AK1250">
        <v>2.12</v>
      </c>
      <c r="AL1250">
        <v>4.66</v>
      </c>
    </row>
    <row r="1251" spans="1:38" x14ac:dyDescent="0.25">
      <c r="A1251">
        <v>1250</v>
      </c>
      <c r="B1251" t="str">
        <f xml:space="preserve"> "002547"</f>
        <v>002547</v>
      </c>
      <c r="C1251" t="s">
        <v>5078</v>
      </c>
      <c r="D1251">
        <v>8.84</v>
      </c>
      <c r="E1251">
        <v>-0.34</v>
      </c>
      <c r="F1251">
        <v>-0.03</v>
      </c>
      <c r="G1251" t="s">
        <v>1213</v>
      </c>
      <c r="H1251">
        <v>1099</v>
      </c>
      <c r="I1251">
        <v>8.83</v>
      </c>
      <c r="J1251">
        <v>8.84</v>
      </c>
      <c r="K1251">
        <v>0</v>
      </c>
      <c r="L1251">
        <v>1.39</v>
      </c>
      <c r="M1251" t="s">
        <v>5079</v>
      </c>
      <c r="N1251">
        <v>103.64</v>
      </c>
      <c r="O1251" t="s">
        <v>1229</v>
      </c>
      <c r="P1251">
        <v>8.89</v>
      </c>
      <c r="Q1251">
        <v>8.81</v>
      </c>
      <c r="R1251">
        <v>8.8800000000000008</v>
      </c>
      <c r="S1251">
        <v>8.8699999999999992</v>
      </c>
      <c r="T1251">
        <v>0.9</v>
      </c>
      <c r="U1251">
        <v>0.4</v>
      </c>
      <c r="V1251">
        <v>25.33</v>
      </c>
      <c r="W1251">
        <v>3531</v>
      </c>
      <c r="X1251">
        <v>8.84</v>
      </c>
      <c r="Y1251" t="s">
        <v>2836</v>
      </c>
      <c r="Z1251" t="s">
        <v>2124</v>
      </c>
      <c r="AA1251">
        <v>1.41</v>
      </c>
      <c r="AB1251">
        <v>1256</v>
      </c>
      <c r="AC1251">
        <v>167</v>
      </c>
      <c r="AD1251">
        <v>3.22</v>
      </c>
      <c r="AE1251" t="s">
        <v>2756</v>
      </c>
      <c r="AF1251" t="s">
        <v>5077</v>
      </c>
      <c r="AG1251" t="s">
        <v>5080</v>
      </c>
      <c r="AH1251" t="s">
        <v>5081</v>
      </c>
      <c r="AI1251">
        <v>-2</v>
      </c>
      <c r="AJ1251">
        <v>-1.78</v>
      </c>
      <c r="AK1251">
        <v>7.32</v>
      </c>
      <c r="AL1251">
        <v>18.71</v>
      </c>
    </row>
    <row r="1252" spans="1:38" x14ac:dyDescent="0.25">
      <c r="A1252">
        <v>1251</v>
      </c>
      <c r="B1252" t="str">
        <f xml:space="preserve"> "600638"</f>
        <v>600638</v>
      </c>
      <c r="C1252" t="s">
        <v>5082</v>
      </c>
      <c r="D1252">
        <v>17.77</v>
      </c>
      <c r="E1252">
        <v>0.45</v>
      </c>
      <c r="F1252">
        <v>0.08</v>
      </c>
      <c r="G1252" t="s">
        <v>2443</v>
      </c>
      <c r="H1252">
        <v>4</v>
      </c>
      <c r="I1252">
        <v>17.71</v>
      </c>
      <c r="J1252">
        <v>17.760000000000002</v>
      </c>
      <c r="K1252">
        <v>0.34</v>
      </c>
      <c r="L1252">
        <v>0.79</v>
      </c>
      <c r="M1252" t="s">
        <v>5083</v>
      </c>
      <c r="N1252">
        <v>8.06</v>
      </c>
      <c r="O1252" t="s">
        <v>244</v>
      </c>
      <c r="P1252">
        <v>17.850000000000001</v>
      </c>
      <c r="Q1252">
        <v>17.079999999999998</v>
      </c>
      <c r="R1252">
        <v>17.2</v>
      </c>
      <c r="S1252">
        <v>17.690000000000001</v>
      </c>
      <c r="T1252">
        <v>4.3499999999999996</v>
      </c>
      <c r="U1252">
        <v>1.06</v>
      </c>
      <c r="V1252">
        <v>-17.59</v>
      </c>
      <c r="W1252">
        <v>-129</v>
      </c>
      <c r="X1252">
        <v>17.46</v>
      </c>
      <c r="Y1252" t="s">
        <v>2862</v>
      </c>
      <c r="Z1252" t="s">
        <v>3238</v>
      </c>
      <c r="AA1252">
        <v>1.43</v>
      </c>
      <c r="AB1252">
        <v>52</v>
      </c>
      <c r="AC1252">
        <v>33</v>
      </c>
      <c r="AD1252">
        <v>2.38</v>
      </c>
      <c r="AE1252" t="s">
        <v>4678</v>
      </c>
      <c r="AF1252" t="s">
        <v>5077</v>
      </c>
      <c r="AG1252" t="s">
        <v>4678</v>
      </c>
      <c r="AH1252" t="s">
        <v>5077</v>
      </c>
      <c r="AI1252">
        <v>-1</v>
      </c>
      <c r="AJ1252">
        <v>-1.22</v>
      </c>
      <c r="AK1252">
        <v>1.47</v>
      </c>
      <c r="AL1252">
        <v>4.51</v>
      </c>
    </row>
    <row r="1253" spans="1:38" x14ac:dyDescent="0.25">
      <c r="A1253">
        <v>1252</v>
      </c>
      <c r="B1253" t="str">
        <f xml:space="preserve"> "002519"</f>
        <v>002519</v>
      </c>
      <c r="C1253" t="s">
        <v>5084</v>
      </c>
      <c r="D1253">
        <v>8.7100000000000009</v>
      </c>
      <c r="E1253">
        <v>-1.25</v>
      </c>
      <c r="F1253">
        <v>-0.11</v>
      </c>
      <c r="G1253" t="s">
        <v>187</v>
      </c>
      <c r="H1253">
        <v>1352</v>
      </c>
      <c r="I1253">
        <v>8.7100000000000009</v>
      </c>
      <c r="J1253">
        <v>8.7200000000000006</v>
      </c>
      <c r="K1253">
        <v>0</v>
      </c>
      <c r="L1253">
        <v>0.96</v>
      </c>
      <c r="M1253" t="s">
        <v>5085</v>
      </c>
      <c r="N1253">
        <v>54.75</v>
      </c>
      <c r="O1253" t="s">
        <v>215</v>
      </c>
      <c r="P1253">
        <v>8.83</v>
      </c>
      <c r="Q1253">
        <v>8.6300000000000008</v>
      </c>
      <c r="R1253">
        <v>8.7200000000000006</v>
      </c>
      <c r="S1253">
        <v>8.82</v>
      </c>
      <c r="T1253">
        <v>2.27</v>
      </c>
      <c r="U1253">
        <v>0.43</v>
      </c>
      <c r="V1253">
        <v>-0.72</v>
      </c>
      <c r="W1253">
        <v>-27</v>
      </c>
      <c r="X1253">
        <v>8.7200000000000006</v>
      </c>
      <c r="Y1253" t="s">
        <v>2987</v>
      </c>
      <c r="Z1253" t="s">
        <v>4200</v>
      </c>
      <c r="AA1253">
        <v>1.78</v>
      </c>
      <c r="AB1253">
        <v>194</v>
      </c>
      <c r="AC1253">
        <v>585</v>
      </c>
      <c r="AD1253">
        <v>2.69</v>
      </c>
      <c r="AE1253" t="s">
        <v>357</v>
      </c>
      <c r="AF1253" t="s">
        <v>5086</v>
      </c>
      <c r="AG1253" t="s">
        <v>4255</v>
      </c>
      <c r="AH1253" t="s">
        <v>4173</v>
      </c>
      <c r="AI1253">
        <v>1.87</v>
      </c>
      <c r="AJ1253">
        <v>4.0599999999999996</v>
      </c>
      <c r="AK1253">
        <v>5.27</v>
      </c>
      <c r="AL1253">
        <v>12.22</v>
      </c>
    </row>
    <row r="1254" spans="1:38" x14ac:dyDescent="0.25">
      <c r="A1254">
        <v>1253</v>
      </c>
      <c r="B1254" t="str">
        <f xml:space="preserve"> "600743"</f>
        <v>600743</v>
      </c>
      <c r="C1254" t="s">
        <v>5087</v>
      </c>
      <c r="D1254">
        <v>4.2300000000000004</v>
      </c>
      <c r="E1254">
        <v>-0.47</v>
      </c>
      <c r="F1254">
        <v>-0.02</v>
      </c>
      <c r="G1254" t="s">
        <v>442</v>
      </c>
      <c r="H1254">
        <v>57</v>
      </c>
      <c r="I1254">
        <v>4.2300000000000004</v>
      </c>
      <c r="J1254">
        <v>4.24</v>
      </c>
      <c r="K1254">
        <v>0</v>
      </c>
      <c r="L1254">
        <v>0.49</v>
      </c>
      <c r="M1254" t="s">
        <v>5088</v>
      </c>
      <c r="N1254">
        <v>16.46</v>
      </c>
      <c r="O1254" t="s">
        <v>244</v>
      </c>
      <c r="P1254">
        <v>4.25</v>
      </c>
      <c r="Q1254">
        <v>4.22</v>
      </c>
      <c r="R1254">
        <v>4.2300000000000004</v>
      </c>
      <c r="S1254">
        <v>4.25</v>
      </c>
      <c r="T1254">
        <v>0.71</v>
      </c>
      <c r="U1254">
        <v>0.7</v>
      </c>
      <c r="V1254">
        <v>4.54</v>
      </c>
      <c r="W1254">
        <v>1427</v>
      </c>
      <c r="X1254">
        <v>4.2300000000000004</v>
      </c>
      <c r="Y1254" t="s">
        <v>5089</v>
      </c>
      <c r="Z1254" t="s">
        <v>4583</v>
      </c>
      <c r="AA1254">
        <v>1.56</v>
      </c>
      <c r="AB1254">
        <v>340</v>
      </c>
      <c r="AC1254">
        <v>3769</v>
      </c>
      <c r="AD1254">
        <v>1.46</v>
      </c>
      <c r="AE1254" t="s">
        <v>3284</v>
      </c>
      <c r="AF1254" t="s">
        <v>5090</v>
      </c>
      <c r="AG1254" t="s">
        <v>3284</v>
      </c>
      <c r="AH1254" t="s">
        <v>5090</v>
      </c>
      <c r="AI1254">
        <v>-1.4</v>
      </c>
      <c r="AJ1254">
        <v>-1.17</v>
      </c>
      <c r="AK1254">
        <v>1.76</v>
      </c>
      <c r="AL1254">
        <v>4.0199999999999996</v>
      </c>
    </row>
    <row r="1255" spans="1:38" x14ac:dyDescent="0.25">
      <c r="A1255">
        <v>1254</v>
      </c>
      <c r="B1255" t="str">
        <f xml:space="preserve"> "600894"</f>
        <v>600894</v>
      </c>
      <c r="C1255" t="s">
        <v>5091</v>
      </c>
      <c r="D1255">
        <v>11.54</v>
      </c>
      <c r="E1255">
        <v>0.35</v>
      </c>
      <c r="F1255">
        <v>0.04</v>
      </c>
      <c r="G1255" t="s">
        <v>1961</v>
      </c>
      <c r="H1255">
        <v>20</v>
      </c>
      <c r="I1255">
        <v>11.53</v>
      </c>
      <c r="J1255">
        <v>11.54</v>
      </c>
      <c r="K1255">
        <v>0.09</v>
      </c>
      <c r="L1255">
        <v>0.28000000000000003</v>
      </c>
      <c r="M1255" t="s">
        <v>5092</v>
      </c>
      <c r="N1255">
        <v>19.86</v>
      </c>
      <c r="O1255" t="s">
        <v>2647</v>
      </c>
      <c r="P1255">
        <v>11.54</v>
      </c>
      <c r="Q1255">
        <v>11.47</v>
      </c>
      <c r="R1255">
        <v>11.54</v>
      </c>
      <c r="S1255">
        <v>11.5</v>
      </c>
      <c r="T1255">
        <v>0.61</v>
      </c>
      <c r="U1255">
        <v>0.96</v>
      </c>
      <c r="V1255">
        <v>10.71</v>
      </c>
      <c r="W1255">
        <v>551</v>
      </c>
      <c r="X1255">
        <v>11.51</v>
      </c>
      <c r="Y1255" t="s">
        <v>2280</v>
      </c>
      <c r="Z1255" t="s">
        <v>3095</v>
      </c>
      <c r="AA1255">
        <v>1.07</v>
      </c>
      <c r="AB1255">
        <v>884</v>
      </c>
      <c r="AC1255">
        <v>516</v>
      </c>
      <c r="AD1255">
        <v>1.48</v>
      </c>
      <c r="AE1255" t="s">
        <v>130</v>
      </c>
      <c r="AF1255" t="s">
        <v>5090</v>
      </c>
      <c r="AG1255" t="s">
        <v>130</v>
      </c>
      <c r="AH1255" t="s">
        <v>5090</v>
      </c>
      <c r="AI1255">
        <v>-0.26</v>
      </c>
      <c r="AJ1255">
        <v>0.87</v>
      </c>
      <c r="AK1255">
        <v>0.85</v>
      </c>
      <c r="AL1255">
        <v>1.73</v>
      </c>
    </row>
    <row r="1256" spans="1:38" x14ac:dyDescent="0.25">
      <c r="A1256">
        <v>1255</v>
      </c>
      <c r="B1256" t="str">
        <f xml:space="preserve"> "600733"</f>
        <v>600733</v>
      </c>
      <c r="C1256" t="s">
        <v>5093</v>
      </c>
      <c r="D1256" t="s">
        <v>616</v>
      </c>
      <c r="E1256" t="s">
        <v>616</v>
      </c>
      <c r="F1256" t="s">
        <v>616</v>
      </c>
      <c r="G1256" t="s">
        <v>616</v>
      </c>
      <c r="H1256" t="s">
        <v>616</v>
      </c>
      <c r="I1256" t="s">
        <v>616</v>
      </c>
      <c r="J1256" t="s">
        <v>616</v>
      </c>
      <c r="K1256" t="s">
        <v>616</v>
      </c>
      <c r="L1256" t="s">
        <v>616</v>
      </c>
      <c r="M1256" t="s">
        <v>616</v>
      </c>
      <c r="N1256">
        <v>-2984.86</v>
      </c>
      <c r="O1256" t="s">
        <v>244</v>
      </c>
      <c r="P1256" t="s">
        <v>616</v>
      </c>
      <c r="Q1256" t="s">
        <v>616</v>
      </c>
      <c r="R1256" t="s">
        <v>616</v>
      </c>
      <c r="S1256">
        <v>50.18</v>
      </c>
      <c r="T1256" t="s">
        <v>616</v>
      </c>
      <c r="U1256" t="s">
        <v>616</v>
      </c>
      <c r="V1256" t="s">
        <v>616</v>
      </c>
      <c r="W1256" t="s">
        <v>616</v>
      </c>
      <c r="X1256" t="s">
        <v>616</v>
      </c>
      <c r="Y1256" t="s">
        <v>616</v>
      </c>
      <c r="Z1256" t="s">
        <v>616</v>
      </c>
      <c r="AA1256" t="s">
        <v>616</v>
      </c>
      <c r="AB1256" t="s">
        <v>616</v>
      </c>
      <c r="AC1256" t="s">
        <v>616</v>
      </c>
      <c r="AD1256">
        <v>54.13</v>
      </c>
      <c r="AE1256" t="s">
        <v>1965</v>
      </c>
      <c r="AF1256" t="s">
        <v>3842</v>
      </c>
      <c r="AG1256" t="s">
        <v>5094</v>
      </c>
      <c r="AH1256" t="s">
        <v>5095</v>
      </c>
      <c r="AI1256">
        <v>0</v>
      </c>
      <c r="AJ1256">
        <v>0</v>
      </c>
      <c r="AK1256">
        <v>0</v>
      </c>
      <c r="AL1256">
        <v>0</v>
      </c>
    </row>
    <row r="1257" spans="1:38" x14ac:dyDescent="0.25">
      <c r="A1257">
        <v>1256</v>
      </c>
      <c r="B1257" t="str">
        <f xml:space="preserve"> "002631"</f>
        <v>002631</v>
      </c>
      <c r="C1257" t="s">
        <v>5096</v>
      </c>
      <c r="D1257">
        <v>15.23</v>
      </c>
      <c r="E1257">
        <v>0.66</v>
      </c>
      <c r="F1257">
        <v>0.1</v>
      </c>
      <c r="G1257" t="s">
        <v>1712</v>
      </c>
      <c r="H1257">
        <v>405</v>
      </c>
      <c r="I1257">
        <v>15.22</v>
      </c>
      <c r="J1257">
        <v>15.23</v>
      </c>
      <c r="K1257">
        <v>7.0000000000000007E-2</v>
      </c>
      <c r="L1257">
        <v>1.26</v>
      </c>
      <c r="M1257" t="s">
        <v>5097</v>
      </c>
      <c r="N1257">
        <v>47.48</v>
      </c>
      <c r="O1257" t="s">
        <v>1469</v>
      </c>
      <c r="P1257">
        <v>15.3</v>
      </c>
      <c r="Q1257">
        <v>15.13</v>
      </c>
      <c r="R1257">
        <v>15.19</v>
      </c>
      <c r="S1257">
        <v>15.13</v>
      </c>
      <c r="T1257">
        <v>1.1200000000000001</v>
      </c>
      <c r="U1257">
        <v>0.7</v>
      </c>
      <c r="V1257">
        <v>-23.53</v>
      </c>
      <c r="W1257">
        <v>-555</v>
      </c>
      <c r="X1257">
        <v>15.2</v>
      </c>
      <c r="Y1257" t="s">
        <v>3042</v>
      </c>
      <c r="Z1257" t="s">
        <v>2773</v>
      </c>
      <c r="AA1257">
        <v>1.22</v>
      </c>
      <c r="AB1257">
        <v>91</v>
      </c>
      <c r="AC1257">
        <v>523</v>
      </c>
      <c r="AD1257">
        <v>6.39</v>
      </c>
      <c r="AE1257" t="s">
        <v>4584</v>
      </c>
      <c r="AF1257" t="s">
        <v>3842</v>
      </c>
      <c r="AG1257" t="s">
        <v>4989</v>
      </c>
      <c r="AH1257" t="s">
        <v>716</v>
      </c>
      <c r="AI1257">
        <v>-2.93</v>
      </c>
      <c r="AJ1257">
        <v>-0.46</v>
      </c>
      <c r="AK1257">
        <v>4.99</v>
      </c>
      <c r="AL1257">
        <v>10.220000000000001</v>
      </c>
    </row>
    <row r="1258" spans="1:38" x14ac:dyDescent="0.25">
      <c r="A1258">
        <v>1257</v>
      </c>
      <c r="B1258" t="str">
        <f xml:space="preserve"> "300037"</f>
        <v>300037</v>
      </c>
      <c r="C1258" t="s">
        <v>5098</v>
      </c>
      <c r="D1258">
        <v>26.15</v>
      </c>
      <c r="E1258">
        <v>-0.91</v>
      </c>
      <c r="F1258">
        <v>-0.24</v>
      </c>
      <c r="G1258" t="s">
        <v>4689</v>
      </c>
      <c r="H1258">
        <v>1091</v>
      </c>
      <c r="I1258">
        <v>26.15</v>
      </c>
      <c r="J1258">
        <v>26.16</v>
      </c>
      <c r="K1258">
        <v>0</v>
      </c>
      <c r="L1258">
        <v>2.42</v>
      </c>
      <c r="M1258" t="s">
        <v>2327</v>
      </c>
      <c r="N1258">
        <v>38.979999999999997</v>
      </c>
      <c r="O1258" t="s">
        <v>859</v>
      </c>
      <c r="P1258">
        <v>26.64</v>
      </c>
      <c r="Q1258">
        <v>26.1</v>
      </c>
      <c r="R1258">
        <v>26.2</v>
      </c>
      <c r="S1258">
        <v>26.39</v>
      </c>
      <c r="T1258">
        <v>2.0499999999999998</v>
      </c>
      <c r="U1258">
        <v>0.87</v>
      </c>
      <c r="V1258">
        <v>71.22</v>
      </c>
      <c r="W1258">
        <v>470</v>
      </c>
      <c r="X1258">
        <v>26.28</v>
      </c>
      <c r="Y1258" t="s">
        <v>1532</v>
      </c>
      <c r="Z1258" t="s">
        <v>2240</v>
      </c>
      <c r="AA1258">
        <v>1.57</v>
      </c>
      <c r="AB1258">
        <v>191</v>
      </c>
      <c r="AC1258">
        <v>14</v>
      </c>
      <c r="AD1258">
        <v>4.45</v>
      </c>
      <c r="AE1258" t="s">
        <v>5099</v>
      </c>
      <c r="AF1258" t="s">
        <v>4279</v>
      </c>
      <c r="AG1258" t="s">
        <v>2942</v>
      </c>
      <c r="AH1258" t="s">
        <v>5017</v>
      </c>
      <c r="AI1258">
        <v>-0.49</v>
      </c>
      <c r="AJ1258">
        <v>-1.88</v>
      </c>
      <c r="AK1258">
        <v>8.3699999999999992</v>
      </c>
      <c r="AL1258">
        <v>16.38</v>
      </c>
    </row>
    <row r="1259" spans="1:38" x14ac:dyDescent="0.25">
      <c r="A1259">
        <v>1258</v>
      </c>
      <c r="B1259" t="str">
        <f xml:space="preserve"> "000048"</f>
        <v>000048</v>
      </c>
      <c r="C1259" t="s">
        <v>5100</v>
      </c>
      <c r="D1259">
        <v>25.31</v>
      </c>
      <c r="E1259">
        <v>0.2</v>
      </c>
      <c r="F1259">
        <v>0.05</v>
      </c>
      <c r="G1259">
        <v>5922</v>
      </c>
      <c r="H1259">
        <v>13</v>
      </c>
      <c r="I1259">
        <v>25.31</v>
      </c>
      <c r="J1259">
        <v>25.33</v>
      </c>
      <c r="K1259">
        <v>0</v>
      </c>
      <c r="L1259">
        <v>0.15</v>
      </c>
      <c r="M1259" t="s">
        <v>5101</v>
      </c>
      <c r="N1259">
        <v>-154.62</v>
      </c>
      <c r="O1259" t="s">
        <v>622</v>
      </c>
      <c r="P1259">
        <v>25.48</v>
      </c>
      <c r="Q1259">
        <v>25.26</v>
      </c>
      <c r="R1259">
        <v>25.34</v>
      </c>
      <c r="S1259">
        <v>25.26</v>
      </c>
      <c r="T1259">
        <v>0.87</v>
      </c>
      <c r="U1259">
        <v>0.61</v>
      </c>
      <c r="V1259">
        <v>34.520000000000003</v>
      </c>
      <c r="W1259">
        <v>174</v>
      </c>
      <c r="X1259">
        <v>25.32</v>
      </c>
      <c r="Y1259">
        <v>4035</v>
      </c>
      <c r="Z1259">
        <v>1887</v>
      </c>
      <c r="AA1259">
        <v>2.14</v>
      </c>
      <c r="AB1259">
        <v>86</v>
      </c>
      <c r="AC1259">
        <v>9</v>
      </c>
      <c r="AD1259">
        <v>14.14</v>
      </c>
      <c r="AE1259" t="s">
        <v>5102</v>
      </c>
      <c r="AF1259" t="s">
        <v>5103</v>
      </c>
      <c r="AG1259" t="s">
        <v>5104</v>
      </c>
      <c r="AH1259" t="s">
        <v>5105</v>
      </c>
      <c r="AI1259">
        <v>-0.24</v>
      </c>
      <c r="AJ1259">
        <v>0.16</v>
      </c>
      <c r="AK1259">
        <v>1.08</v>
      </c>
      <c r="AL1259">
        <v>1.42</v>
      </c>
    </row>
    <row r="1260" spans="1:38" x14ac:dyDescent="0.25">
      <c r="A1260">
        <v>1259</v>
      </c>
      <c r="B1260" t="str">
        <f xml:space="preserve"> "600965"</f>
        <v>600965</v>
      </c>
      <c r="C1260" t="s">
        <v>5106</v>
      </c>
      <c r="D1260">
        <v>12.08</v>
      </c>
      <c r="E1260">
        <v>-1.47</v>
      </c>
      <c r="F1260">
        <v>-0.18</v>
      </c>
      <c r="G1260" t="s">
        <v>2485</v>
      </c>
      <c r="H1260">
        <v>6</v>
      </c>
      <c r="I1260">
        <v>12.07</v>
      </c>
      <c r="J1260">
        <v>12.08</v>
      </c>
      <c r="K1260">
        <v>-0.08</v>
      </c>
      <c r="L1260">
        <v>0.5</v>
      </c>
      <c r="M1260" t="s">
        <v>5107</v>
      </c>
      <c r="N1260">
        <v>75.47</v>
      </c>
      <c r="O1260" t="s">
        <v>622</v>
      </c>
      <c r="P1260">
        <v>12.25</v>
      </c>
      <c r="Q1260">
        <v>12.05</v>
      </c>
      <c r="R1260">
        <v>12.22</v>
      </c>
      <c r="S1260">
        <v>12.26</v>
      </c>
      <c r="T1260">
        <v>1.63</v>
      </c>
      <c r="U1260">
        <v>0.66</v>
      </c>
      <c r="V1260">
        <v>24.82</v>
      </c>
      <c r="W1260">
        <v>270</v>
      </c>
      <c r="X1260">
        <v>12.11</v>
      </c>
      <c r="Y1260" t="s">
        <v>545</v>
      </c>
      <c r="Z1260" t="s">
        <v>1579</v>
      </c>
      <c r="AA1260">
        <v>0.94</v>
      </c>
      <c r="AB1260">
        <v>50</v>
      </c>
      <c r="AC1260">
        <v>1</v>
      </c>
      <c r="AD1260">
        <v>5.61</v>
      </c>
      <c r="AE1260" t="s">
        <v>2981</v>
      </c>
      <c r="AF1260" t="s">
        <v>5103</v>
      </c>
      <c r="AG1260" t="s">
        <v>2438</v>
      </c>
      <c r="AH1260" t="s">
        <v>4301</v>
      </c>
      <c r="AI1260">
        <v>-2.34</v>
      </c>
      <c r="AJ1260">
        <v>2.98</v>
      </c>
      <c r="AK1260">
        <v>1.26</v>
      </c>
      <c r="AL1260">
        <v>4.3</v>
      </c>
    </row>
    <row r="1261" spans="1:38" x14ac:dyDescent="0.25">
      <c r="A1261">
        <v>1260</v>
      </c>
      <c r="B1261" t="str">
        <f xml:space="preserve"> "600116"</f>
        <v>600116</v>
      </c>
      <c r="C1261" t="s">
        <v>5108</v>
      </c>
      <c r="D1261">
        <v>9.9499999999999993</v>
      </c>
      <c r="E1261">
        <v>0.1</v>
      </c>
      <c r="F1261">
        <v>0.01</v>
      </c>
      <c r="G1261" t="s">
        <v>602</v>
      </c>
      <c r="H1261">
        <v>30</v>
      </c>
      <c r="I1261">
        <v>9.94</v>
      </c>
      <c r="J1261">
        <v>9.9499999999999993</v>
      </c>
      <c r="K1261">
        <v>0.1</v>
      </c>
      <c r="L1261">
        <v>0.68</v>
      </c>
      <c r="M1261" t="s">
        <v>5109</v>
      </c>
      <c r="N1261">
        <v>36.01</v>
      </c>
      <c r="O1261" t="s">
        <v>186</v>
      </c>
      <c r="P1261">
        <v>9.99</v>
      </c>
      <c r="Q1261">
        <v>9.89</v>
      </c>
      <c r="R1261">
        <v>9.9499999999999993</v>
      </c>
      <c r="S1261">
        <v>9.94</v>
      </c>
      <c r="T1261">
        <v>1.01</v>
      </c>
      <c r="U1261">
        <v>0.87</v>
      </c>
      <c r="V1261">
        <v>-13.75</v>
      </c>
      <c r="W1261">
        <v>-1084</v>
      </c>
      <c r="X1261">
        <v>9.93</v>
      </c>
      <c r="Y1261" t="s">
        <v>952</v>
      </c>
      <c r="Z1261" t="s">
        <v>3695</v>
      </c>
      <c r="AA1261">
        <v>1.46</v>
      </c>
      <c r="AB1261">
        <v>174</v>
      </c>
      <c r="AC1261">
        <v>22</v>
      </c>
      <c r="AD1261">
        <v>3.92</v>
      </c>
      <c r="AE1261" t="s">
        <v>5110</v>
      </c>
      <c r="AF1261" t="s">
        <v>5111</v>
      </c>
      <c r="AG1261" t="s">
        <v>5112</v>
      </c>
      <c r="AH1261" t="s">
        <v>5113</v>
      </c>
      <c r="AI1261">
        <v>-0.7</v>
      </c>
      <c r="AJ1261">
        <v>0.71</v>
      </c>
      <c r="AK1261">
        <v>2.2200000000000002</v>
      </c>
      <c r="AL1261">
        <v>4.5999999999999996</v>
      </c>
    </row>
    <row r="1262" spans="1:38" x14ac:dyDescent="0.25">
      <c r="A1262">
        <v>1261</v>
      </c>
      <c r="B1262" t="str">
        <f xml:space="preserve"> "300224"</f>
        <v>300224</v>
      </c>
      <c r="C1262" t="s">
        <v>5114</v>
      </c>
      <c r="D1262">
        <v>11.83</v>
      </c>
      <c r="E1262">
        <v>-0.08</v>
      </c>
      <c r="F1262">
        <v>-0.01</v>
      </c>
      <c r="G1262" t="s">
        <v>1211</v>
      </c>
      <c r="H1262">
        <v>5422</v>
      </c>
      <c r="I1262">
        <v>11.82</v>
      </c>
      <c r="J1262">
        <v>11.83</v>
      </c>
      <c r="K1262">
        <v>0.17</v>
      </c>
      <c r="L1262">
        <v>2.54</v>
      </c>
      <c r="M1262" t="s">
        <v>3597</v>
      </c>
      <c r="N1262">
        <v>-329.99</v>
      </c>
      <c r="O1262" t="s">
        <v>859</v>
      </c>
      <c r="P1262">
        <v>11.85</v>
      </c>
      <c r="Q1262">
        <v>11.53</v>
      </c>
      <c r="R1262">
        <v>11.7</v>
      </c>
      <c r="S1262">
        <v>11.84</v>
      </c>
      <c r="T1262">
        <v>2.7</v>
      </c>
      <c r="U1262">
        <v>0.84</v>
      </c>
      <c r="V1262">
        <v>-19.739999999999998</v>
      </c>
      <c r="W1262">
        <v>-1371</v>
      </c>
      <c r="X1262">
        <v>11.69</v>
      </c>
      <c r="Y1262" t="s">
        <v>1222</v>
      </c>
      <c r="Z1262" t="s">
        <v>747</v>
      </c>
      <c r="AA1262">
        <v>1.2</v>
      </c>
      <c r="AB1262">
        <v>1623</v>
      </c>
      <c r="AC1262">
        <v>2281</v>
      </c>
      <c r="AD1262">
        <v>3.46</v>
      </c>
      <c r="AE1262" t="s">
        <v>3608</v>
      </c>
      <c r="AF1262" t="s">
        <v>5111</v>
      </c>
      <c r="AG1262" t="s">
        <v>4609</v>
      </c>
      <c r="AH1262" t="s">
        <v>3816</v>
      </c>
      <c r="AI1262">
        <v>-11.32</v>
      </c>
      <c r="AJ1262">
        <v>-9.9700000000000006</v>
      </c>
      <c r="AK1262">
        <v>12.02</v>
      </c>
      <c r="AL1262">
        <v>17.62</v>
      </c>
    </row>
    <row r="1263" spans="1:38" x14ac:dyDescent="0.25">
      <c r="A1263">
        <v>1262</v>
      </c>
      <c r="B1263" t="str">
        <f xml:space="preserve"> "600559"</f>
        <v>600559</v>
      </c>
      <c r="C1263" t="s">
        <v>5115</v>
      </c>
      <c r="D1263" t="s">
        <v>616</v>
      </c>
      <c r="E1263" t="s">
        <v>616</v>
      </c>
      <c r="F1263" t="s">
        <v>616</v>
      </c>
      <c r="G1263" t="s">
        <v>616</v>
      </c>
      <c r="H1263" t="s">
        <v>616</v>
      </c>
      <c r="I1263" t="s">
        <v>616</v>
      </c>
      <c r="J1263" t="s">
        <v>616</v>
      </c>
      <c r="K1263" t="s">
        <v>616</v>
      </c>
      <c r="L1263" t="s">
        <v>616</v>
      </c>
      <c r="M1263" t="s">
        <v>616</v>
      </c>
      <c r="N1263">
        <v>103.97</v>
      </c>
      <c r="O1263" t="s">
        <v>123</v>
      </c>
      <c r="P1263" t="s">
        <v>616</v>
      </c>
      <c r="Q1263" t="s">
        <v>616</v>
      </c>
      <c r="R1263" t="s">
        <v>616</v>
      </c>
      <c r="S1263">
        <v>22.54</v>
      </c>
      <c r="T1263" t="s">
        <v>616</v>
      </c>
      <c r="U1263" t="s">
        <v>616</v>
      </c>
      <c r="V1263" t="s">
        <v>616</v>
      </c>
      <c r="W1263" t="s">
        <v>616</v>
      </c>
      <c r="X1263" t="s">
        <v>616</v>
      </c>
      <c r="Y1263" t="s">
        <v>616</v>
      </c>
      <c r="Z1263" t="s">
        <v>616</v>
      </c>
      <c r="AA1263" t="s">
        <v>616</v>
      </c>
      <c r="AB1263" t="s">
        <v>616</v>
      </c>
      <c r="AC1263" t="s">
        <v>616</v>
      </c>
      <c r="AD1263">
        <v>6.2</v>
      </c>
      <c r="AE1263" t="s">
        <v>963</v>
      </c>
      <c r="AF1263" t="s">
        <v>5116</v>
      </c>
      <c r="AG1263" t="s">
        <v>4109</v>
      </c>
      <c r="AH1263" t="s">
        <v>5117</v>
      </c>
      <c r="AI1263">
        <v>0</v>
      </c>
      <c r="AJ1263">
        <v>0</v>
      </c>
      <c r="AK1263">
        <v>0</v>
      </c>
      <c r="AL1263">
        <v>0</v>
      </c>
    </row>
    <row r="1264" spans="1:38" x14ac:dyDescent="0.25">
      <c r="A1264">
        <v>1263</v>
      </c>
      <c r="B1264" t="str">
        <f xml:space="preserve"> "300053"</f>
        <v>300053</v>
      </c>
      <c r="C1264" t="s">
        <v>5118</v>
      </c>
      <c r="D1264">
        <v>15.84</v>
      </c>
      <c r="E1264">
        <v>0.25</v>
      </c>
      <c r="F1264">
        <v>0.04</v>
      </c>
      <c r="G1264" t="s">
        <v>442</v>
      </c>
      <c r="H1264">
        <v>2699</v>
      </c>
      <c r="I1264">
        <v>15.83</v>
      </c>
      <c r="J1264">
        <v>15.84</v>
      </c>
      <c r="K1264">
        <v>0</v>
      </c>
      <c r="L1264">
        <v>2.5</v>
      </c>
      <c r="M1264" t="s">
        <v>2637</v>
      </c>
      <c r="N1264">
        <v>89.8</v>
      </c>
      <c r="O1264" t="s">
        <v>205</v>
      </c>
      <c r="P1264">
        <v>15.95</v>
      </c>
      <c r="Q1264">
        <v>15.52</v>
      </c>
      <c r="R1264">
        <v>15.52</v>
      </c>
      <c r="S1264">
        <v>15.8</v>
      </c>
      <c r="T1264">
        <v>2.72</v>
      </c>
      <c r="U1264">
        <v>0.39</v>
      </c>
      <c r="V1264">
        <v>-8.2899999999999991</v>
      </c>
      <c r="W1264">
        <v>-545</v>
      </c>
      <c r="X1264">
        <v>15.8</v>
      </c>
      <c r="Y1264" t="s">
        <v>2749</v>
      </c>
      <c r="Z1264" t="s">
        <v>1698</v>
      </c>
      <c r="AA1264">
        <v>0.97</v>
      </c>
      <c r="AB1264">
        <v>1078</v>
      </c>
      <c r="AC1264">
        <v>707</v>
      </c>
      <c r="AD1264">
        <v>4.93</v>
      </c>
      <c r="AE1264" t="s">
        <v>1337</v>
      </c>
      <c r="AF1264" t="s">
        <v>5116</v>
      </c>
      <c r="AG1264" t="s">
        <v>4013</v>
      </c>
      <c r="AH1264" t="s">
        <v>3576</v>
      </c>
      <c r="AI1264">
        <v>-5.6</v>
      </c>
      <c r="AJ1264">
        <v>1.08</v>
      </c>
      <c r="AK1264">
        <v>13.63</v>
      </c>
      <c r="AL1264">
        <v>34.15</v>
      </c>
    </row>
    <row r="1265" spans="1:38" x14ac:dyDescent="0.25">
      <c r="A1265">
        <v>1264</v>
      </c>
      <c r="B1265" t="str">
        <f xml:space="preserve"> "000639"</f>
        <v>000639</v>
      </c>
      <c r="C1265" t="s">
        <v>5119</v>
      </c>
      <c r="D1265">
        <v>21.7</v>
      </c>
      <c r="E1265">
        <v>-0.91</v>
      </c>
      <c r="F1265">
        <v>-0.2</v>
      </c>
      <c r="G1265" t="s">
        <v>1724</v>
      </c>
      <c r="H1265">
        <v>435</v>
      </c>
      <c r="I1265">
        <v>21.7</v>
      </c>
      <c r="J1265">
        <v>21.71</v>
      </c>
      <c r="K1265">
        <v>0</v>
      </c>
      <c r="L1265">
        <v>0.56000000000000005</v>
      </c>
      <c r="M1265" t="s">
        <v>5120</v>
      </c>
      <c r="N1265">
        <v>35.06</v>
      </c>
      <c r="O1265" t="s">
        <v>406</v>
      </c>
      <c r="P1265">
        <v>22.05</v>
      </c>
      <c r="Q1265">
        <v>21.43</v>
      </c>
      <c r="R1265">
        <v>21.93</v>
      </c>
      <c r="S1265">
        <v>21.9</v>
      </c>
      <c r="T1265">
        <v>2.83</v>
      </c>
      <c r="U1265">
        <v>0.78</v>
      </c>
      <c r="V1265">
        <v>64.28</v>
      </c>
      <c r="W1265">
        <v>921</v>
      </c>
      <c r="X1265">
        <v>21.72</v>
      </c>
      <c r="Y1265" t="s">
        <v>1579</v>
      </c>
      <c r="Z1265">
        <v>7176</v>
      </c>
      <c r="AA1265">
        <v>1.91</v>
      </c>
      <c r="AB1265">
        <v>960</v>
      </c>
      <c r="AC1265">
        <v>69</v>
      </c>
      <c r="AD1265">
        <v>4.8899999999999997</v>
      </c>
      <c r="AE1265" t="s">
        <v>369</v>
      </c>
      <c r="AF1265" t="s">
        <v>1594</v>
      </c>
      <c r="AG1265" t="s">
        <v>2316</v>
      </c>
      <c r="AH1265" t="s">
        <v>5121</v>
      </c>
      <c r="AI1265">
        <v>0.7</v>
      </c>
      <c r="AJ1265">
        <v>3.68</v>
      </c>
      <c r="AK1265">
        <v>2.23</v>
      </c>
      <c r="AL1265">
        <v>4.12</v>
      </c>
    </row>
    <row r="1266" spans="1:38" x14ac:dyDescent="0.25">
      <c r="A1266">
        <v>1265</v>
      </c>
      <c r="B1266" t="str">
        <f xml:space="preserve"> "000882"</f>
        <v>000882</v>
      </c>
      <c r="C1266" t="s">
        <v>5122</v>
      </c>
      <c r="D1266">
        <v>3.6</v>
      </c>
      <c r="E1266">
        <v>0.28000000000000003</v>
      </c>
      <c r="F1266">
        <v>0.01</v>
      </c>
      <c r="G1266" t="s">
        <v>949</v>
      </c>
      <c r="H1266">
        <v>744</v>
      </c>
      <c r="I1266">
        <v>3.6</v>
      </c>
      <c r="J1266">
        <v>3.61</v>
      </c>
      <c r="K1266">
        <v>0</v>
      </c>
      <c r="L1266">
        <v>0.37</v>
      </c>
      <c r="M1266" t="s">
        <v>5123</v>
      </c>
      <c r="N1266">
        <v>182.84</v>
      </c>
      <c r="O1266" t="s">
        <v>532</v>
      </c>
      <c r="P1266">
        <v>3.62</v>
      </c>
      <c r="Q1266">
        <v>3.58</v>
      </c>
      <c r="R1266">
        <v>3.59</v>
      </c>
      <c r="S1266">
        <v>3.59</v>
      </c>
      <c r="T1266">
        <v>1.1100000000000001</v>
      </c>
      <c r="U1266">
        <v>0.51</v>
      </c>
      <c r="V1266">
        <v>13.96</v>
      </c>
      <c r="W1266">
        <v>5647</v>
      </c>
      <c r="X1266">
        <v>3.6</v>
      </c>
      <c r="Y1266" t="s">
        <v>2147</v>
      </c>
      <c r="Z1266" t="s">
        <v>3297</v>
      </c>
      <c r="AA1266">
        <v>0.96</v>
      </c>
      <c r="AB1266">
        <v>9922</v>
      </c>
      <c r="AC1266">
        <v>1137</v>
      </c>
      <c r="AD1266">
        <v>1.27</v>
      </c>
      <c r="AE1266" t="s">
        <v>2608</v>
      </c>
      <c r="AF1266" t="s">
        <v>685</v>
      </c>
      <c r="AG1266" t="s">
        <v>4084</v>
      </c>
      <c r="AH1266" t="s">
        <v>5124</v>
      </c>
      <c r="AI1266">
        <v>0</v>
      </c>
      <c r="AJ1266">
        <v>2.56</v>
      </c>
      <c r="AK1266">
        <v>2.19</v>
      </c>
      <c r="AL1266">
        <v>3.95</v>
      </c>
    </row>
    <row r="1267" spans="1:38" x14ac:dyDescent="0.25">
      <c r="A1267">
        <v>1266</v>
      </c>
      <c r="B1267" t="str">
        <f xml:space="preserve"> "600536"</f>
        <v>600536</v>
      </c>
      <c r="C1267" t="s">
        <v>5125</v>
      </c>
      <c r="D1267">
        <v>19.899999999999999</v>
      </c>
      <c r="E1267">
        <v>-1.0900000000000001</v>
      </c>
      <c r="F1267">
        <v>-0.22</v>
      </c>
      <c r="G1267" t="s">
        <v>3264</v>
      </c>
      <c r="H1267">
        <v>45</v>
      </c>
      <c r="I1267">
        <v>19.89</v>
      </c>
      <c r="J1267">
        <v>19.899999999999999</v>
      </c>
      <c r="K1267">
        <v>0.15</v>
      </c>
      <c r="L1267">
        <v>1.02</v>
      </c>
      <c r="M1267" t="s">
        <v>4464</v>
      </c>
      <c r="N1267">
        <v>-29.09</v>
      </c>
      <c r="O1267" t="s">
        <v>893</v>
      </c>
      <c r="P1267">
        <v>20.14</v>
      </c>
      <c r="Q1267">
        <v>19.8</v>
      </c>
      <c r="R1267">
        <v>20.11</v>
      </c>
      <c r="S1267">
        <v>20.12</v>
      </c>
      <c r="T1267">
        <v>1.69</v>
      </c>
      <c r="U1267">
        <v>0.67</v>
      </c>
      <c r="V1267">
        <v>49.88</v>
      </c>
      <c r="W1267">
        <v>607</v>
      </c>
      <c r="X1267">
        <v>19.899999999999999</v>
      </c>
      <c r="Y1267" t="s">
        <v>4003</v>
      </c>
      <c r="Z1267" t="s">
        <v>1683</v>
      </c>
      <c r="AA1267">
        <v>2.15</v>
      </c>
      <c r="AB1267">
        <v>51</v>
      </c>
      <c r="AC1267">
        <v>18</v>
      </c>
      <c r="AD1267">
        <v>5.28</v>
      </c>
      <c r="AE1267" t="s">
        <v>4269</v>
      </c>
      <c r="AF1267" t="s">
        <v>3205</v>
      </c>
      <c r="AG1267" t="s">
        <v>4269</v>
      </c>
      <c r="AH1267" t="s">
        <v>3205</v>
      </c>
      <c r="AI1267">
        <v>-0.95</v>
      </c>
      <c r="AJ1267">
        <v>5.85</v>
      </c>
      <c r="AK1267">
        <v>4.3600000000000003</v>
      </c>
      <c r="AL1267">
        <v>8.67</v>
      </c>
    </row>
    <row r="1268" spans="1:38" x14ac:dyDescent="0.25">
      <c r="A1268">
        <v>1267</v>
      </c>
      <c r="B1268" t="str">
        <f xml:space="preserve"> "002264"</f>
        <v>002264</v>
      </c>
      <c r="C1268" t="s">
        <v>5126</v>
      </c>
      <c r="D1268" t="s">
        <v>616</v>
      </c>
      <c r="E1268" t="s">
        <v>616</v>
      </c>
      <c r="F1268" t="s">
        <v>616</v>
      </c>
      <c r="G1268" t="s">
        <v>616</v>
      </c>
      <c r="H1268" t="s">
        <v>616</v>
      </c>
      <c r="I1268" t="s">
        <v>616</v>
      </c>
      <c r="J1268" t="s">
        <v>616</v>
      </c>
      <c r="K1268" t="s">
        <v>616</v>
      </c>
      <c r="L1268" t="s">
        <v>616</v>
      </c>
      <c r="M1268" t="s">
        <v>616</v>
      </c>
      <c r="N1268">
        <v>117.6</v>
      </c>
      <c r="O1268" t="s">
        <v>532</v>
      </c>
      <c r="P1268" t="s">
        <v>616</v>
      </c>
      <c r="Q1268" t="s">
        <v>616</v>
      </c>
      <c r="R1268" t="s">
        <v>616</v>
      </c>
      <c r="S1268">
        <v>14.37</v>
      </c>
      <c r="T1268" t="s">
        <v>616</v>
      </c>
      <c r="U1268" t="s">
        <v>616</v>
      </c>
      <c r="V1268" t="s">
        <v>616</v>
      </c>
      <c r="W1268" t="s">
        <v>616</v>
      </c>
      <c r="X1268" t="s">
        <v>616</v>
      </c>
      <c r="Y1268" t="s">
        <v>616</v>
      </c>
      <c r="Z1268" t="s">
        <v>616</v>
      </c>
      <c r="AA1268" t="s">
        <v>616</v>
      </c>
      <c r="AB1268" t="s">
        <v>616</v>
      </c>
      <c r="AC1268" t="s">
        <v>616</v>
      </c>
      <c r="AD1268">
        <v>5.65</v>
      </c>
      <c r="AE1268" t="s">
        <v>2612</v>
      </c>
      <c r="AF1268" t="s">
        <v>3205</v>
      </c>
      <c r="AG1268" t="s">
        <v>4769</v>
      </c>
      <c r="AH1268" t="s">
        <v>5127</v>
      </c>
      <c r="AI1268">
        <v>10.029999999999999</v>
      </c>
      <c r="AJ1268">
        <v>0</v>
      </c>
      <c r="AK1268">
        <v>8.42</v>
      </c>
      <c r="AL1268">
        <v>20.39</v>
      </c>
    </row>
    <row r="1269" spans="1:38" x14ac:dyDescent="0.25">
      <c r="A1269">
        <v>1268</v>
      </c>
      <c r="B1269" t="str">
        <f xml:space="preserve"> "603898"</f>
        <v>603898</v>
      </c>
      <c r="C1269" t="s">
        <v>5128</v>
      </c>
      <c r="D1269">
        <v>30.9</v>
      </c>
      <c r="E1269">
        <v>0</v>
      </c>
      <c r="F1269">
        <v>0</v>
      </c>
      <c r="G1269">
        <v>8629</v>
      </c>
      <c r="H1269">
        <v>3</v>
      </c>
      <c r="I1269">
        <v>30.9</v>
      </c>
      <c r="J1269">
        <v>30.91</v>
      </c>
      <c r="K1269">
        <v>-0.1</v>
      </c>
      <c r="L1269">
        <v>0.97</v>
      </c>
      <c r="M1269" t="s">
        <v>5129</v>
      </c>
      <c r="N1269">
        <v>45.36</v>
      </c>
      <c r="O1269" t="s">
        <v>1469</v>
      </c>
      <c r="P1269">
        <v>31</v>
      </c>
      <c r="Q1269">
        <v>30.61</v>
      </c>
      <c r="R1269">
        <v>30.8</v>
      </c>
      <c r="S1269">
        <v>30.9</v>
      </c>
      <c r="T1269">
        <v>1.26</v>
      </c>
      <c r="U1269">
        <v>0.5</v>
      </c>
      <c r="V1269">
        <v>10.68</v>
      </c>
      <c r="W1269">
        <v>22</v>
      </c>
      <c r="X1269">
        <v>30.88</v>
      </c>
      <c r="Y1269">
        <v>5049</v>
      </c>
      <c r="Z1269">
        <v>3580</v>
      </c>
      <c r="AA1269">
        <v>1.41</v>
      </c>
      <c r="AB1269">
        <v>13</v>
      </c>
      <c r="AC1269">
        <v>6</v>
      </c>
      <c r="AD1269">
        <v>7.97</v>
      </c>
      <c r="AE1269" t="s">
        <v>103</v>
      </c>
      <c r="AF1269" t="s">
        <v>5130</v>
      </c>
      <c r="AG1269" t="s">
        <v>5131</v>
      </c>
      <c r="AH1269" t="s">
        <v>1480</v>
      </c>
      <c r="AI1269">
        <v>0.19</v>
      </c>
      <c r="AJ1269">
        <v>6.08</v>
      </c>
      <c r="AK1269">
        <v>4.5</v>
      </c>
      <c r="AL1269">
        <v>10.67</v>
      </c>
    </row>
    <row r="1270" spans="1:38" x14ac:dyDescent="0.25">
      <c r="A1270">
        <v>1269</v>
      </c>
      <c r="B1270" t="str">
        <f xml:space="preserve"> "600651"</f>
        <v>600651</v>
      </c>
      <c r="C1270" t="s">
        <v>5132</v>
      </c>
      <c r="D1270">
        <v>9.91</v>
      </c>
      <c r="E1270">
        <v>1.33</v>
      </c>
      <c r="F1270">
        <v>0.13</v>
      </c>
      <c r="G1270" t="s">
        <v>516</v>
      </c>
      <c r="H1270">
        <v>56</v>
      </c>
      <c r="I1270">
        <v>9.9</v>
      </c>
      <c r="J1270">
        <v>9.91</v>
      </c>
      <c r="K1270">
        <v>0</v>
      </c>
      <c r="L1270">
        <v>1.6</v>
      </c>
      <c r="M1270" t="s">
        <v>918</v>
      </c>
      <c r="N1270">
        <v>16.75</v>
      </c>
      <c r="O1270" t="s">
        <v>380</v>
      </c>
      <c r="P1270">
        <v>9.93</v>
      </c>
      <c r="Q1270">
        <v>9.65</v>
      </c>
      <c r="R1270">
        <v>9.81</v>
      </c>
      <c r="S1270">
        <v>9.7799999999999994</v>
      </c>
      <c r="T1270">
        <v>2.86</v>
      </c>
      <c r="U1270">
        <v>0.96</v>
      </c>
      <c r="V1270">
        <v>18.93</v>
      </c>
      <c r="W1270">
        <v>1125</v>
      </c>
      <c r="X1270">
        <v>9.7899999999999991</v>
      </c>
      <c r="Y1270" t="s">
        <v>2447</v>
      </c>
      <c r="Z1270" t="s">
        <v>196</v>
      </c>
      <c r="AA1270">
        <v>0.96</v>
      </c>
      <c r="AB1270">
        <v>324</v>
      </c>
      <c r="AC1270">
        <v>58</v>
      </c>
      <c r="AD1270">
        <v>2.69</v>
      </c>
      <c r="AE1270" t="s">
        <v>1430</v>
      </c>
      <c r="AF1270" t="s">
        <v>5130</v>
      </c>
      <c r="AG1270" t="s">
        <v>3988</v>
      </c>
      <c r="AH1270" t="s">
        <v>500</v>
      </c>
      <c r="AI1270">
        <v>1.02</v>
      </c>
      <c r="AJ1270">
        <v>6.67</v>
      </c>
      <c r="AK1270">
        <v>5.47</v>
      </c>
      <c r="AL1270">
        <v>9.89</v>
      </c>
    </row>
    <row r="1271" spans="1:38" x14ac:dyDescent="0.25">
      <c r="A1271">
        <v>1270</v>
      </c>
      <c r="B1271" t="str">
        <f xml:space="preserve"> "002190"</f>
        <v>002190</v>
      </c>
      <c r="C1271" t="s">
        <v>5133</v>
      </c>
      <c r="D1271">
        <v>28.45</v>
      </c>
      <c r="E1271">
        <v>0.11</v>
      </c>
      <c r="F1271">
        <v>0.03</v>
      </c>
      <c r="G1271" t="s">
        <v>915</v>
      </c>
      <c r="H1271">
        <v>234</v>
      </c>
      <c r="I1271">
        <v>28.45</v>
      </c>
      <c r="J1271">
        <v>28.46</v>
      </c>
      <c r="K1271">
        <v>0</v>
      </c>
      <c r="L1271">
        <v>1.08</v>
      </c>
      <c r="M1271" t="s">
        <v>1314</v>
      </c>
      <c r="N1271">
        <v>1739.09</v>
      </c>
      <c r="O1271" t="s">
        <v>169</v>
      </c>
      <c r="P1271">
        <v>28.85</v>
      </c>
      <c r="Q1271">
        <v>28.3</v>
      </c>
      <c r="R1271">
        <v>28.63</v>
      </c>
      <c r="S1271">
        <v>28.42</v>
      </c>
      <c r="T1271">
        <v>1.94</v>
      </c>
      <c r="U1271">
        <v>0.89</v>
      </c>
      <c r="V1271">
        <v>-22.71</v>
      </c>
      <c r="W1271">
        <v>-191</v>
      </c>
      <c r="X1271">
        <v>28.58</v>
      </c>
      <c r="Y1271" t="s">
        <v>3579</v>
      </c>
      <c r="Z1271" t="s">
        <v>2255</v>
      </c>
      <c r="AA1271">
        <v>1.36</v>
      </c>
      <c r="AB1271">
        <v>22</v>
      </c>
      <c r="AC1271">
        <v>242</v>
      </c>
      <c r="AD1271">
        <v>5.57</v>
      </c>
      <c r="AE1271" t="s">
        <v>2198</v>
      </c>
      <c r="AF1271" t="s">
        <v>4922</v>
      </c>
      <c r="AG1271" t="s">
        <v>2198</v>
      </c>
      <c r="AH1271" t="s">
        <v>4922</v>
      </c>
      <c r="AI1271">
        <v>-0.94</v>
      </c>
      <c r="AJ1271">
        <v>2.71</v>
      </c>
      <c r="AK1271">
        <v>3.38</v>
      </c>
      <c r="AL1271">
        <v>7.14</v>
      </c>
    </row>
    <row r="1272" spans="1:38" x14ac:dyDescent="0.25">
      <c r="A1272">
        <v>1271</v>
      </c>
      <c r="B1272" t="str">
        <f xml:space="preserve"> "002025"</f>
        <v>002025</v>
      </c>
      <c r="C1272" t="s">
        <v>5134</v>
      </c>
      <c r="D1272">
        <v>22.88</v>
      </c>
      <c r="E1272">
        <v>3.16</v>
      </c>
      <c r="F1272">
        <v>0.7</v>
      </c>
      <c r="G1272" t="s">
        <v>5135</v>
      </c>
      <c r="H1272">
        <v>1565</v>
      </c>
      <c r="I1272">
        <v>22.87</v>
      </c>
      <c r="J1272">
        <v>22.88</v>
      </c>
      <c r="K1272">
        <v>0.13</v>
      </c>
      <c r="L1272">
        <v>2.29</v>
      </c>
      <c r="M1272" t="s">
        <v>2151</v>
      </c>
      <c r="N1272">
        <v>32.950000000000003</v>
      </c>
      <c r="O1272" t="s">
        <v>380</v>
      </c>
      <c r="P1272">
        <v>22.98</v>
      </c>
      <c r="Q1272">
        <v>22.04</v>
      </c>
      <c r="R1272">
        <v>22.04</v>
      </c>
      <c r="S1272">
        <v>22.18</v>
      </c>
      <c r="T1272">
        <v>4.24</v>
      </c>
      <c r="U1272">
        <v>1.52</v>
      </c>
      <c r="V1272">
        <v>-90.73</v>
      </c>
      <c r="W1272">
        <v>-2858</v>
      </c>
      <c r="X1272">
        <v>22.46</v>
      </c>
      <c r="Y1272" t="s">
        <v>699</v>
      </c>
      <c r="Z1272" t="s">
        <v>3348</v>
      </c>
      <c r="AA1272">
        <v>0.81</v>
      </c>
      <c r="AB1272">
        <v>11</v>
      </c>
      <c r="AC1272">
        <v>735</v>
      </c>
      <c r="AD1272">
        <v>4.45</v>
      </c>
      <c r="AE1272" t="s">
        <v>5136</v>
      </c>
      <c r="AF1272" t="s">
        <v>4922</v>
      </c>
      <c r="AG1272" t="s">
        <v>5136</v>
      </c>
      <c r="AH1272" t="s">
        <v>311</v>
      </c>
      <c r="AI1272">
        <v>4.8600000000000003</v>
      </c>
      <c r="AJ1272">
        <v>6.17</v>
      </c>
      <c r="AK1272">
        <v>6.66</v>
      </c>
      <c r="AL1272">
        <v>9.7899999999999991</v>
      </c>
    </row>
    <row r="1273" spans="1:38" x14ac:dyDescent="0.25">
      <c r="A1273">
        <v>1272</v>
      </c>
      <c r="B1273" t="str">
        <f xml:space="preserve"> "600517"</f>
        <v>600517</v>
      </c>
      <c r="C1273" t="s">
        <v>5137</v>
      </c>
      <c r="D1273">
        <v>7.23</v>
      </c>
      <c r="E1273">
        <v>0.98</v>
      </c>
      <c r="F1273">
        <v>7.0000000000000007E-2</v>
      </c>
      <c r="G1273" t="s">
        <v>2987</v>
      </c>
      <c r="H1273">
        <v>269</v>
      </c>
      <c r="I1273">
        <v>7.22</v>
      </c>
      <c r="J1273">
        <v>7.23</v>
      </c>
      <c r="K1273">
        <v>0</v>
      </c>
      <c r="L1273">
        <v>0.41</v>
      </c>
      <c r="M1273" t="s">
        <v>5138</v>
      </c>
      <c r="N1273">
        <v>71.819999999999993</v>
      </c>
      <c r="O1273" t="s">
        <v>680</v>
      </c>
      <c r="P1273">
        <v>7.24</v>
      </c>
      <c r="Q1273">
        <v>7.15</v>
      </c>
      <c r="R1273">
        <v>7.19</v>
      </c>
      <c r="S1273">
        <v>7.16</v>
      </c>
      <c r="T1273">
        <v>1.26</v>
      </c>
      <c r="U1273">
        <v>1.43</v>
      </c>
      <c r="V1273">
        <v>-41.51</v>
      </c>
      <c r="W1273">
        <v>-4280</v>
      </c>
      <c r="X1273">
        <v>7.21</v>
      </c>
      <c r="Y1273" t="s">
        <v>2509</v>
      </c>
      <c r="Z1273" t="s">
        <v>2459</v>
      </c>
      <c r="AA1273">
        <v>0.65</v>
      </c>
      <c r="AB1273">
        <v>371</v>
      </c>
      <c r="AC1273">
        <v>161</v>
      </c>
      <c r="AD1273">
        <v>2.91</v>
      </c>
      <c r="AE1273" t="s">
        <v>1434</v>
      </c>
      <c r="AF1273" t="s">
        <v>311</v>
      </c>
      <c r="AG1273" t="s">
        <v>361</v>
      </c>
      <c r="AH1273" t="s">
        <v>1496</v>
      </c>
      <c r="AI1273">
        <v>0.42</v>
      </c>
      <c r="AJ1273">
        <v>2.5499999999999998</v>
      </c>
      <c r="AK1273">
        <v>0.98</v>
      </c>
      <c r="AL1273">
        <v>1.85</v>
      </c>
    </row>
    <row r="1274" spans="1:38" x14ac:dyDescent="0.25">
      <c r="A1274">
        <v>1273</v>
      </c>
      <c r="B1274" t="str">
        <f xml:space="preserve"> "000631"</f>
        <v>000631</v>
      </c>
      <c r="C1274" t="s">
        <v>5139</v>
      </c>
      <c r="D1274">
        <v>4.03</v>
      </c>
      <c r="E1274">
        <v>0</v>
      </c>
      <c r="F1274">
        <v>0</v>
      </c>
      <c r="G1274" t="s">
        <v>72</v>
      </c>
      <c r="H1274">
        <v>1231</v>
      </c>
      <c r="I1274">
        <v>4.0199999999999996</v>
      </c>
      <c r="J1274">
        <v>4.03</v>
      </c>
      <c r="K1274">
        <v>0</v>
      </c>
      <c r="L1274">
        <v>0.18</v>
      </c>
      <c r="M1274" t="s">
        <v>5140</v>
      </c>
      <c r="N1274">
        <v>16.21</v>
      </c>
      <c r="O1274" t="s">
        <v>244</v>
      </c>
      <c r="P1274">
        <v>4.03</v>
      </c>
      <c r="Q1274">
        <v>4.01</v>
      </c>
      <c r="R1274">
        <v>4.0199999999999996</v>
      </c>
      <c r="S1274">
        <v>4.03</v>
      </c>
      <c r="T1274">
        <v>0.5</v>
      </c>
      <c r="U1274">
        <v>0.66</v>
      </c>
      <c r="V1274">
        <v>9.69</v>
      </c>
      <c r="W1274">
        <v>3325</v>
      </c>
      <c r="X1274">
        <v>4.0199999999999996</v>
      </c>
      <c r="Y1274" t="s">
        <v>2777</v>
      </c>
      <c r="Z1274" t="s">
        <v>3238</v>
      </c>
      <c r="AA1274">
        <v>1.47</v>
      </c>
      <c r="AB1274">
        <v>3622</v>
      </c>
      <c r="AC1274">
        <v>2451</v>
      </c>
      <c r="AD1274">
        <v>1.74</v>
      </c>
      <c r="AE1274" t="s">
        <v>1700</v>
      </c>
      <c r="AF1274" t="s">
        <v>4160</v>
      </c>
      <c r="AG1274" t="s">
        <v>1700</v>
      </c>
      <c r="AH1274" t="s">
        <v>4160</v>
      </c>
      <c r="AI1274">
        <v>0</v>
      </c>
      <c r="AJ1274">
        <v>1.26</v>
      </c>
      <c r="AK1274">
        <v>0.65</v>
      </c>
      <c r="AL1274">
        <v>1.59</v>
      </c>
    </row>
    <row r="1275" spans="1:38" x14ac:dyDescent="0.25">
      <c r="A1275">
        <v>1274</v>
      </c>
      <c r="B1275" t="str">
        <f xml:space="preserve"> "002089"</f>
        <v>002089</v>
      </c>
      <c r="C1275" t="s">
        <v>5141</v>
      </c>
      <c r="D1275">
        <v>7.13</v>
      </c>
      <c r="E1275">
        <v>-1.25</v>
      </c>
      <c r="F1275">
        <v>-0.09</v>
      </c>
      <c r="G1275" t="s">
        <v>280</v>
      </c>
      <c r="H1275">
        <v>1360</v>
      </c>
      <c r="I1275">
        <v>7.12</v>
      </c>
      <c r="J1275">
        <v>7.13</v>
      </c>
      <c r="K1275">
        <v>0</v>
      </c>
      <c r="L1275">
        <v>1.64</v>
      </c>
      <c r="M1275" t="s">
        <v>4443</v>
      </c>
      <c r="N1275">
        <v>87.48</v>
      </c>
      <c r="O1275" t="s">
        <v>580</v>
      </c>
      <c r="P1275">
        <v>7.19</v>
      </c>
      <c r="Q1275">
        <v>7.06</v>
      </c>
      <c r="R1275">
        <v>7.15</v>
      </c>
      <c r="S1275">
        <v>7.22</v>
      </c>
      <c r="T1275">
        <v>1.8</v>
      </c>
      <c r="U1275">
        <v>0.52</v>
      </c>
      <c r="V1275">
        <v>42.78</v>
      </c>
      <c r="W1275">
        <v>5157</v>
      </c>
      <c r="X1275">
        <v>7.11</v>
      </c>
      <c r="Y1275" t="s">
        <v>907</v>
      </c>
      <c r="Z1275" t="s">
        <v>1854</v>
      </c>
      <c r="AA1275">
        <v>1.4</v>
      </c>
      <c r="AB1275">
        <v>970</v>
      </c>
      <c r="AC1275">
        <v>655</v>
      </c>
      <c r="AD1275">
        <v>5.13</v>
      </c>
      <c r="AE1275" t="s">
        <v>1566</v>
      </c>
      <c r="AF1275" t="s">
        <v>4160</v>
      </c>
      <c r="AG1275" t="s">
        <v>5142</v>
      </c>
      <c r="AH1275" t="s">
        <v>5143</v>
      </c>
      <c r="AI1275">
        <v>-4.04</v>
      </c>
      <c r="AJ1275">
        <v>-1.25</v>
      </c>
      <c r="AK1275">
        <v>6.6</v>
      </c>
      <c r="AL1275">
        <v>17.55</v>
      </c>
    </row>
    <row r="1276" spans="1:38" x14ac:dyDescent="0.25">
      <c r="A1276">
        <v>1275</v>
      </c>
      <c r="B1276" t="str">
        <f xml:space="preserve"> "300682"</f>
        <v>300682</v>
      </c>
      <c r="C1276" t="s">
        <v>5144</v>
      </c>
      <c r="D1276">
        <v>24.2</v>
      </c>
      <c r="E1276">
        <v>-1.87</v>
      </c>
      <c r="F1276">
        <v>-0.46</v>
      </c>
      <c r="G1276" t="s">
        <v>1960</v>
      </c>
      <c r="H1276">
        <v>1591</v>
      </c>
      <c r="I1276">
        <v>24.17</v>
      </c>
      <c r="J1276">
        <v>24.2</v>
      </c>
      <c r="K1276">
        <v>-0.25</v>
      </c>
      <c r="L1276">
        <v>8.5299999999999994</v>
      </c>
      <c r="M1276" t="s">
        <v>5145</v>
      </c>
      <c r="N1276">
        <v>5460.55</v>
      </c>
      <c r="O1276" t="s">
        <v>893</v>
      </c>
      <c r="P1276">
        <v>24.58</v>
      </c>
      <c r="Q1276">
        <v>23.8</v>
      </c>
      <c r="R1276">
        <v>24.07</v>
      </c>
      <c r="S1276">
        <v>24.66</v>
      </c>
      <c r="T1276">
        <v>3.16</v>
      </c>
      <c r="U1276">
        <v>0.72</v>
      </c>
      <c r="V1276">
        <v>-51.23</v>
      </c>
      <c r="W1276">
        <v>-271</v>
      </c>
      <c r="X1276">
        <v>24.21</v>
      </c>
      <c r="Y1276" t="s">
        <v>3230</v>
      </c>
      <c r="Z1276" t="s">
        <v>433</v>
      </c>
      <c r="AA1276">
        <v>1.53</v>
      </c>
      <c r="AB1276">
        <v>2</v>
      </c>
      <c r="AC1276">
        <v>255</v>
      </c>
      <c r="AD1276">
        <v>9.69</v>
      </c>
      <c r="AE1276" t="s">
        <v>2626</v>
      </c>
      <c r="AF1276" t="s">
        <v>4160</v>
      </c>
      <c r="AG1276" t="s">
        <v>1609</v>
      </c>
      <c r="AH1276" t="s">
        <v>888</v>
      </c>
      <c r="AI1276">
        <v>-3.35</v>
      </c>
      <c r="AJ1276">
        <v>7.36</v>
      </c>
      <c r="AK1276">
        <v>37.69</v>
      </c>
      <c r="AL1276">
        <v>67.930000000000007</v>
      </c>
    </row>
    <row r="1277" spans="1:38" x14ac:dyDescent="0.25">
      <c r="A1277">
        <v>1276</v>
      </c>
      <c r="B1277" t="str">
        <f xml:space="preserve"> "600108"</f>
        <v>600108</v>
      </c>
      <c r="C1277" t="s">
        <v>5146</v>
      </c>
      <c r="D1277">
        <v>5.03</v>
      </c>
      <c r="E1277">
        <v>2.0299999999999998</v>
      </c>
      <c r="F1277">
        <v>0.1</v>
      </c>
      <c r="G1277" t="s">
        <v>5147</v>
      </c>
      <c r="H1277">
        <v>101</v>
      </c>
      <c r="I1277">
        <v>5.01</v>
      </c>
      <c r="J1277">
        <v>5.0199999999999996</v>
      </c>
      <c r="K1277">
        <v>1</v>
      </c>
      <c r="L1277">
        <v>1.35</v>
      </c>
      <c r="M1277" t="s">
        <v>2065</v>
      </c>
      <c r="N1277">
        <v>141.27000000000001</v>
      </c>
      <c r="O1277" t="s">
        <v>622</v>
      </c>
      <c r="P1277">
        <v>5.04</v>
      </c>
      <c r="Q1277">
        <v>4.9000000000000004</v>
      </c>
      <c r="R1277">
        <v>4.91</v>
      </c>
      <c r="S1277">
        <v>4.93</v>
      </c>
      <c r="T1277">
        <v>2.84</v>
      </c>
      <c r="U1277">
        <v>1.1100000000000001</v>
      </c>
      <c r="V1277">
        <v>1.62</v>
      </c>
      <c r="W1277">
        <v>388</v>
      </c>
      <c r="X1277">
        <v>4.97</v>
      </c>
      <c r="Y1277" t="s">
        <v>4420</v>
      </c>
      <c r="Z1277" t="s">
        <v>766</v>
      </c>
      <c r="AA1277">
        <v>0.5</v>
      </c>
      <c r="AB1277">
        <v>957</v>
      </c>
      <c r="AC1277">
        <v>36</v>
      </c>
      <c r="AD1277">
        <v>2.09</v>
      </c>
      <c r="AE1277" t="s">
        <v>931</v>
      </c>
      <c r="AF1277" t="s">
        <v>2419</v>
      </c>
      <c r="AG1277" t="s">
        <v>931</v>
      </c>
      <c r="AH1277" t="s">
        <v>2419</v>
      </c>
      <c r="AI1277">
        <v>2.44</v>
      </c>
      <c r="AJ1277">
        <v>5.89</v>
      </c>
      <c r="AK1277">
        <v>4.32</v>
      </c>
      <c r="AL1277">
        <v>7.45</v>
      </c>
    </row>
    <row r="1278" spans="1:38" x14ac:dyDescent="0.25">
      <c r="A1278">
        <v>1277</v>
      </c>
      <c r="B1278" t="str">
        <f xml:space="preserve"> "000863"</f>
        <v>000863</v>
      </c>
      <c r="C1278" t="s">
        <v>5148</v>
      </c>
      <c r="D1278">
        <v>7.08</v>
      </c>
      <c r="E1278">
        <v>0</v>
      </c>
      <c r="F1278">
        <v>0</v>
      </c>
      <c r="G1278" t="s">
        <v>1683</v>
      </c>
      <c r="H1278">
        <v>278</v>
      </c>
      <c r="I1278">
        <v>7.08</v>
      </c>
      <c r="J1278">
        <v>7.09</v>
      </c>
      <c r="K1278">
        <v>0</v>
      </c>
      <c r="L1278">
        <v>0.17</v>
      </c>
      <c r="M1278" t="s">
        <v>5149</v>
      </c>
      <c r="N1278">
        <v>52.84</v>
      </c>
      <c r="O1278" t="s">
        <v>244</v>
      </c>
      <c r="P1278">
        <v>7.1</v>
      </c>
      <c r="Q1278">
        <v>7.05</v>
      </c>
      <c r="R1278">
        <v>7.08</v>
      </c>
      <c r="S1278">
        <v>7.08</v>
      </c>
      <c r="T1278">
        <v>0.71</v>
      </c>
      <c r="U1278">
        <v>0.51</v>
      </c>
      <c r="V1278">
        <v>9.4</v>
      </c>
      <c r="W1278">
        <v>527</v>
      </c>
      <c r="X1278">
        <v>7.07</v>
      </c>
      <c r="Y1278">
        <v>9958</v>
      </c>
      <c r="Z1278">
        <v>6039</v>
      </c>
      <c r="AA1278">
        <v>1.65</v>
      </c>
      <c r="AB1278">
        <v>115</v>
      </c>
      <c r="AC1278">
        <v>519</v>
      </c>
      <c r="AD1278">
        <v>1.5</v>
      </c>
      <c r="AE1278" t="s">
        <v>1047</v>
      </c>
      <c r="AF1278" t="s">
        <v>5150</v>
      </c>
      <c r="AG1278" t="s">
        <v>2951</v>
      </c>
      <c r="AH1278" t="s">
        <v>5151</v>
      </c>
      <c r="AI1278">
        <v>-1.1200000000000001</v>
      </c>
      <c r="AJ1278">
        <v>1.1399999999999999</v>
      </c>
      <c r="AK1278">
        <v>0.72</v>
      </c>
      <c r="AL1278">
        <v>1.87</v>
      </c>
    </row>
    <row r="1279" spans="1:38" x14ac:dyDescent="0.25">
      <c r="A1279">
        <v>1278</v>
      </c>
      <c r="B1279" t="str">
        <f xml:space="preserve"> "600617"</f>
        <v>600617</v>
      </c>
      <c r="C1279" t="s">
        <v>5152</v>
      </c>
      <c r="D1279">
        <v>9</v>
      </c>
      <c r="E1279">
        <v>0.45</v>
      </c>
      <c r="F1279">
        <v>0.04</v>
      </c>
      <c r="G1279" t="s">
        <v>2558</v>
      </c>
      <c r="H1279">
        <v>2</v>
      </c>
      <c r="I1279">
        <v>8.99</v>
      </c>
      <c r="J1279">
        <v>9</v>
      </c>
      <c r="K1279">
        <v>0</v>
      </c>
      <c r="L1279">
        <v>0.18</v>
      </c>
      <c r="M1279" t="s">
        <v>5153</v>
      </c>
      <c r="N1279">
        <v>48.66</v>
      </c>
      <c r="O1279" t="s">
        <v>2085</v>
      </c>
      <c r="P1279">
        <v>9.0299999999999994</v>
      </c>
      <c r="Q1279">
        <v>8.9</v>
      </c>
      <c r="R1279">
        <v>8.9</v>
      </c>
      <c r="S1279">
        <v>8.9600000000000009</v>
      </c>
      <c r="T1279">
        <v>1.45</v>
      </c>
      <c r="U1279">
        <v>0.91</v>
      </c>
      <c r="V1279">
        <v>-43.3</v>
      </c>
      <c r="W1279">
        <v>-615</v>
      </c>
      <c r="X1279">
        <v>8.98</v>
      </c>
      <c r="Y1279">
        <v>8870</v>
      </c>
      <c r="Z1279">
        <v>7072</v>
      </c>
      <c r="AA1279">
        <v>1.25</v>
      </c>
      <c r="AB1279">
        <v>40</v>
      </c>
      <c r="AC1279">
        <v>77</v>
      </c>
      <c r="AD1279">
        <v>2.56</v>
      </c>
      <c r="AE1279" t="s">
        <v>352</v>
      </c>
      <c r="AF1279" t="s">
        <v>2879</v>
      </c>
      <c r="AG1279" t="s">
        <v>5027</v>
      </c>
      <c r="AH1279" t="s">
        <v>402</v>
      </c>
      <c r="AI1279">
        <v>-0.66</v>
      </c>
      <c r="AJ1279">
        <v>0.22</v>
      </c>
      <c r="AK1279">
        <v>0.48</v>
      </c>
      <c r="AL1279">
        <v>1.1499999999999999</v>
      </c>
    </row>
    <row r="1280" spans="1:38" x14ac:dyDescent="0.25">
      <c r="A1280">
        <v>1279</v>
      </c>
      <c r="B1280" t="str">
        <f xml:space="preserve"> "603106"</f>
        <v>603106</v>
      </c>
      <c r="C1280" t="s">
        <v>5154</v>
      </c>
      <c r="D1280">
        <v>34.840000000000003</v>
      </c>
      <c r="E1280">
        <v>-5.86</v>
      </c>
      <c r="F1280">
        <v>-2.17</v>
      </c>
      <c r="G1280" t="s">
        <v>560</v>
      </c>
      <c r="H1280">
        <v>33</v>
      </c>
      <c r="I1280">
        <v>34.83</v>
      </c>
      <c r="J1280">
        <v>34.840000000000003</v>
      </c>
      <c r="K1280">
        <v>0.17</v>
      </c>
      <c r="L1280">
        <v>39.29</v>
      </c>
      <c r="M1280" t="s">
        <v>4751</v>
      </c>
      <c r="N1280">
        <v>54.58</v>
      </c>
      <c r="O1280" t="s">
        <v>553</v>
      </c>
      <c r="P1280">
        <v>37.1</v>
      </c>
      <c r="Q1280">
        <v>34.31</v>
      </c>
      <c r="R1280">
        <v>35.799999999999997</v>
      </c>
      <c r="S1280">
        <v>37.01</v>
      </c>
      <c r="T1280">
        <v>7.54</v>
      </c>
      <c r="U1280">
        <v>1.06</v>
      </c>
      <c r="V1280">
        <v>0.48</v>
      </c>
      <c r="W1280">
        <v>6</v>
      </c>
      <c r="X1280">
        <v>35.49</v>
      </c>
      <c r="Y1280" t="s">
        <v>4137</v>
      </c>
      <c r="Z1280" t="s">
        <v>1668</v>
      </c>
      <c r="AA1280">
        <v>1.35</v>
      </c>
      <c r="AB1280">
        <v>53</v>
      </c>
      <c r="AC1280">
        <v>3</v>
      </c>
      <c r="AD1280">
        <v>6.4</v>
      </c>
      <c r="AE1280" t="s">
        <v>3227</v>
      </c>
      <c r="AF1280" t="s">
        <v>2879</v>
      </c>
      <c r="AG1280" t="s">
        <v>5155</v>
      </c>
      <c r="AH1280" t="s">
        <v>903</v>
      </c>
      <c r="AI1280">
        <v>-4.55</v>
      </c>
      <c r="AJ1280">
        <v>27.06</v>
      </c>
      <c r="AK1280">
        <v>157.91</v>
      </c>
      <c r="AL1280">
        <v>224.38</v>
      </c>
    </row>
    <row r="1281" spans="1:38" x14ac:dyDescent="0.25">
      <c r="A1281">
        <v>1280</v>
      </c>
      <c r="B1281" t="str">
        <f xml:space="preserve"> "002656"</f>
        <v>002656</v>
      </c>
      <c r="C1281" t="s">
        <v>5156</v>
      </c>
      <c r="D1281">
        <v>21.9</v>
      </c>
      <c r="E1281">
        <v>0.55000000000000004</v>
      </c>
      <c r="F1281">
        <v>0.12</v>
      </c>
      <c r="G1281" t="s">
        <v>1570</v>
      </c>
      <c r="H1281">
        <v>249</v>
      </c>
      <c r="I1281">
        <v>21.9</v>
      </c>
      <c r="J1281">
        <v>21.91</v>
      </c>
      <c r="K1281">
        <v>-0.05</v>
      </c>
      <c r="L1281">
        <v>1.88</v>
      </c>
      <c r="M1281" t="s">
        <v>5157</v>
      </c>
      <c r="N1281">
        <v>46.31</v>
      </c>
      <c r="O1281" t="s">
        <v>1443</v>
      </c>
      <c r="P1281">
        <v>21.95</v>
      </c>
      <c r="Q1281">
        <v>21.4</v>
      </c>
      <c r="R1281">
        <v>21.75</v>
      </c>
      <c r="S1281">
        <v>21.78</v>
      </c>
      <c r="T1281">
        <v>2.5299999999999998</v>
      </c>
      <c r="U1281">
        <v>1.44</v>
      </c>
      <c r="V1281">
        <v>-17.91</v>
      </c>
      <c r="W1281">
        <v>-232</v>
      </c>
      <c r="X1281">
        <v>21.72</v>
      </c>
      <c r="Y1281" t="s">
        <v>1683</v>
      </c>
      <c r="Z1281" t="s">
        <v>2755</v>
      </c>
      <c r="AA1281">
        <v>0.54</v>
      </c>
      <c r="AB1281">
        <v>171</v>
      </c>
      <c r="AC1281">
        <v>10</v>
      </c>
      <c r="AD1281">
        <v>4.16</v>
      </c>
      <c r="AE1281" t="s">
        <v>2221</v>
      </c>
      <c r="AF1281" t="s">
        <v>5105</v>
      </c>
      <c r="AG1281" t="s">
        <v>5158</v>
      </c>
      <c r="AH1281" t="s">
        <v>5159</v>
      </c>
      <c r="AI1281">
        <v>1.34</v>
      </c>
      <c r="AJ1281">
        <v>8.68</v>
      </c>
      <c r="AK1281">
        <v>4.5999999999999996</v>
      </c>
      <c r="AL1281">
        <v>8.42</v>
      </c>
    </row>
    <row r="1282" spans="1:38" x14ac:dyDescent="0.25">
      <c r="A1282">
        <v>1281</v>
      </c>
      <c r="B1282" t="str">
        <f xml:space="preserve"> "300232"</f>
        <v>300232</v>
      </c>
      <c r="C1282" t="s">
        <v>5160</v>
      </c>
      <c r="D1282">
        <v>15.45</v>
      </c>
      <c r="E1282">
        <v>0.06</v>
      </c>
      <c r="F1282">
        <v>0.01</v>
      </c>
      <c r="G1282" t="s">
        <v>3780</v>
      </c>
      <c r="H1282">
        <v>372</v>
      </c>
      <c r="I1282">
        <v>15.45</v>
      </c>
      <c r="J1282">
        <v>15.46</v>
      </c>
      <c r="K1282">
        <v>0</v>
      </c>
      <c r="L1282">
        <v>2.64</v>
      </c>
      <c r="M1282" t="s">
        <v>2878</v>
      </c>
      <c r="N1282">
        <v>35.75</v>
      </c>
      <c r="O1282" t="s">
        <v>380</v>
      </c>
      <c r="P1282">
        <v>15.98</v>
      </c>
      <c r="Q1282">
        <v>15.38</v>
      </c>
      <c r="R1282">
        <v>15.49</v>
      </c>
      <c r="S1282">
        <v>15.44</v>
      </c>
      <c r="T1282">
        <v>3.89</v>
      </c>
      <c r="U1282">
        <v>1.99</v>
      </c>
      <c r="V1282">
        <v>-10.039999999999999</v>
      </c>
      <c r="W1282">
        <v>-172</v>
      </c>
      <c r="X1282">
        <v>15.63</v>
      </c>
      <c r="Y1282" t="s">
        <v>4198</v>
      </c>
      <c r="Z1282" t="s">
        <v>1379</v>
      </c>
      <c r="AA1282">
        <v>1.05</v>
      </c>
      <c r="AB1282">
        <v>422</v>
      </c>
      <c r="AC1282">
        <v>307</v>
      </c>
      <c r="AD1282">
        <v>5.96</v>
      </c>
      <c r="AE1282" t="s">
        <v>3792</v>
      </c>
      <c r="AF1282" t="s">
        <v>5105</v>
      </c>
      <c r="AG1282" t="s">
        <v>1343</v>
      </c>
      <c r="AH1282" t="s">
        <v>1957</v>
      </c>
      <c r="AI1282">
        <v>-0.19</v>
      </c>
      <c r="AJ1282">
        <v>3.69</v>
      </c>
      <c r="AK1282">
        <v>6.24</v>
      </c>
      <c r="AL1282">
        <v>9.27</v>
      </c>
    </row>
    <row r="1283" spans="1:38" x14ac:dyDescent="0.25">
      <c r="A1283">
        <v>1282</v>
      </c>
      <c r="B1283" t="str">
        <f xml:space="preserve"> "603258"</f>
        <v>603258</v>
      </c>
      <c r="C1283" t="s">
        <v>5161</v>
      </c>
      <c r="D1283">
        <v>40.590000000000003</v>
      </c>
      <c r="E1283">
        <v>-0.49</v>
      </c>
      <c r="F1283">
        <v>-0.2</v>
      </c>
      <c r="G1283" t="s">
        <v>2950</v>
      </c>
      <c r="H1283">
        <v>12</v>
      </c>
      <c r="I1283">
        <v>40.590000000000003</v>
      </c>
      <c r="J1283">
        <v>40.6</v>
      </c>
      <c r="K1283">
        <v>-0.02</v>
      </c>
      <c r="L1283">
        <v>4.8</v>
      </c>
      <c r="M1283" t="s">
        <v>1606</v>
      </c>
      <c r="N1283">
        <v>56.58</v>
      </c>
      <c r="O1283" t="s">
        <v>893</v>
      </c>
      <c r="P1283">
        <v>41.5</v>
      </c>
      <c r="Q1283">
        <v>40.4</v>
      </c>
      <c r="R1283">
        <v>40.4</v>
      </c>
      <c r="S1283">
        <v>40.79</v>
      </c>
      <c r="T1283">
        <v>2.7</v>
      </c>
      <c r="U1283">
        <v>1.28</v>
      </c>
      <c r="V1283">
        <v>-14.73</v>
      </c>
      <c r="W1283">
        <v>-38</v>
      </c>
      <c r="X1283">
        <v>41.03</v>
      </c>
      <c r="Y1283" t="s">
        <v>1077</v>
      </c>
      <c r="Z1283" t="s">
        <v>1508</v>
      </c>
      <c r="AA1283">
        <v>0.85</v>
      </c>
      <c r="AB1283">
        <v>18</v>
      </c>
      <c r="AC1283">
        <v>24</v>
      </c>
      <c r="AD1283">
        <v>6.35</v>
      </c>
      <c r="AE1283" t="s">
        <v>2521</v>
      </c>
      <c r="AF1283" t="s">
        <v>4138</v>
      </c>
      <c r="AG1283" t="s">
        <v>5162</v>
      </c>
      <c r="AH1283" t="s">
        <v>903</v>
      </c>
      <c r="AI1283">
        <v>7.0000000000000007E-2</v>
      </c>
      <c r="AJ1283">
        <v>4.99</v>
      </c>
      <c r="AK1283">
        <v>14.83</v>
      </c>
      <c r="AL1283">
        <v>23.56</v>
      </c>
    </row>
    <row r="1284" spans="1:38" x14ac:dyDescent="0.25">
      <c r="A1284">
        <v>1283</v>
      </c>
      <c r="B1284" t="str">
        <f xml:space="preserve"> "600255"</f>
        <v>600255</v>
      </c>
      <c r="C1284" t="s">
        <v>5163</v>
      </c>
      <c r="D1284">
        <v>5.5</v>
      </c>
      <c r="E1284">
        <v>-1.61</v>
      </c>
      <c r="F1284">
        <v>-0.09</v>
      </c>
      <c r="G1284" t="s">
        <v>3739</v>
      </c>
      <c r="H1284">
        <v>25</v>
      </c>
      <c r="I1284">
        <v>5.49</v>
      </c>
      <c r="J1284">
        <v>5.5</v>
      </c>
      <c r="K1284">
        <v>-0.18</v>
      </c>
      <c r="L1284">
        <v>1.1599999999999999</v>
      </c>
      <c r="M1284" t="s">
        <v>2706</v>
      </c>
      <c r="N1284">
        <v>629.01</v>
      </c>
      <c r="O1284" t="s">
        <v>449</v>
      </c>
      <c r="P1284">
        <v>5.61</v>
      </c>
      <c r="Q1284">
        <v>5.49</v>
      </c>
      <c r="R1284">
        <v>5.61</v>
      </c>
      <c r="S1284">
        <v>5.59</v>
      </c>
      <c r="T1284">
        <v>2.15</v>
      </c>
      <c r="U1284">
        <v>0.47</v>
      </c>
      <c r="V1284">
        <v>24.28</v>
      </c>
      <c r="W1284">
        <v>3233</v>
      </c>
      <c r="X1284">
        <v>5.53</v>
      </c>
      <c r="Y1284" t="s">
        <v>1834</v>
      </c>
      <c r="Z1284" t="s">
        <v>226</v>
      </c>
      <c r="AA1284">
        <v>1.87</v>
      </c>
      <c r="AB1284">
        <v>2268</v>
      </c>
      <c r="AC1284">
        <v>310</v>
      </c>
      <c r="AD1284">
        <v>2.93</v>
      </c>
      <c r="AE1284" t="s">
        <v>892</v>
      </c>
      <c r="AF1284" t="s">
        <v>5164</v>
      </c>
      <c r="AG1284" t="s">
        <v>892</v>
      </c>
      <c r="AH1284" t="s">
        <v>5164</v>
      </c>
      <c r="AI1284">
        <v>-2.31</v>
      </c>
      <c r="AJ1284">
        <v>4.3600000000000003</v>
      </c>
      <c r="AK1284">
        <v>4.9400000000000004</v>
      </c>
      <c r="AL1284">
        <v>13.54</v>
      </c>
    </row>
    <row r="1285" spans="1:38" x14ac:dyDescent="0.25">
      <c r="A1285">
        <v>1284</v>
      </c>
      <c r="B1285" t="str">
        <f xml:space="preserve"> "000711"</f>
        <v>000711</v>
      </c>
      <c r="C1285" t="s">
        <v>5165</v>
      </c>
      <c r="D1285">
        <v>14.93</v>
      </c>
      <c r="E1285">
        <v>3.97</v>
      </c>
      <c r="F1285">
        <v>0.56999999999999995</v>
      </c>
      <c r="G1285" t="s">
        <v>1585</v>
      </c>
      <c r="H1285">
        <v>852</v>
      </c>
      <c r="I1285">
        <v>14.93</v>
      </c>
      <c r="J1285">
        <v>14.94</v>
      </c>
      <c r="K1285">
        <v>-7.0000000000000007E-2</v>
      </c>
      <c r="L1285">
        <v>2.2200000000000002</v>
      </c>
      <c r="M1285" t="s">
        <v>1907</v>
      </c>
      <c r="N1285">
        <v>48.31</v>
      </c>
      <c r="O1285" t="s">
        <v>893</v>
      </c>
      <c r="P1285">
        <v>14.99</v>
      </c>
      <c r="Q1285">
        <v>14.23</v>
      </c>
      <c r="R1285">
        <v>14.37</v>
      </c>
      <c r="S1285">
        <v>14.36</v>
      </c>
      <c r="T1285">
        <v>5.29</v>
      </c>
      <c r="U1285">
        <v>3.18</v>
      </c>
      <c r="V1285">
        <v>-3.57</v>
      </c>
      <c r="W1285">
        <v>-86</v>
      </c>
      <c r="X1285">
        <v>14.62</v>
      </c>
      <c r="Y1285" t="s">
        <v>1705</v>
      </c>
      <c r="Z1285" t="s">
        <v>1560</v>
      </c>
      <c r="AA1285">
        <v>0.61</v>
      </c>
      <c r="AB1285">
        <v>154</v>
      </c>
      <c r="AC1285">
        <v>181</v>
      </c>
      <c r="AD1285">
        <v>3.2</v>
      </c>
      <c r="AE1285" t="s">
        <v>5166</v>
      </c>
      <c r="AF1285" t="s">
        <v>4664</v>
      </c>
      <c r="AG1285" t="s">
        <v>391</v>
      </c>
      <c r="AH1285" t="s">
        <v>984</v>
      </c>
      <c r="AI1285">
        <v>2.4</v>
      </c>
      <c r="AJ1285">
        <v>5.14</v>
      </c>
      <c r="AK1285">
        <v>3.82</v>
      </c>
      <c r="AL1285">
        <v>5.72</v>
      </c>
    </row>
    <row r="1286" spans="1:38" x14ac:dyDescent="0.25">
      <c r="A1286">
        <v>1285</v>
      </c>
      <c r="B1286" t="str">
        <f xml:space="preserve"> "300495"</f>
        <v>300495</v>
      </c>
      <c r="C1286" t="s">
        <v>5167</v>
      </c>
      <c r="D1286">
        <v>16.170000000000002</v>
      </c>
      <c r="E1286">
        <v>5.76</v>
      </c>
      <c r="F1286">
        <v>0.88</v>
      </c>
      <c r="G1286" t="s">
        <v>362</v>
      </c>
      <c r="H1286">
        <v>1949</v>
      </c>
      <c r="I1286">
        <v>16.16</v>
      </c>
      <c r="J1286">
        <v>16.170000000000002</v>
      </c>
      <c r="K1286">
        <v>0.12</v>
      </c>
      <c r="L1286">
        <v>4.51</v>
      </c>
      <c r="M1286" t="s">
        <v>3697</v>
      </c>
      <c r="N1286">
        <v>43.89</v>
      </c>
      <c r="O1286" t="s">
        <v>1221</v>
      </c>
      <c r="P1286">
        <v>16.62</v>
      </c>
      <c r="Q1286">
        <v>15.25</v>
      </c>
      <c r="R1286">
        <v>15.33</v>
      </c>
      <c r="S1286">
        <v>15.29</v>
      </c>
      <c r="T1286">
        <v>8.9600000000000009</v>
      </c>
      <c r="U1286">
        <v>4.53</v>
      </c>
      <c r="V1286">
        <v>-28.88</v>
      </c>
      <c r="W1286">
        <v>-1129</v>
      </c>
      <c r="X1286">
        <v>16.010000000000002</v>
      </c>
      <c r="Y1286" t="s">
        <v>2732</v>
      </c>
      <c r="Z1286" t="s">
        <v>5168</v>
      </c>
      <c r="AA1286">
        <v>0.54</v>
      </c>
      <c r="AB1286">
        <v>314</v>
      </c>
      <c r="AC1286">
        <v>1483</v>
      </c>
      <c r="AD1286">
        <v>3.62</v>
      </c>
      <c r="AE1286" t="s">
        <v>5169</v>
      </c>
      <c r="AF1286" t="s">
        <v>4664</v>
      </c>
      <c r="AG1286" t="s">
        <v>2845</v>
      </c>
      <c r="AH1286" t="s">
        <v>1815</v>
      </c>
      <c r="AI1286">
        <v>3.65</v>
      </c>
      <c r="AJ1286">
        <v>9.6300000000000008</v>
      </c>
      <c r="AK1286">
        <v>6.21</v>
      </c>
      <c r="AL1286">
        <v>9.49</v>
      </c>
    </row>
    <row r="1287" spans="1:38" x14ac:dyDescent="0.25">
      <c r="A1287">
        <v>1286</v>
      </c>
      <c r="B1287" t="str">
        <f xml:space="preserve"> "000799"</f>
        <v>000799</v>
      </c>
      <c r="C1287" t="s">
        <v>5170</v>
      </c>
      <c r="D1287">
        <v>29.9</v>
      </c>
      <c r="E1287">
        <v>-0.3</v>
      </c>
      <c r="F1287">
        <v>-0.09</v>
      </c>
      <c r="G1287" t="s">
        <v>1583</v>
      </c>
      <c r="H1287">
        <v>1097</v>
      </c>
      <c r="I1287">
        <v>29.9</v>
      </c>
      <c r="J1287">
        <v>29.91</v>
      </c>
      <c r="K1287">
        <v>0</v>
      </c>
      <c r="L1287">
        <v>6.46</v>
      </c>
      <c r="M1287" t="s">
        <v>1136</v>
      </c>
      <c r="N1287">
        <v>58.69</v>
      </c>
      <c r="O1287" t="s">
        <v>123</v>
      </c>
      <c r="P1287">
        <v>30.7</v>
      </c>
      <c r="Q1287">
        <v>29.76</v>
      </c>
      <c r="R1287">
        <v>29.91</v>
      </c>
      <c r="S1287">
        <v>29.99</v>
      </c>
      <c r="T1287">
        <v>3.13</v>
      </c>
      <c r="U1287">
        <v>0.69</v>
      </c>
      <c r="V1287">
        <v>76.510000000000005</v>
      </c>
      <c r="W1287">
        <v>886</v>
      </c>
      <c r="X1287">
        <v>30.09</v>
      </c>
      <c r="Y1287" t="s">
        <v>2098</v>
      </c>
      <c r="Z1287" t="s">
        <v>3562</v>
      </c>
      <c r="AA1287">
        <v>1.1499999999999999</v>
      </c>
      <c r="AB1287">
        <v>771</v>
      </c>
      <c r="AC1287">
        <v>65</v>
      </c>
      <c r="AD1287">
        <v>5.08</v>
      </c>
      <c r="AE1287" t="s">
        <v>981</v>
      </c>
      <c r="AF1287" t="s">
        <v>4664</v>
      </c>
      <c r="AG1287" t="s">
        <v>3123</v>
      </c>
      <c r="AH1287" t="s">
        <v>524</v>
      </c>
      <c r="AI1287">
        <v>2.4700000000000002</v>
      </c>
      <c r="AJ1287">
        <v>3.28</v>
      </c>
      <c r="AK1287">
        <v>30.03</v>
      </c>
      <c r="AL1287">
        <v>53.44</v>
      </c>
    </row>
    <row r="1288" spans="1:38" x14ac:dyDescent="0.25">
      <c r="A1288">
        <v>1287</v>
      </c>
      <c r="B1288" t="str">
        <f xml:space="preserve"> "002305"</f>
        <v>002305</v>
      </c>
      <c r="C1288" t="s">
        <v>5171</v>
      </c>
      <c r="D1288">
        <v>5.59</v>
      </c>
      <c r="E1288">
        <v>-0.89</v>
      </c>
      <c r="F1288">
        <v>-0.05</v>
      </c>
      <c r="G1288" t="s">
        <v>3745</v>
      </c>
      <c r="H1288">
        <v>2850</v>
      </c>
      <c r="I1288">
        <v>5.59</v>
      </c>
      <c r="J1288">
        <v>5.6</v>
      </c>
      <c r="K1288">
        <v>0</v>
      </c>
      <c r="L1288">
        <v>1.23</v>
      </c>
      <c r="M1288" t="s">
        <v>2179</v>
      </c>
      <c r="N1288">
        <v>440.67</v>
      </c>
      <c r="O1288" t="s">
        <v>244</v>
      </c>
      <c r="P1288">
        <v>5.64</v>
      </c>
      <c r="Q1288">
        <v>5.54</v>
      </c>
      <c r="R1288">
        <v>5.6</v>
      </c>
      <c r="S1288">
        <v>5.64</v>
      </c>
      <c r="T1288">
        <v>1.77</v>
      </c>
      <c r="U1288">
        <v>0.75</v>
      </c>
      <c r="V1288">
        <v>18.09</v>
      </c>
      <c r="W1288">
        <v>3561</v>
      </c>
      <c r="X1288">
        <v>5.59</v>
      </c>
      <c r="Y1288" t="s">
        <v>442</v>
      </c>
      <c r="Z1288" t="s">
        <v>1751</v>
      </c>
      <c r="AA1288">
        <v>1.69</v>
      </c>
      <c r="AB1288">
        <v>1632</v>
      </c>
      <c r="AC1288">
        <v>2251</v>
      </c>
      <c r="AD1288">
        <v>2.17</v>
      </c>
      <c r="AE1288" t="s">
        <v>531</v>
      </c>
      <c r="AF1288" t="s">
        <v>5172</v>
      </c>
      <c r="AG1288" t="s">
        <v>2945</v>
      </c>
      <c r="AH1288" t="s">
        <v>3383</v>
      </c>
      <c r="AI1288">
        <v>1.08</v>
      </c>
      <c r="AJ1288">
        <v>0</v>
      </c>
      <c r="AK1288">
        <v>4.7300000000000004</v>
      </c>
      <c r="AL1288">
        <v>9.42</v>
      </c>
    </row>
    <row r="1289" spans="1:38" x14ac:dyDescent="0.25">
      <c r="A1289">
        <v>1288</v>
      </c>
      <c r="B1289" t="str">
        <f xml:space="preserve"> "600280"</f>
        <v>600280</v>
      </c>
      <c r="C1289" t="s">
        <v>5173</v>
      </c>
      <c r="D1289">
        <v>8.44</v>
      </c>
      <c r="E1289">
        <v>0.96</v>
      </c>
      <c r="F1289">
        <v>0.08</v>
      </c>
      <c r="G1289" t="s">
        <v>1253</v>
      </c>
      <c r="H1289">
        <v>28</v>
      </c>
      <c r="I1289">
        <v>8.43</v>
      </c>
      <c r="J1289">
        <v>8.44</v>
      </c>
      <c r="K1289">
        <v>-0.12</v>
      </c>
      <c r="L1289">
        <v>0.44</v>
      </c>
      <c r="M1289" t="s">
        <v>5174</v>
      </c>
      <c r="N1289">
        <v>19.96</v>
      </c>
      <c r="O1289" t="s">
        <v>532</v>
      </c>
      <c r="P1289">
        <v>8.51</v>
      </c>
      <c r="Q1289">
        <v>8.31</v>
      </c>
      <c r="R1289">
        <v>8.41</v>
      </c>
      <c r="S1289">
        <v>8.36</v>
      </c>
      <c r="T1289">
        <v>2.39</v>
      </c>
      <c r="U1289">
        <v>0.69</v>
      </c>
      <c r="V1289">
        <v>5.57</v>
      </c>
      <c r="W1289">
        <v>66</v>
      </c>
      <c r="X1289">
        <v>8.42</v>
      </c>
      <c r="Y1289" t="s">
        <v>4118</v>
      </c>
      <c r="Z1289" t="s">
        <v>3877</v>
      </c>
      <c r="AA1289">
        <v>0.68</v>
      </c>
      <c r="AB1289">
        <v>188</v>
      </c>
      <c r="AC1289">
        <v>12</v>
      </c>
      <c r="AD1289">
        <v>5.13</v>
      </c>
      <c r="AE1289" t="s">
        <v>2388</v>
      </c>
      <c r="AF1289" t="s">
        <v>5172</v>
      </c>
      <c r="AG1289" t="s">
        <v>2388</v>
      </c>
      <c r="AH1289" t="s">
        <v>5172</v>
      </c>
      <c r="AI1289">
        <v>-0.82</v>
      </c>
      <c r="AJ1289">
        <v>-1.97</v>
      </c>
      <c r="AK1289">
        <v>2.1800000000000002</v>
      </c>
      <c r="AL1289">
        <v>3.66</v>
      </c>
    </row>
    <row r="1290" spans="1:38" x14ac:dyDescent="0.25">
      <c r="A1290">
        <v>1289</v>
      </c>
      <c r="B1290" t="str">
        <f xml:space="preserve"> "002658"</f>
        <v>002658</v>
      </c>
      <c r="C1290" t="s">
        <v>5175</v>
      </c>
      <c r="D1290">
        <v>16.010000000000002</v>
      </c>
      <c r="E1290">
        <v>6.66</v>
      </c>
      <c r="F1290">
        <v>1</v>
      </c>
      <c r="G1290" t="s">
        <v>2165</v>
      </c>
      <c r="H1290">
        <v>3182</v>
      </c>
      <c r="I1290">
        <v>16.010000000000002</v>
      </c>
      <c r="J1290">
        <v>16.02</v>
      </c>
      <c r="K1290">
        <v>0</v>
      </c>
      <c r="L1290">
        <v>7.16</v>
      </c>
      <c r="M1290" t="s">
        <v>5176</v>
      </c>
      <c r="N1290">
        <v>93.11</v>
      </c>
      <c r="O1290" t="s">
        <v>1372</v>
      </c>
      <c r="P1290">
        <v>16.510000000000002</v>
      </c>
      <c r="Q1290">
        <v>14.89</v>
      </c>
      <c r="R1290">
        <v>15.02</v>
      </c>
      <c r="S1290">
        <v>15.01</v>
      </c>
      <c r="T1290">
        <v>10.79</v>
      </c>
      <c r="U1290">
        <v>6.8</v>
      </c>
      <c r="V1290">
        <v>-23.1</v>
      </c>
      <c r="W1290">
        <v>-1796</v>
      </c>
      <c r="X1290">
        <v>15.86</v>
      </c>
      <c r="Y1290" t="s">
        <v>3127</v>
      </c>
      <c r="Z1290" t="s">
        <v>778</v>
      </c>
      <c r="AA1290">
        <v>0.64</v>
      </c>
      <c r="AB1290">
        <v>1219</v>
      </c>
      <c r="AC1290">
        <v>268</v>
      </c>
      <c r="AD1290">
        <v>5.59</v>
      </c>
      <c r="AE1290" t="s">
        <v>815</v>
      </c>
      <c r="AF1290" t="s">
        <v>4049</v>
      </c>
      <c r="AG1290" t="s">
        <v>1696</v>
      </c>
      <c r="AH1290" t="s">
        <v>4877</v>
      </c>
      <c r="AI1290">
        <v>6.73</v>
      </c>
      <c r="AJ1290">
        <v>7.96</v>
      </c>
      <c r="AK1290">
        <v>9.2200000000000006</v>
      </c>
      <c r="AL1290">
        <v>12.43</v>
      </c>
    </row>
    <row r="1291" spans="1:38" x14ac:dyDescent="0.25">
      <c r="A1291">
        <v>1290</v>
      </c>
      <c r="B1291" t="str">
        <f xml:space="preserve"> "600290"</f>
        <v>600290</v>
      </c>
      <c r="C1291" t="s">
        <v>5177</v>
      </c>
      <c r="D1291">
        <v>12.74</v>
      </c>
      <c r="E1291">
        <v>0.55000000000000004</v>
      </c>
      <c r="F1291">
        <v>7.0000000000000007E-2</v>
      </c>
      <c r="G1291" t="s">
        <v>2226</v>
      </c>
      <c r="H1291">
        <v>10</v>
      </c>
      <c r="I1291">
        <v>12.71</v>
      </c>
      <c r="J1291">
        <v>12.75</v>
      </c>
      <c r="K1291">
        <v>-0.16</v>
      </c>
      <c r="L1291">
        <v>0.77</v>
      </c>
      <c r="M1291" t="s">
        <v>5178</v>
      </c>
      <c r="N1291">
        <v>470.05</v>
      </c>
      <c r="O1291" t="s">
        <v>680</v>
      </c>
      <c r="P1291">
        <v>12.78</v>
      </c>
      <c r="Q1291">
        <v>12.4</v>
      </c>
      <c r="R1291">
        <v>12.56</v>
      </c>
      <c r="S1291">
        <v>12.67</v>
      </c>
      <c r="T1291">
        <v>3</v>
      </c>
      <c r="U1291">
        <v>0.49</v>
      </c>
      <c r="V1291">
        <v>24.34</v>
      </c>
      <c r="W1291">
        <v>561</v>
      </c>
      <c r="X1291">
        <v>12.55</v>
      </c>
      <c r="Y1291" t="s">
        <v>2614</v>
      </c>
      <c r="Z1291" t="s">
        <v>3798</v>
      </c>
      <c r="AA1291">
        <v>1.77</v>
      </c>
      <c r="AB1291">
        <v>87</v>
      </c>
      <c r="AC1291">
        <v>180</v>
      </c>
      <c r="AD1291">
        <v>2.35</v>
      </c>
      <c r="AE1291" t="s">
        <v>1764</v>
      </c>
      <c r="AF1291" t="s">
        <v>4049</v>
      </c>
      <c r="AG1291" t="s">
        <v>4260</v>
      </c>
      <c r="AH1291" t="s">
        <v>5179</v>
      </c>
      <c r="AI1291">
        <v>-0.62</v>
      </c>
      <c r="AJ1291">
        <v>3.41</v>
      </c>
      <c r="AK1291">
        <v>3.4</v>
      </c>
      <c r="AL1291">
        <v>8.69</v>
      </c>
    </row>
    <row r="1292" spans="1:38" x14ac:dyDescent="0.25">
      <c r="A1292">
        <v>1291</v>
      </c>
      <c r="B1292" t="str">
        <f xml:space="preserve"> "600990"</f>
        <v>600990</v>
      </c>
      <c r="C1292" t="s">
        <v>5180</v>
      </c>
      <c r="D1292">
        <v>60.81</v>
      </c>
      <c r="E1292">
        <v>-0.03</v>
      </c>
      <c r="F1292">
        <v>-0.02</v>
      </c>
      <c r="G1292" t="s">
        <v>3603</v>
      </c>
      <c r="H1292">
        <v>1</v>
      </c>
      <c r="I1292">
        <v>60.8</v>
      </c>
      <c r="J1292">
        <v>60.81</v>
      </c>
      <c r="K1292">
        <v>0.12</v>
      </c>
      <c r="L1292">
        <v>1.28</v>
      </c>
      <c r="M1292" t="s">
        <v>1635</v>
      </c>
      <c r="N1292">
        <v>-111.96</v>
      </c>
      <c r="O1292" t="s">
        <v>380</v>
      </c>
      <c r="P1292">
        <v>61</v>
      </c>
      <c r="Q1292">
        <v>59.56</v>
      </c>
      <c r="R1292">
        <v>60.3</v>
      </c>
      <c r="S1292">
        <v>60.83</v>
      </c>
      <c r="T1292">
        <v>2.37</v>
      </c>
      <c r="U1292">
        <v>0.79</v>
      </c>
      <c r="V1292">
        <v>-12.4</v>
      </c>
      <c r="W1292">
        <v>-17</v>
      </c>
      <c r="X1292">
        <v>60.47</v>
      </c>
      <c r="Y1292" t="s">
        <v>5181</v>
      </c>
      <c r="Z1292">
        <v>6870</v>
      </c>
      <c r="AA1292">
        <v>1.54</v>
      </c>
      <c r="AB1292">
        <v>34</v>
      </c>
      <c r="AC1292">
        <v>3</v>
      </c>
      <c r="AD1292">
        <v>5.08</v>
      </c>
      <c r="AE1292" t="s">
        <v>1820</v>
      </c>
      <c r="AF1292" t="s">
        <v>4049</v>
      </c>
      <c r="AG1292" t="s">
        <v>3058</v>
      </c>
      <c r="AH1292" t="s">
        <v>5182</v>
      </c>
      <c r="AI1292">
        <v>4.72</v>
      </c>
      <c r="AJ1292">
        <v>6.05</v>
      </c>
      <c r="AK1292">
        <v>6.41</v>
      </c>
      <c r="AL1292">
        <v>9.32</v>
      </c>
    </row>
    <row r="1293" spans="1:38" x14ac:dyDescent="0.25">
      <c r="A1293">
        <v>1292</v>
      </c>
      <c r="B1293" t="str">
        <f xml:space="preserve"> "002266"</f>
        <v>002266</v>
      </c>
      <c r="C1293" t="s">
        <v>5183</v>
      </c>
      <c r="D1293">
        <v>4.8899999999999997</v>
      </c>
      <c r="E1293">
        <v>0.2</v>
      </c>
      <c r="F1293">
        <v>0.01</v>
      </c>
      <c r="G1293" t="s">
        <v>4778</v>
      </c>
      <c r="H1293">
        <v>991</v>
      </c>
      <c r="I1293">
        <v>4.88</v>
      </c>
      <c r="J1293">
        <v>4.8899999999999997</v>
      </c>
      <c r="K1293">
        <v>0</v>
      </c>
      <c r="L1293">
        <v>0.54</v>
      </c>
      <c r="M1293" t="s">
        <v>5184</v>
      </c>
      <c r="N1293">
        <v>94.04</v>
      </c>
      <c r="O1293" t="s">
        <v>648</v>
      </c>
      <c r="P1293">
        <v>4.9000000000000004</v>
      </c>
      <c r="Q1293">
        <v>4.8499999999999996</v>
      </c>
      <c r="R1293">
        <v>4.88</v>
      </c>
      <c r="S1293">
        <v>4.88</v>
      </c>
      <c r="T1293">
        <v>1.02</v>
      </c>
      <c r="U1293">
        <v>0.79</v>
      </c>
      <c r="V1293">
        <v>-22.81</v>
      </c>
      <c r="W1293">
        <v>-7634</v>
      </c>
      <c r="X1293">
        <v>4.88</v>
      </c>
      <c r="Y1293" t="s">
        <v>3477</v>
      </c>
      <c r="Z1293" t="s">
        <v>1974</v>
      </c>
      <c r="AA1293">
        <v>0.96</v>
      </c>
      <c r="AB1293">
        <v>3726</v>
      </c>
      <c r="AC1293">
        <v>3789</v>
      </c>
      <c r="AD1293">
        <v>3.27</v>
      </c>
      <c r="AE1293" t="s">
        <v>4818</v>
      </c>
      <c r="AF1293" t="s">
        <v>4049</v>
      </c>
      <c r="AG1293" t="s">
        <v>3071</v>
      </c>
      <c r="AH1293" t="s">
        <v>4847</v>
      </c>
      <c r="AI1293">
        <v>0.2</v>
      </c>
      <c r="AJ1293">
        <v>2.73</v>
      </c>
      <c r="AK1293">
        <v>1.97</v>
      </c>
      <c r="AL1293">
        <v>3.97</v>
      </c>
    </row>
    <row r="1294" spans="1:38" x14ac:dyDescent="0.25">
      <c r="A1294">
        <v>1293</v>
      </c>
      <c r="B1294" t="str">
        <f xml:space="preserve"> "603337"</f>
        <v>603337</v>
      </c>
      <c r="C1294" t="s">
        <v>5185</v>
      </c>
      <c r="D1294">
        <v>46.72</v>
      </c>
      <c r="E1294">
        <v>0.15</v>
      </c>
      <c r="F1294">
        <v>7.0000000000000007E-2</v>
      </c>
      <c r="G1294">
        <v>9754</v>
      </c>
      <c r="H1294">
        <v>9</v>
      </c>
      <c r="I1294">
        <v>46.57</v>
      </c>
      <c r="J1294">
        <v>46.65</v>
      </c>
      <c r="K1294">
        <v>0.62</v>
      </c>
      <c r="L1294">
        <v>1.89</v>
      </c>
      <c r="M1294" t="s">
        <v>5186</v>
      </c>
      <c r="N1294">
        <v>34.53</v>
      </c>
      <c r="O1294" t="s">
        <v>2647</v>
      </c>
      <c r="P1294">
        <v>46.97</v>
      </c>
      <c r="Q1294">
        <v>45.71</v>
      </c>
      <c r="R1294">
        <v>46.5</v>
      </c>
      <c r="S1294">
        <v>46.65</v>
      </c>
      <c r="T1294">
        <v>2.7</v>
      </c>
      <c r="U1294">
        <v>1.1499999999999999</v>
      </c>
      <c r="V1294">
        <v>-91.97</v>
      </c>
      <c r="W1294">
        <v>-413</v>
      </c>
      <c r="X1294">
        <v>46.24</v>
      </c>
      <c r="Y1294">
        <v>6062</v>
      </c>
      <c r="Z1294">
        <v>3691</v>
      </c>
      <c r="AA1294">
        <v>1.64</v>
      </c>
      <c r="AB1294">
        <v>1</v>
      </c>
      <c r="AC1294">
        <v>11</v>
      </c>
      <c r="AD1294">
        <v>5.14</v>
      </c>
      <c r="AE1294" t="s">
        <v>883</v>
      </c>
      <c r="AF1294" t="s">
        <v>5187</v>
      </c>
      <c r="AG1294" t="s">
        <v>5188</v>
      </c>
      <c r="AH1294" t="s">
        <v>2317</v>
      </c>
      <c r="AI1294">
        <v>0.24</v>
      </c>
      <c r="AJ1294">
        <v>-1.29</v>
      </c>
      <c r="AK1294">
        <v>4.47</v>
      </c>
      <c r="AL1294">
        <v>10.1</v>
      </c>
    </row>
    <row r="1295" spans="1:38" x14ac:dyDescent="0.25">
      <c r="A1295">
        <v>1294</v>
      </c>
      <c r="B1295" t="str">
        <f xml:space="preserve"> "002703"</f>
        <v>002703</v>
      </c>
      <c r="C1295" t="s">
        <v>5189</v>
      </c>
      <c r="D1295">
        <v>12.21</v>
      </c>
      <c r="E1295">
        <v>-0.41</v>
      </c>
      <c r="F1295">
        <v>-0.05</v>
      </c>
      <c r="G1295" t="s">
        <v>681</v>
      </c>
      <c r="H1295">
        <v>1970</v>
      </c>
      <c r="I1295">
        <v>12.21</v>
      </c>
      <c r="J1295">
        <v>12.22</v>
      </c>
      <c r="K1295">
        <v>0.16</v>
      </c>
      <c r="L1295">
        <v>1.94</v>
      </c>
      <c r="M1295" t="s">
        <v>5190</v>
      </c>
      <c r="N1295">
        <v>121.38</v>
      </c>
      <c r="O1295" t="s">
        <v>169</v>
      </c>
      <c r="P1295">
        <v>12.28</v>
      </c>
      <c r="Q1295">
        <v>12.1</v>
      </c>
      <c r="R1295">
        <v>12.26</v>
      </c>
      <c r="S1295">
        <v>12.26</v>
      </c>
      <c r="T1295">
        <v>1.47</v>
      </c>
      <c r="U1295">
        <v>0.48</v>
      </c>
      <c r="V1295">
        <v>21.7</v>
      </c>
      <c r="W1295">
        <v>1194</v>
      </c>
      <c r="X1295">
        <v>12.17</v>
      </c>
      <c r="Y1295" t="s">
        <v>4666</v>
      </c>
      <c r="Z1295" t="s">
        <v>1949</v>
      </c>
      <c r="AA1295">
        <v>1.3</v>
      </c>
      <c r="AB1295">
        <v>207</v>
      </c>
      <c r="AC1295">
        <v>690</v>
      </c>
      <c r="AD1295">
        <v>6.65</v>
      </c>
      <c r="AE1295" t="s">
        <v>3429</v>
      </c>
      <c r="AF1295" t="s">
        <v>5191</v>
      </c>
      <c r="AG1295" t="s">
        <v>5176</v>
      </c>
      <c r="AH1295" t="s">
        <v>653</v>
      </c>
      <c r="AI1295">
        <v>-0.65</v>
      </c>
      <c r="AJ1295">
        <v>5.44</v>
      </c>
      <c r="AK1295">
        <v>11.12</v>
      </c>
      <c r="AL1295">
        <v>22.17</v>
      </c>
    </row>
    <row r="1296" spans="1:38" x14ac:dyDescent="0.25">
      <c r="A1296">
        <v>1295</v>
      </c>
      <c r="B1296" t="str">
        <f xml:space="preserve"> "600812"</f>
        <v>600812</v>
      </c>
      <c r="C1296" t="s">
        <v>5192</v>
      </c>
      <c r="D1296">
        <v>5.91</v>
      </c>
      <c r="E1296">
        <v>0</v>
      </c>
      <c r="F1296">
        <v>0</v>
      </c>
      <c r="G1296" t="s">
        <v>1705</v>
      </c>
      <c r="H1296">
        <v>31</v>
      </c>
      <c r="I1296">
        <v>5.9</v>
      </c>
      <c r="J1296">
        <v>5.91</v>
      </c>
      <c r="K1296">
        <v>0</v>
      </c>
      <c r="L1296">
        <v>0.17</v>
      </c>
      <c r="M1296" t="s">
        <v>5193</v>
      </c>
      <c r="N1296">
        <v>156.5</v>
      </c>
      <c r="O1296" t="s">
        <v>392</v>
      </c>
      <c r="P1296">
        <v>5.92</v>
      </c>
      <c r="Q1296">
        <v>5.86</v>
      </c>
      <c r="R1296">
        <v>5.91</v>
      </c>
      <c r="S1296">
        <v>5.91</v>
      </c>
      <c r="T1296">
        <v>1.02</v>
      </c>
      <c r="U1296">
        <v>0.68</v>
      </c>
      <c r="V1296">
        <v>-10.71</v>
      </c>
      <c r="W1296">
        <v>-1169</v>
      </c>
      <c r="X1296">
        <v>5.9</v>
      </c>
      <c r="Y1296" t="s">
        <v>4374</v>
      </c>
      <c r="Z1296">
        <v>8038</v>
      </c>
      <c r="AA1296">
        <v>2.37</v>
      </c>
      <c r="AB1296">
        <v>589</v>
      </c>
      <c r="AC1296">
        <v>456</v>
      </c>
      <c r="AD1296">
        <v>1.82</v>
      </c>
      <c r="AE1296" t="s">
        <v>1464</v>
      </c>
      <c r="AF1296" t="s">
        <v>5191</v>
      </c>
      <c r="AG1296" t="s">
        <v>1464</v>
      </c>
      <c r="AH1296" t="s">
        <v>5191</v>
      </c>
      <c r="AI1296">
        <v>-0.34</v>
      </c>
      <c r="AJ1296">
        <v>1.9</v>
      </c>
      <c r="AK1296">
        <v>0.69</v>
      </c>
      <c r="AL1296">
        <v>1.39</v>
      </c>
    </row>
    <row r="1297" spans="1:38" x14ac:dyDescent="0.25">
      <c r="A1297">
        <v>1296</v>
      </c>
      <c r="B1297" t="str">
        <f xml:space="preserve"> "601500"</f>
        <v>601500</v>
      </c>
      <c r="C1297" t="s">
        <v>5194</v>
      </c>
      <c r="D1297">
        <v>13.23</v>
      </c>
      <c r="E1297">
        <v>2.2400000000000002</v>
      </c>
      <c r="F1297">
        <v>0.28999999999999998</v>
      </c>
      <c r="G1297" t="s">
        <v>2499</v>
      </c>
      <c r="H1297">
        <v>103</v>
      </c>
      <c r="I1297">
        <v>13.22</v>
      </c>
      <c r="J1297">
        <v>13.23</v>
      </c>
      <c r="K1297">
        <v>0</v>
      </c>
      <c r="L1297">
        <v>3.89</v>
      </c>
      <c r="M1297" t="s">
        <v>5195</v>
      </c>
      <c r="N1297">
        <v>74.69</v>
      </c>
      <c r="O1297" t="s">
        <v>2128</v>
      </c>
      <c r="P1297">
        <v>13.27</v>
      </c>
      <c r="Q1297">
        <v>12.88</v>
      </c>
      <c r="R1297">
        <v>12.88</v>
      </c>
      <c r="S1297">
        <v>12.94</v>
      </c>
      <c r="T1297">
        <v>3.01</v>
      </c>
      <c r="U1297">
        <v>1.8</v>
      </c>
      <c r="V1297">
        <v>27.56</v>
      </c>
      <c r="W1297">
        <v>3634</v>
      </c>
      <c r="X1297">
        <v>13.13</v>
      </c>
      <c r="Y1297" t="s">
        <v>2614</v>
      </c>
      <c r="Z1297" t="s">
        <v>2481</v>
      </c>
      <c r="AA1297">
        <v>0.62</v>
      </c>
      <c r="AB1297">
        <v>5120</v>
      </c>
      <c r="AC1297">
        <v>388</v>
      </c>
      <c r="AD1297">
        <v>3.81</v>
      </c>
      <c r="AE1297" t="s">
        <v>5196</v>
      </c>
      <c r="AF1297" t="s">
        <v>5197</v>
      </c>
      <c r="AG1297" t="s">
        <v>3336</v>
      </c>
      <c r="AH1297" t="s">
        <v>2528</v>
      </c>
      <c r="AI1297">
        <v>3.04</v>
      </c>
      <c r="AJ1297">
        <v>6.35</v>
      </c>
      <c r="AK1297">
        <v>10.119999999999999</v>
      </c>
      <c r="AL1297">
        <v>14.66</v>
      </c>
    </row>
    <row r="1298" spans="1:38" x14ac:dyDescent="0.25">
      <c r="A1298">
        <v>1297</v>
      </c>
      <c r="B1298" t="str">
        <f xml:space="preserve"> "002479"</f>
        <v>002479</v>
      </c>
      <c r="C1298" t="s">
        <v>5198</v>
      </c>
      <c r="D1298">
        <v>12.04</v>
      </c>
      <c r="E1298">
        <v>3.61</v>
      </c>
      <c r="F1298">
        <v>0.42</v>
      </c>
      <c r="G1298" t="s">
        <v>766</v>
      </c>
      <c r="H1298">
        <v>3420</v>
      </c>
      <c r="I1298">
        <v>12.03</v>
      </c>
      <c r="J1298">
        <v>12.04</v>
      </c>
      <c r="K1298">
        <v>0.17</v>
      </c>
      <c r="L1298">
        <v>2.39</v>
      </c>
      <c r="M1298" t="s">
        <v>2519</v>
      </c>
      <c r="N1298">
        <v>24.15</v>
      </c>
      <c r="O1298" t="s">
        <v>1155</v>
      </c>
      <c r="P1298">
        <v>12.24</v>
      </c>
      <c r="Q1298">
        <v>11.58</v>
      </c>
      <c r="R1298">
        <v>11.65</v>
      </c>
      <c r="S1298">
        <v>11.62</v>
      </c>
      <c r="T1298">
        <v>5.68</v>
      </c>
      <c r="U1298">
        <v>2.87</v>
      </c>
      <c r="V1298">
        <v>-21.53</v>
      </c>
      <c r="W1298">
        <v>-2148</v>
      </c>
      <c r="X1298">
        <v>11.97</v>
      </c>
      <c r="Y1298" t="s">
        <v>5199</v>
      </c>
      <c r="Z1298" t="s">
        <v>4016</v>
      </c>
      <c r="AA1298">
        <v>0.75</v>
      </c>
      <c r="AB1298">
        <v>1094</v>
      </c>
      <c r="AC1298">
        <v>384</v>
      </c>
      <c r="AD1298">
        <v>3.49</v>
      </c>
      <c r="AE1298" t="s">
        <v>3916</v>
      </c>
      <c r="AF1298" t="s">
        <v>56</v>
      </c>
      <c r="AG1298" t="s">
        <v>3149</v>
      </c>
      <c r="AH1298" t="s">
        <v>4380</v>
      </c>
      <c r="AI1298">
        <v>2.29</v>
      </c>
      <c r="AJ1298">
        <v>7.12</v>
      </c>
      <c r="AK1298">
        <v>3.8</v>
      </c>
      <c r="AL1298">
        <v>6.56</v>
      </c>
    </row>
    <row r="1299" spans="1:38" x14ac:dyDescent="0.25">
      <c r="A1299">
        <v>1298</v>
      </c>
      <c r="B1299" t="str">
        <f xml:space="preserve"> "600657"</f>
        <v>600657</v>
      </c>
      <c r="C1299" t="s">
        <v>5200</v>
      </c>
      <c r="D1299">
        <v>6.29</v>
      </c>
      <c r="E1299">
        <v>1.1299999999999999</v>
      </c>
      <c r="F1299">
        <v>7.0000000000000007E-2</v>
      </c>
      <c r="G1299" t="s">
        <v>1772</v>
      </c>
      <c r="H1299">
        <v>32</v>
      </c>
      <c r="I1299">
        <v>6.29</v>
      </c>
      <c r="J1299">
        <v>6.3</v>
      </c>
      <c r="K1299">
        <v>-0.16</v>
      </c>
      <c r="L1299">
        <v>0.84</v>
      </c>
      <c r="M1299" t="s">
        <v>5201</v>
      </c>
      <c r="N1299">
        <v>19.54</v>
      </c>
      <c r="O1299" t="s">
        <v>244</v>
      </c>
      <c r="P1299">
        <v>6.33</v>
      </c>
      <c r="Q1299">
        <v>6.15</v>
      </c>
      <c r="R1299">
        <v>6.19</v>
      </c>
      <c r="S1299">
        <v>6.22</v>
      </c>
      <c r="T1299">
        <v>2.89</v>
      </c>
      <c r="U1299">
        <v>0.92</v>
      </c>
      <c r="V1299">
        <v>-56.99</v>
      </c>
      <c r="W1299">
        <v>-6436</v>
      </c>
      <c r="X1299">
        <v>6.23</v>
      </c>
      <c r="Y1299" t="s">
        <v>2484</v>
      </c>
      <c r="Z1299" t="s">
        <v>299</v>
      </c>
      <c r="AA1299">
        <v>0.72</v>
      </c>
      <c r="AB1299">
        <v>171</v>
      </c>
      <c r="AC1299">
        <v>959</v>
      </c>
      <c r="AD1299">
        <v>1.06</v>
      </c>
      <c r="AE1299" t="s">
        <v>1225</v>
      </c>
      <c r="AF1299" t="s">
        <v>56</v>
      </c>
      <c r="AG1299" t="s">
        <v>1225</v>
      </c>
      <c r="AH1299" t="s">
        <v>56</v>
      </c>
      <c r="AI1299">
        <v>-1.1000000000000001</v>
      </c>
      <c r="AJ1299">
        <v>1.45</v>
      </c>
      <c r="AK1299">
        <v>2.2799999999999998</v>
      </c>
      <c r="AL1299">
        <v>5.43</v>
      </c>
    </row>
    <row r="1300" spans="1:38" x14ac:dyDescent="0.25">
      <c r="A1300">
        <v>1299</v>
      </c>
      <c r="B1300" t="str">
        <f xml:space="preserve"> "600698"</f>
        <v>600698</v>
      </c>
      <c r="C1300" t="s">
        <v>5202</v>
      </c>
      <c r="D1300">
        <v>9.86</v>
      </c>
      <c r="E1300">
        <v>-0.9</v>
      </c>
      <c r="F1300">
        <v>-0.09</v>
      </c>
      <c r="G1300" t="s">
        <v>1448</v>
      </c>
      <c r="H1300">
        <v>39</v>
      </c>
      <c r="I1300">
        <v>9.86</v>
      </c>
      <c r="J1300">
        <v>9.8699999999999992</v>
      </c>
      <c r="K1300">
        <v>0</v>
      </c>
      <c r="L1300">
        <v>1.4</v>
      </c>
      <c r="M1300" t="s">
        <v>2179</v>
      </c>
      <c r="N1300">
        <v>829.19</v>
      </c>
      <c r="O1300" t="s">
        <v>253</v>
      </c>
      <c r="P1300">
        <v>9.94</v>
      </c>
      <c r="Q1300">
        <v>9.83</v>
      </c>
      <c r="R1300">
        <v>9.9</v>
      </c>
      <c r="S1300">
        <v>9.9499999999999993</v>
      </c>
      <c r="T1300">
        <v>1.1100000000000001</v>
      </c>
      <c r="U1300">
        <v>0.69</v>
      </c>
      <c r="V1300">
        <v>19.399999999999999</v>
      </c>
      <c r="W1300">
        <v>1426</v>
      </c>
      <c r="X1300">
        <v>9.86</v>
      </c>
      <c r="Y1300" t="s">
        <v>318</v>
      </c>
      <c r="Z1300" t="s">
        <v>3702</v>
      </c>
      <c r="AA1300">
        <v>1.6</v>
      </c>
      <c r="AB1300">
        <v>396</v>
      </c>
      <c r="AC1300">
        <v>399</v>
      </c>
      <c r="AD1300">
        <v>14.36</v>
      </c>
      <c r="AE1300" t="s">
        <v>1322</v>
      </c>
      <c r="AF1300" t="s">
        <v>3549</v>
      </c>
      <c r="AG1300" t="s">
        <v>5203</v>
      </c>
      <c r="AH1300" t="s">
        <v>4883</v>
      </c>
      <c r="AI1300">
        <v>-0.2</v>
      </c>
      <c r="AJ1300">
        <v>-0.2</v>
      </c>
      <c r="AK1300">
        <v>6.58</v>
      </c>
      <c r="AL1300">
        <v>11.61</v>
      </c>
    </row>
    <row r="1301" spans="1:38" x14ac:dyDescent="0.25">
      <c r="A1301">
        <v>1300</v>
      </c>
      <c r="B1301" t="str">
        <f xml:space="preserve"> "600742"</f>
        <v>600742</v>
      </c>
      <c r="C1301" t="s">
        <v>5204</v>
      </c>
      <c r="D1301">
        <v>22.62</v>
      </c>
      <c r="E1301">
        <v>-0.88</v>
      </c>
      <c r="F1301">
        <v>-0.2</v>
      </c>
      <c r="G1301" t="s">
        <v>4674</v>
      </c>
      <c r="H1301">
        <v>1</v>
      </c>
      <c r="I1301">
        <v>22.63</v>
      </c>
      <c r="J1301">
        <v>22.66</v>
      </c>
      <c r="K1301">
        <v>-0.35</v>
      </c>
      <c r="L1301">
        <v>1.22</v>
      </c>
      <c r="M1301" t="s">
        <v>2748</v>
      </c>
      <c r="N1301">
        <v>16.420000000000002</v>
      </c>
      <c r="O1301" t="s">
        <v>169</v>
      </c>
      <c r="P1301">
        <v>22.86</v>
      </c>
      <c r="Q1301">
        <v>22.25</v>
      </c>
      <c r="R1301">
        <v>22.67</v>
      </c>
      <c r="S1301">
        <v>22.82</v>
      </c>
      <c r="T1301">
        <v>2.67</v>
      </c>
      <c r="U1301">
        <v>1.1599999999999999</v>
      </c>
      <c r="V1301">
        <v>-34.090000000000003</v>
      </c>
      <c r="W1301">
        <v>-311</v>
      </c>
      <c r="X1301">
        <v>22.53</v>
      </c>
      <c r="Y1301" t="s">
        <v>2548</v>
      </c>
      <c r="Z1301" t="s">
        <v>2444</v>
      </c>
      <c r="AA1301">
        <v>1.2</v>
      </c>
      <c r="AB1301">
        <v>50</v>
      </c>
      <c r="AC1301">
        <v>19</v>
      </c>
      <c r="AD1301">
        <v>2.19</v>
      </c>
      <c r="AE1301" t="s">
        <v>1134</v>
      </c>
      <c r="AF1301" t="s">
        <v>818</v>
      </c>
      <c r="AG1301" t="s">
        <v>1134</v>
      </c>
      <c r="AH1301" t="s">
        <v>818</v>
      </c>
      <c r="AI1301">
        <v>1.03</v>
      </c>
      <c r="AJ1301">
        <v>4.63</v>
      </c>
      <c r="AK1301">
        <v>3.31</v>
      </c>
      <c r="AL1301">
        <v>6.5</v>
      </c>
    </row>
    <row r="1302" spans="1:38" x14ac:dyDescent="0.25">
      <c r="A1302">
        <v>1301</v>
      </c>
      <c r="B1302" t="str">
        <f xml:space="preserve"> "600557"</f>
        <v>600557</v>
      </c>
      <c r="C1302" t="s">
        <v>5205</v>
      </c>
      <c r="D1302">
        <v>15.52</v>
      </c>
      <c r="E1302">
        <v>0</v>
      </c>
      <c r="F1302">
        <v>0</v>
      </c>
      <c r="G1302" t="s">
        <v>1207</v>
      </c>
      <c r="H1302">
        <v>2</v>
      </c>
      <c r="I1302">
        <v>15.51</v>
      </c>
      <c r="J1302">
        <v>15.52</v>
      </c>
      <c r="K1302">
        <v>0</v>
      </c>
      <c r="L1302">
        <v>0.45</v>
      </c>
      <c r="M1302" t="s">
        <v>5206</v>
      </c>
      <c r="N1302">
        <v>25</v>
      </c>
      <c r="O1302" t="s">
        <v>392</v>
      </c>
      <c r="P1302">
        <v>15.56</v>
      </c>
      <c r="Q1302">
        <v>15.42</v>
      </c>
      <c r="R1302">
        <v>15.52</v>
      </c>
      <c r="S1302">
        <v>15.52</v>
      </c>
      <c r="T1302">
        <v>0.9</v>
      </c>
      <c r="U1302">
        <v>0.95</v>
      </c>
      <c r="V1302">
        <v>-6.85</v>
      </c>
      <c r="W1302">
        <v>-147</v>
      </c>
      <c r="X1302">
        <v>15.51</v>
      </c>
      <c r="Y1302" t="s">
        <v>1114</v>
      </c>
      <c r="Z1302" t="s">
        <v>691</v>
      </c>
      <c r="AA1302">
        <v>1.23</v>
      </c>
      <c r="AB1302">
        <v>326</v>
      </c>
      <c r="AC1302">
        <v>71</v>
      </c>
      <c r="AD1302">
        <v>2.9</v>
      </c>
      <c r="AE1302" t="s">
        <v>4447</v>
      </c>
      <c r="AF1302" t="s">
        <v>818</v>
      </c>
      <c r="AG1302" t="s">
        <v>3374</v>
      </c>
      <c r="AH1302" t="s">
        <v>1625</v>
      </c>
      <c r="AI1302">
        <v>-0.96</v>
      </c>
      <c r="AJ1302">
        <v>1.77</v>
      </c>
      <c r="AK1302">
        <v>1.48</v>
      </c>
      <c r="AL1302">
        <v>2.79</v>
      </c>
    </row>
    <row r="1303" spans="1:38" x14ac:dyDescent="0.25">
      <c r="A1303">
        <v>1302</v>
      </c>
      <c r="B1303" t="str">
        <f xml:space="preserve"> "300364"</f>
        <v>300364</v>
      </c>
      <c r="C1303" t="s">
        <v>5207</v>
      </c>
      <c r="D1303">
        <v>13.41</v>
      </c>
      <c r="E1303">
        <v>0</v>
      </c>
      <c r="F1303">
        <v>0</v>
      </c>
      <c r="G1303" t="s">
        <v>2219</v>
      </c>
      <c r="H1303">
        <v>1263</v>
      </c>
      <c r="I1303">
        <v>13.4</v>
      </c>
      <c r="J1303">
        <v>13.41</v>
      </c>
      <c r="K1303">
        <v>0</v>
      </c>
      <c r="L1303">
        <v>1.27</v>
      </c>
      <c r="M1303" t="s">
        <v>5208</v>
      </c>
      <c r="N1303">
        <v>220.31</v>
      </c>
      <c r="O1303" t="s">
        <v>1126</v>
      </c>
      <c r="P1303">
        <v>13.45</v>
      </c>
      <c r="Q1303">
        <v>13.26</v>
      </c>
      <c r="R1303">
        <v>13.28</v>
      </c>
      <c r="S1303">
        <v>13.41</v>
      </c>
      <c r="T1303">
        <v>1.42</v>
      </c>
      <c r="U1303">
        <v>0.56000000000000005</v>
      </c>
      <c r="V1303">
        <v>-26.8</v>
      </c>
      <c r="W1303">
        <v>-872</v>
      </c>
      <c r="X1303">
        <v>13.37</v>
      </c>
      <c r="Y1303" t="s">
        <v>1321</v>
      </c>
      <c r="Z1303" t="s">
        <v>1374</v>
      </c>
      <c r="AA1303">
        <v>1.18</v>
      </c>
      <c r="AB1303">
        <v>467</v>
      </c>
      <c r="AC1303">
        <v>296</v>
      </c>
      <c r="AD1303">
        <v>3.73</v>
      </c>
      <c r="AE1303" t="s">
        <v>4034</v>
      </c>
      <c r="AF1303" t="s">
        <v>4482</v>
      </c>
      <c r="AG1303" t="s">
        <v>4457</v>
      </c>
      <c r="AH1303" t="s">
        <v>1979</v>
      </c>
      <c r="AI1303">
        <v>-1.61</v>
      </c>
      <c r="AJ1303">
        <v>2.6</v>
      </c>
      <c r="AK1303">
        <v>6.98</v>
      </c>
      <c r="AL1303">
        <v>12.5</v>
      </c>
    </row>
    <row r="1304" spans="1:38" x14ac:dyDescent="0.25">
      <c r="A1304">
        <v>1303</v>
      </c>
      <c r="B1304" t="str">
        <f xml:space="preserve"> "601005"</f>
        <v>601005</v>
      </c>
      <c r="C1304" t="s">
        <v>5209</v>
      </c>
      <c r="D1304" t="s">
        <v>616</v>
      </c>
      <c r="E1304" t="s">
        <v>616</v>
      </c>
      <c r="F1304" t="s">
        <v>616</v>
      </c>
      <c r="G1304" t="s">
        <v>616</v>
      </c>
      <c r="H1304" t="s">
        <v>616</v>
      </c>
      <c r="I1304" t="s">
        <v>616</v>
      </c>
      <c r="J1304" t="s">
        <v>616</v>
      </c>
      <c r="K1304" t="s">
        <v>616</v>
      </c>
      <c r="L1304" t="s">
        <v>616</v>
      </c>
      <c r="M1304" t="s">
        <v>616</v>
      </c>
      <c r="N1304">
        <v>-4.78</v>
      </c>
      <c r="O1304" t="s">
        <v>416</v>
      </c>
      <c r="P1304" t="s">
        <v>616</v>
      </c>
      <c r="Q1304" t="s">
        <v>616</v>
      </c>
      <c r="R1304" t="s">
        <v>616</v>
      </c>
      <c r="S1304">
        <v>2.15</v>
      </c>
      <c r="T1304" t="s">
        <v>616</v>
      </c>
      <c r="U1304" t="s">
        <v>616</v>
      </c>
      <c r="V1304" t="s">
        <v>616</v>
      </c>
      <c r="W1304" t="s">
        <v>616</v>
      </c>
      <c r="X1304" t="s">
        <v>616</v>
      </c>
      <c r="Y1304" t="s">
        <v>616</v>
      </c>
      <c r="Z1304" t="s">
        <v>616</v>
      </c>
      <c r="AA1304" t="s">
        <v>616</v>
      </c>
      <c r="AB1304" t="s">
        <v>616</v>
      </c>
      <c r="AC1304" t="s">
        <v>616</v>
      </c>
      <c r="AD1304">
        <v>-8.01</v>
      </c>
      <c r="AE1304" t="s">
        <v>2940</v>
      </c>
      <c r="AF1304" t="s">
        <v>4482</v>
      </c>
      <c r="AG1304" t="s">
        <v>3778</v>
      </c>
      <c r="AH1304" t="s">
        <v>3268</v>
      </c>
      <c r="AI1304">
        <v>0</v>
      </c>
      <c r="AJ1304">
        <v>0</v>
      </c>
      <c r="AK1304">
        <v>0</v>
      </c>
      <c r="AL1304">
        <v>0</v>
      </c>
    </row>
    <row r="1305" spans="1:38" x14ac:dyDescent="0.25">
      <c r="A1305">
        <v>1304</v>
      </c>
      <c r="B1305" t="str">
        <f xml:space="preserve"> "603359"</f>
        <v>603359</v>
      </c>
      <c r="C1305" t="s">
        <v>5210</v>
      </c>
      <c r="D1305">
        <v>41.9</v>
      </c>
      <c r="E1305">
        <v>5.73</v>
      </c>
      <c r="F1305">
        <v>2.27</v>
      </c>
      <c r="G1305" t="s">
        <v>1995</v>
      </c>
      <c r="H1305">
        <v>23</v>
      </c>
      <c r="I1305">
        <v>41.9</v>
      </c>
      <c r="J1305">
        <v>41.91</v>
      </c>
      <c r="K1305">
        <v>0.14000000000000001</v>
      </c>
      <c r="L1305">
        <v>14.2</v>
      </c>
      <c r="M1305" t="s">
        <v>4783</v>
      </c>
      <c r="N1305">
        <v>47.07</v>
      </c>
      <c r="O1305" t="s">
        <v>1221</v>
      </c>
      <c r="P1305">
        <v>42.9</v>
      </c>
      <c r="Q1305">
        <v>39.42</v>
      </c>
      <c r="R1305">
        <v>39.770000000000003</v>
      </c>
      <c r="S1305">
        <v>39.630000000000003</v>
      </c>
      <c r="T1305">
        <v>8.7799999999999994</v>
      </c>
      <c r="U1305">
        <v>1.55</v>
      </c>
      <c r="V1305">
        <v>-17.46</v>
      </c>
      <c r="W1305">
        <v>-59</v>
      </c>
      <c r="X1305">
        <v>41.4</v>
      </c>
      <c r="Y1305" t="s">
        <v>42</v>
      </c>
      <c r="Z1305" t="s">
        <v>574</v>
      </c>
      <c r="AA1305">
        <v>0.75</v>
      </c>
      <c r="AB1305">
        <v>7</v>
      </c>
      <c r="AC1305">
        <v>11</v>
      </c>
      <c r="AD1305">
        <v>4.22</v>
      </c>
      <c r="AE1305" t="s">
        <v>1812</v>
      </c>
      <c r="AF1305" t="s">
        <v>4482</v>
      </c>
      <c r="AG1305" t="s">
        <v>5211</v>
      </c>
      <c r="AH1305" t="s">
        <v>2395</v>
      </c>
      <c r="AI1305">
        <v>0.34</v>
      </c>
      <c r="AJ1305">
        <v>3.1</v>
      </c>
      <c r="AK1305">
        <v>30.23</v>
      </c>
      <c r="AL1305">
        <v>60.03</v>
      </c>
    </row>
    <row r="1306" spans="1:38" x14ac:dyDescent="0.25">
      <c r="A1306">
        <v>1305</v>
      </c>
      <c r="B1306" t="str">
        <f xml:space="preserve"> "600246"</f>
        <v>600246</v>
      </c>
      <c r="C1306" t="s">
        <v>5212</v>
      </c>
      <c r="D1306">
        <v>4.6399999999999997</v>
      </c>
      <c r="E1306">
        <v>0.43</v>
      </c>
      <c r="F1306">
        <v>0.02</v>
      </c>
      <c r="G1306" t="s">
        <v>468</v>
      </c>
      <c r="H1306">
        <v>10</v>
      </c>
      <c r="I1306">
        <v>4.63</v>
      </c>
      <c r="J1306">
        <v>4.6399999999999997</v>
      </c>
      <c r="K1306">
        <v>0.22</v>
      </c>
      <c r="L1306">
        <v>0.17</v>
      </c>
      <c r="M1306" t="s">
        <v>5213</v>
      </c>
      <c r="N1306">
        <v>93.17</v>
      </c>
      <c r="O1306" t="s">
        <v>244</v>
      </c>
      <c r="P1306">
        <v>4.6500000000000004</v>
      </c>
      <c r="Q1306">
        <v>4.6100000000000003</v>
      </c>
      <c r="R1306">
        <v>4.6100000000000003</v>
      </c>
      <c r="S1306">
        <v>4.62</v>
      </c>
      <c r="T1306">
        <v>0.87</v>
      </c>
      <c r="U1306">
        <v>0.36</v>
      </c>
      <c r="V1306">
        <v>-9.1</v>
      </c>
      <c r="W1306">
        <v>-879</v>
      </c>
      <c r="X1306">
        <v>4.63</v>
      </c>
      <c r="Y1306" t="s">
        <v>2280</v>
      </c>
      <c r="Z1306">
        <v>8865</v>
      </c>
      <c r="AA1306">
        <v>1.4</v>
      </c>
      <c r="AB1306">
        <v>475</v>
      </c>
      <c r="AC1306">
        <v>467</v>
      </c>
      <c r="AD1306">
        <v>1.43</v>
      </c>
      <c r="AE1306" t="s">
        <v>3214</v>
      </c>
      <c r="AF1306" t="s">
        <v>2473</v>
      </c>
      <c r="AG1306" t="s">
        <v>1115</v>
      </c>
      <c r="AH1306" t="s">
        <v>1957</v>
      </c>
      <c r="AI1306">
        <v>-0.64</v>
      </c>
      <c r="AJ1306">
        <v>0.87</v>
      </c>
      <c r="AK1306">
        <v>0.66</v>
      </c>
      <c r="AL1306">
        <v>2.57</v>
      </c>
    </row>
    <row r="1307" spans="1:38" x14ac:dyDescent="0.25">
      <c r="A1307">
        <v>1306</v>
      </c>
      <c r="B1307" t="str">
        <f xml:space="preserve"> "002269"</f>
        <v>002269</v>
      </c>
      <c r="C1307" t="s">
        <v>5214</v>
      </c>
      <c r="D1307">
        <v>3.79</v>
      </c>
      <c r="E1307">
        <v>0</v>
      </c>
      <c r="F1307">
        <v>0</v>
      </c>
      <c r="G1307" t="s">
        <v>1786</v>
      </c>
      <c r="H1307">
        <v>2149</v>
      </c>
      <c r="I1307">
        <v>3.78</v>
      </c>
      <c r="J1307">
        <v>3.79</v>
      </c>
      <c r="K1307">
        <v>0</v>
      </c>
      <c r="L1307">
        <v>0.15</v>
      </c>
      <c r="M1307" t="s">
        <v>5215</v>
      </c>
      <c r="N1307">
        <v>-106.4</v>
      </c>
      <c r="O1307" t="s">
        <v>1443</v>
      </c>
      <c r="P1307">
        <v>3.8</v>
      </c>
      <c r="Q1307">
        <v>3.77</v>
      </c>
      <c r="R1307">
        <v>3.78</v>
      </c>
      <c r="S1307">
        <v>3.79</v>
      </c>
      <c r="T1307">
        <v>0.79</v>
      </c>
      <c r="U1307">
        <v>0.77</v>
      </c>
      <c r="V1307">
        <v>-28.1</v>
      </c>
      <c r="W1307">
        <v>-4292</v>
      </c>
      <c r="X1307">
        <v>3.79</v>
      </c>
      <c r="Y1307" t="s">
        <v>2202</v>
      </c>
      <c r="Z1307" t="s">
        <v>2365</v>
      </c>
      <c r="AA1307">
        <v>1.56</v>
      </c>
      <c r="AB1307">
        <v>787</v>
      </c>
      <c r="AC1307">
        <v>254</v>
      </c>
      <c r="AD1307">
        <v>3.07</v>
      </c>
      <c r="AE1307" t="s">
        <v>1061</v>
      </c>
      <c r="AF1307" t="s">
        <v>5216</v>
      </c>
      <c r="AG1307" t="s">
        <v>1061</v>
      </c>
      <c r="AH1307" t="s">
        <v>5216</v>
      </c>
      <c r="AI1307">
        <v>0.26</v>
      </c>
      <c r="AJ1307">
        <v>2.71</v>
      </c>
      <c r="AK1307">
        <v>0.56999999999999995</v>
      </c>
      <c r="AL1307">
        <v>1.1399999999999999</v>
      </c>
    </row>
    <row r="1308" spans="1:38" x14ac:dyDescent="0.25">
      <c r="A1308">
        <v>1307</v>
      </c>
      <c r="B1308" t="str">
        <f xml:space="preserve"> "300097"</f>
        <v>300097</v>
      </c>
      <c r="C1308" t="s">
        <v>5217</v>
      </c>
      <c r="D1308">
        <v>32.99</v>
      </c>
      <c r="E1308">
        <v>0.55000000000000004</v>
      </c>
      <c r="F1308">
        <v>0.18</v>
      </c>
      <c r="G1308" t="s">
        <v>1876</v>
      </c>
      <c r="H1308">
        <v>522</v>
      </c>
      <c r="I1308">
        <v>32.96</v>
      </c>
      <c r="J1308">
        <v>32.99</v>
      </c>
      <c r="K1308">
        <v>0</v>
      </c>
      <c r="L1308">
        <v>4.9800000000000004</v>
      </c>
      <c r="M1308" t="s">
        <v>5050</v>
      </c>
      <c r="N1308">
        <v>84.86</v>
      </c>
      <c r="O1308" t="s">
        <v>648</v>
      </c>
      <c r="P1308">
        <v>33.26</v>
      </c>
      <c r="Q1308">
        <v>32.200000000000003</v>
      </c>
      <c r="R1308">
        <v>32.9</v>
      </c>
      <c r="S1308">
        <v>32.81</v>
      </c>
      <c r="T1308">
        <v>3.23</v>
      </c>
      <c r="U1308">
        <v>1.54</v>
      </c>
      <c r="V1308">
        <v>-58.54</v>
      </c>
      <c r="W1308">
        <v>-376</v>
      </c>
      <c r="X1308">
        <v>32.78</v>
      </c>
      <c r="Y1308" t="s">
        <v>1090</v>
      </c>
      <c r="Z1308" t="s">
        <v>3702</v>
      </c>
      <c r="AA1308">
        <v>0.93</v>
      </c>
      <c r="AB1308">
        <v>8</v>
      </c>
      <c r="AC1308">
        <v>339</v>
      </c>
      <c r="AD1308">
        <v>6.81</v>
      </c>
      <c r="AE1308" t="s">
        <v>4989</v>
      </c>
      <c r="AF1308" t="s">
        <v>5216</v>
      </c>
      <c r="AG1308" t="s">
        <v>621</v>
      </c>
      <c r="AH1308" t="s">
        <v>5218</v>
      </c>
      <c r="AI1308">
        <v>7.35</v>
      </c>
      <c r="AJ1308">
        <v>13.84</v>
      </c>
      <c r="AK1308">
        <v>13.77</v>
      </c>
      <c r="AL1308">
        <v>21.19</v>
      </c>
    </row>
    <row r="1309" spans="1:38" x14ac:dyDescent="0.25">
      <c r="A1309">
        <v>1308</v>
      </c>
      <c r="B1309" t="str">
        <f xml:space="preserve"> "002626"</f>
        <v>002626</v>
      </c>
      <c r="C1309" t="s">
        <v>5219</v>
      </c>
      <c r="D1309">
        <v>15.42</v>
      </c>
      <c r="E1309">
        <v>1.45</v>
      </c>
      <c r="F1309">
        <v>0.22</v>
      </c>
      <c r="G1309" t="s">
        <v>3180</v>
      </c>
      <c r="H1309">
        <v>181</v>
      </c>
      <c r="I1309">
        <v>15.41</v>
      </c>
      <c r="J1309">
        <v>15.42</v>
      </c>
      <c r="K1309">
        <v>-0.06</v>
      </c>
      <c r="L1309">
        <v>0.66</v>
      </c>
      <c r="M1309" t="s">
        <v>1277</v>
      </c>
      <c r="N1309">
        <v>31.87</v>
      </c>
      <c r="O1309" t="s">
        <v>406</v>
      </c>
      <c r="P1309">
        <v>15.52</v>
      </c>
      <c r="Q1309">
        <v>15.1</v>
      </c>
      <c r="R1309">
        <v>15.18</v>
      </c>
      <c r="S1309">
        <v>15.2</v>
      </c>
      <c r="T1309">
        <v>2.76</v>
      </c>
      <c r="U1309">
        <v>0.91</v>
      </c>
      <c r="V1309">
        <v>-29.86</v>
      </c>
      <c r="W1309">
        <v>-385</v>
      </c>
      <c r="X1309">
        <v>15.39</v>
      </c>
      <c r="Y1309" t="s">
        <v>1576</v>
      </c>
      <c r="Z1309" t="s">
        <v>1724</v>
      </c>
      <c r="AA1309">
        <v>0.83</v>
      </c>
      <c r="AB1309">
        <v>125</v>
      </c>
      <c r="AC1309">
        <v>13</v>
      </c>
      <c r="AD1309">
        <v>4.37</v>
      </c>
      <c r="AE1309" t="s">
        <v>4447</v>
      </c>
      <c r="AF1309" t="s">
        <v>5220</v>
      </c>
      <c r="AG1309" t="s">
        <v>4769</v>
      </c>
      <c r="AH1309" t="s">
        <v>1581</v>
      </c>
      <c r="AI1309">
        <v>-0.39</v>
      </c>
      <c r="AJ1309">
        <v>3.28</v>
      </c>
      <c r="AK1309">
        <v>2.6</v>
      </c>
      <c r="AL1309">
        <v>4.32</v>
      </c>
    </row>
    <row r="1310" spans="1:38" x14ac:dyDescent="0.25">
      <c r="A1310">
        <v>1309</v>
      </c>
      <c r="B1310" t="str">
        <f xml:space="preserve"> "002267"</f>
        <v>002267</v>
      </c>
      <c r="C1310" t="s">
        <v>5221</v>
      </c>
      <c r="D1310">
        <v>8.5399999999999991</v>
      </c>
      <c r="E1310">
        <v>0.47</v>
      </c>
      <c r="F1310">
        <v>0.04</v>
      </c>
      <c r="G1310" t="s">
        <v>2548</v>
      </c>
      <c r="H1310">
        <v>354</v>
      </c>
      <c r="I1310">
        <v>8.5399999999999991</v>
      </c>
      <c r="J1310">
        <v>8.5500000000000007</v>
      </c>
      <c r="K1310">
        <v>0</v>
      </c>
      <c r="L1310">
        <v>0.25</v>
      </c>
      <c r="M1310" t="s">
        <v>5222</v>
      </c>
      <c r="N1310">
        <v>18.850000000000001</v>
      </c>
      <c r="O1310" t="s">
        <v>61</v>
      </c>
      <c r="P1310">
        <v>8.5500000000000007</v>
      </c>
      <c r="Q1310">
        <v>8.4600000000000009</v>
      </c>
      <c r="R1310">
        <v>8.51</v>
      </c>
      <c r="S1310">
        <v>8.5</v>
      </c>
      <c r="T1310">
        <v>1.06</v>
      </c>
      <c r="U1310">
        <v>1</v>
      </c>
      <c r="V1310">
        <v>-55.58</v>
      </c>
      <c r="W1310">
        <v>-3748</v>
      </c>
      <c r="X1310">
        <v>8.51</v>
      </c>
      <c r="Y1310" t="s">
        <v>1095</v>
      </c>
      <c r="Z1310" t="s">
        <v>2313</v>
      </c>
      <c r="AA1310">
        <v>0.8</v>
      </c>
      <c r="AB1310">
        <v>164</v>
      </c>
      <c r="AC1310">
        <v>840</v>
      </c>
      <c r="AD1310">
        <v>1.8</v>
      </c>
      <c r="AE1310" t="s">
        <v>204</v>
      </c>
      <c r="AF1310" t="s">
        <v>5223</v>
      </c>
      <c r="AG1310" t="s">
        <v>204</v>
      </c>
      <c r="AH1310" t="s">
        <v>5223</v>
      </c>
      <c r="AI1310">
        <v>0.83</v>
      </c>
      <c r="AJ1310">
        <v>3.52</v>
      </c>
      <c r="AK1310">
        <v>0.7</v>
      </c>
      <c r="AL1310">
        <v>1.52</v>
      </c>
    </row>
    <row r="1311" spans="1:38" x14ac:dyDescent="0.25">
      <c r="A1311">
        <v>1310</v>
      </c>
      <c r="B1311" t="str">
        <f xml:space="preserve"> "601965"</f>
        <v>601965</v>
      </c>
      <c r="C1311" t="s">
        <v>5224</v>
      </c>
      <c r="D1311">
        <v>9.8800000000000008</v>
      </c>
      <c r="E1311">
        <v>0.1</v>
      </c>
      <c r="F1311">
        <v>0.01</v>
      </c>
      <c r="G1311" t="s">
        <v>1724</v>
      </c>
      <c r="H1311">
        <v>12</v>
      </c>
      <c r="I1311">
        <v>9.89</v>
      </c>
      <c r="J1311">
        <v>9.9</v>
      </c>
      <c r="K1311">
        <v>0.1</v>
      </c>
      <c r="L1311">
        <v>0.22</v>
      </c>
      <c r="M1311" t="s">
        <v>5225</v>
      </c>
      <c r="N1311">
        <v>34.659999999999997</v>
      </c>
      <c r="O1311" t="s">
        <v>169</v>
      </c>
      <c r="P1311">
        <v>9.93</v>
      </c>
      <c r="Q1311">
        <v>9.82</v>
      </c>
      <c r="R1311">
        <v>9.8699999999999992</v>
      </c>
      <c r="S1311">
        <v>9.8699999999999992</v>
      </c>
      <c r="T1311">
        <v>1.1100000000000001</v>
      </c>
      <c r="U1311">
        <v>0.37</v>
      </c>
      <c r="V1311">
        <v>-26.33</v>
      </c>
      <c r="W1311">
        <v>-400</v>
      </c>
      <c r="X1311">
        <v>9.86</v>
      </c>
      <c r="Y1311" t="s">
        <v>5181</v>
      </c>
      <c r="Z1311" t="s">
        <v>2284</v>
      </c>
      <c r="AA1311">
        <v>1.02</v>
      </c>
      <c r="AB1311">
        <v>7</v>
      </c>
      <c r="AC1311">
        <v>205</v>
      </c>
      <c r="AD1311">
        <v>2.37</v>
      </c>
      <c r="AE1311" t="s">
        <v>5226</v>
      </c>
      <c r="AF1311" t="s">
        <v>5223</v>
      </c>
      <c r="AG1311" t="s">
        <v>5226</v>
      </c>
      <c r="AH1311" t="s">
        <v>5223</v>
      </c>
      <c r="AI1311">
        <v>-1.89</v>
      </c>
      <c r="AJ1311">
        <v>2.17</v>
      </c>
      <c r="AK1311">
        <v>1.44</v>
      </c>
      <c r="AL1311">
        <v>3.13</v>
      </c>
    </row>
    <row r="1312" spans="1:38" x14ac:dyDescent="0.25">
      <c r="A1312">
        <v>1311</v>
      </c>
      <c r="B1312" t="str">
        <f xml:space="preserve"> "300091"</f>
        <v>300091</v>
      </c>
      <c r="C1312" t="s">
        <v>5227</v>
      </c>
      <c r="D1312" t="s">
        <v>616</v>
      </c>
      <c r="E1312" t="s">
        <v>616</v>
      </c>
      <c r="F1312" t="s">
        <v>616</v>
      </c>
      <c r="G1312" t="s">
        <v>616</v>
      </c>
      <c r="H1312" t="s">
        <v>616</v>
      </c>
      <c r="I1312" t="s">
        <v>616</v>
      </c>
      <c r="J1312" t="s">
        <v>616</v>
      </c>
      <c r="K1312" t="s">
        <v>616</v>
      </c>
      <c r="L1312" t="s">
        <v>616</v>
      </c>
      <c r="M1312" t="s">
        <v>616</v>
      </c>
      <c r="N1312">
        <v>67.44</v>
      </c>
      <c r="O1312" t="s">
        <v>648</v>
      </c>
      <c r="P1312" t="s">
        <v>616</v>
      </c>
      <c r="Q1312" t="s">
        <v>616</v>
      </c>
      <c r="R1312" t="s">
        <v>616</v>
      </c>
      <c r="S1312">
        <v>17.09</v>
      </c>
      <c r="T1312" t="s">
        <v>616</v>
      </c>
      <c r="U1312" t="s">
        <v>616</v>
      </c>
      <c r="V1312" t="s">
        <v>616</v>
      </c>
      <c r="W1312" t="s">
        <v>616</v>
      </c>
      <c r="X1312" t="s">
        <v>616</v>
      </c>
      <c r="Y1312" t="s">
        <v>616</v>
      </c>
      <c r="Z1312" t="s">
        <v>616</v>
      </c>
      <c r="AA1312" t="s">
        <v>616</v>
      </c>
      <c r="AB1312" t="s">
        <v>616</v>
      </c>
      <c r="AC1312" t="s">
        <v>616</v>
      </c>
      <c r="AD1312">
        <v>9.9700000000000006</v>
      </c>
      <c r="AE1312" t="s">
        <v>5228</v>
      </c>
      <c r="AF1312" t="s">
        <v>5223</v>
      </c>
      <c r="AG1312" t="s">
        <v>852</v>
      </c>
      <c r="AH1312" t="s">
        <v>5229</v>
      </c>
      <c r="AI1312">
        <v>0</v>
      </c>
      <c r="AJ1312">
        <v>0</v>
      </c>
      <c r="AK1312">
        <v>0</v>
      </c>
      <c r="AL1312">
        <v>0</v>
      </c>
    </row>
    <row r="1313" spans="1:38" x14ac:dyDescent="0.25">
      <c r="A1313">
        <v>1312</v>
      </c>
      <c r="B1313" t="str">
        <f xml:space="preserve"> "002436"</f>
        <v>002436</v>
      </c>
      <c r="C1313" t="s">
        <v>5230</v>
      </c>
      <c r="D1313">
        <v>6.38</v>
      </c>
      <c r="E1313">
        <v>0.79</v>
      </c>
      <c r="F1313">
        <v>0.05</v>
      </c>
      <c r="G1313" t="s">
        <v>4016</v>
      </c>
      <c r="H1313">
        <v>1549</v>
      </c>
      <c r="I1313">
        <v>6.38</v>
      </c>
      <c r="J1313">
        <v>6.39</v>
      </c>
      <c r="K1313">
        <v>0</v>
      </c>
      <c r="L1313">
        <v>1.01</v>
      </c>
      <c r="M1313" t="s">
        <v>5231</v>
      </c>
      <c r="N1313">
        <v>45.01</v>
      </c>
      <c r="O1313" t="s">
        <v>380</v>
      </c>
      <c r="P1313">
        <v>6.41</v>
      </c>
      <c r="Q1313">
        <v>6.3</v>
      </c>
      <c r="R1313">
        <v>6.33</v>
      </c>
      <c r="S1313">
        <v>6.33</v>
      </c>
      <c r="T1313">
        <v>1.74</v>
      </c>
      <c r="U1313">
        <v>0.62</v>
      </c>
      <c r="V1313">
        <v>-13.08</v>
      </c>
      <c r="W1313">
        <v>-1903</v>
      </c>
      <c r="X1313">
        <v>6.37</v>
      </c>
      <c r="Y1313" t="s">
        <v>336</v>
      </c>
      <c r="Z1313" t="s">
        <v>3481</v>
      </c>
      <c r="AA1313">
        <v>0.9</v>
      </c>
      <c r="AB1313">
        <v>1999</v>
      </c>
      <c r="AC1313">
        <v>1514</v>
      </c>
      <c r="AD1313">
        <v>4.05</v>
      </c>
      <c r="AE1313" t="s">
        <v>2945</v>
      </c>
      <c r="AF1313" t="s">
        <v>4341</v>
      </c>
      <c r="AG1313" t="s">
        <v>3344</v>
      </c>
      <c r="AH1313" t="s">
        <v>5232</v>
      </c>
      <c r="AI1313">
        <v>-1.54</v>
      </c>
      <c r="AJ1313">
        <v>1.27</v>
      </c>
      <c r="AK1313">
        <v>4.04</v>
      </c>
      <c r="AL1313">
        <v>9.14</v>
      </c>
    </row>
    <row r="1314" spans="1:38" x14ac:dyDescent="0.25">
      <c r="A1314">
        <v>1313</v>
      </c>
      <c r="B1314" t="str">
        <f xml:space="preserve"> "002097"</f>
        <v>002097</v>
      </c>
      <c r="C1314" t="s">
        <v>5233</v>
      </c>
      <c r="D1314">
        <v>8.98</v>
      </c>
      <c r="E1314">
        <v>0.79</v>
      </c>
      <c r="F1314">
        <v>7.0000000000000007E-2</v>
      </c>
      <c r="G1314" t="s">
        <v>4984</v>
      </c>
      <c r="H1314">
        <v>784</v>
      </c>
      <c r="I1314">
        <v>8.9700000000000006</v>
      </c>
      <c r="J1314">
        <v>8.98</v>
      </c>
      <c r="K1314">
        <v>0</v>
      </c>
      <c r="L1314">
        <v>1.56</v>
      </c>
      <c r="M1314" t="s">
        <v>4144</v>
      </c>
      <c r="N1314">
        <v>56.36</v>
      </c>
      <c r="O1314" t="s">
        <v>648</v>
      </c>
      <c r="P1314">
        <v>9</v>
      </c>
      <c r="Q1314">
        <v>8.83</v>
      </c>
      <c r="R1314">
        <v>8.91</v>
      </c>
      <c r="S1314">
        <v>8.91</v>
      </c>
      <c r="T1314">
        <v>1.91</v>
      </c>
      <c r="U1314">
        <v>0.74</v>
      </c>
      <c r="V1314">
        <v>-15.19</v>
      </c>
      <c r="W1314">
        <v>-1493</v>
      </c>
      <c r="X1314">
        <v>8.92</v>
      </c>
      <c r="Y1314" t="s">
        <v>574</v>
      </c>
      <c r="Z1314" t="s">
        <v>4032</v>
      </c>
      <c r="AA1314">
        <v>0.97</v>
      </c>
      <c r="AB1314">
        <v>173</v>
      </c>
      <c r="AC1314">
        <v>1458</v>
      </c>
      <c r="AD1314">
        <v>3.99</v>
      </c>
      <c r="AE1314" t="s">
        <v>1554</v>
      </c>
      <c r="AF1314" t="s">
        <v>4014</v>
      </c>
      <c r="AG1314" t="s">
        <v>5234</v>
      </c>
      <c r="AH1314" t="s">
        <v>3801</v>
      </c>
      <c r="AI1314">
        <v>-0.88</v>
      </c>
      <c r="AJ1314">
        <v>2.63</v>
      </c>
      <c r="AK1314">
        <v>7.11</v>
      </c>
      <c r="AL1314">
        <v>12.19</v>
      </c>
    </row>
    <row r="1315" spans="1:38" x14ac:dyDescent="0.25">
      <c r="A1315">
        <v>1314</v>
      </c>
      <c r="B1315" t="str">
        <f xml:space="preserve"> "600807"</f>
        <v>600807</v>
      </c>
      <c r="C1315" t="s">
        <v>5235</v>
      </c>
      <c r="D1315">
        <v>10.72</v>
      </c>
      <c r="E1315">
        <v>0.37</v>
      </c>
      <c r="F1315">
        <v>0.04</v>
      </c>
      <c r="G1315" t="s">
        <v>5236</v>
      </c>
      <c r="H1315">
        <v>55</v>
      </c>
      <c r="I1315">
        <v>10.7</v>
      </c>
      <c r="J1315">
        <v>10.71</v>
      </c>
      <c r="K1315">
        <v>-0.09</v>
      </c>
      <c r="L1315">
        <v>0.99</v>
      </c>
      <c r="M1315" t="s">
        <v>5237</v>
      </c>
      <c r="N1315">
        <v>71.34</v>
      </c>
      <c r="O1315" t="s">
        <v>244</v>
      </c>
      <c r="P1315">
        <v>10.81</v>
      </c>
      <c r="Q1315">
        <v>10.6</v>
      </c>
      <c r="R1315">
        <v>10.73</v>
      </c>
      <c r="S1315">
        <v>10.68</v>
      </c>
      <c r="T1315">
        <v>1.97</v>
      </c>
      <c r="U1315">
        <v>0.43</v>
      </c>
      <c r="V1315">
        <v>-67.22</v>
      </c>
      <c r="W1315">
        <v>-5189</v>
      </c>
      <c r="X1315">
        <v>10.7</v>
      </c>
      <c r="Y1315" t="s">
        <v>3962</v>
      </c>
      <c r="Z1315" t="s">
        <v>1286</v>
      </c>
      <c r="AA1315">
        <v>1.23</v>
      </c>
      <c r="AB1315">
        <v>106</v>
      </c>
      <c r="AC1315">
        <v>337</v>
      </c>
      <c r="AD1315">
        <v>4.68</v>
      </c>
      <c r="AE1315" t="s">
        <v>4895</v>
      </c>
      <c r="AF1315" t="s">
        <v>4014</v>
      </c>
      <c r="AG1315" t="s">
        <v>5238</v>
      </c>
      <c r="AH1315" t="s">
        <v>1636</v>
      </c>
      <c r="AI1315">
        <v>-2.9</v>
      </c>
      <c r="AJ1315">
        <v>2.58</v>
      </c>
      <c r="AK1315">
        <v>5.53</v>
      </c>
      <c r="AL1315">
        <v>12.59</v>
      </c>
    </row>
    <row r="1316" spans="1:38" x14ac:dyDescent="0.25">
      <c r="A1316">
        <v>1315</v>
      </c>
      <c r="B1316" t="str">
        <f xml:space="preserve"> "000584"</f>
        <v>000584</v>
      </c>
      <c r="C1316" t="s">
        <v>5239</v>
      </c>
      <c r="D1316">
        <v>15.45</v>
      </c>
      <c r="E1316">
        <v>0.91</v>
      </c>
      <c r="F1316">
        <v>0.14000000000000001</v>
      </c>
      <c r="G1316" t="s">
        <v>1516</v>
      </c>
      <c r="H1316">
        <v>345</v>
      </c>
      <c r="I1316">
        <v>15.44</v>
      </c>
      <c r="J1316">
        <v>15.45</v>
      </c>
      <c r="K1316">
        <v>-0.06</v>
      </c>
      <c r="L1316">
        <v>1.1599999999999999</v>
      </c>
      <c r="M1316" t="s">
        <v>679</v>
      </c>
      <c r="N1316">
        <v>119.24</v>
      </c>
      <c r="O1316" t="s">
        <v>1798</v>
      </c>
      <c r="P1316">
        <v>15.51</v>
      </c>
      <c r="Q1316">
        <v>15.25</v>
      </c>
      <c r="R1316">
        <v>15.33</v>
      </c>
      <c r="S1316">
        <v>15.31</v>
      </c>
      <c r="T1316">
        <v>1.7</v>
      </c>
      <c r="U1316">
        <v>0.72</v>
      </c>
      <c r="V1316">
        <v>-15.97</v>
      </c>
      <c r="W1316">
        <v>-396</v>
      </c>
      <c r="X1316">
        <v>15.4</v>
      </c>
      <c r="Y1316" t="s">
        <v>1207</v>
      </c>
      <c r="Z1316" t="s">
        <v>1601</v>
      </c>
      <c r="AA1316">
        <v>0.6</v>
      </c>
      <c r="AB1316">
        <v>380</v>
      </c>
      <c r="AC1316">
        <v>480</v>
      </c>
      <c r="AD1316">
        <v>6.1</v>
      </c>
      <c r="AE1316" t="s">
        <v>3267</v>
      </c>
      <c r="AF1316" t="s">
        <v>4014</v>
      </c>
      <c r="AG1316" t="s">
        <v>5240</v>
      </c>
      <c r="AH1316" t="s">
        <v>5241</v>
      </c>
      <c r="AI1316">
        <v>1.1100000000000001</v>
      </c>
      <c r="AJ1316">
        <v>6.11</v>
      </c>
      <c r="AK1316">
        <v>4.5599999999999996</v>
      </c>
      <c r="AL1316">
        <v>9.26</v>
      </c>
    </row>
    <row r="1317" spans="1:38" x14ac:dyDescent="0.25">
      <c r="A1317">
        <v>1316</v>
      </c>
      <c r="B1317" t="str">
        <f xml:space="preserve"> "603063"</f>
        <v>603063</v>
      </c>
      <c r="C1317" t="s">
        <v>5242</v>
      </c>
      <c r="D1317">
        <v>22.55</v>
      </c>
      <c r="E1317">
        <v>1.94</v>
      </c>
      <c r="F1317">
        <v>0.43</v>
      </c>
      <c r="G1317" t="s">
        <v>2193</v>
      </c>
      <c r="H1317">
        <v>8</v>
      </c>
      <c r="I1317">
        <v>22.55</v>
      </c>
      <c r="J1317">
        <v>22.56</v>
      </c>
      <c r="K1317">
        <v>-0.04</v>
      </c>
      <c r="L1317">
        <v>4.8499999999999996</v>
      </c>
      <c r="M1317" t="s">
        <v>5243</v>
      </c>
      <c r="N1317">
        <v>38.299999999999997</v>
      </c>
      <c r="O1317" t="s">
        <v>680</v>
      </c>
      <c r="P1317">
        <v>22.58</v>
      </c>
      <c r="Q1317">
        <v>22.01</v>
      </c>
      <c r="R1317">
        <v>22.1</v>
      </c>
      <c r="S1317">
        <v>22.12</v>
      </c>
      <c r="T1317">
        <v>2.58</v>
      </c>
      <c r="U1317">
        <v>1.07</v>
      </c>
      <c r="V1317">
        <v>-77.52</v>
      </c>
      <c r="W1317">
        <v>-1146</v>
      </c>
      <c r="X1317">
        <v>22.47</v>
      </c>
      <c r="Y1317" t="s">
        <v>2991</v>
      </c>
      <c r="Z1317" t="s">
        <v>1576</v>
      </c>
      <c r="AA1317">
        <v>0.68</v>
      </c>
      <c r="AB1317">
        <v>12</v>
      </c>
      <c r="AC1317">
        <v>394</v>
      </c>
      <c r="AD1317">
        <v>4.16</v>
      </c>
      <c r="AE1317" t="s">
        <v>1893</v>
      </c>
      <c r="AF1317" t="s">
        <v>3771</v>
      </c>
      <c r="AG1317" t="s">
        <v>5162</v>
      </c>
      <c r="AH1317" t="s">
        <v>1587</v>
      </c>
      <c r="AI1317">
        <v>0.94</v>
      </c>
      <c r="AJ1317">
        <v>4.79</v>
      </c>
      <c r="AK1317">
        <v>15.31</v>
      </c>
      <c r="AL1317">
        <v>27.51</v>
      </c>
    </row>
    <row r="1318" spans="1:38" x14ac:dyDescent="0.25">
      <c r="A1318">
        <v>1317</v>
      </c>
      <c r="B1318" t="str">
        <f xml:space="preserve"> "600326"</f>
        <v>600326</v>
      </c>
      <c r="C1318" t="s">
        <v>5244</v>
      </c>
      <c r="D1318">
        <v>10.91</v>
      </c>
      <c r="E1318">
        <v>0.09</v>
      </c>
      <c r="F1318">
        <v>0.01</v>
      </c>
      <c r="G1318" t="s">
        <v>1771</v>
      </c>
      <c r="H1318">
        <v>65</v>
      </c>
      <c r="I1318">
        <v>10.9</v>
      </c>
      <c r="J1318">
        <v>10.91</v>
      </c>
      <c r="K1318">
        <v>0.09</v>
      </c>
      <c r="L1318">
        <v>1.58</v>
      </c>
      <c r="M1318" t="s">
        <v>1333</v>
      </c>
      <c r="N1318">
        <v>23.65</v>
      </c>
      <c r="O1318" t="s">
        <v>562</v>
      </c>
      <c r="P1318">
        <v>11</v>
      </c>
      <c r="Q1318">
        <v>10.8</v>
      </c>
      <c r="R1318">
        <v>10.85</v>
      </c>
      <c r="S1318">
        <v>10.9</v>
      </c>
      <c r="T1318">
        <v>1.83</v>
      </c>
      <c r="U1318">
        <v>0.74</v>
      </c>
      <c r="V1318">
        <v>-2.99</v>
      </c>
      <c r="W1318">
        <v>-123</v>
      </c>
      <c r="X1318">
        <v>10.87</v>
      </c>
      <c r="Y1318" t="s">
        <v>4554</v>
      </c>
      <c r="Z1318" t="s">
        <v>2447</v>
      </c>
      <c r="AA1318">
        <v>1.27</v>
      </c>
      <c r="AB1318">
        <v>655</v>
      </c>
      <c r="AC1318">
        <v>364</v>
      </c>
      <c r="AD1318">
        <v>3.8</v>
      </c>
      <c r="AE1318" t="s">
        <v>3416</v>
      </c>
      <c r="AF1318" t="s">
        <v>5241</v>
      </c>
      <c r="AG1318" t="s">
        <v>3416</v>
      </c>
      <c r="AH1318" t="s">
        <v>5241</v>
      </c>
      <c r="AI1318">
        <v>-1.36</v>
      </c>
      <c r="AJ1318">
        <v>1.58</v>
      </c>
      <c r="AK1318">
        <v>6.32</v>
      </c>
      <c r="AL1318">
        <v>12.28</v>
      </c>
    </row>
    <row r="1319" spans="1:38" x14ac:dyDescent="0.25">
      <c r="A1319">
        <v>1318</v>
      </c>
      <c r="B1319" t="str">
        <f xml:space="preserve"> "600679"</f>
        <v>600679</v>
      </c>
      <c r="C1319" t="s">
        <v>5245</v>
      </c>
      <c r="D1319">
        <v>23.47</v>
      </c>
      <c r="E1319">
        <v>0</v>
      </c>
      <c r="F1319">
        <v>0</v>
      </c>
      <c r="G1319" t="s">
        <v>3946</v>
      </c>
      <c r="H1319">
        <v>3</v>
      </c>
      <c r="I1319">
        <v>23.46</v>
      </c>
      <c r="J1319">
        <v>23.47</v>
      </c>
      <c r="K1319">
        <v>0</v>
      </c>
      <c r="L1319">
        <v>0.9</v>
      </c>
      <c r="M1319" t="s">
        <v>5246</v>
      </c>
      <c r="N1319">
        <v>110.03</v>
      </c>
      <c r="O1319" t="s">
        <v>807</v>
      </c>
      <c r="P1319">
        <v>23.59</v>
      </c>
      <c r="Q1319">
        <v>23.21</v>
      </c>
      <c r="R1319">
        <v>23.48</v>
      </c>
      <c r="S1319">
        <v>23.47</v>
      </c>
      <c r="T1319">
        <v>1.62</v>
      </c>
      <c r="U1319">
        <v>0.74</v>
      </c>
      <c r="V1319">
        <v>-14.37</v>
      </c>
      <c r="W1319">
        <v>-114</v>
      </c>
      <c r="X1319">
        <v>23.44</v>
      </c>
      <c r="Y1319">
        <v>7613</v>
      </c>
      <c r="Z1319">
        <v>9180</v>
      </c>
      <c r="AA1319">
        <v>0.83</v>
      </c>
      <c r="AB1319">
        <v>39</v>
      </c>
      <c r="AC1319">
        <v>12</v>
      </c>
      <c r="AD1319">
        <v>7.23</v>
      </c>
      <c r="AE1319" t="s">
        <v>2640</v>
      </c>
      <c r="AF1319" t="s">
        <v>5241</v>
      </c>
      <c r="AG1319" t="s">
        <v>398</v>
      </c>
      <c r="AH1319" t="s">
        <v>5247</v>
      </c>
      <c r="AI1319">
        <v>1.25</v>
      </c>
      <c r="AJ1319">
        <v>6.39</v>
      </c>
      <c r="AK1319">
        <v>3.51</v>
      </c>
      <c r="AL1319">
        <v>6.98</v>
      </c>
    </row>
    <row r="1320" spans="1:38" x14ac:dyDescent="0.25">
      <c r="A1320">
        <v>1319</v>
      </c>
      <c r="B1320" t="str">
        <f xml:space="preserve"> "300273"</f>
        <v>300273</v>
      </c>
      <c r="C1320" t="s">
        <v>5248</v>
      </c>
      <c r="D1320">
        <v>11.98</v>
      </c>
      <c r="E1320">
        <v>1.01</v>
      </c>
      <c r="F1320">
        <v>0.12</v>
      </c>
      <c r="G1320" t="s">
        <v>5249</v>
      </c>
      <c r="H1320">
        <v>4560</v>
      </c>
      <c r="I1320">
        <v>11.97</v>
      </c>
      <c r="J1320">
        <v>11.98</v>
      </c>
      <c r="K1320">
        <v>-0.08</v>
      </c>
      <c r="L1320">
        <v>8.36</v>
      </c>
      <c r="M1320" t="s">
        <v>4513</v>
      </c>
      <c r="N1320">
        <v>87.32</v>
      </c>
      <c r="O1320" t="s">
        <v>1552</v>
      </c>
      <c r="P1320">
        <v>12.46</v>
      </c>
      <c r="Q1320">
        <v>11.73</v>
      </c>
      <c r="R1320">
        <v>11.85</v>
      </c>
      <c r="S1320">
        <v>11.86</v>
      </c>
      <c r="T1320">
        <v>6.16</v>
      </c>
      <c r="U1320">
        <v>1.43</v>
      </c>
      <c r="V1320">
        <v>-60.36</v>
      </c>
      <c r="W1320">
        <v>-4312</v>
      </c>
      <c r="X1320">
        <v>12.1</v>
      </c>
      <c r="Y1320" t="s">
        <v>2627</v>
      </c>
      <c r="Z1320" t="s">
        <v>5250</v>
      </c>
      <c r="AA1320">
        <v>0.99</v>
      </c>
      <c r="AB1320">
        <v>162</v>
      </c>
      <c r="AC1320">
        <v>3233</v>
      </c>
      <c r="AD1320">
        <v>4</v>
      </c>
      <c r="AE1320" t="s">
        <v>5251</v>
      </c>
      <c r="AF1320" t="s">
        <v>5241</v>
      </c>
      <c r="AG1320" t="s">
        <v>3985</v>
      </c>
      <c r="AH1320" t="s">
        <v>5179</v>
      </c>
      <c r="AI1320">
        <v>4.45</v>
      </c>
      <c r="AJ1320">
        <v>17.11</v>
      </c>
      <c r="AK1320">
        <v>28.66</v>
      </c>
      <c r="AL1320">
        <v>37.57</v>
      </c>
    </row>
    <row r="1321" spans="1:38" x14ac:dyDescent="0.25">
      <c r="A1321">
        <v>1320</v>
      </c>
      <c r="B1321" t="str">
        <f xml:space="preserve"> "603096"</f>
        <v>603096</v>
      </c>
      <c r="C1321" t="s">
        <v>5252</v>
      </c>
      <c r="D1321">
        <v>70</v>
      </c>
      <c r="E1321">
        <v>0.3</v>
      </c>
      <c r="F1321">
        <v>0.21</v>
      </c>
      <c r="G1321">
        <v>9415</v>
      </c>
      <c r="H1321">
        <v>5</v>
      </c>
      <c r="I1321">
        <v>69.72</v>
      </c>
      <c r="J1321">
        <v>69.98</v>
      </c>
      <c r="K1321">
        <v>-0.26</v>
      </c>
      <c r="L1321">
        <v>2.82</v>
      </c>
      <c r="M1321" t="s">
        <v>5253</v>
      </c>
      <c r="N1321">
        <v>43.51</v>
      </c>
      <c r="O1321" t="s">
        <v>1126</v>
      </c>
      <c r="P1321">
        <v>70.39</v>
      </c>
      <c r="Q1321">
        <v>67.8</v>
      </c>
      <c r="R1321">
        <v>69.2</v>
      </c>
      <c r="S1321">
        <v>69.790000000000006</v>
      </c>
      <c r="T1321">
        <v>3.71</v>
      </c>
      <c r="U1321">
        <v>0.73</v>
      </c>
      <c r="V1321">
        <v>69.77</v>
      </c>
      <c r="W1321">
        <v>180</v>
      </c>
      <c r="X1321">
        <v>69.14</v>
      </c>
      <c r="Y1321">
        <v>5257</v>
      </c>
      <c r="Z1321">
        <v>4157</v>
      </c>
      <c r="AA1321">
        <v>1.26</v>
      </c>
      <c r="AB1321">
        <v>21</v>
      </c>
      <c r="AC1321">
        <v>7</v>
      </c>
      <c r="AD1321">
        <v>6.65</v>
      </c>
      <c r="AE1321" t="s">
        <v>1985</v>
      </c>
      <c r="AF1321" t="s">
        <v>5254</v>
      </c>
      <c r="AG1321" t="s">
        <v>5255</v>
      </c>
      <c r="AH1321" t="s">
        <v>2733</v>
      </c>
      <c r="AI1321">
        <v>9.94</v>
      </c>
      <c r="AJ1321">
        <v>13.14</v>
      </c>
      <c r="AK1321">
        <v>11.47</v>
      </c>
      <c r="AL1321">
        <v>22.15</v>
      </c>
    </row>
    <row r="1322" spans="1:38" x14ac:dyDescent="0.25">
      <c r="A1322">
        <v>1321</v>
      </c>
      <c r="B1322" t="str">
        <f xml:space="preserve"> "300178"</f>
        <v>300178</v>
      </c>
      <c r="C1322" t="s">
        <v>5256</v>
      </c>
      <c r="D1322">
        <v>15.24</v>
      </c>
      <c r="E1322">
        <v>0.13</v>
      </c>
      <c r="F1322">
        <v>0.02</v>
      </c>
      <c r="G1322" t="s">
        <v>928</v>
      </c>
      <c r="H1322">
        <v>281</v>
      </c>
      <c r="I1322">
        <v>15.24</v>
      </c>
      <c r="J1322">
        <v>15.25</v>
      </c>
      <c r="K1322">
        <v>-7.0000000000000007E-2</v>
      </c>
      <c r="L1322">
        <v>0.62</v>
      </c>
      <c r="M1322" t="s">
        <v>5257</v>
      </c>
      <c r="N1322">
        <v>29.01</v>
      </c>
      <c r="O1322" t="s">
        <v>951</v>
      </c>
      <c r="P1322">
        <v>15.33</v>
      </c>
      <c r="Q1322">
        <v>15.1</v>
      </c>
      <c r="R1322">
        <v>15.24</v>
      </c>
      <c r="S1322">
        <v>15.22</v>
      </c>
      <c r="T1322">
        <v>1.51</v>
      </c>
      <c r="U1322">
        <v>0.79</v>
      </c>
      <c r="V1322">
        <v>-26.5</v>
      </c>
      <c r="W1322">
        <v>-160</v>
      </c>
      <c r="X1322">
        <v>15.19</v>
      </c>
      <c r="Y1322" t="s">
        <v>3483</v>
      </c>
      <c r="Z1322" t="s">
        <v>2089</v>
      </c>
      <c r="AA1322">
        <v>1.72</v>
      </c>
      <c r="AB1322">
        <v>35</v>
      </c>
      <c r="AC1322">
        <v>79</v>
      </c>
      <c r="AD1322">
        <v>3.72</v>
      </c>
      <c r="AE1322" t="s">
        <v>2121</v>
      </c>
      <c r="AF1322" t="s">
        <v>4310</v>
      </c>
      <c r="AG1322" t="s">
        <v>2438</v>
      </c>
      <c r="AH1322" t="s">
        <v>5258</v>
      </c>
      <c r="AI1322">
        <v>-1.93</v>
      </c>
      <c r="AJ1322">
        <v>2.08</v>
      </c>
      <c r="AK1322">
        <v>1.93</v>
      </c>
      <c r="AL1322">
        <v>4.51</v>
      </c>
    </row>
    <row r="1323" spans="1:38" x14ac:dyDescent="0.25">
      <c r="A1323">
        <v>1322</v>
      </c>
      <c r="B1323" t="str">
        <f xml:space="preserve"> "600590"</f>
        <v>600590</v>
      </c>
      <c r="C1323" t="s">
        <v>5259</v>
      </c>
      <c r="D1323">
        <v>14.11</v>
      </c>
      <c r="E1323">
        <v>0.28000000000000003</v>
      </c>
      <c r="F1323">
        <v>0.04</v>
      </c>
      <c r="G1323" t="s">
        <v>3987</v>
      </c>
      <c r="H1323">
        <v>95</v>
      </c>
      <c r="I1323">
        <v>14.11</v>
      </c>
      <c r="J1323">
        <v>14.12</v>
      </c>
      <c r="K1323">
        <v>-7.0000000000000007E-2</v>
      </c>
      <c r="L1323">
        <v>0.56000000000000005</v>
      </c>
      <c r="M1323" t="s">
        <v>5260</v>
      </c>
      <c r="N1323">
        <v>69.63</v>
      </c>
      <c r="O1323" t="s">
        <v>680</v>
      </c>
      <c r="P1323">
        <v>14.13</v>
      </c>
      <c r="Q1323">
        <v>13.96</v>
      </c>
      <c r="R1323">
        <v>14.07</v>
      </c>
      <c r="S1323">
        <v>14.07</v>
      </c>
      <c r="T1323">
        <v>1.21</v>
      </c>
      <c r="U1323">
        <v>0.4</v>
      </c>
      <c r="V1323">
        <v>-13.45</v>
      </c>
      <c r="W1323">
        <v>-369</v>
      </c>
      <c r="X1323">
        <v>14.05</v>
      </c>
      <c r="Y1323" t="s">
        <v>3234</v>
      </c>
      <c r="Z1323" t="s">
        <v>4590</v>
      </c>
      <c r="AA1323">
        <v>0.93</v>
      </c>
      <c r="AB1323">
        <v>155</v>
      </c>
      <c r="AC1323">
        <v>358</v>
      </c>
      <c r="AD1323">
        <v>2.5299999999999998</v>
      </c>
      <c r="AE1323" t="s">
        <v>3329</v>
      </c>
      <c r="AF1323" t="s">
        <v>5261</v>
      </c>
      <c r="AG1323" t="s">
        <v>4119</v>
      </c>
      <c r="AH1323" t="s">
        <v>5003</v>
      </c>
      <c r="AI1323">
        <v>-2.56</v>
      </c>
      <c r="AJ1323">
        <v>0.21</v>
      </c>
      <c r="AK1323">
        <v>2.68</v>
      </c>
      <c r="AL1323">
        <v>7.5</v>
      </c>
    </row>
    <row r="1324" spans="1:38" x14ac:dyDescent="0.25">
      <c r="A1324">
        <v>1323</v>
      </c>
      <c r="B1324" t="str">
        <f xml:space="preserve"> "600391"</f>
        <v>600391</v>
      </c>
      <c r="C1324" t="s">
        <v>5262</v>
      </c>
      <c r="D1324">
        <v>28.5</v>
      </c>
      <c r="E1324">
        <v>-0.97</v>
      </c>
      <c r="F1324">
        <v>-0.28000000000000003</v>
      </c>
      <c r="G1324" t="s">
        <v>2484</v>
      </c>
      <c r="H1324">
        <v>229</v>
      </c>
      <c r="I1324">
        <v>28.52</v>
      </c>
      <c r="J1324">
        <v>28.53</v>
      </c>
      <c r="K1324">
        <v>0.14000000000000001</v>
      </c>
      <c r="L1324">
        <v>1.63</v>
      </c>
      <c r="M1324" t="s">
        <v>4271</v>
      </c>
      <c r="N1324">
        <v>172.09</v>
      </c>
      <c r="O1324" t="s">
        <v>926</v>
      </c>
      <c r="P1324">
        <v>28.65</v>
      </c>
      <c r="Q1324">
        <v>28.26</v>
      </c>
      <c r="R1324">
        <v>28.55</v>
      </c>
      <c r="S1324">
        <v>28.78</v>
      </c>
      <c r="T1324">
        <v>1.36</v>
      </c>
      <c r="U1324">
        <v>0.72</v>
      </c>
      <c r="V1324">
        <v>-18.809999999999999</v>
      </c>
      <c r="W1324">
        <v>-184</v>
      </c>
      <c r="X1324">
        <v>28.48</v>
      </c>
      <c r="Y1324" t="s">
        <v>3077</v>
      </c>
      <c r="Z1324" t="s">
        <v>1340</v>
      </c>
      <c r="AA1324">
        <v>1.93</v>
      </c>
      <c r="AB1324">
        <v>11</v>
      </c>
      <c r="AC1324">
        <v>96</v>
      </c>
      <c r="AD1324">
        <v>5.33</v>
      </c>
      <c r="AE1324" t="s">
        <v>1417</v>
      </c>
      <c r="AF1324" t="s">
        <v>5261</v>
      </c>
      <c r="AG1324" t="s">
        <v>1417</v>
      </c>
      <c r="AH1324" t="s">
        <v>5261</v>
      </c>
      <c r="AI1324">
        <v>-0.56000000000000005</v>
      </c>
      <c r="AJ1324">
        <v>0.25</v>
      </c>
      <c r="AK1324">
        <v>7.11</v>
      </c>
      <c r="AL1324">
        <v>12.99</v>
      </c>
    </row>
    <row r="1325" spans="1:38" x14ac:dyDescent="0.25">
      <c r="A1325">
        <v>1324</v>
      </c>
      <c r="B1325" t="str">
        <f xml:space="preserve"> "600650"</f>
        <v>600650</v>
      </c>
      <c r="C1325" t="s">
        <v>5263</v>
      </c>
      <c r="D1325">
        <v>17.05</v>
      </c>
      <c r="E1325">
        <v>-0.12</v>
      </c>
      <c r="F1325">
        <v>-0.02</v>
      </c>
      <c r="G1325" t="s">
        <v>1726</v>
      </c>
      <c r="H1325">
        <v>2</v>
      </c>
      <c r="I1325">
        <v>17.03</v>
      </c>
      <c r="J1325">
        <v>17.05</v>
      </c>
      <c r="K1325">
        <v>0.12</v>
      </c>
      <c r="L1325">
        <v>0.33</v>
      </c>
      <c r="M1325" t="s">
        <v>5264</v>
      </c>
      <c r="N1325">
        <v>36.33</v>
      </c>
      <c r="O1325" t="s">
        <v>274</v>
      </c>
      <c r="P1325">
        <v>17.149999999999999</v>
      </c>
      <c r="Q1325">
        <v>17.010000000000002</v>
      </c>
      <c r="R1325">
        <v>17.07</v>
      </c>
      <c r="S1325">
        <v>17.07</v>
      </c>
      <c r="T1325">
        <v>0.82</v>
      </c>
      <c r="U1325">
        <v>0.75</v>
      </c>
      <c r="V1325">
        <v>-16.920000000000002</v>
      </c>
      <c r="W1325">
        <v>-217</v>
      </c>
      <c r="X1325">
        <v>17.059999999999999</v>
      </c>
      <c r="Y1325">
        <v>7686</v>
      </c>
      <c r="Z1325">
        <v>5355</v>
      </c>
      <c r="AA1325">
        <v>1.44</v>
      </c>
      <c r="AB1325">
        <v>70</v>
      </c>
      <c r="AC1325">
        <v>58</v>
      </c>
      <c r="AD1325">
        <v>2.94</v>
      </c>
      <c r="AE1325" t="s">
        <v>5265</v>
      </c>
      <c r="AF1325" t="s">
        <v>5266</v>
      </c>
      <c r="AG1325" t="s">
        <v>5102</v>
      </c>
      <c r="AH1325" t="s">
        <v>5267</v>
      </c>
      <c r="AI1325">
        <v>-0.23</v>
      </c>
      <c r="AJ1325">
        <v>1.97</v>
      </c>
      <c r="AK1325">
        <v>1.31</v>
      </c>
      <c r="AL1325">
        <v>2.57</v>
      </c>
    </row>
    <row r="1326" spans="1:38" x14ac:dyDescent="0.25">
      <c r="A1326">
        <v>1325</v>
      </c>
      <c r="B1326" t="str">
        <f xml:space="preserve"> "300054"</f>
        <v>300054</v>
      </c>
      <c r="C1326" t="s">
        <v>5268</v>
      </c>
      <c r="D1326">
        <v>9.7799999999999994</v>
      </c>
      <c r="E1326">
        <v>-0.81</v>
      </c>
      <c r="F1326">
        <v>-0.08</v>
      </c>
      <c r="G1326" t="s">
        <v>3348</v>
      </c>
      <c r="H1326">
        <v>358</v>
      </c>
      <c r="I1326">
        <v>9.7799999999999994</v>
      </c>
      <c r="J1326">
        <v>9.7899999999999991</v>
      </c>
      <c r="K1326">
        <v>0.1</v>
      </c>
      <c r="L1326">
        <v>0.83</v>
      </c>
      <c r="M1326" t="s">
        <v>5269</v>
      </c>
      <c r="N1326">
        <v>30.26</v>
      </c>
      <c r="O1326" t="s">
        <v>667</v>
      </c>
      <c r="P1326">
        <v>9.86</v>
      </c>
      <c r="Q1326">
        <v>9.7200000000000006</v>
      </c>
      <c r="R1326">
        <v>9.83</v>
      </c>
      <c r="S1326">
        <v>9.86</v>
      </c>
      <c r="T1326">
        <v>1.42</v>
      </c>
      <c r="U1326">
        <v>0.61</v>
      </c>
      <c r="V1326">
        <v>47.74</v>
      </c>
      <c r="W1326">
        <v>1707</v>
      </c>
      <c r="X1326">
        <v>9.7799999999999994</v>
      </c>
      <c r="Y1326" t="s">
        <v>2714</v>
      </c>
      <c r="Z1326" t="s">
        <v>3251</v>
      </c>
      <c r="AA1326">
        <v>1.87</v>
      </c>
      <c r="AB1326">
        <v>157</v>
      </c>
      <c r="AC1326">
        <v>553</v>
      </c>
      <c r="AD1326">
        <v>2.77</v>
      </c>
      <c r="AE1326" t="s">
        <v>5226</v>
      </c>
      <c r="AF1326" t="s">
        <v>5266</v>
      </c>
      <c r="AG1326" t="s">
        <v>3582</v>
      </c>
      <c r="AH1326" t="s">
        <v>5270</v>
      </c>
      <c r="AI1326">
        <v>-1.1100000000000001</v>
      </c>
      <c r="AJ1326">
        <v>1.98</v>
      </c>
      <c r="AK1326">
        <v>2.84</v>
      </c>
      <c r="AL1326">
        <v>7.66</v>
      </c>
    </row>
    <row r="1327" spans="1:38" x14ac:dyDescent="0.25">
      <c r="A1327">
        <v>1326</v>
      </c>
      <c r="B1327" t="str">
        <f xml:space="preserve"> "002752"</f>
        <v>002752</v>
      </c>
      <c r="C1327" t="s">
        <v>5271</v>
      </c>
      <c r="D1327">
        <v>11.28</v>
      </c>
      <c r="E1327">
        <v>1.35</v>
      </c>
      <c r="F1327">
        <v>0.15</v>
      </c>
      <c r="G1327" t="s">
        <v>1745</v>
      </c>
      <c r="H1327">
        <v>539</v>
      </c>
      <c r="I1327">
        <v>11.27</v>
      </c>
      <c r="J1327">
        <v>11.28</v>
      </c>
      <c r="K1327">
        <v>0</v>
      </c>
      <c r="L1327">
        <v>1.39</v>
      </c>
      <c r="M1327" t="s">
        <v>5272</v>
      </c>
      <c r="N1327">
        <v>68.22</v>
      </c>
      <c r="O1327" t="s">
        <v>1229</v>
      </c>
      <c r="P1327">
        <v>11.31</v>
      </c>
      <c r="Q1327">
        <v>11.12</v>
      </c>
      <c r="R1327">
        <v>11.25</v>
      </c>
      <c r="S1327">
        <v>11.13</v>
      </c>
      <c r="T1327">
        <v>1.71</v>
      </c>
      <c r="U1327">
        <v>1.77</v>
      </c>
      <c r="V1327">
        <v>-61</v>
      </c>
      <c r="W1327">
        <v>-1173</v>
      </c>
      <c r="X1327">
        <v>11.26</v>
      </c>
      <c r="Y1327">
        <v>9588</v>
      </c>
      <c r="Z1327" t="s">
        <v>1799</v>
      </c>
      <c r="AA1327">
        <v>0.76</v>
      </c>
      <c r="AB1327">
        <v>94</v>
      </c>
      <c r="AC1327">
        <v>366</v>
      </c>
      <c r="AD1327">
        <v>5.31</v>
      </c>
      <c r="AE1327" t="s">
        <v>4255</v>
      </c>
      <c r="AF1327" t="s">
        <v>5266</v>
      </c>
      <c r="AG1327" t="s">
        <v>4326</v>
      </c>
      <c r="AH1327" t="s">
        <v>2434</v>
      </c>
      <c r="AI1327">
        <v>1.71</v>
      </c>
      <c r="AJ1327">
        <v>5.13</v>
      </c>
      <c r="AK1327">
        <v>3.1</v>
      </c>
      <c r="AL1327">
        <v>5.32</v>
      </c>
    </row>
    <row r="1328" spans="1:38" x14ac:dyDescent="0.25">
      <c r="A1328">
        <v>1327</v>
      </c>
      <c r="B1328" t="str">
        <f xml:space="preserve"> "603588"</f>
        <v>603588</v>
      </c>
      <c r="C1328" t="s">
        <v>5273</v>
      </c>
      <c r="D1328" t="s">
        <v>616</v>
      </c>
      <c r="E1328" t="s">
        <v>616</v>
      </c>
      <c r="F1328" t="s">
        <v>616</v>
      </c>
      <c r="G1328" t="s">
        <v>616</v>
      </c>
      <c r="H1328" t="s">
        <v>616</v>
      </c>
      <c r="I1328" t="s">
        <v>616</v>
      </c>
      <c r="J1328" t="s">
        <v>616</v>
      </c>
      <c r="K1328" t="s">
        <v>616</v>
      </c>
      <c r="L1328" t="s">
        <v>616</v>
      </c>
      <c r="M1328" t="s">
        <v>616</v>
      </c>
      <c r="N1328">
        <v>71.17</v>
      </c>
      <c r="O1328" t="s">
        <v>1155</v>
      </c>
      <c r="P1328" t="s">
        <v>616</v>
      </c>
      <c r="Q1328" t="s">
        <v>616</v>
      </c>
      <c r="R1328" t="s">
        <v>616</v>
      </c>
      <c r="S1328">
        <v>14.19</v>
      </c>
      <c r="T1328" t="s">
        <v>616</v>
      </c>
      <c r="U1328" t="s">
        <v>616</v>
      </c>
      <c r="V1328" t="s">
        <v>616</v>
      </c>
      <c r="W1328" t="s">
        <v>616</v>
      </c>
      <c r="X1328" t="s">
        <v>616</v>
      </c>
      <c r="Y1328" t="s">
        <v>616</v>
      </c>
      <c r="Z1328" t="s">
        <v>616</v>
      </c>
      <c r="AA1328" t="s">
        <v>616</v>
      </c>
      <c r="AB1328" t="s">
        <v>616</v>
      </c>
      <c r="AC1328" t="s">
        <v>616</v>
      </c>
      <c r="AD1328">
        <v>4.5999999999999996</v>
      </c>
      <c r="AE1328" t="s">
        <v>5274</v>
      </c>
      <c r="AF1328" t="s">
        <v>5266</v>
      </c>
      <c r="AG1328" t="s">
        <v>2810</v>
      </c>
      <c r="AH1328" t="s">
        <v>4679</v>
      </c>
      <c r="AI1328">
        <v>0</v>
      </c>
      <c r="AJ1328">
        <v>0</v>
      </c>
      <c r="AK1328">
        <v>0</v>
      </c>
      <c r="AL1328">
        <v>0</v>
      </c>
    </row>
    <row r="1329" spans="1:38" x14ac:dyDescent="0.25">
      <c r="A1329">
        <v>1328</v>
      </c>
      <c r="B1329" t="str">
        <f xml:space="preserve"> "600757"</f>
        <v>600757</v>
      </c>
      <c r="C1329" t="s">
        <v>5275</v>
      </c>
      <c r="D1329">
        <v>7.74</v>
      </c>
      <c r="E1329">
        <v>0.13</v>
      </c>
      <c r="F1329">
        <v>0.01</v>
      </c>
      <c r="G1329" t="s">
        <v>1593</v>
      </c>
      <c r="H1329">
        <v>36</v>
      </c>
      <c r="I1329">
        <v>7.74</v>
      </c>
      <c r="J1329">
        <v>7.75</v>
      </c>
      <c r="K1329">
        <v>0</v>
      </c>
      <c r="L1329">
        <v>0.45</v>
      </c>
      <c r="M1329" t="s">
        <v>5276</v>
      </c>
      <c r="N1329">
        <v>12.34</v>
      </c>
      <c r="O1329" t="s">
        <v>1126</v>
      </c>
      <c r="P1329">
        <v>7.75</v>
      </c>
      <c r="Q1329">
        <v>7.72</v>
      </c>
      <c r="R1329">
        <v>7.74</v>
      </c>
      <c r="S1329">
        <v>7.73</v>
      </c>
      <c r="T1329">
        <v>0.39</v>
      </c>
      <c r="U1329">
        <v>0.65</v>
      </c>
      <c r="V1329">
        <v>-47.66</v>
      </c>
      <c r="W1329">
        <v>-5166</v>
      </c>
      <c r="X1329">
        <v>7.74</v>
      </c>
      <c r="Y1329" t="s">
        <v>3814</v>
      </c>
      <c r="Z1329" t="s">
        <v>3090</v>
      </c>
      <c r="AA1329">
        <v>1.28</v>
      </c>
      <c r="AB1329">
        <v>491</v>
      </c>
      <c r="AC1329">
        <v>2095</v>
      </c>
      <c r="AD1329">
        <v>1.62</v>
      </c>
      <c r="AE1329" t="s">
        <v>2071</v>
      </c>
      <c r="AF1329" t="s">
        <v>3793</v>
      </c>
      <c r="AG1329" t="s">
        <v>2071</v>
      </c>
      <c r="AH1329" t="s">
        <v>3793</v>
      </c>
      <c r="AI1329">
        <v>-0.51</v>
      </c>
      <c r="AJ1329">
        <v>1.98</v>
      </c>
      <c r="AK1329">
        <v>1.82</v>
      </c>
      <c r="AL1329">
        <v>3.89</v>
      </c>
    </row>
    <row r="1330" spans="1:38" x14ac:dyDescent="0.25">
      <c r="A1330">
        <v>1329</v>
      </c>
      <c r="B1330" t="str">
        <f xml:space="preserve"> "600508"</f>
        <v>600508</v>
      </c>
      <c r="C1330" t="s">
        <v>5277</v>
      </c>
      <c r="D1330">
        <v>12.98</v>
      </c>
      <c r="E1330">
        <v>1.01</v>
      </c>
      <c r="F1330">
        <v>0.13</v>
      </c>
      <c r="G1330" t="s">
        <v>3965</v>
      </c>
      <c r="H1330">
        <v>30</v>
      </c>
      <c r="I1330">
        <v>12.97</v>
      </c>
      <c r="J1330">
        <v>12.98</v>
      </c>
      <c r="K1330">
        <v>0</v>
      </c>
      <c r="L1330">
        <v>0.46</v>
      </c>
      <c r="M1330" t="s">
        <v>5278</v>
      </c>
      <c r="N1330">
        <v>12.36</v>
      </c>
      <c r="O1330" t="s">
        <v>150</v>
      </c>
      <c r="P1330">
        <v>13</v>
      </c>
      <c r="Q1330">
        <v>12.8</v>
      </c>
      <c r="R1330">
        <v>12.85</v>
      </c>
      <c r="S1330">
        <v>12.85</v>
      </c>
      <c r="T1330">
        <v>1.56</v>
      </c>
      <c r="U1330">
        <v>0.85</v>
      </c>
      <c r="V1330">
        <v>-6.24</v>
      </c>
      <c r="W1330">
        <v>-100</v>
      </c>
      <c r="X1330">
        <v>12.94</v>
      </c>
      <c r="Y1330" t="s">
        <v>3234</v>
      </c>
      <c r="Z1330" t="s">
        <v>3387</v>
      </c>
      <c r="AA1330">
        <v>0.73</v>
      </c>
      <c r="AB1330">
        <v>126</v>
      </c>
      <c r="AC1330">
        <v>89</v>
      </c>
      <c r="AD1330">
        <v>1.07</v>
      </c>
      <c r="AE1330" t="s">
        <v>5076</v>
      </c>
      <c r="AF1330" t="s">
        <v>5279</v>
      </c>
      <c r="AG1330" t="s">
        <v>5076</v>
      </c>
      <c r="AH1330" t="s">
        <v>5279</v>
      </c>
      <c r="AI1330">
        <v>-0.84</v>
      </c>
      <c r="AJ1330">
        <v>0.7</v>
      </c>
      <c r="AK1330">
        <v>1.85</v>
      </c>
      <c r="AL1330">
        <v>3.21</v>
      </c>
    </row>
    <row r="1331" spans="1:38" x14ac:dyDescent="0.25">
      <c r="A1331">
        <v>1330</v>
      </c>
      <c r="B1331" t="str">
        <f xml:space="preserve"> "300184"</f>
        <v>300184</v>
      </c>
      <c r="C1331" t="s">
        <v>5280</v>
      </c>
      <c r="D1331">
        <v>14.25</v>
      </c>
      <c r="E1331">
        <v>1.06</v>
      </c>
      <c r="F1331">
        <v>0.15</v>
      </c>
      <c r="G1331" t="s">
        <v>1692</v>
      </c>
      <c r="H1331">
        <v>963</v>
      </c>
      <c r="I1331">
        <v>14.25</v>
      </c>
      <c r="J1331">
        <v>14.26</v>
      </c>
      <c r="K1331">
        <v>0</v>
      </c>
      <c r="L1331">
        <v>1.27</v>
      </c>
      <c r="M1331" t="s">
        <v>5281</v>
      </c>
      <c r="N1331">
        <v>30.53</v>
      </c>
      <c r="O1331" t="s">
        <v>380</v>
      </c>
      <c r="P1331">
        <v>14.28</v>
      </c>
      <c r="Q1331">
        <v>14.01</v>
      </c>
      <c r="R1331">
        <v>14.01</v>
      </c>
      <c r="S1331">
        <v>14.1</v>
      </c>
      <c r="T1331">
        <v>1.91</v>
      </c>
      <c r="U1331">
        <v>0.72</v>
      </c>
      <c r="V1331">
        <v>-65.63</v>
      </c>
      <c r="W1331">
        <v>-2356</v>
      </c>
      <c r="X1331">
        <v>14.17</v>
      </c>
      <c r="Y1331" t="s">
        <v>4303</v>
      </c>
      <c r="Z1331" t="s">
        <v>113</v>
      </c>
      <c r="AA1331">
        <v>0.78</v>
      </c>
      <c r="AB1331">
        <v>205</v>
      </c>
      <c r="AC1331">
        <v>206</v>
      </c>
      <c r="AD1331">
        <v>2.31</v>
      </c>
      <c r="AE1331" t="s">
        <v>5282</v>
      </c>
      <c r="AF1331" t="s">
        <v>5279</v>
      </c>
      <c r="AG1331" t="s">
        <v>950</v>
      </c>
      <c r="AH1331" t="s">
        <v>4889</v>
      </c>
      <c r="AI1331">
        <v>-0.9</v>
      </c>
      <c r="AJ1331">
        <v>3.79</v>
      </c>
      <c r="AK1331">
        <v>5.38</v>
      </c>
      <c r="AL1331">
        <v>10.130000000000001</v>
      </c>
    </row>
    <row r="1332" spans="1:38" x14ac:dyDescent="0.25">
      <c r="A1332">
        <v>1331</v>
      </c>
      <c r="B1332" t="str">
        <f xml:space="preserve"> "600141"</f>
        <v>600141</v>
      </c>
      <c r="C1332" t="s">
        <v>5283</v>
      </c>
      <c r="D1332">
        <v>18.690000000000001</v>
      </c>
      <c r="E1332">
        <v>2.41</v>
      </c>
      <c r="F1332">
        <v>0.44</v>
      </c>
      <c r="G1332" t="s">
        <v>1814</v>
      </c>
      <c r="H1332">
        <v>5</v>
      </c>
      <c r="I1332">
        <v>18.68</v>
      </c>
      <c r="J1332">
        <v>18.690000000000001</v>
      </c>
      <c r="K1332">
        <v>-0.11</v>
      </c>
      <c r="L1332">
        <v>2.0099999999999998</v>
      </c>
      <c r="M1332" t="s">
        <v>1371</v>
      </c>
      <c r="N1332">
        <v>42.68</v>
      </c>
      <c r="O1332" t="s">
        <v>667</v>
      </c>
      <c r="P1332">
        <v>18.850000000000001</v>
      </c>
      <c r="Q1332">
        <v>18.21</v>
      </c>
      <c r="R1332">
        <v>18.36</v>
      </c>
      <c r="S1332">
        <v>18.25</v>
      </c>
      <c r="T1332">
        <v>3.51</v>
      </c>
      <c r="U1332">
        <v>0.56999999999999995</v>
      </c>
      <c r="V1332">
        <v>-19.79</v>
      </c>
      <c r="W1332">
        <v>-390</v>
      </c>
      <c r="X1332">
        <v>18.59</v>
      </c>
      <c r="Y1332" t="s">
        <v>2781</v>
      </c>
      <c r="Z1332" t="s">
        <v>5284</v>
      </c>
      <c r="AA1332">
        <v>0.64</v>
      </c>
      <c r="AB1332">
        <v>46</v>
      </c>
      <c r="AC1332">
        <v>35</v>
      </c>
      <c r="AD1332">
        <v>1.89</v>
      </c>
      <c r="AE1332" t="s">
        <v>2700</v>
      </c>
      <c r="AF1332" t="s">
        <v>5285</v>
      </c>
      <c r="AG1332" t="s">
        <v>2700</v>
      </c>
      <c r="AH1332" t="s">
        <v>5285</v>
      </c>
      <c r="AI1332">
        <v>0.48</v>
      </c>
      <c r="AJ1332">
        <v>-7.01</v>
      </c>
      <c r="AK1332">
        <v>7.41</v>
      </c>
      <c r="AL1332">
        <v>19.7</v>
      </c>
    </row>
    <row r="1333" spans="1:38" x14ac:dyDescent="0.25">
      <c r="A1333">
        <v>1332</v>
      </c>
      <c r="B1333" t="str">
        <f xml:space="preserve"> "002588"</f>
        <v>002588</v>
      </c>
      <c r="C1333" t="s">
        <v>5286</v>
      </c>
      <c r="D1333">
        <v>8.08</v>
      </c>
      <c r="E1333">
        <v>0.5</v>
      </c>
      <c r="F1333">
        <v>0.04</v>
      </c>
      <c r="G1333" t="s">
        <v>5287</v>
      </c>
      <c r="H1333">
        <v>3030</v>
      </c>
      <c r="I1333">
        <v>8.07</v>
      </c>
      <c r="J1333">
        <v>8.08</v>
      </c>
      <c r="K1333">
        <v>0.12</v>
      </c>
      <c r="L1333">
        <v>1.28</v>
      </c>
      <c r="M1333" t="s">
        <v>5288</v>
      </c>
      <c r="N1333">
        <v>22.88</v>
      </c>
      <c r="O1333" t="s">
        <v>1936</v>
      </c>
      <c r="P1333">
        <v>8.08</v>
      </c>
      <c r="Q1333">
        <v>7.93</v>
      </c>
      <c r="R1333">
        <v>8.0500000000000007</v>
      </c>
      <c r="S1333">
        <v>8.0399999999999991</v>
      </c>
      <c r="T1333">
        <v>1.87</v>
      </c>
      <c r="U1333">
        <v>0.94</v>
      </c>
      <c r="V1333">
        <v>-11.95</v>
      </c>
      <c r="W1333">
        <v>-1529</v>
      </c>
      <c r="X1333">
        <v>8.0299999999999994</v>
      </c>
      <c r="Y1333" t="s">
        <v>5289</v>
      </c>
      <c r="Z1333" t="s">
        <v>3962</v>
      </c>
      <c r="AA1333">
        <v>1.1100000000000001</v>
      </c>
      <c r="AB1333">
        <v>814</v>
      </c>
      <c r="AC1333">
        <v>1441</v>
      </c>
      <c r="AD1333">
        <v>2.2799999999999998</v>
      </c>
      <c r="AE1333" t="s">
        <v>1572</v>
      </c>
      <c r="AF1333" t="s">
        <v>5290</v>
      </c>
      <c r="AG1333" t="s">
        <v>4573</v>
      </c>
      <c r="AH1333" t="s">
        <v>5291</v>
      </c>
      <c r="AI1333">
        <v>0.37</v>
      </c>
      <c r="AJ1333">
        <v>3.59</v>
      </c>
      <c r="AK1333">
        <v>3.94</v>
      </c>
      <c r="AL1333">
        <v>8.1</v>
      </c>
    </row>
    <row r="1334" spans="1:38" x14ac:dyDescent="0.25">
      <c r="A1334">
        <v>1333</v>
      </c>
      <c r="B1334" t="str">
        <f xml:space="preserve"> "002435"</f>
        <v>002435</v>
      </c>
      <c r="C1334" t="s">
        <v>5292</v>
      </c>
      <c r="D1334">
        <v>19.05</v>
      </c>
      <c r="E1334">
        <v>-1.04</v>
      </c>
      <c r="F1334">
        <v>-0.2</v>
      </c>
      <c r="G1334" t="s">
        <v>1489</v>
      </c>
      <c r="H1334">
        <v>1504</v>
      </c>
      <c r="I1334">
        <v>18.95</v>
      </c>
      <c r="J1334">
        <v>19.05</v>
      </c>
      <c r="K1334">
        <v>0.57999999999999996</v>
      </c>
      <c r="L1334">
        <v>2.27</v>
      </c>
      <c r="M1334" t="s">
        <v>5293</v>
      </c>
      <c r="N1334">
        <v>30.67</v>
      </c>
      <c r="O1334" t="s">
        <v>648</v>
      </c>
      <c r="P1334">
        <v>19.579999999999998</v>
      </c>
      <c r="Q1334">
        <v>18.82</v>
      </c>
      <c r="R1334">
        <v>18.989999999999998</v>
      </c>
      <c r="S1334">
        <v>19.25</v>
      </c>
      <c r="T1334">
        <v>3.95</v>
      </c>
      <c r="U1334">
        <v>2.0699999999999998</v>
      </c>
      <c r="V1334">
        <v>18.48</v>
      </c>
      <c r="W1334">
        <v>409</v>
      </c>
      <c r="X1334">
        <v>19.100000000000001</v>
      </c>
      <c r="Y1334" t="s">
        <v>4023</v>
      </c>
      <c r="Z1334" t="s">
        <v>3158</v>
      </c>
      <c r="AA1334">
        <v>1.26</v>
      </c>
      <c r="AB1334">
        <v>13</v>
      </c>
      <c r="AC1334">
        <v>131</v>
      </c>
      <c r="AD1334">
        <v>1.83</v>
      </c>
      <c r="AE1334" t="s">
        <v>3800</v>
      </c>
      <c r="AF1334" t="s">
        <v>5290</v>
      </c>
      <c r="AG1334" t="s">
        <v>2267</v>
      </c>
      <c r="AH1334" t="s">
        <v>1239</v>
      </c>
      <c r="AI1334">
        <v>2.97</v>
      </c>
      <c r="AJ1334">
        <v>5.83</v>
      </c>
      <c r="AK1334">
        <v>5.17</v>
      </c>
      <c r="AL1334">
        <v>7.76</v>
      </c>
    </row>
    <row r="1335" spans="1:38" x14ac:dyDescent="0.25">
      <c r="A1335">
        <v>1334</v>
      </c>
      <c r="B1335" t="str">
        <f xml:space="preserve"> "600206"</f>
        <v>600206</v>
      </c>
      <c r="C1335" t="s">
        <v>5294</v>
      </c>
      <c r="D1335">
        <v>11.12</v>
      </c>
      <c r="E1335">
        <v>0.63</v>
      </c>
      <c r="F1335">
        <v>7.0000000000000007E-2</v>
      </c>
      <c r="G1335" t="s">
        <v>1028</v>
      </c>
      <c r="H1335">
        <v>278</v>
      </c>
      <c r="I1335">
        <v>11.11</v>
      </c>
      <c r="J1335">
        <v>11.12</v>
      </c>
      <c r="K1335">
        <v>0.09</v>
      </c>
      <c r="L1335">
        <v>1.97</v>
      </c>
      <c r="M1335" t="s">
        <v>2267</v>
      </c>
      <c r="N1335">
        <v>141.4</v>
      </c>
      <c r="O1335" t="s">
        <v>859</v>
      </c>
      <c r="P1335">
        <v>11.2</v>
      </c>
      <c r="Q1335">
        <v>11.02</v>
      </c>
      <c r="R1335">
        <v>11.04</v>
      </c>
      <c r="S1335">
        <v>11.05</v>
      </c>
      <c r="T1335">
        <v>1.63</v>
      </c>
      <c r="U1335">
        <v>0.38</v>
      </c>
      <c r="V1335">
        <v>-6.11</v>
      </c>
      <c r="W1335">
        <v>-311</v>
      </c>
      <c r="X1335">
        <v>11.09</v>
      </c>
      <c r="Y1335" t="s">
        <v>906</v>
      </c>
      <c r="Z1335" t="s">
        <v>3100</v>
      </c>
      <c r="AA1335">
        <v>1.08</v>
      </c>
      <c r="AB1335">
        <v>485</v>
      </c>
      <c r="AC1335">
        <v>300</v>
      </c>
      <c r="AD1335">
        <v>3.28</v>
      </c>
      <c r="AE1335" t="s">
        <v>4386</v>
      </c>
      <c r="AF1335" t="s">
        <v>5295</v>
      </c>
      <c r="AG1335" t="s">
        <v>4386</v>
      </c>
      <c r="AH1335" t="s">
        <v>5295</v>
      </c>
      <c r="AI1335">
        <v>-5.92</v>
      </c>
      <c r="AJ1335">
        <v>-6.24</v>
      </c>
      <c r="AK1335">
        <v>10.26</v>
      </c>
      <c r="AL1335">
        <v>27.88</v>
      </c>
    </row>
    <row r="1336" spans="1:38" x14ac:dyDescent="0.25">
      <c r="A1336">
        <v>1335</v>
      </c>
      <c r="B1336" t="str">
        <f xml:space="preserve"> "002906"</f>
        <v>002906</v>
      </c>
      <c r="C1336" t="s">
        <v>5296</v>
      </c>
      <c r="D1336">
        <v>19.71</v>
      </c>
      <c r="E1336">
        <v>43.97</v>
      </c>
      <c r="F1336">
        <v>6.02</v>
      </c>
      <c r="G1336">
        <v>230</v>
      </c>
      <c r="H1336">
        <v>5</v>
      </c>
      <c r="I1336">
        <v>19.71</v>
      </c>
      <c r="J1336" t="s">
        <v>616</v>
      </c>
      <c r="K1336">
        <v>0</v>
      </c>
      <c r="L1336">
        <v>0.03</v>
      </c>
      <c r="M1336" t="s">
        <v>251</v>
      </c>
      <c r="N1336">
        <v>33.950000000000003</v>
      </c>
      <c r="O1336" t="s">
        <v>380</v>
      </c>
      <c r="P1336">
        <v>19.71</v>
      </c>
      <c r="Q1336">
        <v>16.43</v>
      </c>
      <c r="R1336">
        <v>16.43</v>
      </c>
      <c r="S1336">
        <v>13.69</v>
      </c>
      <c r="T1336">
        <v>23.96</v>
      </c>
      <c r="U1336" t="s">
        <v>616</v>
      </c>
      <c r="V1336">
        <v>100</v>
      </c>
      <c r="W1336" t="s">
        <v>4912</v>
      </c>
      <c r="X1336">
        <v>19.66</v>
      </c>
      <c r="Y1336">
        <v>230</v>
      </c>
      <c r="Z1336">
        <v>0</v>
      </c>
      <c r="AA1336">
        <v>1</v>
      </c>
      <c r="AB1336" t="s">
        <v>3671</v>
      </c>
      <c r="AC1336">
        <v>0</v>
      </c>
      <c r="AD1336">
        <v>2.83</v>
      </c>
      <c r="AE1336" t="s">
        <v>5057</v>
      </c>
      <c r="AF1336" t="s">
        <v>5297</v>
      </c>
      <c r="AG1336" t="s">
        <v>5298</v>
      </c>
      <c r="AH1336" t="s">
        <v>2100</v>
      </c>
      <c r="AI1336">
        <v>0</v>
      </c>
      <c r="AJ1336">
        <v>0</v>
      </c>
      <c r="AK1336">
        <v>0.03</v>
      </c>
      <c r="AL1336">
        <v>0.03</v>
      </c>
    </row>
    <row r="1337" spans="1:38" x14ac:dyDescent="0.25">
      <c r="A1337">
        <v>1336</v>
      </c>
      <c r="B1337" t="str">
        <f xml:space="preserve"> "601566"</f>
        <v>601566</v>
      </c>
      <c r="C1337" t="s">
        <v>5299</v>
      </c>
      <c r="D1337">
        <v>16.2</v>
      </c>
      <c r="E1337">
        <v>-1.52</v>
      </c>
      <c r="F1337">
        <v>-0.25</v>
      </c>
      <c r="G1337" t="s">
        <v>927</v>
      </c>
      <c r="H1337">
        <v>7</v>
      </c>
      <c r="I1337">
        <v>16.190000000000001</v>
      </c>
      <c r="J1337">
        <v>16.2</v>
      </c>
      <c r="K1337">
        <v>-0.06</v>
      </c>
      <c r="L1337">
        <v>0.84</v>
      </c>
      <c r="M1337" t="s">
        <v>5300</v>
      </c>
      <c r="N1337">
        <v>20.75</v>
      </c>
      <c r="O1337" t="s">
        <v>1443</v>
      </c>
      <c r="P1337">
        <v>16.45</v>
      </c>
      <c r="Q1337">
        <v>16.18</v>
      </c>
      <c r="R1337">
        <v>16.45</v>
      </c>
      <c r="S1337">
        <v>16.45</v>
      </c>
      <c r="T1337">
        <v>1.64</v>
      </c>
      <c r="U1337">
        <v>1.4</v>
      </c>
      <c r="V1337">
        <v>13.94</v>
      </c>
      <c r="W1337">
        <v>272</v>
      </c>
      <c r="X1337">
        <v>16.25</v>
      </c>
      <c r="Y1337" t="s">
        <v>4200</v>
      </c>
      <c r="Z1337" t="s">
        <v>3892</v>
      </c>
      <c r="AA1337">
        <v>1.47</v>
      </c>
      <c r="AB1337">
        <v>132</v>
      </c>
      <c r="AC1337">
        <v>264</v>
      </c>
      <c r="AD1337">
        <v>2.25</v>
      </c>
      <c r="AE1337" t="s">
        <v>2236</v>
      </c>
      <c r="AF1337" t="s">
        <v>535</v>
      </c>
      <c r="AG1337" t="s">
        <v>2236</v>
      </c>
      <c r="AH1337" t="s">
        <v>535</v>
      </c>
      <c r="AI1337">
        <v>-3.46</v>
      </c>
      <c r="AJ1337">
        <v>-0.49</v>
      </c>
      <c r="AK1337">
        <v>2.13</v>
      </c>
      <c r="AL1337">
        <v>3.84</v>
      </c>
    </row>
    <row r="1338" spans="1:38" x14ac:dyDescent="0.25">
      <c r="A1338">
        <v>1337</v>
      </c>
      <c r="B1338" t="str">
        <f xml:space="preserve"> "002721"</f>
        <v>002721</v>
      </c>
      <c r="C1338" t="s">
        <v>5301</v>
      </c>
      <c r="D1338">
        <v>14.36</v>
      </c>
      <c r="E1338">
        <v>-7.0000000000000007E-2</v>
      </c>
      <c r="F1338">
        <v>-0.01</v>
      </c>
      <c r="G1338" t="s">
        <v>125</v>
      </c>
      <c r="H1338">
        <v>332</v>
      </c>
      <c r="I1338">
        <v>14.35</v>
      </c>
      <c r="J1338">
        <v>14.36</v>
      </c>
      <c r="K1338">
        <v>7.0000000000000007E-2</v>
      </c>
      <c r="L1338">
        <v>0.38</v>
      </c>
      <c r="M1338" t="s">
        <v>5302</v>
      </c>
      <c r="N1338">
        <v>139.72999999999999</v>
      </c>
      <c r="O1338" t="s">
        <v>2984</v>
      </c>
      <c r="P1338">
        <v>14.37</v>
      </c>
      <c r="Q1338">
        <v>14.3</v>
      </c>
      <c r="R1338">
        <v>14.32</v>
      </c>
      <c r="S1338">
        <v>14.37</v>
      </c>
      <c r="T1338">
        <v>0.49</v>
      </c>
      <c r="U1338">
        <v>0.45</v>
      </c>
      <c r="V1338">
        <v>-3.89</v>
      </c>
      <c r="W1338">
        <v>-100</v>
      </c>
      <c r="X1338">
        <v>14.34</v>
      </c>
      <c r="Y1338">
        <v>9102</v>
      </c>
      <c r="Z1338">
        <v>6200</v>
      </c>
      <c r="AA1338">
        <v>1.47</v>
      </c>
      <c r="AB1338">
        <v>146</v>
      </c>
      <c r="AC1338">
        <v>243</v>
      </c>
      <c r="AD1338">
        <v>4.2</v>
      </c>
      <c r="AE1338" t="s">
        <v>5303</v>
      </c>
      <c r="AF1338" t="s">
        <v>535</v>
      </c>
      <c r="AG1338" t="s">
        <v>3418</v>
      </c>
      <c r="AH1338" t="s">
        <v>557</v>
      </c>
      <c r="AI1338">
        <v>-7.0000000000000007E-2</v>
      </c>
      <c r="AJ1338">
        <v>-0.14000000000000001</v>
      </c>
      <c r="AK1338">
        <v>2.78</v>
      </c>
      <c r="AL1338">
        <v>4.6100000000000003</v>
      </c>
    </row>
    <row r="1339" spans="1:38" x14ac:dyDescent="0.25">
      <c r="A1339">
        <v>1338</v>
      </c>
      <c r="B1339" t="str">
        <f xml:space="preserve"> "000900"</f>
        <v>000900</v>
      </c>
      <c r="C1339" t="s">
        <v>5304</v>
      </c>
      <c r="D1339">
        <v>6.13</v>
      </c>
      <c r="E1339">
        <v>0.33</v>
      </c>
      <c r="F1339">
        <v>0.02</v>
      </c>
      <c r="G1339" t="s">
        <v>5305</v>
      </c>
      <c r="H1339">
        <v>512</v>
      </c>
      <c r="I1339">
        <v>6.13</v>
      </c>
      <c r="J1339">
        <v>6.14</v>
      </c>
      <c r="K1339">
        <v>0</v>
      </c>
      <c r="L1339">
        <v>0.38</v>
      </c>
      <c r="M1339" t="s">
        <v>5306</v>
      </c>
      <c r="N1339">
        <v>11.43</v>
      </c>
      <c r="O1339" t="s">
        <v>1348</v>
      </c>
      <c r="P1339">
        <v>6.14</v>
      </c>
      <c r="Q1339">
        <v>6.09</v>
      </c>
      <c r="R1339">
        <v>6.12</v>
      </c>
      <c r="S1339">
        <v>6.11</v>
      </c>
      <c r="T1339">
        <v>0.82</v>
      </c>
      <c r="U1339">
        <v>0.79</v>
      </c>
      <c r="V1339">
        <v>-34.549999999999997</v>
      </c>
      <c r="W1339">
        <v>-7704</v>
      </c>
      <c r="X1339">
        <v>6.12</v>
      </c>
      <c r="Y1339" t="s">
        <v>1276</v>
      </c>
      <c r="Z1339" t="s">
        <v>3190</v>
      </c>
      <c r="AA1339">
        <v>0.94</v>
      </c>
      <c r="AB1339">
        <v>728</v>
      </c>
      <c r="AC1339">
        <v>3038</v>
      </c>
      <c r="AD1339">
        <v>1.1499999999999999</v>
      </c>
      <c r="AE1339" t="s">
        <v>1225</v>
      </c>
      <c r="AF1339" t="s">
        <v>4466</v>
      </c>
      <c r="AG1339" t="s">
        <v>1225</v>
      </c>
      <c r="AH1339" t="s">
        <v>1625</v>
      </c>
      <c r="AI1339">
        <v>-0.16</v>
      </c>
      <c r="AJ1339">
        <v>2.5099999999999998</v>
      </c>
      <c r="AK1339">
        <v>1.06</v>
      </c>
      <c r="AL1339">
        <v>2.82</v>
      </c>
    </row>
    <row r="1340" spans="1:38" x14ac:dyDescent="0.25">
      <c r="A1340">
        <v>1339</v>
      </c>
      <c r="B1340" t="str">
        <f xml:space="preserve"> "600073"</f>
        <v>600073</v>
      </c>
      <c r="C1340" t="s">
        <v>5307</v>
      </c>
      <c r="D1340">
        <v>9.92</v>
      </c>
      <c r="E1340">
        <v>-0.8</v>
      </c>
      <c r="F1340">
        <v>-0.08</v>
      </c>
      <c r="G1340" t="s">
        <v>2153</v>
      </c>
      <c r="H1340">
        <v>18</v>
      </c>
      <c r="I1340">
        <v>9.91</v>
      </c>
      <c r="J1340">
        <v>9.92</v>
      </c>
      <c r="K1340">
        <v>-0.1</v>
      </c>
      <c r="L1340">
        <v>0.95</v>
      </c>
      <c r="M1340" t="s">
        <v>5308</v>
      </c>
      <c r="N1340">
        <v>16.68</v>
      </c>
      <c r="O1340" t="s">
        <v>406</v>
      </c>
      <c r="P1340">
        <v>10.050000000000001</v>
      </c>
      <c r="Q1340">
        <v>9.84</v>
      </c>
      <c r="R1340">
        <v>9.98</v>
      </c>
      <c r="S1340">
        <v>10</v>
      </c>
      <c r="T1340">
        <v>2.1</v>
      </c>
      <c r="U1340">
        <v>0.83</v>
      </c>
      <c r="V1340">
        <v>-44.8</v>
      </c>
      <c r="W1340">
        <v>-1664</v>
      </c>
      <c r="X1340">
        <v>9.92</v>
      </c>
      <c r="Y1340" t="s">
        <v>1593</v>
      </c>
      <c r="Z1340" t="s">
        <v>1121</v>
      </c>
      <c r="AA1340">
        <v>1.56</v>
      </c>
      <c r="AB1340">
        <v>161</v>
      </c>
      <c r="AC1340">
        <v>445</v>
      </c>
      <c r="AD1340">
        <v>2.66</v>
      </c>
      <c r="AE1340" t="s">
        <v>214</v>
      </c>
      <c r="AF1340" t="s">
        <v>4466</v>
      </c>
      <c r="AG1340" t="s">
        <v>214</v>
      </c>
      <c r="AH1340" t="s">
        <v>4466</v>
      </c>
      <c r="AI1340">
        <v>0.4</v>
      </c>
      <c r="AJ1340">
        <v>3.98</v>
      </c>
      <c r="AK1340">
        <v>3.92</v>
      </c>
      <c r="AL1340">
        <v>6.69</v>
      </c>
    </row>
    <row r="1341" spans="1:38" x14ac:dyDescent="0.25">
      <c r="A1341">
        <v>1340</v>
      </c>
      <c r="B1341" t="str">
        <f xml:space="preserve"> "300020"</f>
        <v>300020</v>
      </c>
      <c r="C1341" t="s">
        <v>5309</v>
      </c>
      <c r="D1341">
        <v>14.18</v>
      </c>
      <c r="E1341">
        <v>-1.87</v>
      </c>
      <c r="F1341">
        <v>-0.27</v>
      </c>
      <c r="G1341" t="s">
        <v>5310</v>
      </c>
      <c r="H1341">
        <v>6512</v>
      </c>
      <c r="I1341">
        <v>14.17</v>
      </c>
      <c r="J1341">
        <v>14.18</v>
      </c>
      <c r="K1341">
        <v>0.28000000000000003</v>
      </c>
      <c r="L1341">
        <v>5.59</v>
      </c>
      <c r="M1341" t="s">
        <v>2810</v>
      </c>
      <c r="N1341">
        <v>55.09</v>
      </c>
      <c r="O1341" t="s">
        <v>893</v>
      </c>
      <c r="P1341">
        <v>14.38</v>
      </c>
      <c r="Q1341">
        <v>13.96</v>
      </c>
      <c r="R1341">
        <v>14.38</v>
      </c>
      <c r="S1341">
        <v>14.45</v>
      </c>
      <c r="T1341">
        <v>2.91</v>
      </c>
      <c r="U1341">
        <v>0.63</v>
      </c>
      <c r="V1341">
        <v>46.26</v>
      </c>
      <c r="W1341">
        <v>3171</v>
      </c>
      <c r="X1341">
        <v>14.14</v>
      </c>
      <c r="Y1341" t="s">
        <v>360</v>
      </c>
      <c r="Z1341" t="s">
        <v>778</v>
      </c>
      <c r="AA1341">
        <v>1.59</v>
      </c>
      <c r="AB1341">
        <v>531</v>
      </c>
      <c r="AC1341">
        <v>440</v>
      </c>
      <c r="AD1341">
        <v>3.02</v>
      </c>
      <c r="AE1341" t="s">
        <v>5311</v>
      </c>
      <c r="AF1341" t="s">
        <v>4466</v>
      </c>
      <c r="AG1341" t="s">
        <v>4313</v>
      </c>
      <c r="AH1341" t="s">
        <v>4603</v>
      </c>
      <c r="AI1341">
        <v>-6.89</v>
      </c>
      <c r="AJ1341">
        <v>14.17</v>
      </c>
      <c r="AK1341">
        <v>23.76</v>
      </c>
      <c r="AL1341">
        <v>50.27</v>
      </c>
    </row>
    <row r="1342" spans="1:38" x14ac:dyDescent="0.25">
      <c r="A1342">
        <v>1341</v>
      </c>
      <c r="B1342" t="str">
        <f xml:space="preserve"> "002900"</f>
        <v>002900</v>
      </c>
      <c r="C1342" t="s">
        <v>5312</v>
      </c>
      <c r="D1342">
        <v>44.04</v>
      </c>
      <c r="E1342">
        <v>-0.02</v>
      </c>
      <c r="F1342">
        <v>-0.01</v>
      </c>
      <c r="G1342" t="s">
        <v>2685</v>
      </c>
      <c r="H1342">
        <v>2232</v>
      </c>
      <c r="I1342">
        <v>44.04</v>
      </c>
      <c r="J1342">
        <v>44.05</v>
      </c>
      <c r="K1342">
        <v>-0.05</v>
      </c>
      <c r="L1342">
        <v>41.64</v>
      </c>
      <c r="M1342" t="s">
        <v>4091</v>
      </c>
      <c r="N1342">
        <v>57.32</v>
      </c>
      <c r="O1342" t="s">
        <v>392</v>
      </c>
      <c r="P1342">
        <v>47.18</v>
      </c>
      <c r="Q1342">
        <v>41.6</v>
      </c>
      <c r="R1342">
        <v>42.5</v>
      </c>
      <c r="S1342">
        <v>44.05</v>
      </c>
      <c r="T1342">
        <v>12.67</v>
      </c>
      <c r="U1342">
        <v>1.26</v>
      </c>
      <c r="V1342">
        <v>6.34</v>
      </c>
      <c r="W1342">
        <v>201</v>
      </c>
      <c r="X1342">
        <v>44.86</v>
      </c>
      <c r="Y1342" t="s">
        <v>337</v>
      </c>
      <c r="Z1342" t="s">
        <v>541</v>
      </c>
      <c r="AA1342">
        <v>1.04</v>
      </c>
      <c r="AB1342">
        <v>770</v>
      </c>
      <c r="AC1342">
        <v>114</v>
      </c>
      <c r="AD1342">
        <v>5.36</v>
      </c>
      <c r="AE1342" t="s">
        <v>2970</v>
      </c>
      <c r="AF1342" t="s">
        <v>4466</v>
      </c>
      <c r="AG1342" t="s">
        <v>5313</v>
      </c>
      <c r="AH1342" t="s">
        <v>5314</v>
      </c>
      <c r="AI1342">
        <v>4.8099999999999996</v>
      </c>
      <c r="AJ1342">
        <v>15.62</v>
      </c>
      <c r="AK1342">
        <v>136.58000000000001</v>
      </c>
      <c r="AL1342">
        <v>207.02</v>
      </c>
    </row>
    <row r="1343" spans="1:38" x14ac:dyDescent="0.25">
      <c r="A1343">
        <v>1342</v>
      </c>
      <c r="B1343" t="str">
        <f xml:space="preserve"> "300298"</f>
        <v>300298</v>
      </c>
      <c r="C1343" t="s">
        <v>5315</v>
      </c>
      <c r="D1343">
        <v>22.82</v>
      </c>
      <c r="E1343">
        <v>-0.87</v>
      </c>
      <c r="F1343">
        <v>-0.2</v>
      </c>
      <c r="G1343" t="s">
        <v>1973</v>
      </c>
      <c r="H1343">
        <v>288</v>
      </c>
      <c r="I1343">
        <v>22.8</v>
      </c>
      <c r="J1343">
        <v>22.82</v>
      </c>
      <c r="K1343">
        <v>0</v>
      </c>
      <c r="L1343">
        <v>1.05</v>
      </c>
      <c r="M1343" t="s">
        <v>5316</v>
      </c>
      <c r="N1343">
        <v>49.67</v>
      </c>
      <c r="O1343" t="s">
        <v>1552</v>
      </c>
      <c r="P1343">
        <v>23.1</v>
      </c>
      <c r="Q1343">
        <v>22.65</v>
      </c>
      <c r="R1343">
        <v>23.07</v>
      </c>
      <c r="S1343">
        <v>23.02</v>
      </c>
      <c r="T1343">
        <v>1.95</v>
      </c>
      <c r="U1343">
        <v>0.95</v>
      </c>
      <c r="V1343">
        <v>-39.520000000000003</v>
      </c>
      <c r="W1343">
        <v>-319</v>
      </c>
      <c r="X1343">
        <v>22.89</v>
      </c>
      <c r="Y1343" t="s">
        <v>433</v>
      </c>
      <c r="Z1343" t="s">
        <v>2773</v>
      </c>
      <c r="AA1343">
        <v>0.93</v>
      </c>
      <c r="AB1343">
        <v>100</v>
      </c>
      <c r="AC1343">
        <v>305</v>
      </c>
      <c r="AD1343">
        <v>7.47</v>
      </c>
      <c r="AE1343" t="s">
        <v>2164</v>
      </c>
      <c r="AF1343" t="s">
        <v>1625</v>
      </c>
      <c r="AG1343" t="s">
        <v>4836</v>
      </c>
      <c r="AH1343" t="s">
        <v>4504</v>
      </c>
      <c r="AI1343">
        <v>3.73</v>
      </c>
      <c r="AJ1343">
        <v>6.19</v>
      </c>
      <c r="AK1343">
        <v>4.4000000000000004</v>
      </c>
      <c r="AL1343">
        <v>6.58</v>
      </c>
    </row>
    <row r="1344" spans="1:38" x14ac:dyDescent="0.25">
      <c r="A1344">
        <v>1343</v>
      </c>
      <c r="B1344" t="str">
        <f xml:space="preserve"> "002651"</f>
        <v>002651</v>
      </c>
      <c r="C1344" t="s">
        <v>5317</v>
      </c>
      <c r="D1344">
        <v>9.26</v>
      </c>
      <c r="E1344">
        <v>-0.32</v>
      </c>
      <c r="F1344">
        <v>-0.03</v>
      </c>
      <c r="G1344" t="s">
        <v>2832</v>
      </c>
      <c r="H1344">
        <v>1392</v>
      </c>
      <c r="I1344">
        <v>9.26</v>
      </c>
      <c r="J1344">
        <v>9.27</v>
      </c>
      <c r="K1344">
        <v>-0.22</v>
      </c>
      <c r="L1344">
        <v>2.25</v>
      </c>
      <c r="M1344" t="s">
        <v>5318</v>
      </c>
      <c r="N1344">
        <v>79.06</v>
      </c>
      <c r="O1344" t="s">
        <v>648</v>
      </c>
      <c r="P1344">
        <v>9.33</v>
      </c>
      <c r="Q1344">
        <v>9.19</v>
      </c>
      <c r="R1344">
        <v>9.25</v>
      </c>
      <c r="S1344">
        <v>9.2899999999999991</v>
      </c>
      <c r="T1344">
        <v>1.51</v>
      </c>
      <c r="U1344">
        <v>0.68</v>
      </c>
      <c r="V1344">
        <v>12.59</v>
      </c>
      <c r="W1344">
        <v>782</v>
      </c>
      <c r="X1344">
        <v>9.26</v>
      </c>
      <c r="Y1344" t="s">
        <v>1399</v>
      </c>
      <c r="Z1344" t="s">
        <v>1189</v>
      </c>
      <c r="AA1344">
        <v>1.99</v>
      </c>
      <c r="AB1344">
        <v>722</v>
      </c>
      <c r="AC1344">
        <v>195</v>
      </c>
      <c r="AD1344">
        <v>4.99</v>
      </c>
      <c r="AE1344" t="s">
        <v>1384</v>
      </c>
      <c r="AF1344" t="s">
        <v>3636</v>
      </c>
      <c r="AG1344" t="s">
        <v>5099</v>
      </c>
      <c r="AH1344" t="s">
        <v>1239</v>
      </c>
      <c r="AI1344">
        <v>-4.34</v>
      </c>
      <c r="AJ1344">
        <v>-1.28</v>
      </c>
      <c r="AK1344">
        <v>9.19</v>
      </c>
      <c r="AL1344">
        <v>18.690000000000001</v>
      </c>
    </row>
    <row r="1345" spans="1:38" x14ac:dyDescent="0.25">
      <c r="A1345">
        <v>1344</v>
      </c>
      <c r="B1345" t="str">
        <f xml:space="preserve"> "000735"</f>
        <v>000735</v>
      </c>
      <c r="C1345" t="s">
        <v>5319</v>
      </c>
      <c r="D1345">
        <v>8.06</v>
      </c>
      <c r="E1345">
        <v>4.2699999999999996</v>
      </c>
      <c r="F1345">
        <v>0.33</v>
      </c>
      <c r="G1345" t="s">
        <v>5320</v>
      </c>
      <c r="H1345">
        <v>7219</v>
      </c>
      <c r="I1345">
        <v>8.06</v>
      </c>
      <c r="J1345">
        <v>8.07</v>
      </c>
      <c r="K1345">
        <v>0.12</v>
      </c>
      <c r="L1345">
        <v>7.15</v>
      </c>
      <c r="M1345" t="s">
        <v>3710</v>
      </c>
      <c r="N1345">
        <v>35.590000000000003</v>
      </c>
      <c r="O1345" t="s">
        <v>622</v>
      </c>
      <c r="P1345">
        <v>8.33</v>
      </c>
      <c r="Q1345">
        <v>7.67</v>
      </c>
      <c r="R1345">
        <v>7.67</v>
      </c>
      <c r="S1345">
        <v>7.73</v>
      </c>
      <c r="T1345">
        <v>8.5399999999999991</v>
      </c>
      <c r="U1345">
        <v>1.4</v>
      </c>
      <c r="V1345">
        <v>-56.5</v>
      </c>
      <c r="W1345" t="s">
        <v>2821</v>
      </c>
      <c r="X1345">
        <v>8</v>
      </c>
      <c r="Y1345" t="s">
        <v>3103</v>
      </c>
      <c r="Z1345" t="s">
        <v>5321</v>
      </c>
      <c r="AA1345">
        <v>0.53</v>
      </c>
      <c r="AB1345">
        <v>234</v>
      </c>
      <c r="AC1345">
        <v>1252</v>
      </c>
      <c r="AD1345">
        <v>2.61</v>
      </c>
      <c r="AE1345" t="s">
        <v>2388</v>
      </c>
      <c r="AF1345" t="s">
        <v>3636</v>
      </c>
      <c r="AG1345" t="s">
        <v>1554</v>
      </c>
      <c r="AH1345" t="s">
        <v>2814</v>
      </c>
      <c r="AI1345">
        <v>5.64</v>
      </c>
      <c r="AJ1345">
        <v>10.41</v>
      </c>
      <c r="AK1345">
        <v>25.55</v>
      </c>
      <c r="AL1345">
        <v>32.729999999999997</v>
      </c>
    </row>
    <row r="1346" spans="1:38" x14ac:dyDescent="0.25">
      <c r="A1346">
        <v>1345</v>
      </c>
      <c r="B1346" t="str">
        <f xml:space="preserve"> "002322"</f>
        <v>002322</v>
      </c>
      <c r="C1346" t="s">
        <v>5322</v>
      </c>
      <c r="D1346">
        <v>23.12</v>
      </c>
      <c r="E1346">
        <v>3.49</v>
      </c>
      <c r="F1346">
        <v>0.78</v>
      </c>
      <c r="G1346" t="s">
        <v>4183</v>
      </c>
      <c r="H1346">
        <v>768</v>
      </c>
      <c r="I1346">
        <v>23.11</v>
      </c>
      <c r="J1346">
        <v>23.12</v>
      </c>
      <c r="K1346">
        <v>0.09</v>
      </c>
      <c r="L1346">
        <v>2.27</v>
      </c>
      <c r="M1346" t="s">
        <v>1306</v>
      </c>
      <c r="N1346">
        <v>44.69</v>
      </c>
      <c r="O1346" t="s">
        <v>680</v>
      </c>
      <c r="P1346">
        <v>23.27</v>
      </c>
      <c r="Q1346">
        <v>22.1</v>
      </c>
      <c r="R1346">
        <v>22.15</v>
      </c>
      <c r="S1346">
        <v>22.34</v>
      </c>
      <c r="T1346">
        <v>5.24</v>
      </c>
      <c r="U1346">
        <v>2.37</v>
      </c>
      <c r="V1346">
        <v>-4.37</v>
      </c>
      <c r="W1346">
        <v>-47</v>
      </c>
      <c r="X1346">
        <v>22.78</v>
      </c>
      <c r="Y1346" t="s">
        <v>1043</v>
      </c>
      <c r="Z1346" t="s">
        <v>2458</v>
      </c>
      <c r="AA1346">
        <v>0.75</v>
      </c>
      <c r="AB1346">
        <v>96</v>
      </c>
      <c r="AC1346">
        <v>222</v>
      </c>
      <c r="AD1346">
        <v>3.14</v>
      </c>
      <c r="AE1346" t="s">
        <v>1922</v>
      </c>
      <c r="AF1346" t="s">
        <v>3636</v>
      </c>
      <c r="AG1346" t="s">
        <v>4989</v>
      </c>
      <c r="AH1346" t="s">
        <v>5323</v>
      </c>
      <c r="AI1346">
        <v>4.66</v>
      </c>
      <c r="AJ1346">
        <v>3.12</v>
      </c>
      <c r="AK1346">
        <v>3.79</v>
      </c>
      <c r="AL1346">
        <v>7.06</v>
      </c>
    </row>
    <row r="1347" spans="1:38" x14ac:dyDescent="0.25">
      <c r="A1347">
        <v>1346</v>
      </c>
      <c r="B1347" t="str">
        <f xml:space="preserve"> "300137"</f>
        <v>300137</v>
      </c>
      <c r="C1347" t="s">
        <v>5324</v>
      </c>
      <c r="D1347">
        <v>26.92</v>
      </c>
      <c r="E1347">
        <v>7</v>
      </c>
      <c r="F1347">
        <v>1.76</v>
      </c>
      <c r="G1347" t="s">
        <v>5325</v>
      </c>
      <c r="H1347">
        <v>7495</v>
      </c>
      <c r="I1347">
        <v>26.92</v>
      </c>
      <c r="J1347">
        <v>26.93</v>
      </c>
      <c r="K1347">
        <v>0</v>
      </c>
      <c r="L1347">
        <v>14</v>
      </c>
      <c r="M1347" t="s">
        <v>2501</v>
      </c>
      <c r="N1347">
        <v>93.94</v>
      </c>
      <c r="O1347" t="s">
        <v>1155</v>
      </c>
      <c r="P1347">
        <v>27.38</v>
      </c>
      <c r="Q1347">
        <v>25.06</v>
      </c>
      <c r="R1347">
        <v>25.06</v>
      </c>
      <c r="S1347">
        <v>25.16</v>
      </c>
      <c r="T1347">
        <v>9.2200000000000006</v>
      </c>
      <c r="U1347">
        <v>2.97</v>
      </c>
      <c r="V1347">
        <v>13.43</v>
      </c>
      <c r="W1347">
        <v>804</v>
      </c>
      <c r="X1347">
        <v>26.46</v>
      </c>
      <c r="Y1347" t="s">
        <v>1028</v>
      </c>
      <c r="Z1347" t="s">
        <v>1892</v>
      </c>
      <c r="AA1347">
        <v>0.67</v>
      </c>
      <c r="AB1347">
        <v>2080</v>
      </c>
      <c r="AC1347">
        <v>792</v>
      </c>
      <c r="AD1347">
        <v>6.48</v>
      </c>
      <c r="AE1347" t="s">
        <v>5326</v>
      </c>
      <c r="AF1347" t="s">
        <v>5327</v>
      </c>
      <c r="AG1347" t="s">
        <v>5328</v>
      </c>
      <c r="AH1347" t="s">
        <v>5329</v>
      </c>
      <c r="AI1347">
        <v>3.06</v>
      </c>
      <c r="AJ1347">
        <v>7.47</v>
      </c>
      <c r="AK1347">
        <v>23.19</v>
      </c>
      <c r="AL1347">
        <v>37.590000000000003</v>
      </c>
    </row>
    <row r="1348" spans="1:38" x14ac:dyDescent="0.25">
      <c r="A1348">
        <v>1347</v>
      </c>
      <c r="B1348" t="str">
        <f xml:space="preserve"> "603128"</f>
        <v>603128</v>
      </c>
      <c r="C1348" t="s">
        <v>5330</v>
      </c>
      <c r="D1348">
        <v>9.2200000000000006</v>
      </c>
      <c r="E1348">
        <v>-1.6</v>
      </c>
      <c r="F1348">
        <v>-0.15</v>
      </c>
      <c r="G1348" t="s">
        <v>767</v>
      </c>
      <c r="H1348">
        <v>33</v>
      </c>
      <c r="I1348">
        <v>9.2200000000000006</v>
      </c>
      <c r="J1348">
        <v>9.23</v>
      </c>
      <c r="K1348">
        <v>0.22</v>
      </c>
      <c r="L1348">
        <v>1.34</v>
      </c>
      <c r="M1348" t="s">
        <v>2869</v>
      </c>
      <c r="N1348">
        <v>30.23</v>
      </c>
      <c r="O1348" t="s">
        <v>274</v>
      </c>
      <c r="P1348">
        <v>9.41</v>
      </c>
      <c r="Q1348">
        <v>9.15</v>
      </c>
      <c r="R1348">
        <v>9.41</v>
      </c>
      <c r="S1348">
        <v>9.3699999999999992</v>
      </c>
      <c r="T1348">
        <v>2.77</v>
      </c>
      <c r="U1348">
        <v>0.88</v>
      </c>
      <c r="V1348">
        <v>40.51</v>
      </c>
      <c r="W1348">
        <v>1502</v>
      </c>
      <c r="X1348">
        <v>9.25</v>
      </c>
      <c r="Y1348" t="s">
        <v>2303</v>
      </c>
      <c r="Z1348" t="s">
        <v>1074</v>
      </c>
      <c r="AA1348">
        <v>2.74</v>
      </c>
      <c r="AB1348">
        <v>785</v>
      </c>
      <c r="AC1348">
        <v>406</v>
      </c>
      <c r="AD1348">
        <v>2.58</v>
      </c>
      <c r="AE1348" t="s">
        <v>262</v>
      </c>
      <c r="AF1348" t="s">
        <v>5327</v>
      </c>
      <c r="AG1348" t="s">
        <v>5331</v>
      </c>
      <c r="AH1348" t="s">
        <v>5332</v>
      </c>
      <c r="AI1348">
        <v>3.25</v>
      </c>
      <c r="AJ1348">
        <v>1.77</v>
      </c>
      <c r="AK1348">
        <v>6.13</v>
      </c>
      <c r="AL1348">
        <v>8.92</v>
      </c>
    </row>
    <row r="1349" spans="1:38" x14ac:dyDescent="0.25">
      <c r="A1349">
        <v>1348</v>
      </c>
      <c r="B1349" t="str">
        <f xml:space="preserve"> "000498"</f>
        <v>000498</v>
      </c>
      <c r="C1349" t="s">
        <v>5333</v>
      </c>
      <c r="D1349">
        <v>8.26</v>
      </c>
      <c r="E1349">
        <v>-0.6</v>
      </c>
      <c r="F1349">
        <v>-0.05</v>
      </c>
      <c r="G1349" t="s">
        <v>3177</v>
      </c>
      <c r="H1349">
        <v>252</v>
      </c>
      <c r="I1349">
        <v>8.26</v>
      </c>
      <c r="J1349">
        <v>8.27</v>
      </c>
      <c r="K1349">
        <v>-0.12</v>
      </c>
      <c r="L1349">
        <v>1.46</v>
      </c>
      <c r="M1349" t="s">
        <v>3818</v>
      </c>
      <c r="N1349">
        <v>17.87</v>
      </c>
      <c r="O1349" t="s">
        <v>263</v>
      </c>
      <c r="P1349">
        <v>8.31</v>
      </c>
      <c r="Q1349">
        <v>8.19</v>
      </c>
      <c r="R1349">
        <v>8.31</v>
      </c>
      <c r="S1349">
        <v>8.31</v>
      </c>
      <c r="T1349">
        <v>1.44</v>
      </c>
      <c r="U1349">
        <v>0.66</v>
      </c>
      <c r="V1349">
        <v>-23.26</v>
      </c>
      <c r="W1349">
        <v>-1470</v>
      </c>
      <c r="X1349">
        <v>8.23</v>
      </c>
      <c r="Y1349" t="s">
        <v>1843</v>
      </c>
      <c r="Z1349" t="s">
        <v>1493</v>
      </c>
      <c r="AA1349">
        <v>1.91</v>
      </c>
      <c r="AB1349">
        <v>811</v>
      </c>
      <c r="AC1349">
        <v>1008</v>
      </c>
      <c r="AD1349">
        <v>2.5</v>
      </c>
      <c r="AE1349" t="s">
        <v>2328</v>
      </c>
      <c r="AF1349" t="s">
        <v>1930</v>
      </c>
      <c r="AG1349" t="s">
        <v>4458</v>
      </c>
      <c r="AH1349" t="s">
        <v>2341</v>
      </c>
      <c r="AI1349">
        <v>-3.05</v>
      </c>
      <c r="AJ1349">
        <v>0.49</v>
      </c>
      <c r="AK1349">
        <v>7.73</v>
      </c>
      <c r="AL1349">
        <v>12.63</v>
      </c>
    </row>
    <row r="1350" spans="1:38" x14ac:dyDescent="0.25">
      <c r="A1350">
        <v>1349</v>
      </c>
      <c r="B1350" t="str">
        <f xml:space="preserve"> "600300"</f>
        <v>600300</v>
      </c>
      <c r="C1350" t="s">
        <v>5334</v>
      </c>
      <c r="D1350">
        <v>5.53</v>
      </c>
      <c r="E1350">
        <v>5.53</v>
      </c>
      <c r="F1350">
        <v>0.28999999999999998</v>
      </c>
      <c r="G1350" t="s">
        <v>5335</v>
      </c>
      <c r="H1350">
        <v>1257</v>
      </c>
      <c r="I1350">
        <v>5.52</v>
      </c>
      <c r="J1350">
        <v>5.53</v>
      </c>
      <c r="K1350">
        <v>0.55000000000000004</v>
      </c>
      <c r="L1350">
        <v>4.1100000000000003</v>
      </c>
      <c r="M1350" t="s">
        <v>3022</v>
      </c>
      <c r="N1350">
        <v>45.5</v>
      </c>
      <c r="O1350" t="s">
        <v>406</v>
      </c>
      <c r="P1350">
        <v>5.57</v>
      </c>
      <c r="Q1350">
        <v>5.21</v>
      </c>
      <c r="R1350">
        <v>5.23</v>
      </c>
      <c r="S1350">
        <v>5.24</v>
      </c>
      <c r="T1350">
        <v>6.87</v>
      </c>
      <c r="U1350">
        <v>3.74</v>
      </c>
      <c r="V1350">
        <v>-64.12</v>
      </c>
      <c r="W1350" t="s">
        <v>2821</v>
      </c>
      <c r="X1350">
        <v>5.4</v>
      </c>
      <c r="Y1350" t="s">
        <v>255</v>
      </c>
      <c r="Z1350" t="s">
        <v>5336</v>
      </c>
      <c r="AA1350">
        <v>0.6</v>
      </c>
      <c r="AB1350">
        <v>260</v>
      </c>
      <c r="AC1350">
        <v>37</v>
      </c>
      <c r="AD1350">
        <v>3.39</v>
      </c>
      <c r="AE1350" t="s">
        <v>1375</v>
      </c>
      <c r="AF1350" t="s">
        <v>1930</v>
      </c>
      <c r="AG1350" t="s">
        <v>1375</v>
      </c>
      <c r="AH1350" t="s">
        <v>1930</v>
      </c>
      <c r="AI1350">
        <v>5.94</v>
      </c>
      <c r="AJ1350">
        <v>7.59</v>
      </c>
      <c r="AK1350">
        <v>7.31</v>
      </c>
      <c r="AL1350">
        <v>9.61</v>
      </c>
    </row>
    <row r="1351" spans="1:38" x14ac:dyDescent="0.25">
      <c r="A1351">
        <v>1350</v>
      </c>
      <c r="B1351" t="str">
        <f xml:space="preserve"> "601595"</f>
        <v>601595</v>
      </c>
      <c r="C1351" t="s">
        <v>5337</v>
      </c>
      <c r="D1351">
        <v>24.75</v>
      </c>
      <c r="E1351">
        <v>0.77</v>
      </c>
      <c r="F1351">
        <v>0.19</v>
      </c>
      <c r="G1351" t="s">
        <v>1504</v>
      </c>
      <c r="H1351">
        <v>43</v>
      </c>
      <c r="I1351">
        <v>24.68</v>
      </c>
      <c r="J1351">
        <v>24.78</v>
      </c>
      <c r="K1351">
        <v>0.28000000000000003</v>
      </c>
      <c r="L1351">
        <v>1.77</v>
      </c>
      <c r="M1351" t="s">
        <v>5338</v>
      </c>
      <c r="N1351">
        <v>43.31</v>
      </c>
      <c r="O1351" t="s">
        <v>1126</v>
      </c>
      <c r="P1351">
        <v>24.8</v>
      </c>
      <c r="Q1351">
        <v>24.39</v>
      </c>
      <c r="R1351">
        <v>24.58</v>
      </c>
      <c r="S1351">
        <v>24.56</v>
      </c>
      <c r="T1351">
        <v>1.67</v>
      </c>
      <c r="U1351">
        <v>0.95</v>
      </c>
      <c r="V1351">
        <v>-13.45</v>
      </c>
      <c r="W1351">
        <v>-73</v>
      </c>
      <c r="X1351">
        <v>24.62</v>
      </c>
      <c r="Y1351">
        <v>8168</v>
      </c>
      <c r="Z1351" t="s">
        <v>5181</v>
      </c>
      <c r="AA1351">
        <v>0.77</v>
      </c>
      <c r="AB1351">
        <v>5</v>
      </c>
      <c r="AC1351">
        <v>38</v>
      </c>
      <c r="AD1351">
        <v>4.76</v>
      </c>
      <c r="AE1351" t="s">
        <v>4181</v>
      </c>
      <c r="AF1351" t="s">
        <v>4839</v>
      </c>
      <c r="AG1351" t="s">
        <v>1635</v>
      </c>
      <c r="AH1351" t="s">
        <v>877</v>
      </c>
      <c r="AI1351">
        <v>0.2</v>
      </c>
      <c r="AJ1351">
        <v>4.96</v>
      </c>
      <c r="AK1351">
        <v>5.66</v>
      </c>
      <c r="AL1351">
        <v>11.12</v>
      </c>
    </row>
    <row r="1352" spans="1:38" x14ac:dyDescent="0.25">
      <c r="A1352">
        <v>1351</v>
      </c>
      <c r="B1352" t="str">
        <f xml:space="preserve"> "600210"</f>
        <v>600210</v>
      </c>
      <c r="C1352" t="s">
        <v>5339</v>
      </c>
      <c r="D1352">
        <v>6.09</v>
      </c>
      <c r="E1352">
        <v>0.5</v>
      </c>
      <c r="F1352">
        <v>0.03</v>
      </c>
      <c r="G1352" t="s">
        <v>912</v>
      </c>
      <c r="H1352">
        <v>62</v>
      </c>
      <c r="I1352">
        <v>6.08</v>
      </c>
      <c r="J1352">
        <v>6.09</v>
      </c>
      <c r="K1352">
        <v>0.16</v>
      </c>
      <c r="L1352">
        <v>0.75</v>
      </c>
      <c r="M1352" t="s">
        <v>5340</v>
      </c>
      <c r="N1352">
        <v>8.08</v>
      </c>
      <c r="O1352" t="s">
        <v>3873</v>
      </c>
      <c r="P1352">
        <v>6.1</v>
      </c>
      <c r="Q1352">
        <v>6.04</v>
      </c>
      <c r="R1352">
        <v>6.05</v>
      </c>
      <c r="S1352">
        <v>6.06</v>
      </c>
      <c r="T1352">
        <v>0.99</v>
      </c>
      <c r="U1352">
        <v>0.63</v>
      </c>
      <c r="V1352">
        <v>-23.23</v>
      </c>
      <c r="W1352">
        <v>-6314</v>
      </c>
      <c r="X1352">
        <v>6.08</v>
      </c>
      <c r="Y1352" t="s">
        <v>1699</v>
      </c>
      <c r="Z1352" t="s">
        <v>1319</v>
      </c>
      <c r="AA1352">
        <v>1.01</v>
      </c>
      <c r="AB1352">
        <v>638</v>
      </c>
      <c r="AC1352">
        <v>4686</v>
      </c>
      <c r="AD1352">
        <v>2.23</v>
      </c>
      <c r="AE1352" t="s">
        <v>1225</v>
      </c>
      <c r="AF1352" t="s">
        <v>4839</v>
      </c>
      <c r="AG1352" t="s">
        <v>2100</v>
      </c>
      <c r="AH1352" t="s">
        <v>5341</v>
      </c>
      <c r="AI1352">
        <v>-1.62</v>
      </c>
      <c r="AJ1352">
        <v>-0.49</v>
      </c>
      <c r="AK1352">
        <v>3.16</v>
      </c>
      <c r="AL1352">
        <v>6.64</v>
      </c>
    </row>
    <row r="1353" spans="1:38" x14ac:dyDescent="0.25">
      <c r="A1353">
        <v>1352</v>
      </c>
      <c r="B1353" t="str">
        <f xml:space="preserve"> "002118"</f>
        <v>002118</v>
      </c>
      <c r="C1353" t="s">
        <v>5342</v>
      </c>
      <c r="D1353">
        <v>7.21</v>
      </c>
      <c r="E1353">
        <v>1.84</v>
      </c>
      <c r="F1353">
        <v>0.13</v>
      </c>
      <c r="G1353" t="s">
        <v>1678</v>
      </c>
      <c r="H1353">
        <v>3173</v>
      </c>
      <c r="I1353">
        <v>7.21</v>
      </c>
      <c r="J1353">
        <v>7.22</v>
      </c>
      <c r="K1353">
        <v>-0.14000000000000001</v>
      </c>
      <c r="L1353">
        <v>3.06</v>
      </c>
      <c r="M1353" t="s">
        <v>764</v>
      </c>
      <c r="N1353">
        <v>41.84</v>
      </c>
      <c r="O1353" t="s">
        <v>392</v>
      </c>
      <c r="P1353">
        <v>7.34</v>
      </c>
      <c r="Q1353">
        <v>7.11</v>
      </c>
      <c r="R1353">
        <v>7.17</v>
      </c>
      <c r="S1353">
        <v>7.08</v>
      </c>
      <c r="T1353">
        <v>3.25</v>
      </c>
      <c r="U1353">
        <v>2.1</v>
      </c>
      <c r="V1353">
        <v>-29.99</v>
      </c>
      <c r="W1353">
        <v>-6035</v>
      </c>
      <c r="X1353">
        <v>7.22</v>
      </c>
      <c r="Y1353" t="s">
        <v>378</v>
      </c>
      <c r="Z1353" t="s">
        <v>1105</v>
      </c>
      <c r="AA1353">
        <v>0.93</v>
      </c>
      <c r="AB1353">
        <v>350</v>
      </c>
      <c r="AC1353">
        <v>4502</v>
      </c>
      <c r="AD1353">
        <v>2.4</v>
      </c>
      <c r="AE1353" t="s">
        <v>1376</v>
      </c>
      <c r="AF1353" t="s">
        <v>208</v>
      </c>
      <c r="AG1353" t="s">
        <v>707</v>
      </c>
      <c r="AH1353" t="s">
        <v>5343</v>
      </c>
      <c r="AI1353">
        <v>1.98</v>
      </c>
      <c r="AJ1353">
        <v>6.34</v>
      </c>
      <c r="AK1353">
        <v>6.26</v>
      </c>
      <c r="AL1353">
        <v>10.35</v>
      </c>
    </row>
    <row r="1354" spans="1:38" x14ac:dyDescent="0.25">
      <c r="A1354">
        <v>1353</v>
      </c>
      <c r="B1354" t="str">
        <f xml:space="preserve"> "000055"</f>
        <v>000055</v>
      </c>
      <c r="C1354" t="s">
        <v>5344</v>
      </c>
      <c r="D1354">
        <v>7.8</v>
      </c>
      <c r="E1354">
        <v>-0.13</v>
      </c>
      <c r="F1354">
        <v>-0.01</v>
      </c>
      <c r="G1354" t="s">
        <v>5345</v>
      </c>
      <c r="H1354">
        <v>1454</v>
      </c>
      <c r="I1354">
        <v>7.79</v>
      </c>
      <c r="J1354">
        <v>7.8</v>
      </c>
      <c r="K1354">
        <v>-0.26</v>
      </c>
      <c r="L1354">
        <v>0.85</v>
      </c>
      <c r="M1354" t="s">
        <v>5346</v>
      </c>
      <c r="N1354">
        <v>20.25</v>
      </c>
      <c r="O1354" t="s">
        <v>1229</v>
      </c>
      <c r="P1354">
        <v>7.83</v>
      </c>
      <c r="Q1354">
        <v>7.76</v>
      </c>
      <c r="R1354">
        <v>7.81</v>
      </c>
      <c r="S1354">
        <v>7.81</v>
      </c>
      <c r="T1354">
        <v>0.9</v>
      </c>
      <c r="U1354">
        <v>0.8</v>
      </c>
      <c r="V1354">
        <v>11.29</v>
      </c>
      <c r="W1354">
        <v>1238</v>
      </c>
      <c r="X1354">
        <v>7.79</v>
      </c>
      <c r="Y1354" t="s">
        <v>3189</v>
      </c>
      <c r="Z1354" t="s">
        <v>87</v>
      </c>
      <c r="AA1354">
        <v>1.31</v>
      </c>
      <c r="AB1354">
        <v>502</v>
      </c>
      <c r="AC1354">
        <v>41</v>
      </c>
      <c r="AD1354">
        <v>3.99</v>
      </c>
      <c r="AE1354" t="s">
        <v>896</v>
      </c>
      <c r="AF1354" t="s">
        <v>208</v>
      </c>
      <c r="AG1354" t="s">
        <v>4517</v>
      </c>
      <c r="AH1354" t="s">
        <v>1848</v>
      </c>
      <c r="AI1354">
        <v>-0.76</v>
      </c>
      <c r="AJ1354">
        <v>1.56</v>
      </c>
      <c r="AK1354">
        <v>3.12</v>
      </c>
      <c r="AL1354">
        <v>6.17</v>
      </c>
    </row>
    <row r="1355" spans="1:38" x14ac:dyDescent="0.25">
      <c r="A1355">
        <v>1354</v>
      </c>
      <c r="B1355" t="str">
        <f xml:space="preserve"> "600750"</f>
        <v>600750</v>
      </c>
      <c r="C1355" t="s">
        <v>5347</v>
      </c>
      <c r="D1355">
        <v>30.77</v>
      </c>
      <c r="E1355">
        <v>0.62</v>
      </c>
      <c r="F1355">
        <v>0.19</v>
      </c>
      <c r="G1355" t="s">
        <v>5016</v>
      </c>
      <c r="H1355">
        <v>3</v>
      </c>
      <c r="I1355">
        <v>30.78</v>
      </c>
      <c r="J1355">
        <v>30.79</v>
      </c>
      <c r="K1355">
        <v>-0.1</v>
      </c>
      <c r="L1355">
        <v>0.85</v>
      </c>
      <c r="M1355" t="s">
        <v>5348</v>
      </c>
      <c r="N1355">
        <v>21.93</v>
      </c>
      <c r="O1355" t="s">
        <v>392</v>
      </c>
      <c r="P1355">
        <v>30.85</v>
      </c>
      <c r="Q1355">
        <v>30.5</v>
      </c>
      <c r="R1355">
        <v>30.58</v>
      </c>
      <c r="S1355">
        <v>30.58</v>
      </c>
      <c r="T1355">
        <v>1.1399999999999999</v>
      </c>
      <c r="U1355">
        <v>0.74</v>
      </c>
      <c r="V1355">
        <v>-31.36</v>
      </c>
      <c r="W1355">
        <v>-212</v>
      </c>
      <c r="X1355">
        <v>30.72</v>
      </c>
      <c r="Y1355">
        <v>9666</v>
      </c>
      <c r="Z1355" t="s">
        <v>1683</v>
      </c>
      <c r="AA1355">
        <v>0.61</v>
      </c>
      <c r="AB1355">
        <v>11</v>
      </c>
      <c r="AC1355">
        <v>130</v>
      </c>
      <c r="AD1355">
        <v>3.41</v>
      </c>
      <c r="AE1355" t="s">
        <v>950</v>
      </c>
      <c r="AF1355" t="s">
        <v>208</v>
      </c>
      <c r="AG1355" t="s">
        <v>950</v>
      </c>
      <c r="AH1355" t="s">
        <v>208</v>
      </c>
      <c r="AI1355">
        <v>0.23</v>
      </c>
      <c r="AJ1355">
        <v>3.99</v>
      </c>
      <c r="AK1355">
        <v>3.16</v>
      </c>
      <c r="AL1355">
        <v>6.61</v>
      </c>
    </row>
    <row r="1356" spans="1:38" x14ac:dyDescent="0.25">
      <c r="A1356">
        <v>1355</v>
      </c>
      <c r="B1356" t="str">
        <f xml:space="preserve"> "603043"</f>
        <v>603043</v>
      </c>
      <c r="C1356" t="s">
        <v>5349</v>
      </c>
      <c r="D1356">
        <v>22.84</v>
      </c>
      <c r="E1356">
        <v>0.22</v>
      </c>
      <c r="F1356">
        <v>0.05</v>
      </c>
      <c r="G1356" t="s">
        <v>480</v>
      </c>
      <c r="H1356">
        <v>28</v>
      </c>
      <c r="I1356">
        <v>22.85</v>
      </c>
      <c r="J1356">
        <v>22.86</v>
      </c>
      <c r="K1356">
        <v>0.04</v>
      </c>
      <c r="L1356">
        <v>2.67</v>
      </c>
      <c r="M1356" t="s">
        <v>3281</v>
      </c>
      <c r="N1356">
        <v>112.34</v>
      </c>
      <c r="O1356" t="s">
        <v>406</v>
      </c>
      <c r="P1356">
        <v>22.92</v>
      </c>
      <c r="Q1356">
        <v>22.63</v>
      </c>
      <c r="R1356">
        <v>22.71</v>
      </c>
      <c r="S1356">
        <v>22.79</v>
      </c>
      <c r="T1356">
        <v>1.27</v>
      </c>
      <c r="U1356">
        <v>0.55000000000000004</v>
      </c>
      <c r="V1356">
        <v>-37.409999999999997</v>
      </c>
      <c r="W1356">
        <v>-257</v>
      </c>
      <c r="X1356">
        <v>22.83</v>
      </c>
      <c r="Y1356">
        <v>6721</v>
      </c>
      <c r="Z1356">
        <v>6621</v>
      </c>
      <c r="AA1356">
        <v>1.02</v>
      </c>
      <c r="AB1356">
        <v>26</v>
      </c>
      <c r="AC1356">
        <v>29</v>
      </c>
      <c r="AD1356">
        <v>6.57</v>
      </c>
      <c r="AE1356" t="s">
        <v>3418</v>
      </c>
      <c r="AF1356" t="s">
        <v>208</v>
      </c>
      <c r="AG1356" t="s">
        <v>3869</v>
      </c>
      <c r="AH1356" t="s">
        <v>357</v>
      </c>
      <c r="AI1356">
        <v>-1.34</v>
      </c>
      <c r="AJ1356">
        <v>-2.39</v>
      </c>
      <c r="AK1356">
        <v>11.92</v>
      </c>
      <c r="AL1356">
        <v>27.02</v>
      </c>
    </row>
    <row r="1357" spans="1:38" x14ac:dyDescent="0.25">
      <c r="A1357">
        <v>1356</v>
      </c>
      <c r="B1357" t="str">
        <f xml:space="preserve"> "000927"</f>
        <v>000927</v>
      </c>
      <c r="C1357" t="s">
        <v>5350</v>
      </c>
      <c r="D1357" t="s">
        <v>616</v>
      </c>
      <c r="E1357" t="s">
        <v>616</v>
      </c>
      <c r="F1357" t="s">
        <v>616</v>
      </c>
      <c r="G1357" t="s">
        <v>616</v>
      </c>
      <c r="H1357" t="s">
        <v>616</v>
      </c>
      <c r="I1357" t="s">
        <v>616</v>
      </c>
      <c r="J1357" t="s">
        <v>616</v>
      </c>
      <c r="K1357" t="s">
        <v>616</v>
      </c>
      <c r="L1357" t="s">
        <v>616</v>
      </c>
      <c r="M1357" t="s">
        <v>616</v>
      </c>
      <c r="N1357">
        <v>-6.72</v>
      </c>
      <c r="O1357" t="s">
        <v>169</v>
      </c>
      <c r="P1357" t="s">
        <v>616</v>
      </c>
      <c r="Q1357" t="s">
        <v>616</v>
      </c>
      <c r="R1357" t="s">
        <v>616</v>
      </c>
      <c r="S1357">
        <v>5.78</v>
      </c>
      <c r="T1357" t="s">
        <v>616</v>
      </c>
      <c r="U1357" t="s">
        <v>616</v>
      </c>
      <c r="V1357" t="s">
        <v>616</v>
      </c>
      <c r="W1357" t="s">
        <v>616</v>
      </c>
      <c r="X1357" t="s">
        <v>616</v>
      </c>
      <c r="Y1357" t="s">
        <v>616</v>
      </c>
      <c r="Z1357" t="s">
        <v>616</v>
      </c>
      <c r="AA1357" t="s">
        <v>616</v>
      </c>
      <c r="AB1357" t="s">
        <v>616</v>
      </c>
      <c r="AC1357" t="s">
        <v>616</v>
      </c>
      <c r="AD1357">
        <v>9.11</v>
      </c>
      <c r="AE1357" t="s">
        <v>1147</v>
      </c>
      <c r="AF1357" t="s">
        <v>4245</v>
      </c>
      <c r="AG1357" t="s">
        <v>1147</v>
      </c>
      <c r="AH1357" t="s">
        <v>4245</v>
      </c>
      <c r="AI1357">
        <v>0</v>
      </c>
      <c r="AJ1357">
        <v>0</v>
      </c>
      <c r="AK1357">
        <v>0</v>
      </c>
      <c r="AL1357">
        <v>0</v>
      </c>
    </row>
    <row r="1358" spans="1:38" x14ac:dyDescent="0.25">
      <c r="A1358">
        <v>1357</v>
      </c>
      <c r="B1358" t="str">
        <f xml:space="preserve"> "002585"</f>
        <v>002585</v>
      </c>
      <c r="C1358" t="s">
        <v>5351</v>
      </c>
      <c r="D1358">
        <v>7.96</v>
      </c>
      <c r="E1358">
        <v>0.25</v>
      </c>
      <c r="F1358">
        <v>0.02</v>
      </c>
      <c r="G1358" t="s">
        <v>4431</v>
      </c>
      <c r="H1358">
        <v>65</v>
      </c>
      <c r="I1358">
        <v>7.95</v>
      </c>
      <c r="J1358">
        <v>7.96</v>
      </c>
      <c r="K1358">
        <v>0.13</v>
      </c>
      <c r="L1358">
        <v>0.46</v>
      </c>
      <c r="M1358" t="s">
        <v>5352</v>
      </c>
      <c r="N1358">
        <v>50.41</v>
      </c>
      <c r="O1358" t="s">
        <v>3873</v>
      </c>
      <c r="P1358">
        <v>7.97</v>
      </c>
      <c r="Q1358">
        <v>7.9</v>
      </c>
      <c r="R1358">
        <v>7.92</v>
      </c>
      <c r="S1358">
        <v>7.94</v>
      </c>
      <c r="T1358">
        <v>0.88</v>
      </c>
      <c r="U1358">
        <v>0.84</v>
      </c>
      <c r="V1358">
        <v>17.239999999999998</v>
      </c>
      <c r="W1358">
        <v>662</v>
      </c>
      <c r="X1358">
        <v>7.94</v>
      </c>
      <c r="Y1358" t="s">
        <v>3603</v>
      </c>
      <c r="Z1358" t="s">
        <v>2453</v>
      </c>
      <c r="AA1358">
        <v>1.18</v>
      </c>
      <c r="AB1358">
        <v>335</v>
      </c>
      <c r="AC1358">
        <v>335</v>
      </c>
      <c r="AD1358">
        <v>1.25</v>
      </c>
      <c r="AE1358" t="s">
        <v>1572</v>
      </c>
      <c r="AF1358" t="s">
        <v>3600</v>
      </c>
      <c r="AG1358" t="s">
        <v>4686</v>
      </c>
      <c r="AH1358" t="s">
        <v>4700</v>
      </c>
      <c r="AI1358">
        <v>-1.24</v>
      </c>
      <c r="AJ1358">
        <v>0.63</v>
      </c>
      <c r="AK1358">
        <v>1.41</v>
      </c>
      <c r="AL1358">
        <v>3.23</v>
      </c>
    </row>
    <row r="1359" spans="1:38" x14ac:dyDescent="0.25">
      <c r="A1359">
        <v>1358</v>
      </c>
      <c r="B1359" t="str">
        <f xml:space="preserve"> "002584"</f>
        <v>002584</v>
      </c>
      <c r="C1359" t="s">
        <v>5353</v>
      </c>
      <c r="D1359">
        <v>15.7</v>
      </c>
      <c r="E1359">
        <v>0</v>
      </c>
      <c r="F1359">
        <v>0</v>
      </c>
      <c r="G1359" t="s">
        <v>1476</v>
      </c>
      <c r="H1359">
        <v>593</v>
      </c>
      <c r="I1359">
        <v>15.68</v>
      </c>
      <c r="J1359">
        <v>15.7</v>
      </c>
      <c r="K1359">
        <v>-0.06</v>
      </c>
      <c r="L1359">
        <v>0.89</v>
      </c>
      <c r="M1359" t="s">
        <v>5354</v>
      </c>
      <c r="N1359">
        <v>130.34</v>
      </c>
      <c r="O1359" t="s">
        <v>667</v>
      </c>
      <c r="P1359">
        <v>16.12</v>
      </c>
      <c r="Q1359">
        <v>15.7</v>
      </c>
      <c r="R1359">
        <v>15.72</v>
      </c>
      <c r="S1359">
        <v>15.7</v>
      </c>
      <c r="T1359">
        <v>2.68</v>
      </c>
      <c r="U1359">
        <v>0.62</v>
      </c>
      <c r="V1359">
        <v>-60</v>
      </c>
      <c r="W1359">
        <v>-825</v>
      </c>
      <c r="X1359">
        <v>15.86</v>
      </c>
      <c r="Y1359" t="s">
        <v>808</v>
      </c>
      <c r="Z1359" t="s">
        <v>1114</v>
      </c>
      <c r="AA1359">
        <v>0.75</v>
      </c>
      <c r="AB1359">
        <v>10</v>
      </c>
      <c r="AC1359">
        <v>91</v>
      </c>
      <c r="AD1359">
        <v>5.49</v>
      </c>
      <c r="AE1359" t="s">
        <v>5355</v>
      </c>
      <c r="AF1359" t="s">
        <v>5356</v>
      </c>
      <c r="AG1359" t="s">
        <v>2668</v>
      </c>
      <c r="AH1359" t="s">
        <v>3677</v>
      </c>
      <c r="AI1359">
        <v>-0.76</v>
      </c>
      <c r="AJ1359">
        <v>1.1599999999999999</v>
      </c>
      <c r="AK1359">
        <v>3.74</v>
      </c>
      <c r="AL1359">
        <v>8.17</v>
      </c>
    </row>
    <row r="1360" spans="1:38" x14ac:dyDescent="0.25">
      <c r="A1360">
        <v>1359</v>
      </c>
      <c r="B1360" t="str">
        <f xml:space="preserve"> "300061"</f>
        <v>300061</v>
      </c>
      <c r="C1360" t="s">
        <v>5357</v>
      </c>
      <c r="D1360">
        <v>17.46</v>
      </c>
      <c r="E1360">
        <v>1.93</v>
      </c>
      <c r="F1360">
        <v>0.33</v>
      </c>
      <c r="G1360" t="s">
        <v>2255</v>
      </c>
      <c r="H1360">
        <v>297</v>
      </c>
      <c r="I1360">
        <v>17.45</v>
      </c>
      <c r="J1360">
        <v>17.46</v>
      </c>
      <c r="K1360">
        <v>-0.23</v>
      </c>
      <c r="L1360">
        <v>1.08</v>
      </c>
      <c r="M1360" t="s">
        <v>5092</v>
      </c>
      <c r="N1360">
        <v>42.2</v>
      </c>
      <c r="O1360" t="s">
        <v>2128</v>
      </c>
      <c r="P1360">
        <v>17.600000000000001</v>
      </c>
      <c r="Q1360">
        <v>17.14</v>
      </c>
      <c r="R1360">
        <v>17.14</v>
      </c>
      <c r="S1360">
        <v>17.13</v>
      </c>
      <c r="T1360">
        <v>2.69</v>
      </c>
      <c r="U1360">
        <v>1.01</v>
      </c>
      <c r="V1360">
        <v>-3.6</v>
      </c>
      <c r="W1360">
        <v>-45</v>
      </c>
      <c r="X1360">
        <v>17.45</v>
      </c>
      <c r="Y1360">
        <v>7505</v>
      </c>
      <c r="Z1360">
        <v>8304</v>
      </c>
      <c r="AA1360">
        <v>0.9</v>
      </c>
      <c r="AB1360">
        <v>17</v>
      </c>
      <c r="AC1360">
        <v>306</v>
      </c>
      <c r="AD1360">
        <v>2.79</v>
      </c>
      <c r="AE1360" t="s">
        <v>1806</v>
      </c>
      <c r="AF1360" t="s">
        <v>5356</v>
      </c>
      <c r="AG1360" t="s">
        <v>1862</v>
      </c>
      <c r="AH1360" t="s">
        <v>2376</v>
      </c>
      <c r="AI1360">
        <v>-2.35</v>
      </c>
      <c r="AJ1360">
        <v>2.71</v>
      </c>
      <c r="AK1360">
        <v>3.53</v>
      </c>
      <c r="AL1360">
        <v>6.44</v>
      </c>
    </row>
    <row r="1361" spans="1:38" x14ac:dyDescent="0.25">
      <c r="A1361">
        <v>1360</v>
      </c>
      <c r="B1361" t="str">
        <f xml:space="preserve"> "300188"</f>
        <v>300188</v>
      </c>
      <c r="C1361" t="s">
        <v>5358</v>
      </c>
      <c r="D1361">
        <v>18.5</v>
      </c>
      <c r="E1361">
        <v>0.38</v>
      </c>
      <c r="F1361">
        <v>7.0000000000000007E-2</v>
      </c>
      <c r="G1361" t="s">
        <v>3192</v>
      </c>
      <c r="H1361">
        <v>1564</v>
      </c>
      <c r="I1361">
        <v>18.5</v>
      </c>
      <c r="J1361">
        <v>18.510000000000002</v>
      </c>
      <c r="K1361">
        <v>-0.11</v>
      </c>
      <c r="L1361">
        <v>2.0699999999999998</v>
      </c>
      <c r="M1361" t="s">
        <v>2114</v>
      </c>
      <c r="N1361">
        <v>141.13999999999999</v>
      </c>
      <c r="O1361" t="s">
        <v>893</v>
      </c>
      <c r="P1361">
        <v>18.55</v>
      </c>
      <c r="Q1361">
        <v>18.22</v>
      </c>
      <c r="R1361">
        <v>18.489999999999998</v>
      </c>
      <c r="S1361">
        <v>18.43</v>
      </c>
      <c r="T1361">
        <v>1.79</v>
      </c>
      <c r="U1361">
        <v>0.97</v>
      </c>
      <c r="V1361">
        <v>-76.09</v>
      </c>
      <c r="W1361">
        <v>-2750</v>
      </c>
      <c r="X1361">
        <v>18.399999999999999</v>
      </c>
      <c r="Y1361" t="s">
        <v>1509</v>
      </c>
      <c r="Z1361" t="s">
        <v>2714</v>
      </c>
      <c r="AA1361">
        <v>0.73</v>
      </c>
      <c r="AB1361">
        <v>2</v>
      </c>
      <c r="AC1361">
        <v>123</v>
      </c>
      <c r="AD1361">
        <v>4.8499999999999996</v>
      </c>
      <c r="AE1361" t="s">
        <v>4673</v>
      </c>
      <c r="AF1361" t="s">
        <v>4362</v>
      </c>
      <c r="AG1361" t="s">
        <v>4323</v>
      </c>
      <c r="AH1361" t="s">
        <v>5359</v>
      </c>
      <c r="AI1361">
        <v>1.37</v>
      </c>
      <c r="AJ1361">
        <v>6.02</v>
      </c>
      <c r="AK1361">
        <v>7.61</v>
      </c>
      <c r="AL1361">
        <v>12.67</v>
      </c>
    </row>
    <row r="1362" spans="1:38" x14ac:dyDescent="0.25">
      <c r="A1362">
        <v>1361</v>
      </c>
      <c r="B1362" t="str">
        <f xml:space="preserve"> "002515"</f>
        <v>002515</v>
      </c>
      <c r="C1362" t="s">
        <v>5360</v>
      </c>
      <c r="D1362">
        <v>9.3800000000000008</v>
      </c>
      <c r="E1362">
        <v>0.54</v>
      </c>
      <c r="F1362">
        <v>0.05</v>
      </c>
      <c r="G1362" t="s">
        <v>1649</v>
      </c>
      <c r="H1362">
        <v>359</v>
      </c>
      <c r="I1362">
        <v>9.3699999999999992</v>
      </c>
      <c r="J1362">
        <v>9.3800000000000008</v>
      </c>
      <c r="K1362">
        <v>0.11</v>
      </c>
      <c r="L1362">
        <v>0.57999999999999996</v>
      </c>
      <c r="M1362" t="s">
        <v>5361</v>
      </c>
      <c r="N1362">
        <v>251.98</v>
      </c>
      <c r="O1362" t="s">
        <v>406</v>
      </c>
      <c r="P1362">
        <v>9.3800000000000008</v>
      </c>
      <c r="Q1362">
        <v>9.2899999999999991</v>
      </c>
      <c r="R1362">
        <v>9.3000000000000007</v>
      </c>
      <c r="S1362">
        <v>9.33</v>
      </c>
      <c r="T1362">
        <v>0.96</v>
      </c>
      <c r="U1362">
        <v>0.72</v>
      </c>
      <c r="V1362">
        <v>28.99</v>
      </c>
      <c r="W1362">
        <v>1109</v>
      </c>
      <c r="X1362">
        <v>9.33</v>
      </c>
      <c r="Y1362" t="s">
        <v>113</v>
      </c>
      <c r="Z1362" t="s">
        <v>1153</v>
      </c>
      <c r="AA1362">
        <v>1.54</v>
      </c>
      <c r="AB1362">
        <v>285</v>
      </c>
      <c r="AC1362">
        <v>386</v>
      </c>
      <c r="AD1362">
        <v>6.61</v>
      </c>
      <c r="AE1362" t="s">
        <v>2403</v>
      </c>
      <c r="AF1362" t="s">
        <v>4362</v>
      </c>
      <c r="AG1362" t="s">
        <v>4447</v>
      </c>
      <c r="AH1362" t="s">
        <v>5362</v>
      </c>
      <c r="AI1362">
        <v>-0.85</v>
      </c>
      <c r="AJ1362">
        <v>-0.42</v>
      </c>
      <c r="AK1362">
        <v>2.31</v>
      </c>
      <c r="AL1362">
        <v>4.55</v>
      </c>
    </row>
    <row r="1363" spans="1:38" x14ac:dyDescent="0.25">
      <c r="A1363">
        <v>1362</v>
      </c>
      <c r="B1363" t="str">
        <f xml:space="preserve"> "002309"</f>
        <v>002309</v>
      </c>
      <c r="C1363" t="s">
        <v>5363</v>
      </c>
      <c r="D1363">
        <v>14.3</v>
      </c>
      <c r="E1363">
        <v>-0.9</v>
      </c>
      <c r="F1363">
        <v>-0.13</v>
      </c>
      <c r="G1363" t="s">
        <v>105</v>
      </c>
      <c r="H1363">
        <v>654</v>
      </c>
      <c r="I1363">
        <v>14.3</v>
      </c>
      <c r="J1363">
        <v>14.32</v>
      </c>
      <c r="K1363">
        <v>0.78</v>
      </c>
      <c r="L1363">
        <v>0.89</v>
      </c>
      <c r="M1363" t="s">
        <v>5364</v>
      </c>
      <c r="N1363">
        <v>119.38</v>
      </c>
      <c r="O1363" t="s">
        <v>680</v>
      </c>
      <c r="P1363">
        <v>14.43</v>
      </c>
      <c r="Q1363">
        <v>14.14</v>
      </c>
      <c r="R1363">
        <v>14.4</v>
      </c>
      <c r="S1363">
        <v>14.43</v>
      </c>
      <c r="T1363">
        <v>2.0099999999999998</v>
      </c>
      <c r="U1363">
        <v>0.59</v>
      </c>
      <c r="V1363">
        <v>72.28</v>
      </c>
      <c r="W1363">
        <v>2023</v>
      </c>
      <c r="X1363">
        <v>14.26</v>
      </c>
      <c r="Y1363" t="s">
        <v>2966</v>
      </c>
      <c r="Z1363" t="s">
        <v>2551</v>
      </c>
      <c r="AA1363">
        <v>1.82</v>
      </c>
      <c r="AB1363">
        <v>498</v>
      </c>
      <c r="AC1363">
        <v>1</v>
      </c>
      <c r="AD1363">
        <v>1.62</v>
      </c>
      <c r="AE1363" t="s">
        <v>4451</v>
      </c>
      <c r="AF1363" t="s">
        <v>5047</v>
      </c>
      <c r="AG1363" t="s">
        <v>1136</v>
      </c>
      <c r="AH1363" t="s">
        <v>4069</v>
      </c>
      <c r="AI1363">
        <v>-0.21</v>
      </c>
      <c r="AJ1363">
        <v>-4.5999999999999996</v>
      </c>
      <c r="AK1363">
        <v>3.25</v>
      </c>
      <c r="AL1363">
        <v>8.4499999999999993</v>
      </c>
    </row>
    <row r="1364" spans="1:38" x14ac:dyDescent="0.25">
      <c r="A1364">
        <v>1363</v>
      </c>
      <c r="B1364" t="str">
        <f xml:space="preserve"> "300441"</f>
        <v>300441</v>
      </c>
      <c r="C1364" t="s">
        <v>5365</v>
      </c>
      <c r="D1364">
        <v>24.92</v>
      </c>
      <c r="E1364">
        <v>0</v>
      </c>
      <c r="F1364">
        <v>0</v>
      </c>
      <c r="G1364" t="s">
        <v>2509</v>
      </c>
      <c r="H1364">
        <v>289</v>
      </c>
      <c r="I1364">
        <v>24.91</v>
      </c>
      <c r="J1364">
        <v>24.92</v>
      </c>
      <c r="K1364">
        <v>-0.28000000000000003</v>
      </c>
      <c r="L1364">
        <v>2.2200000000000002</v>
      </c>
      <c r="M1364" t="s">
        <v>5366</v>
      </c>
      <c r="N1364">
        <v>62.57</v>
      </c>
      <c r="O1364" t="s">
        <v>648</v>
      </c>
      <c r="P1364">
        <v>25.1</v>
      </c>
      <c r="Q1364">
        <v>24.83</v>
      </c>
      <c r="R1364">
        <v>25</v>
      </c>
      <c r="S1364">
        <v>24.92</v>
      </c>
      <c r="T1364">
        <v>1.08</v>
      </c>
      <c r="U1364">
        <v>0.47</v>
      </c>
      <c r="V1364">
        <v>-1.57</v>
      </c>
      <c r="W1364">
        <v>-24</v>
      </c>
      <c r="X1364">
        <v>24.97</v>
      </c>
      <c r="Y1364" t="s">
        <v>4791</v>
      </c>
      <c r="Z1364" t="s">
        <v>2522</v>
      </c>
      <c r="AA1364">
        <v>0.97</v>
      </c>
      <c r="AB1364">
        <v>171</v>
      </c>
      <c r="AC1364">
        <v>202</v>
      </c>
      <c r="AD1364">
        <v>6.59</v>
      </c>
      <c r="AE1364" t="s">
        <v>2591</v>
      </c>
      <c r="AF1364" t="s">
        <v>5047</v>
      </c>
      <c r="AG1364" t="s">
        <v>5367</v>
      </c>
      <c r="AH1364" t="s">
        <v>1681</v>
      </c>
      <c r="AI1364">
        <v>-1.03</v>
      </c>
      <c r="AJ1364">
        <v>8.68</v>
      </c>
      <c r="AK1364">
        <v>11.37</v>
      </c>
      <c r="AL1364">
        <v>25.81</v>
      </c>
    </row>
    <row r="1365" spans="1:38" x14ac:dyDescent="0.25">
      <c r="A1365">
        <v>1364</v>
      </c>
      <c r="B1365" t="str">
        <f xml:space="preserve"> "600654"</f>
        <v>600654</v>
      </c>
      <c r="C1365" t="s">
        <v>5368</v>
      </c>
      <c r="D1365">
        <v>7.14</v>
      </c>
      <c r="E1365">
        <v>5</v>
      </c>
      <c r="F1365">
        <v>0.34</v>
      </c>
      <c r="G1365" t="s">
        <v>1261</v>
      </c>
      <c r="H1365">
        <v>5</v>
      </c>
      <c r="I1365">
        <v>7.14</v>
      </c>
      <c r="J1365" t="s">
        <v>616</v>
      </c>
      <c r="K1365">
        <v>0</v>
      </c>
      <c r="L1365">
        <v>5.63</v>
      </c>
      <c r="M1365" t="s">
        <v>4522</v>
      </c>
      <c r="N1365">
        <v>-82.31</v>
      </c>
      <c r="O1365" t="s">
        <v>893</v>
      </c>
      <c r="P1365">
        <v>7.14</v>
      </c>
      <c r="Q1365">
        <v>6.76</v>
      </c>
      <c r="R1365">
        <v>6.8</v>
      </c>
      <c r="S1365">
        <v>6.8</v>
      </c>
      <c r="T1365">
        <v>5.59</v>
      </c>
      <c r="U1365">
        <v>0.6</v>
      </c>
      <c r="V1365">
        <v>100</v>
      </c>
      <c r="W1365" t="s">
        <v>1286</v>
      </c>
      <c r="X1365">
        <v>7.03</v>
      </c>
      <c r="Y1365" t="s">
        <v>554</v>
      </c>
      <c r="Z1365" t="s">
        <v>4385</v>
      </c>
      <c r="AA1365">
        <v>0.72</v>
      </c>
      <c r="AB1365" t="s">
        <v>1321</v>
      </c>
      <c r="AC1365">
        <v>0</v>
      </c>
      <c r="AD1365">
        <v>3.12</v>
      </c>
      <c r="AE1365" t="s">
        <v>1376</v>
      </c>
      <c r="AF1365" t="s">
        <v>5369</v>
      </c>
      <c r="AG1365" t="s">
        <v>3314</v>
      </c>
      <c r="AH1365" t="s">
        <v>5370</v>
      </c>
      <c r="AI1365">
        <v>4.8499999999999996</v>
      </c>
      <c r="AJ1365">
        <v>-2.06</v>
      </c>
      <c r="AK1365">
        <v>14.63</v>
      </c>
      <c r="AL1365">
        <v>52.49</v>
      </c>
    </row>
    <row r="1366" spans="1:38" x14ac:dyDescent="0.25">
      <c r="A1366">
        <v>1365</v>
      </c>
      <c r="B1366" t="str">
        <f xml:space="preserve"> "002022"</f>
        <v>002022</v>
      </c>
      <c r="C1366" t="s">
        <v>5371</v>
      </c>
      <c r="D1366">
        <v>17.87</v>
      </c>
      <c r="E1366">
        <v>-0.5</v>
      </c>
      <c r="F1366">
        <v>-0.09</v>
      </c>
      <c r="G1366" t="s">
        <v>2484</v>
      </c>
      <c r="H1366">
        <v>902</v>
      </c>
      <c r="I1366">
        <v>17.87</v>
      </c>
      <c r="J1366">
        <v>17.88</v>
      </c>
      <c r="K1366">
        <v>0</v>
      </c>
      <c r="L1366">
        <v>1.18</v>
      </c>
      <c r="M1366" t="s">
        <v>5372</v>
      </c>
      <c r="N1366">
        <v>36.26</v>
      </c>
      <c r="O1366" t="s">
        <v>392</v>
      </c>
      <c r="P1366">
        <v>18.100000000000001</v>
      </c>
      <c r="Q1366">
        <v>17.82</v>
      </c>
      <c r="R1366">
        <v>17.95</v>
      </c>
      <c r="S1366">
        <v>17.96</v>
      </c>
      <c r="T1366">
        <v>1.56</v>
      </c>
      <c r="U1366">
        <v>0.56000000000000005</v>
      </c>
      <c r="V1366">
        <v>15.96</v>
      </c>
      <c r="W1366">
        <v>544</v>
      </c>
      <c r="X1366">
        <v>17.96</v>
      </c>
      <c r="Y1366" t="s">
        <v>1602</v>
      </c>
      <c r="Z1366" t="s">
        <v>2932</v>
      </c>
      <c r="AA1366">
        <v>1.34</v>
      </c>
      <c r="AB1366">
        <v>180</v>
      </c>
      <c r="AC1366">
        <v>818</v>
      </c>
      <c r="AD1366">
        <v>4.8</v>
      </c>
      <c r="AE1366" t="s">
        <v>3982</v>
      </c>
      <c r="AF1366" t="s">
        <v>5369</v>
      </c>
      <c r="AG1366" t="s">
        <v>5373</v>
      </c>
      <c r="AH1366" t="s">
        <v>5374</v>
      </c>
      <c r="AI1366">
        <v>-2.14</v>
      </c>
      <c r="AJ1366">
        <v>4.0199999999999996</v>
      </c>
      <c r="AK1366">
        <v>5.58</v>
      </c>
      <c r="AL1366">
        <v>11.75</v>
      </c>
    </row>
    <row r="1367" spans="1:38" x14ac:dyDescent="0.25">
      <c r="A1367">
        <v>1366</v>
      </c>
      <c r="B1367" t="str">
        <f xml:space="preserve"> "600422"</f>
        <v>600422</v>
      </c>
      <c r="C1367" t="s">
        <v>5375</v>
      </c>
      <c r="D1367">
        <v>11.61</v>
      </c>
      <c r="E1367">
        <v>-0.09</v>
      </c>
      <c r="F1367">
        <v>-0.01</v>
      </c>
      <c r="G1367" t="s">
        <v>5376</v>
      </c>
      <c r="H1367">
        <v>20</v>
      </c>
      <c r="I1367">
        <v>11.61</v>
      </c>
      <c r="J1367">
        <v>11.62</v>
      </c>
      <c r="K1367">
        <v>-0.09</v>
      </c>
      <c r="L1367">
        <v>0.7</v>
      </c>
      <c r="M1367" t="s">
        <v>5377</v>
      </c>
      <c r="N1367">
        <v>21.24</v>
      </c>
      <c r="O1367" t="s">
        <v>392</v>
      </c>
      <c r="P1367">
        <v>11.74</v>
      </c>
      <c r="Q1367">
        <v>11.56</v>
      </c>
      <c r="R1367">
        <v>11.64</v>
      </c>
      <c r="S1367">
        <v>11.62</v>
      </c>
      <c r="T1367">
        <v>1.55</v>
      </c>
      <c r="U1367">
        <v>0.64</v>
      </c>
      <c r="V1367">
        <v>9.44</v>
      </c>
      <c r="W1367">
        <v>241</v>
      </c>
      <c r="X1367">
        <v>11.63</v>
      </c>
      <c r="Y1367" t="s">
        <v>2614</v>
      </c>
      <c r="Z1367" t="s">
        <v>2360</v>
      </c>
      <c r="AA1367">
        <v>1.17</v>
      </c>
      <c r="AB1367">
        <v>194</v>
      </c>
      <c r="AC1367">
        <v>259</v>
      </c>
      <c r="AD1367">
        <v>2.52</v>
      </c>
      <c r="AE1367" t="s">
        <v>4551</v>
      </c>
      <c r="AF1367" t="s">
        <v>5369</v>
      </c>
      <c r="AG1367" t="s">
        <v>1412</v>
      </c>
      <c r="AH1367" t="s">
        <v>3796</v>
      </c>
      <c r="AI1367">
        <v>-3.73</v>
      </c>
      <c r="AJ1367">
        <v>-1.02</v>
      </c>
      <c r="AK1367">
        <v>3.38</v>
      </c>
      <c r="AL1367">
        <v>6.23</v>
      </c>
    </row>
    <row r="1368" spans="1:38" x14ac:dyDescent="0.25">
      <c r="A1368">
        <v>1367</v>
      </c>
      <c r="B1368" t="str">
        <f xml:space="preserve"> "002279"</f>
        <v>002279</v>
      </c>
      <c r="C1368" t="s">
        <v>5378</v>
      </c>
      <c r="D1368">
        <v>12.88</v>
      </c>
      <c r="E1368">
        <v>0.78</v>
      </c>
      <c r="F1368">
        <v>0.1</v>
      </c>
      <c r="G1368" t="s">
        <v>1876</v>
      </c>
      <c r="H1368">
        <v>757</v>
      </c>
      <c r="I1368">
        <v>12.88</v>
      </c>
      <c r="J1368">
        <v>12.89</v>
      </c>
      <c r="K1368">
        <v>-0.08</v>
      </c>
      <c r="L1368">
        <v>2.81</v>
      </c>
      <c r="M1368" t="s">
        <v>5379</v>
      </c>
      <c r="N1368">
        <v>91.29</v>
      </c>
      <c r="O1368" t="s">
        <v>893</v>
      </c>
      <c r="P1368">
        <v>12.95</v>
      </c>
      <c r="Q1368">
        <v>12.69</v>
      </c>
      <c r="R1368">
        <v>12.78</v>
      </c>
      <c r="S1368">
        <v>12.78</v>
      </c>
      <c r="T1368">
        <v>2.0299999999999998</v>
      </c>
      <c r="U1368">
        <v>1.28</v>
      </c>
      <c r="V1368">
        <v>-41.58</v>
      </c>
      <c r="W1368">
        <v>-1192</v>
      </c>
      <c r="X1368">
        <v>12.82</v>
      </c>
      <c r="Y1368" t="s">
        <v>1553</v>
      </c>
      <c r="Z1368" t="s">
        <v>1692</v>
      </c>
      <c r="AA1368">
        <v>1.01</v>
      </c>
      <c r="AB1368">
        <v>250</v>
      </c>
      <c r="AC1368">
        <v>238</v>
      </c>
      <c r="AD1368">
        <v>4.09</v>
      </c>
      <c r="AE1368" t="s">
        <v>5380</v>
      </c>
      <c r="AF1368" t="s">
        <v>835</v>
      </c>
      <c r="AG1368" t="s">
        <v>5381</v>
      </c>
      <c r="AH1368" t="s">
        <v>2794</v>
      </c>
      <c r="AI1368">
        <v>0.7</v>
      </c>
      <c r="AJ1368">
        <v>6.1</v>
      </c>
      <c r="AK1368">
        <v>7.52</v>
      </c>
      <c r="AL1368">
        <v>13.78</v>
      </c>
    </row>
    <row r="1369" spans="1:38" x14ac:dyDescent="0.25">
      <c r="A1369">
        <v>1368</v>
      </c>
      <c r="B1369" t="str">
        <f xml:space="preserve"> "600171"</f>
        <v>600171</v>
      </c>
      <c r="C1369" t="s">
        <v>5382</v>
      </c>
      <c r="D1369">
        <v>13.58</v>
      </c>
      <c r="E1369">
        <v>-0.8</v>
      </c>
      <c r="F1369">
        <v>-0.11</v>
      </c>
      <c r="G1369" t="s">
        <v>825</v>
      </c>
      <c r="H1369">
        <v>29</v>
      </c>
      <c r="I1369">
        <v>13.58</v>
      </c>
      <c r="J1369">
        <v>13.59</v>
      </c>
      <c r="K1369">
        <v>0.15</v>
      </c>
      <c r="L1369">
        <v>1.4</v>
      </c>
      <c r="M1369" t="s">
        <v>2239</v>
      </c>
      <c r="N1369">
        <v>34.229999999999997</v>
      </c>
      <c r="O1369" t="s">
        <v>380</v>
      </c>
      <c r="P1369">
        <v>13.68</v>
      </c>
      <c r="Q1369">
        <v>13.52</v>
      </c>
      <c r="R1369">
        <v>13.62</v>
      </c>
      <c r="S1369">
        <v>13.69</v>
      </c>
      <c r="T1369">
        <v>1.17</v>
      </c>
      <c r="U1369">
        <v>0.41</v>
      </c>
      <c r="V1369">
        <v>-2.29</v>
      </c>
      <c r="W1369">
        <v>-55</v>
      </c>
      <c r="X1369">
        <v>13.59</v>
      </c>
      <c r="Y1369" t="s">
        <v>3769</v>
      </c>
      <c r="Z1369" t="s">
        <v>1649</v>
      </c>
      <c r="AA1369">
        <v>1.65</v>
      </c>
      <c r="AB1369">
        <v>57</v>
      </c>
      <c r="AC1369">
        <v>154</v>
      </c>
      <c r="AD1369">
        <v>4.6500000000000004</v>
      </c>
      <c r="AE1369" t="s">
        <v>4961</v>
      </c>
      <c r="AF1369" t="s">
        <v>835</v>
      </c>
      <c r="AG1369" t="s">
        <v>4961</v>
      </c>
      <c r="AH1369" t="s">
        <v>835</v>
      </c>
      <c r="AI1369">
        <v>-3.14</v>
      </c>
      <c r="AJ1369">
        <v>-1.02</v>
      </c>
      <c r="AK1369">
        <v>6.1</v>
      </c>
      <c r="AL1369">
        <v>18.57</v>
      </c>
    </row>
    <row r="1370" spans="1:38" x14ac:dyDescent="0.25">
      <c r="A1370">
        <v>1369</v>
      </c>
      <c r="B1370" t="str">
        <f xml:space="preserve"> "300343"</f>
        <v>300343</v>
      </c>
      <c r="C1370" t="s">
        <v>5383</v>
      </c>
      <c r="D1370">
        <v>15.49</v>
      </c>
      <c r="E1370">
        <v>0.85</v>
      </c>
      <c r="F1370">
        <v>0.13</v>
      </c>
      <c r="G1370" t="s">
        <v>1772</v>
      </c>
      <c r="H1370">
        <v>1071</v>
      </c>
      <c r="I1370">
        <v>15.48</v>
      </c>
      <c r="J1370">
        <v>15.49</v>
      </c>
      <c r="K1370">
        <v>-0.06</v>
      </c>
      <c r="L1370">
        <v>3.53</v>
      </c>
      <c r="M1370" t="s">
        <v>5384</v>
      </c>
      <c r="N1370">
        <v>35.06</v>
      </c>
      <c r="O1370" t="s">
        <v>553</v>
      </c>
      <c r="P1370">
        <v>15.53</v>
      </c>
      <c r="Q1370">
        <v>15.17</v>
      </c>
      <c r="R1370">
        <v>15.25</v>
      </c>
      <c r="S1370">
        <v>15.36</v>
      </c>
      <c r="T1370">
        <v>2.34</v>
      </c>
      <c r="U1370">
        <v>0.91</v>
      </c>
      <c r="V1370">
        <v>-27.74</v>
      </c>
      <c r="W1370">
        <v>-670</v>
      </c>
      <c r="X1370">
        <v>15.32</v>
      </c>
      <c r="Y1370" t="s">
        <v>2643</v>
      </c>
      <c r="Z1370" t="s">
        <v>3735</v>
      </c>
      <c r="AA1370">
        <v>0.81</v>
      </c>
      <c r="AB1370">
        <v>285</v>
      </c>
      <c r="AC1370">
        <v>185</v>
      </c>
      <c r="AD1370">
        <v>2.23</v>
      </c>
      <c r="AE1370" t="s">
        <v>4907</v>
      </c>
      <c r="AF1370" t="s">
        <v>835</v>
      </c>
      <c r="AG1370" t="s">
        <v>474</v>
      </c>
      <c r="AH1370" t="s">
        <v>5385</v>
      </c>
      <c r="AI1370">
        <v>-8.07</v>
      </c>
      <c r="AJ1370">
        <v>-14.7</v>
      </c>
      <c r="AK1370">
        <v>12.73</v>
      </c>
      <c r="AL1370">
        <v>22.01</v>
      </c>
    </row>
    <row r="1371" spans="1:38" x14ac:dyDescent="0.25">
      <c r="A1371">
        <v>1370</v>
      </c>
      <c r="B1371" t="str">
        <f xml:space="preserve"> "300398"</f>
        <v>300398</v>
      </c>
      <c r="C1371" t="s">
        <v>5386</v>
      </c>
      <c r="D1371">
        <v>25.06</v>
      </c>
      <c r="E1371">
        <v>-1.1399999999999999</v>
      </c>
      <c r="F1371">
        <v>-0.28999999999999998</v>
      </c>
      <c r="G1371" t="s">
        <v>2510</v>
      </c>
      <c r="H1371">
        <v>796</v>
      </c>
      <c r="I1371">
        <v>25.05</v>
      </c>
      <c r="J1371">
        <v>25.06</v>
      </c>
      <c r="K1371">
        <v>0</v>
      </c>
      <c r="L1371">
        <v>1.55</v>
      </c>
      <c r="M1371" t="s">
        <v>223</v>
      </c>
      <c r="N1371">
        <v>188.16</v>
      </c>
      <c r="O1371" t="s">
        <v>667</v>
      </c>
      <c r="P1371">
        <v>25.6</v>
      </c>
      <c r="Q1371">
        <v>24.71</v>
      </c>
      <c r="R1371">
        <v>25.03</v>
      </c>
      <c r="S1371">
        <v>25.35</v>
      </c>
      <c r="T1371">
        <v>3.51</v>
      </c>
      <c r="U1371">
        <v>0.59</v>
      </c>
      <c r="V1371">
        <v>62.56</v>
      </c>
      <c r="W1371">
        <v>557</v>
      </c>
      <c r="X1371">
        <v>25.13</v>
      </c>
      <c r="Y1371" t="s">
        <v>1532</v>
      </c>
      <c r="Z1371" t="s">
        <v>3230</v>
      </c>
      <c r="AA1371">
        <v>1.44</v>
      </c>
      <c r="AB1371">
        <v>251</v>
      </c>
      <c r="AC1371">
        <v>145</v>
      </c>
      <c r="AD1371">
        <v>11.48</v>
      </c>
      <c r="AE1371" t="s">
        <v>2063</v>
      </c>
      <c r="AF1371" t="s">
        <v>5387</v>
      </c>
      <c r="AG1371" t="s">
        <v>2063</v>
      </c>
      <c r="AH1371" t="s">
        <v>5387</v>
      </c>
      <c r="AI1371">
        <v>2.41</v>
      </c>
      <c r="AJ1371">
        <v>13.81</v>
      </c>
      <c r="AK1371">
        <v>6.09</v>
      </c>
      <c r="AL1371">
        <v>14.76</v>
      </c>
    </row>
    <row r="1372" spans="1:38" x14ac:dyDescent="0.25">
      <c r="A1372">
        <v>1371</v>
      </c>
      <c r="B1372" t="str">
        <f xml:space="preserve"> "002178"</f>
        <v>002178</v>
      </c>
      <c r="C1372" t="s">
        <v>5388</v>
      </c>
      <c r="D1372">
        <v>12.73</v>
      </c>
      <c r="E1372">
        <v>1.03</v>
      </c>
      <c r="F1372">
        <v>0.13</v>
      </c>
      <c r="G1372" t="s">
        <v>3039</v>
      </c>
      <c r="H1372">
        <v>634</v>
      </c>
      <c r="I1372">
        <v>12.73</v>
      </c>
      <c r="J1372">
        <v>12.74</v>
      </c>
      <c r="K1372">
        <v>0</v>
      </c>
      <c r="L1372">
        <v>0.54</v>
      </c>
      <c r="M1372" t="s">
        <v>5389</v>
      </c>
      <c r="N1372">
        <v>-739.3</v>
      </c>
      <c r="O1372" t="s">
        <v>893</v>
      </c>
      <c r="P1372">
        <v>12.78</v>
      </c>
      <c r="Q1372">
        <v>12.56</v>
      </c>
      <c r="R1372">
        <v>12.66</v>
      </c>
      <c r="S1372">
        <v>12.6</v>
      </c>
      <c r="T1372">
        <v>1.75</v>
      </c>
      <c r="U1372">
        <v>0.43</v>
      </c>
      <c r="V1372">
        <v>15.52</v>
      </c>
      <c r="W1372">
        <v>969</v>
      </c>
      <c r="X1372">
        <v>12.68</v>
      </c>
      <c r="Y1372" t="s">
        <v>999</v>
      </c>
      <c r="Z1372" t="s">
        <v>899</v>
      </c>
      <c r="AA1372">
        <v>0.78</v>
      </c>
      <c r="AB1372">
        <v>332</v>
      </c>
      <c r="AC1372">
        <v>469</v>
      </c>
      <c r="AD1372">
        <v>8.1999999999999993</v>
      </c>
      <c r="AE1372" t="s">
        <v>3007</v>
      </c>
      <c r="AF1372" t="s">
        <v>5387</v>
      </c>
      <c r="AG1372" t="s">
        <v>3081</v>
      </c>
      <c r="AH1372" t="s">
        <v>2896</v>
      </c>
      <c r="AI1372">
        <v>1.27</v>
      </c>
      <c r="AJ1372">
        <v>3.5</v>
      </c>
      <c r="AK1372">
        <v>2.31</v>
      </c>
      <c r="AL1372">
        <v>6.86</v>
      </c>
    </row>
    <row r="1373" spans="1:38" x14ac:dyDescent="0.25">
      <c r="A1373">
        <v>1372</v>
      </c>
      <c r="B1373" t="str">
        <f xml:space="preserve"> "300215"</f>
        <v>300215</v>
      </c>
      <c r="C1373" t="s">
        <v>5390</v>
      </c>
      <c r="D1373">
        <v>12.02</v>
      </c>
      <c r="E1373">
        <v>-1.07</v>
      </c>
      <c r="F1373">
        <v>-0.13</v>
      </c>
      <c r="G1373" t="s">
        <v>225</v>
      </c>
      <c r="H1373">
        <v>2688</v>
      </c>
      <c r="I1373">
        <v>12.02</v>
      </c>
      <c r="J1373">
        <v>12.03</v>
      </c>
      <c r="K1373">
        <v>0</v>
      </c>
      <c r="L1373">
        <v>2.5499999999999998</v>
      </c>
      <c r="M1373" t="s">
        <v>2637</v>
      </c>
      <c r="N1373">
        <v>89.29</v>
      </c>
      <c r="O1373" t="s">
        <v>680</v>
      </c>
      <c r="P1373">
        <v>12.09</v>
      </c>
      <c r="Q1373">
        <v>11.91</v>
      </c>
      <c r="R1373">
        <v>12.07</v>
      </c>
      <c r="S1373">
        <v>12.15</v>
      </c>
      <c r="T1373">
        <v>1.48</v>
      </c>
      <c r="U1373">
        <v>0.94</v>
      </c>
      <c r="V1373">
        <v>13.52</v>
      </c>
      <c r="W1373">
        <v>755</v>
      </c>
      <c r="X1373">
        <v>11.99</v>
      </c>
      <c r="Y1373" t="s">
        <v>5391</v>
      </c>
      <c r="Z1373" t="s">
        <v>2123</v>
      </c>
      <c r="AA1373">
        <v>1.52</v>
      </c>
      <c r="AB1373">
        <v>1295</v>
      </c>
      <c r="AC1373">
        <v>632</v>
      </c>
      <c r="AD1373">
        <v>4.78</v>
      </c>
      <c r="AE1373" t="s">
        <v>4692</v>
      </c>
      <c r="AF1373" t="s">
        <v>5387</v>
      </c>
      <c r="AG1373" t="s">
        <v>4268</v>
      </c>
      <c r="AH1373" t="s">
        <v>5392</v>
      </c>
      <c r="AI1373">
        <v>1.26</v>
      </c>
      <c r="AJ1373">
        <v>4.6100000000000003</v>
      </c>
      <c r="AK1373">
        <v>9.15</v>
      </c>
      <c r="AL1373">
        <v>16.16</v>
      </c>
    </row>
    <row r="1374" spans="1:38" x14ac:dyDescent="0.25">
      <c r="A1374">
        <v>1373</v>
      </c>
      <c r="B1374" t="str">
        <f xml:space="preserve"> "600868"</f>
        <v>600868</v>
      </c>
      <c r="C1374" t="s">
        <v>5393</v>
      </c>
      <c r="D1374">
        <v>4.8</v>
      </c>
      <c r="E1374">
        <v>0</v>
      </c>
      <c r="F1374">
        <v>0</v>
      </c>
      <c r="G1374" t="s">
        <v>1219</v>
      </c>
      <c r="H1374">
        <v>92</v>
      </c>
      <c r="I1374">
        <v>4.8</v>
      </c>
      <c r="J1374">
        <v>4.8099999999999996</v>
      </c>
      <c r="K1374">
        <v>0.21</v>
      </c>
      <c r="L1374">
        <v>1.35</v>
      </c>
      <c r="M1374" t="s">
        <v>2442</v>
      </c>
      <c r="N1374">
        <v>41.49</v>
      </c>
      <c r="O1374" t="s">
        <v>186</v>
      </c>
      <c r="P1374">
        <v>4.84</v>
      </c>
      <c r="Q1374">
        <v>4.78</v>
      </c>
      <c r="R1374">
        <v>4.79</v>
      </c>
      <c r="S1374">
        <v>4.8</v>
      </c>
      <c r="T1374">
        <v>1.25</v>
      </c>
      <c r="U1374">
        <v>0.69</v>
      </c>
      <c r="V1374">
        <v>-30.44</v>
      </c>
      <c r="W1374" t="s">
        <v>5394</v>
      </c>
      <c r="X1374">
        <v>4.8</v>
      </c>
      <c r="Y1374" t="s">
        <v>314</v>
      </c>
      <c r="Z1374" t="s">
        <v>498</v>
      </c>
      <c r="AA1374">
        <v>1.33</v>
      </c>
      <c r="AB1374">
        <v>474</v>
      </c>
      <c r="AC1374">
        <v>4055</v>
      </c>
      <c r="AD1374">
        <v>3.96</v>
      </c>
      <c r="AE1374" t="s">
        <v>493</v>
      </c>
      <c r="AF1374" t="s">
        <v>5395</v>
      </c>
      <c r="AG1374" t="s">
        <v>493</v>
      </c>
      <c r="AH1374" t="s">
        <v>5395</v>
      </c>
      <c r="AI1374">
        <v>0.84</v>
      </c>
      <c r="AJ1374">
        <v>2.56</v>
      </c>
      <c r="AK1374">
        <v>8.2200000000000006</v>
      </c>
      <c r="AL1374">
        <v>11.15</v>
      </c>
    </row>
    <row r="1375" spans="1:38" x14ac:dyDescent="0.25">
      <c r="A1375">
        <v>1374</v>
      </c>
      <c r="B1375" t="str">
        <f xml:space="preserve"> "000657"</f>
        <v>000657</v>
      </c>
      <c r="C1375" t="s">
        <v>5396</v>
      </c>
      <c r="D1375">
        <v>14.47</v>
      </c>
      <c r="E1375">
        <v>-0.55000000000000004</v>
      </c>
      <c r="F1375">
        <v>-0.08</v>
      </c>
      <c r="G1375" t="s">
        <v>1445</v>
      </c>
      <c r="H1375">
        <v>685</v>
      </c>
      <c r="I1375">
        <v>14.46</v>
      </c>
      <c r="J1375">
        <v>14.47</v>
      </c>
      <c r="K1375">
        <v>0</v>
      </c>
      <c r="L1375">
        <v>1.64</v>
      </c>
      <c r="M1375" t="s">
        <v>5397</v>
      </c>
      <c r="N1375">
        <v>77.540000000000006</v>
      </c>
      <c r="O1375" t="s">
        <v>449</v>
      </c>
      <c r="P1375">
        <v>14.64</v>
      </c>
      <c r="Q1375">
        <v>14.38</v>
      </c>
      <c r="R1375">
        <v>14.56</v>
      </c>
      <c r="S1375">
        <v>14.55</v>
      </c>
      <c r="T1375">
        <v>1.79</v>
      </c>
      <c r="U1375">
        <v>0.67</v>
      </c>
      <c r="V1375">
        <v>4.6100000000000003</v>
      </c>
      <c r="W1375">
        <v>96</v>
      </c>
      <c r="X1375">
        <v>14.47</v>
      </c>
      <c r="Y1375" t="s">
        <v>1341</v>
      </c>
      <c r="Z1375" t="s">
        <v>530</v>
      </c>
      <c r="AA1375">
        <v>1.7</v>
      </c>
      <c r="AB1375">
        <v>521</v>
      </c>
      <c r="AC1375">
        <v>166</v>
      </c>
      <c r="AD1375">
        <v>3</v>
      </c>
      <c r="AE1375" t="s">
        <v>3564</v>
      </c>
      <c r="AF1375" t="s">
        <v>5398</v>
      </c>
      <c r="AG1375" t="s">
        <v>4478</v>
      </c>
      <c r="AH1375" t="s">
        <v>626</v>
      </c>
      <c r="AI1375">
        <v>-0.41</v>
      </c>
      <c r="AJ1375">
        <v>-0.34</v>
      </c>
      <c r="AK1375">
        <v>6.68</v>
      </c>
      <c r="AL1375">
        <v>13.95</v>
      </c>
    </row>
    <row r="1376" spans="1:38" x14ac:dyDescent="0.25">
      <c r="A1376">
        <v>1375</v>
      </c>
      <c r="B1376" t="str">
        <f xml:space="preserve"> "002073"</f>
        <v>002073</v>
      </c>
      <c r="C1376" t="s">
        <v>5399</v>
      </c>
      <c r="D1376">
        <v>9.7200000000000006</v>
      </c>
      <c r="E1376">
        <v>1.89</v>
      </c>
      <c r="F1376">
        <v>0.18</v>
      </c>
      <c r="G1376" t="s">
        <v>1448</v>
      </c>
      <c r="H1376">
        <v>3048</v>
      </c>
      <c r="I1376">
        <v>9.7100000000000009</v>
      </c>
      <c r="J1376">
        <v>9.7200000000000006</v>
      </c>
      <c r="K1376">
        <v>-0.1</v>
      </c>
      <c r="L1376">
        <v>1.64</v>
      </c>
      <c r="M1376" t="s">
        <v>3619</v>
      </c>
      <c r="N1376">
        <v>73.72</v>
      </c>
      <c r="O1376" t="s">
        <v>553</v>
      </c>
      <c r="P1376">
        <v>9.77</v>
      </c>
      <c r="Q1376">
        <v>9.5</v>
      </c>
      <c r="R1376">
        <v>9.51</v>
      </c>
      <c r="S1376">
        <v>9.5399999999999991</v>
      </c>
      <c r="T1376">
        <v>2.83</v>
      </c>
      <c r="U1376">
        <v>1.05</v>
      </c>
      <c r="V1376">
        <v>-45.19</v>
      </c>
      <c r="W1376">
        <v>-2562</v>
      </c>
      <c r="X1376">
        <v>9.64</v>
      </c>
      <c r="Y1376" t="s">
        <v>1539</v>
      </c>
      <c r="Z1376" t="s">
        <v>3832</v>
      </c>
      <c r="AA1376">
        <v>0.6</v>
      </c>
      <c r="AB1376">
        <v>448</v>
      </c>
      <c r="AC1376">
        <v>212</v>
      </c>
      <c r="AD1376">
        <v>1.99</v>
      </c>
      <c r="AE1376" t="s">
        <v>3132</v>
      </c>
      <c r="AF1376" t="s">
        <v>5400</v>
      </c>
      <c r="AG1376" t="s">
        <v>3726</v>
      </c>
      <c r="AH1376" t="s">
        <v>743</v>
      </c>
      <c r="AI1376">
        <v>-0.1</v>
      </c>
      <c r="AJ1376">
        <v>3.29</v>
      </c>
      <c r="AK1376">
        <v>4.53</v>
      </c>
      <c r="AL1376">
        <v>9.4499999999999993</v>
      </c>
    </row>
    <row r="1377" spans="1:38" x14ac:dyDescent="0.25">
      <c r="A1377">
        <v>1376</v>
      </c>
      <c r="B1377" t="str">
        <f xml:space="preserve"> "600261"</f>
        <v>600261</v>
      </c>
      <c r="C1377" t="s">
        <v>5401</v>
      </c>
      <c r="D1377">
        <v>6.26</v>
      </c>
      <c r="E1377">
        <v>0.48</v>
      </c>
      <c r="F1377">
        <v>0.03</v>
      </c>
      <c r="G1377" t="s">
        <v>226</v>
      </c>
      <c r="H1377">
        <v>10</v>
      </c>
      <c r="I1377">
        <v>6.25</v>
      </c>
      <c r="J1377">
        <v>6.26</v>
      </c>
      <c r="K1377">
        <v>0</v>
      </c>
      <c r="L1377">
        <v>0.49</v>
      </c>
      <c r="M1377" t="s">
        <v>5402</v>
      </c>
      <c r="N1377">
        <v>19.559999999999999</v>
      </c>
      <c r="O1377" t="s">
        <v>380</v>
      </c>
      <c r="P1377">
        <v>6.26</v>
      </c>
      <c r="Q1377">
        <v>6.21</v>
      </c>
      <c r="R1377">
        <v>6.23</v>
      </c>
      <c r="S1377">
        <v>6.23</v>
      </c>
      <c r="T1377">
        <v>0.8</v>
      </c>
      <c r="U1377">
        <v>0.89</v>
      </c>
      <c r="V1377">
        <v>9.26</v>
      </c>
      <c r="W1377">
        <v>1677</v>
      </c>
      <c r="X1377">
        <v>6.24</v>
      </c>
      <c r="Y1377" t="s">
        <v>2032</v>
      </c>
      <c r="Z1377" t="s">
        <v>430</v>
      </c>
      <c r="AA1377">
        <v>0.95</v>
      </c>
      <c r="AB1377">
        <v>2031</v>
      </c>
      <c r="AC1377">
        <v>233</v>
      </c>
      <c r="AD1377">
        <v>2.87</v>
      </c>
      <c r="AE1377" t="s">
        <v>2387</v>
      </c>
      <c r="AF1377" t="s">
        <v>5400</v>
      </c>
      <c r="AG1377" t="s">
        <v>2387</v>
      </c>
      <c r="AH1377" t="s">
        <v>5400</v>
      </c>
      <c r="AI1377">
        <v>-0.16</v>
      </c>
      <c r="AJ1377">
        <v>0.16</v>
      </c>
      <c r="AK1377">
        <v>1.7</v>
      </c>
      <c r="AL1377">
        <v>3.26</v>
      </c>
    </row>
    <row r="1378" spans="1:38" x14ac:dyDescent="0.25">
      <c r="A1378">
        <v>1377</v>
      </c>
      <c r="B1378" t="str">
        <f xml:space="preserve"> "000035"</f>
        <v>000035</v>
      </c>
      <c r="C1378" t="s">
        <v>5403</v>
      </c>
      <c r="D1378" t="s">
        <v>616</v>
      </c>
      <c r="E1378" t="s">
        <v>616</v>
      </c>
      <c r="F1378" t="s">
        <v>616</v>
      </c>
      <c r="G1378" t="s">
        <v>616</v>
      </c>
      <c r="H1378" t="s">
        <v>616</v>
      </c>
      <c r="I1378" t="s">
        <v>616</v>
      </c>
      <c r="J1378" t="s">
        <v>616</v>
      </c>
      <c r="K1378" t="s">
        <v>616</v>
      </c>
      <c r="L1378" t="s">
        <v>616</v>
      </c>
      <c r="M1378" t="s">
        <v>616</v>
      </c>
      <c r="N1378">
        <v>62.97</v>
      </c>
      <c r="O1378" t="s">
        <v>1155</v>
      </c>
      <c r="P1378" t="s">
        <v>616</v>
      </c>
      <c r="Q1378" t="s">
        <v>616</v>
      </c>
      <c r="R1378" t="s">
        <v>616</v>
      </c>
      <c r="S1378">
        <v>6.72</v>
      </c>
      <c r="T1378" t="s">
        <v>616</v>
      </c>
      <c r="U1378" t="s">
        <v>616</v>
      </c>
      <c r="V1378" t="s">
        <v>616</v>
      </c>
      <c r="W1378" t="s">
        <v>616</v>
      </c>
      <c r="X1378" t="s">
        <v>616</v>
      </c>
      <c r="Y1378" t="s">
        <v>616</v>
      </c>
      <c r="Z1378" t="s">
        <v>616</v>
      </c>
      <c r="AA1378" t="s">
        <v>616</v>
      </c>
      <c r="AB1378" t="s">
        <v>616</v>
      </c>
      <c r="AC1378" t="s">
        <v>616</v>
      </c>
      <c r="AD1378">
        <v>3.17</v>
      </c>
      <c r="AE1378" t="s">
        <v>1587</v>
      </c>
      <c r="AF1378" t="s">
        <v>5404</v>
      </c>
      <c r="AG1378" t="s">
        <v>1132</v>
      </c>
      <c r="AH1378" t="s">
        <v>4994</v>
      </c>
      <c r="AI1378">
        <v>0</v>
      </c>
      <c r="AJ1378">
        <v>0</v>
      </c>
      <c r="AK1378">
        <v>0</v>
      </c>
      <c r="AL1378">
        <v>0</v>
      </c>
    </row>
    <row r="1379" spans="1:38" x14ac:dyDescent="0.25">
      <c r="A1379">
        <v>1378</v>
      </c>
      <c r="B1379" t="str">
        <f xml:space="preserve"> "603869"</f>
        <v>603869</v>
      </c>
      <c r="C1379" t="s">
        <v>5405</v>
      </c>
      <c r="D1379">
        <v>26.03</v>
      </c>
      <c r="E1379">
        <v>0.57999999999999996</v>
      </c>
      <c r="F1379">
        <v>0.15</v>
      </c>
      <c r="G1379" t="s">
        <v>3041</v>
      </c>
      <c r="H1379">
        <v>35</v>
      </c>
      <c r="I1379">
        <v>26.02</v>
      </c>
      <c r="J1379">
        <v>26.05</v>
      </c>
      <c r="K1379">
        <v>-0.04</v>
      </c>
      <c r="L1379">
        <v>0.97</v>
      </c>
      <c r="M1379" t="s">
        <v>5406</v>
      </c>
      <c r="N1379">
        <v>52.05</v>
      </c>
      <c r="O1379" t="s">
        <v>951</v>
      </c>
      <c r="P1379">
        <v>26.11</v>
      </c>
      <c r="Q1379">
        <v>25.62</v>
      </c>
      <c r="R1379">
        <v>25.62</v>
      </c>
      <c r="S1379">
        <v>25.88</v>
      </c>
      <c r="T1379">
        <v>1.89</v>
      </c>
      <c r="U1379">
        <v>1.17</v>
      </c>
      <c r="V1379">
        <v>-68.260000000000005</v>
      </c>
      <c r="W1379">
        <v>-271</v>
      </c>
      <c r="X1379">
        <v>25.92</v>
      </c>
      <c r="Y1379">
        <v>3216</v>
      </c>
      <c r="Z1379">
        <v>7662</v>
      </c>
      <c r="AA1379">
        <v>0.42</v>
      </c>
      <c r="AB1379">
        <v>12</v>
      </c>
      <c r="AC1379">
        <v>104</v>
      </c>
      <c r="AD1379">
        <v>2.57</v>
      </c>
      <c r="AE1379" t="s">
        <v>5407</v>
      </c>
      <c r="AF1379" t="s">
        <v>5404</v>
      </c>
      <c r="AG1379" t="s">
        <v>2114</v>
      </c>
      <c r="AH1379" t="s">
        <v>2795</v>
      </c>
      <c r="AI1379">
        <v>0.04</v>
      </c>
      <c r="AJ1379">
        <v>0.93</v>
      </c>
      <c r="AK1379">
        <v>2.56</v>
      </c>
      <c r="AL1379">
        <v>5.14</v>
      </c>
    </row>
    <row r="1380" spans="1:38" x14ac:dyDescent="0.25">
      <c r="A1380">
        <v>1379</v>
      </c>
      <c r="B1380" t="str">
        <f xml:space="preserve"> "000552"</f>
        <v>000552</v>
      </c>
      <c r="C1380" t="s">
        <v>5408</v>
      </c>
      <c r="D1380">
        <v>3.97</v>
      </c>
      <c r="E1380">
        <v>0.76</v>
      </c>
      <c r="F1380">
        <v>0.03</v>
      </c>
      <c r="G1380" t="s">
        <v>5409</v>
      </c>
      <c r="H1380">
        <v>1445</v>
      </c>
      <c r="I1380">
        <v>3.96</v>
      </c>
      <c r="J1380">
        <v>3.97</v>
      </c>
      <c r="K1380">
        <v>0.25</v>
      </c>
      <c r="L1380">
        <v>0.61</v>
      </c>
      <c r="M1380" t="s">
        <v>5410</v>
      </c>
      <c r="N1380">
        <v>16.239999999999998</v>
      </c>
      <c r="O1380" t="s">
        <v>150</v>
      </c>
      <c r="P1380">
        <v>3.98</v>
      </c>
      <c r="Q1380">
        <v>3.94</v>
      </c>
      <c r="R1380">
        <v>3.95</v>
      </c>
      <c r="S1380">
        <v>3.94</v>
      </c>
      <c r="T1380">
        <v>1.02</v>
      </c>
      <c r="U1380">
        <v>0.62</v>
      </c>
      <c r="V1380">
        <v>-34.89</v>
      </c>
      <c r="W1380" t="s">
        <v>5411</v>
      </c>
      <c r="X1380">
        <v>3.95</v>
      </c>
      <c r="Y1380" t="s">
        <v>3639</v>
      </c>
      <c r="Z1380" t="s">
        <v>5412</v>
      </c>
      <c r="AA1380">
        <v>0.89</v>
      </c>
      <c r="AB1380">
        <v>3289</v>
      </c>
      <c r="AC1380">
        <v>3353</v>
      </c>
      <c r="AD1380">
        <v>1.36</v>
      </c>
      <c r="AE1380" t="s">
        <v>3616</v>
      </c>
      <c r="AF1380" t="s">
        <v>5404</v>
      </c>
      <c r="AG1380" t="s">
        <v>1897</v>
      </c>
      <c r="AH1380" t="s">
        <v>1693</v>
      </c>
      <c r="AI1380">
        <v>-1</v>
      </c>
      <c r="AJ1380">
        <v>-1</v>
      </c>
      <c r="AK1380">
        <v>2.8</v>
      </c>
      <c r="AL1380">
        <v>5.54</v>
      </c>
    </row>
    <row r="1381" spans="1:38" x14ac:dyDescent="0.25">
      <c r="A1381">
        <v>1380</v>
      </c>
      <c r="B1381" t="str">
        <f xml:space="preserve"> "002064"</f>
        <v>002064</v>
      </c>
      <c r="C1381" t="s">
        <v>5413</v>
      </c>
      <c r="D1381">
        <v>5.41</v>
      </c>
      <c r="E1381">
        <v>0.37</v>
      </c>
      <c r="F1381">
        <v>0.02</v>
      </c>
      <c r="G1381" t="s">
        <v>196</v>
      </c>
      <c r="H1381">
        <v>418</v>
      </c>
      <c r="I1381">
        <v>5.4</v>
      </c>
      <c r="J1381">
        <v>5.41</v>
      </c>
      <c r="K1381">
        <v>-0.18</v>
      </c>
      <c r="L1381">
        <v>0.41</v>
      </c>
      <c r="M1381" t="s">
        <v>5414</v>
      </c>
      <c r="N1381">
        <v>23.56</v>
      </c>
      <c r="O1381" t="s">
        <v>1798</v>
      </c>
      <c r="P1381">
        <v>5.42</v>
      </c>
      <c r="Q1381">
        <v>5.35</v>
      </c>
      <c r="R1381">
        <v>5.38</v>
      </c>
      <c r="S1381">
        <v>5.39</v>
      </c>
      <c r="T1381">
        <v>1.3</v>
      </c>
      <c r="U1381">
        <v>0.61</v>
      </c>
      <c r="V1381">
        <v>-8</v>
      </c>
      <c r="W1381">
        <v>-1224</v>
      </c>
      <c r="X1381">
        <v>5.4</v>
      </c>
      <c r="Y1381" t="s">
        <v>3987</v>
      </c>
      <c r="Z1381" t="s">
        <v>3965</v>
      </c>
      <c r="AA1381">
        <v>0.87</v>
      </c>
      <c r="AB1381">
        <v>1624</v>
      </c>
      <c r="AC1381">
        <v>164</v>
      </c>
      <c r="AD1381">
        <v>2.83</v>
      </c>
      <c r="AE1381" t="s">
        <v>3026</v>
      </c>
      <c r="AF1381" t="s">
        <v>5415</v>
      </c>
      <c r="AG1381" t="s">
        <v>2422</v>
      </c>
      <c r="AH1381" t="s">
        <v>5182</v>
      </c>
      <c r="AI1381">
        <v>-0.18</v>
      </c>
      <c r="AJ1381">
        <v>2.85</v>
      </c>
      <c r="AK1381">
        <v>1.85</v>
      </c>
      <c r="AL1381">
        <v>3.76</v>
      </c>
    </row>
    <row r="1382" spans="1:38" x14ac:dyDescent="0.25">
      <c r="A1382">
        <v>1381</v>
      </c>
      <c r="B1382" t="str">
        <f xml:space="preserve"> "603357"</f>
        <v>603357</v>
      </c>
      <c r="C1382" t="s">
        <v>5416</v>
      </c>
      <c r="D1382">
        <v>27.91</v>
      </c>
      <c r="E1382">
        <v>0.5</v>
      </c>
      <c r="F1382">
        <v>0.14000000000000001</v>
      </c>
      <c r="G1382" t="s">
        <v>2599</v>
      </c>
      <c r="H1382">
        <v>5</v>
      </c>
      <c r="I1382">
        <v>27.88</v>
      </c>
      <c r="J1382">
        <v>27.89</v>
      </c>
      <c r="K1382">
        <v>0.04</v>
      </c>
      <c r="L1382">
        <v>7.7</v>
      </c>
      <c r="M1382" t="s">
        <v>4916</v>
      </c>
      <c r="N1382">
        <v>37.94</v>
      </c>
      <c r="O1382" t="s">
        <v>263</v>
      </c>
      <c r="P1382">
        <v>28.28</v>
      </c>
      <c r="Q1382">
        <v>27.02</v>
      </c>
      <c r="R1382">
        <v>27.78</v>
      </c>
      <c r="S1382">
        <v>27.77</v>
      </c>
      <c r="T1382">
        <v>4.54</v>
      </c>
      <c r="U1382">
        <v>0.57999999999999996</v>
      </c>
      <c r="V1382">
        <v>-23.19</v>
      </c>
      <c r="W1382">
        <v>-128</v>
      </c>
      <c r="X1382">
        <v>27.69</v>
      </c>
      <c r="Y1382" t="s">
        <v>2433</v>
      </c>
      <c r="Z1382" t="s">
        <v>1954</v>
      </c>
      <c r="AA1382">
        <v>1.01</v>
      </c>
      <c r="AB1382">
        <v>50</v>
      </c>
      <c r="AC1382">
        <v>23</v>
      </c>
      <c r="AD1382">
        <v>5.55</v>
      </c>
      <c r="AE1382" t="s">
        <v>981</v>
      </c>
      <c r="AF1382" t="s">
        <v>198</v>
      </c>
      <c r="AG1382" t="s">
        <v>5417</v>
      </c>
      <c r="AH1382" t="s">
        <v>5418</v>
      </c>
      <c r="AI1382">
        <v>-3.82</v>
      </c>
      <c r="AJ1382">
        <v>3.26</v>
      </c>
      <c r="AK1382">
        <v>28.24</v>
      </c>
      <c r="AL1382">
        <v>73.53</v>
      </c>
    </row>
    <row r="1383" spans="1:38" x14ac:dyDescent="0.25">
      <c r="A1383">
        <v>1382</v>
      </c>
      <c r="B1383" t="str">
        <f xml:space="preserve"> "600850"</f>
        <v>600850</v>
      </c>
      <c r="C1383" t="s">
        <v>5419</v>
      </c>
      <c r="D1383">
        <v>21.5</v>
      </c>
      <c r="E1383">
        <v>-0.19</v>
      </c>
      <c r="F1383">
        <v>-0.04</v>
      </c>
      <c r="G1383" t="s">
        <v>3892</v>
      </c>
      <c r="H1383">
        <v>10</v>
      </c>
      <c r="I1383">
        <v>21.51</v>
      </c>
      <c r="J1383">
        <v>21.52</v>
      </c>
      <c r="K1383">
        <v>0.14000000000000001</v>
      </c>
      <c r="L1383">
        <v>0.47</v>
      </c>
      <c r="M1383" t="s">
        <v>5420</v>
      </c>
      <c r="N1383">
        <v>30.4</v>
      </c>
      <c r="O1383" t="s">
        <v>553</v>
      </c>
      <c r="P1383">
        <v>21.59</v>
      </c>
      <c r="Q1383">
        <v>21.38</v>
      </c>
      <c r="R1383">
        <v>21.58</v>
      </c>
      <c r="S1383">
        <v>21.54</v>
      </c>
      <c r="T1383">
        <v>0.97</v>
      </c>
      <c r="U1383">
        <v>0.61</v>
      </c>
      <c r="V1383">
        <v>18.920000000000002</v>
      </c>
      <c r="W1383">
        <v>212</v>
      </c>
      <c r="X1383">
        <v>21.49</v>
      </c>
      <c r="Y1383" t="s">
        <v>2232</v>
      </c>
      <c r="Z1383">
        <v>7495</v>
      </c>
      <c r="AA1383">
        <v>1.62</v>
      </c>
      <c r="AB1383">
        <v>50</v>
      </c>
      <c r="AC1383">
        <v>54</v>
      </c>
      <c r="AD1383">
        <v>4.66</v>
      </c>
      <c r="AE1383" t="s">
        <v>1470</v>
      </c>
      <c r="AF1383" t="s">
        <v>5421</v>
      </c>
      <c r="AG1383" t="s">
        <v>1470</v>
      </c>
      <c r="AH1383" t="s">
        <v>5421</v>
      </c>
      <c r="AI1383">
        <v>-0.78</v>
      </c>
      <c r="AJ1383">
        <v>0.56000000000000005</v>
      </c>
      <c r="AK1383">
        <v>1.93</v>
      </c>
      <c r="AL1383">
        <v>4.3099999999999996</v>
      </c>
    </row>
    <row r="1384" spans="1:38" x14ac:dyDescent="0.25">
      <c r="A1384">
        <v>1383</v>
      </c>
      <c r="B1384" t="str">
        <f xml:space="preserve"> "002534"</f>
        <v>002534</v>
      </c>
      <c r="C1384" t="s">
        <v>5422</v>
      </c>
      <c r="D1384">
        <v>12.23</v>
      </c>
      <c r="E1384">
        <v>-0.73</v>
      </c>
      <c r="F1384">
        <v>-0.09</v>
      </c>
      <c r="G1384" t="s">
        <v>5423</v>
      </c>
      <c r="H1384">
        <v>813</v>
      </c>
      <c r="I1384">
        <v>12.23</v>
      </c>
      <c r="J1384">
        <v>12.24</v>
      </c>
      <c r="K1384">
        <v>0</v>
      </c>
      <c r="L1384">
        <v>0.68</v>
      </c>
      <c r="M1384" t="s">
        <v>5424</v>
      </c>
      <c r="N1384">
        <v>20.92</v>
      </c>
      <c r="O1384" t="s">
        <v>648</v>
      </c>
      <c r="P1384">
        <v>12.42</v>
      </c>
      <c r="Q1384">
        <v>12.18</v>
      </c>
      <c r="R1384">
        <v>12.38</v>
      </c>
      <c r="S1384">
        <v>12.32</v>
      </c>
      <c r="T1384">
        <v>1.95</v>
      </c>
      <c r="U1384">
        <v>0.81</v>
      </c>
      <c r="V1384">
        <v>23.05</v>
      </c>
      <c r="W1384">
        <v>494</v>
      </c>
      <c r="X1384">
        <v>12.26</v>
      </c>
      <c r="Y1384" t="s">
        <v>3190</v>
      </c>
      <c r="Z1384" t="s">
        <v>3387</v>
      </c>
      <c r="AA1384">
        <v>1.55</v>
      </c>
      <c r="AB1384">
        <v>51</v>
      </c>
      <c r="AC1384">
        <v>228</v>
      </c>
      <c r="AD1384">
        <v>3.26</v>
      </c>
      <c r="AE1384" t="s">
        <v>5425</v>
      </c>
      <c r="AF1384" t="s">
        <v>3900</v>
      </c>
      <c r="AG1384" t="s">
        <v>2735</v>
      </c>
      <c r="AH1384" t="s">
        <v>3096</v>
      </c>
      <c r="AI1384">
        <v>0.82</v>
      </c>
      <c r="AJ1384">
        <v>3.12</v>
      </c>
      <c r="AK1384">
        <v>2.91</v>
      </c>
      <c r="AL1384">
        <v>4.93</v>
      </c>
    </row>
    <row r="1385" spans="1:38" x14ac:dyDescent="0.25">
      <c r="A1385">
        <v>1384</v>
      </c>
      <c r="B1385" t="str">
        <f xml:space="preserve"> "603126"</f>
        <v>603126</v>
      </c>
      <c r="C1385" t="s">
        <v>5426</v>
      </c>
      <c r="D1385">
        <v>14.81</v>
      </c>
      <c r="E1385">
        <v>5.94</v>
      </c>
      <c r="F1385">
        <v>0.83</v>
      </c>
      <c r="G1385" t="s">
        <v>2053</v>
      </c>
      <c r="H1385">
        <v>166</v>
      </c>
      <c r="I1385">
        <v>14.81</v>
      </c>
      <c r="J1385">
        <v>14.82</v>
      </c>
      <c r="K1385">
        <v>0</v>
      </c>
      <c r="L1385">
        <v>4.71</v>
      </c>
      <c r="M1385" t="s">
        <v>3320</v>
      </c>
      <c r="N1385">
        <v>71.47</v>
      </c>
      <c r="O1385" t="s">
        <v>1155</v>
      </c>
      <c r="P1385">
        <v>14.98</v>
      </c>
      <c r="Q1385">
        <v>13.88</v>
      </c>
      <c r="R1385">
        <v>13.98</v>
      </c>
      <c r="S1385">
        <v>13.98</v>
      </c>
      <c r="T1385">
        <v>7.87</v>
      </c>
      <c r="U1385">
        <v>3.11</v>
      </c>
      <c r="V1385">
        <v>-36.799999999999997</v>
      </c>
      <c r="W1385">
        <v>-1045</v>
      </c>
      <c r="X1385">
        <v>14.53</v>
      </c>
      <c r="Y1385" t="s">
        <v>1668</v>
      </c>
      <c r="Z1385" t="s">
        <v>3288</v>
      </c>
      <c r="AA1385">
        <v>0.69</v>
      </c>
      <c r="AB1385">
        <v>118</v>
      </c>
      <c r="AC1385">
        <v>372</v>
      </c>
      <c r="AD1385">
        <v>5.96</v>
      </c>
      <c r="AE1385" t="s">
        <v>5240</v>
      </c>
      <c r="AF1385" t="s">
        <v>3900</v>
      </c>
      <c r="AG1385" t="s">
        <v>5240</v>
      </c>
      <c r="AH1385" t="s">
        <v>3900</v>
      </c>
      <c r="AI1385">
        <v>5.1100000000000003</v>
      </c>
      <c r="AJ1385">
        <v>11.52</v>
      </c>
      <c r="AK1385">
        <v>7.34</v>
      </c>
      <c r="AL1385">
        <v>12.29</v>
      </c>
    </row>
    <row r="1386" spans="1:38" x14ac:dyDescent="0.25">
      <c r="A1386">
        <v>1385</v>
      </c>
      <c r="B1386" t="str">
        <f xml:space="preserve"> "300128"</f>
        <v>300128</v>
      </c>
      <c r="C1386" t="s">
        <v>5427</v>
      </c>
      <c r="D1386">
        <v>10.73</v>
      </c>
      <c r="E1386">
        <v>-1.83</v>
      </c>
      <c r="F1386">
        <v>-0.2</v>
      </c>
      <c r="G1386" t="s">
        <v>460</v>
      </c>
      <c r="H1386">
        <v>1599</v>
      </c>
      <c r="I1386">
        <v>10.72</v>
      </c>
      <c r="J1386">
        <v>10.73</v>
      </c>
      <c r="K1386">
        <v>0.09</v>
      </c>
      <c r="L1386">
        <v>3.37</v>
      </c>
      <c r="M1386" t="s">
        <v>629</v>
      </c>
      <c r="N1386">
        <v>323.33999999999997</v>
      </c>
      <c r="O1386" t="s">
        <v>380</v>
      </c>
      <c r="P1386">
        <v>10.95</v>
      </c>
      <c r="Q1386">
        <v>10.55</v>
      </c>
      <c r="R1386">
        <v>10.55</v>
      </c>
      <c r="S1386">
        <v>10.93</v>
      </c>
      <c r="T1386">
        <v>3.66</v>
      </c>
      <c r="U1386">
        <v>0.85</v>
      </c>
      <c r="V1386">
        <v>39.21</v>
      </c>
      <c r="W1386">
        <v>1329</v>
      </c>
      <c r="X1386">
        <v>10.78</v>
      </c>
      <c r="Y1386" t="s">
        <v>5428</v>
      </c>
      <c r="Z1386" t="s">
        <v>5061</v>
      </c>
      <c r="AA1386">
        <v>1.2</v>
      </c>
      <c r="AB1386">
        <v>1340</v>
      </c>
      <c r="AC1386">
        <v>587</v>
      </c>
      <c r="AD1386">
        <v>4.5599999999999996</v>
      </c>
      <c r="AE1386" t="s">
        <v>5429</v>
      </c>
      <c r="AF1386" t="s">
        <v>483</v>
      </c>
      <c r="AG1386" t="s">
        <v>1900</v>
      </c>
      <c r="AH1386" t="s">
        <v>4892</v>
      </c>
      <c r="AI1386">
        <v>-1.56</v>
      </c>
      <c r="AJ1386">
        <v>7.09</v>
      </c>
      <c r="AK1386">
        <v>11.51</v>
      </c>
      <c r="AL1386">
        <v>23.26</v>
      </c>
    </row>
    <row r="1387" spans="1:38" x14ac:dyDescent="0.25">
      <c r="A1387">
        <v>1386</v>
      </c>
      <c r="B1387" t="str">
        <f xml:space="preserve"> "600993"</f>
        <v>600993</v>
      </c>
      <c r="C1387" t="s">
        <v>5430</v>
      </c>
      <c r="D1387">
        <v>20.95</v>
      </c>
      <c r="E1387">
        <v>0.24</v>
      </c>
      <c r="F1387">
        <v>0.05</v>
      </c>
      <c r="G1387" t="s">
        <v>362</v>
      </c>
      <c r="H1387">
        <v>13</v>
      </c>
      <c r="I1387">
        <v>20.93</v>
      </c>
      <c r="J1387">
        <v>20.95</v>
      </c>
      <c r="K1387">
        <v>-0.1</v>
      </c>
      <c r="L1387">
        <v>2.41</v>
      </c>
      <c r="M1387" t="s">
        <v>3597</v>
      </c>
      <c r="N1387">
        <v>25.9</v>
      </c>
      <c r="O1387" t="s">
        <v>392</v>
      </c>
      <c r="P1387">
        <v>21.37</v>
      </c>
      <c r="Q1387">
        <v>20.82</v>
      </c>
      <c r="R1387">
        <v>20.95</v>
      </c>
      <c r="S1387">
        <v>20.9</v>
      </c>
      <c r="T1387">
        <v>2.63</v>
      </c>
      <c r="U1387">
        <v>1.23</v>
      </c>
      <c r="V1387">
        <v>-41.74</v>
      </c>
      <c r="W1387">
        <v>-556</v>
      </c>
      <c r="X1387">
        <v>21.08</v>
      </c>
      <c r="Y1387" t="s">
        <v>3555</v>
      </c>
      <c r="Z1387" t="s">
        <v>4912</v>
      </c>
      <c r="AA1387">
        <v>0.84</v>
      </c>
      <c r="AB1387">
        <v>53</v>
      </c>
      <c r="AC1387">
        <v>10</v>
      </c>
      <c r="AD1387">
        <v>4.59</v>
      </c>
      <c r="AE1387" t="s">
        <v>2302</v>
      </c>
      <c r="AF1387" t="s">
        <v>483</v>
      </c>
      <c r="AG1387" t="s">
        <v>2233</v>
      </c>
      <c r="AH1387" t="s">
        <v>3740</v>
      </c>
      <c r="AI1387">
        <v>1.6</v>
      </c>
      <c r="AJ1387">
        <v>4.8</v>
      </c>
      <c r="AK1387">
        <v>7.82</v>
      </c>
      <c r="AL1387">
        <v>12.22</v>
      </c>
    </row>
    <row r="1388" spans="1:38" x14ac:dyDescent="0.25">
      <c r="A1388">
        <v>1387</v>
      </c>
      <c r="B1388" t="str">
        <f xml:space="preserve"> "600075"</f>
        <v>600075</v>
      </c>
      <c r="C1388" t="s">
        <v>5431</v>
      </c>
      <c r="D1388">
        <v>9.27</v>
      </c>
      <c r="E1388">
        <v>0.54</v>
      </c>
      <c r="F1388">
        <v>0.05</v>
      </c>
      <c r="G1388" t="s">
        <v>4583</v>
      </c>
      <c r="H1388">
        <v>401</v>
      </c>
      <c r="I1388">
        <v>9.26</v>
      </c>
      <c r="J1388">
        <v>9.27</v>
      </c>
      <c r="K1388">
        <v>0.22</v>
      </c>
      <c r="L1388">
        <v>0.54</v>
      </c>
      <c r="M1388" t="s">
        <v>5432</v>
      </c>
      <c r="N1388">
        <v>13.12</v>
      </c>
      <c r="O1388" t="s">
        <v>3277</v>
      </c>
      <c r="P1388">
        <v>9.27</v>
      </c>
      <c r="Q1388">
        <v>9.18</v>
      </c>
      <c r="R1388">
        <v>9.18</v>
      </c>
      <c r="S1388">
        <v>9.2200000000000006</v>
      </c>
      <c r="T1388">
        <v>0.98</v>
      </c>
      <c r="U1388">
        <v>0.68</v>
      </c>
      <c r="V1388">
        <v>-19.66</v>
      </c>
      <c r="W1388">
        <v>-599</v>
      </c>
      <c r="X1388">
        <v>9.23</v>
      </c>
      <c r="Y1388" t="s">
        <v>3025</v>
      </c>
      <c r="Z1388" t="s">
        <v>3025</v>
      </c>
      <c r="AA1388">
        <v>1</v>
      </c>
      <c r="AB1388">
        <v>72</v>
      </c>
      <c r="AC1388">
        <v>136</v>
      </c>
      <c r="AD1388">
        <v>2.1800000000000002</v>
      </c>
      <c r="AE1388" t="s">
        <v>3028</v>
      </c>
      <c r="AF1388" t="s">
        <v>3520</v>
      </c>
      <c r="AG1388" t="s">
        <v>1019</v>
      </c>
      <c r="AH1388" t="s">
        <v>4743</v>
      </c>
      <c r="AI1388">
        <v>-2.2200000000000002</v>
      </c>
      <c r="AJ1388">
        <v>-0.11</v>
      </c>
      <c r="AK1388">
        <v>2.16</v>
      </c>
      <c r="AL1388">
        <v>4.5199999999999996</v>
      </c>
    </row>
    <row r="1389" spans="1:38" x14ac:dyDescent="0.25">
      <c r="A1389">
        <v>1388</v>
      </c>
      <c r="B1389" t="str">
        <f xml:space="preserve"> "002245"</f>
        <v>002245</v>
      </c>
      <c r="C1389" t="s">
        <v>5433</v>
      </c>
      <c r="D1389">
        <v>9.1300000000000008</v>
      </c>
      <c r="E1389">
        <v>0.77</v>
      </c>
      <c r="F1389">
        <v>7.0000000000000007E-2</v>
      </c>
      <c r="G1389" t="s">
        <v>5434</v>
      </c>
      <c r="H1389">
        <v>945</v>
      </c>
      <c r="I1389">
        <v>9.1199999999999992</v>
      </c>
      <c r="J1389">
        <v>9.1300000000000008</v>
      </c>
      <c r="K1389">
        <v>-0.11</v>
      </c>
      <c r="L1389">
        <v>1</v>
      </c>
      <c r="M1389" t="s">
        <v>5435</v>
      </c>
      <c r="N1389">
        <v>30.42</v>
      </c>
      <c r="O1389" t="s">
        <v>274</v>
      </c>
      <c r="P1389">
        <v>9.15</v>
      </c>
      <c r="Q1389">
        <v>9.0500000000000007</v>
      </c>
      <c r="R1389">
        <v>9.07</v>
      </c>
      <c r="S1389">
        <v>9.06</v>
      </c>
      <c r="T1389">
        <v>1.1000000000000001</v>
      </c>
      <c r="U1389">
        <v>0.77</v>
      </c>
      <c r="V1389">
        <v>-28.84</v>
      </c>
      <c r="W1389">
        <v>-1977</v>
      </c>
      <c r="X1389">
        <v>9.1</v>
      </c>
      <c r="Y1389" t="s">
        <v>3171</v>
      </c>
      <c r="Z1389" t="s">
        <v>5073</v>
      </c>
      <c r="AA1389">
        <v>1.1599999999999999</v>
      </c>
      <c r="AB1389">
        <v>216</v>
      </c>
      <c r="AC1389">
        <v>460</v>
      </c>
      <c r="AD1389">
        <v>4.3099999999999996</v>
      </c>
      <c r="AE1389" t="s">
        <v>3344</v>
      </c>
      <c r="AF1389" t="s">
        <v>3740</v>
      </c>
      <c r="AG1389" t="s">
        <v>1542</v>
      </c>
      <c r="AH1389" t="s">
        <v>5436</v>
      </c>
      <c r="AI1389">
        <v>-1.83</v>
      </c>
      <c r="AJ1389">
        <v>1</v>
      </c>
      <c r="AK1389">
        <v>3.7</v>
      </c>
      <c r="AL1389">
        <v>7.48</v>
      </c>
    </row>
    <row r="1390" spans="1:38" x14ac:dyDescent="0.25">
      <c r="A1390">
        <v>1389</v>
      </c>
      <c r="B1390" t="str">
        <f xml:space="preserve"> "600190"</f>
        <v>600190</v>
      </c>
      <c r="C1390" t="s">
        <v>5437</v>
      </c>
      <c r="D1390">
        <v>4.5</v>
      </c>
      <c r="E1390">
        <v>0.67</v>
      </c>
      <c r="F1390">
        <v>0.03</v>
      </c>
      <c r="G1390" t="s">
        <v>2115</v>
      </c>
      <c r="H1390">
        <v>10</v>
      </c>
      <c r="I1390">
        <v>4.5</v>
      </c>
      <c r="J1390">
        <v>4.51</v>
      </c>
      <c r="K1390">
        <v>0</v>
      </c>
      <c r="L1390">
        <v>0.16</v>
      </c>
      <c r="M1390" t="s">
        <v>5438</v>
      </c>
      <c r="N1390">
        <v>53.38</v>
      </c>
      <c r="O1390" t="s">
        <v>440</v>
      </c>
      <c r="P1390">
        <v>4.51</v>
      </c>
      <c r="Q1390">
        <v>4.45</v>
      </c>
      <c r="R1390">
        <v>4.46</v>
      </c>
      <c r="S1390">
        <v>4.47</v>
      </c>
      <c r="T1390">
        <v>1.34</v>
      </c>
      <c r="U1390">
        <v>0.73</v>
      </c>
      <c r="V1390">
        <v>-24.08</v>
      </c>
      <c r="W1390">
        <v>-2351</v>
      </c>
      <c r="X1390">
        <v>4.4800000000000004</v>
      </c>
      <c r="Y1390" t="s">
        <v>3041</v>
      </c>
      <c r="Z1390" t="s">
        <v>2126</v>
      </c>
      <c r="AA1390">
        <v>0.6</v>
      </c>
      <c r="AB1390">
        <v>1102</v>
      </c>
      <c r="AC1390">
        <v>1913</v>
      </c>
      <c r="AD1390">
        <v>1.51</v>
      </c>
      <c r="AE1390" t="s">
        <v>1063</v>
      </c>
      <c r="AF1390" t="s">
        <v>3740</v>
      </c>
      <c r="AG1390" t="s">
        <v>1713</v>
      </c>
      <c r="AH1390" t="s">
        <v>5124</v>
      </c>
      <c r="AI1390">
        <v>0.22</v>
      </c>
      <c r="AJ1390">
        <v>2.74</v>
      </c>
      <c r="AK1390">
        <v>0.66</v>
      </c>
      <c r="AL1390">
        <v>1.28</v>
      </c>
    </row>
    <row r="1391" spans="1:38" x14ac:dyDescent="0.25">
      <c r="A1391">
        <v>1390</v>
      </c>
      <c r="B1391" t="str">
        <f xml:space="preserve"> "600710"</f>
        <v>600710</v>
      </c>
      <c r="C1391" t="s">
        <v>5439</v>
      </c>
      <c r="D1391">
        <v>6.89</v>
      </c>
      <c r="E1391">
        <v>0.44</v>
      </c>
      <c r="F1391">
        <v>0.03</v>
      </c>
      <c r="G1391" t="s">
        <v>885</v>
      </c>
      <c r="H1391">
        <v>7</v>
      </c>
      <c r="I1391">
        <v>6.88</v>
      </c>
      <c r="J1391">
        <v>6.89</v>
      </c>
      <c r="K1391">
        <v>0.15</v>
      </c>
      <c r="L1391">
        <v>0.5</v>
      </c>
      <c r="M1391" t="s">
        <v>5440</v>
      </c>
      <c r="N1391">
        <v>27.35</v>
      </c>
      <c r="O1391" t="s">
        <v>2647</v>
      </c>
      <c r="P1391">
        <v>6.89</v>
      </c>
      <c r="Q1391">
        <v>6.83</v>
      </c>
      <c r="R1391">
        <v>6.86</v>
      </c>
      <c r="S1391">
        <v>6.86</v>
      </c>
      <c r="T1391">
        <v>0.87</v>
      </c>
      <c r="U1391">
        <v>0.66</v>
      </c>
      <c r="V1391">
        <v>2.98</v>
      </c>
      <c r="W1391">
        <v>277</v>
      </c>
      <c r="X1391">
        <v>6.87</v>
      </c>
      <c r="Y1391" t="s">
        <v>1493</v>
      </c>
      <c r="Z1391" t="s">
        <v>999</v>
      </c>
      <c r="AA1391">
        <v>1.24</v>
      </c>
      <c r="AB1391">
        <v>1083</v>
      </c>
      <c r="AC1391">
        <v>35</v>
      </c>
      <c r="AD1391">
        <v>2.37</v>
      </c>
      <c r="AE1391" t="s">
        <v>1510</v>
      </c>
      <c r="AF1391" t="s">
        <v>1496</v>
      </c>
      <c r="AG1391" t="s">
        <v>5441</v>
      </c>
      <c r="AH1391" t="s">
        <v>276</v>
      </c>
      <c r="AI1391">
        <v>-0.43</v>
      </c>
      <c r="AJ1391">
        <v>3.45</v>
      </c>
      <c r="AK1391">
        <v>2.0699999999999998</v>
      </c>
      <c r="AL1391">
        <v>4.29</v>
      </c>
    </row>
    <row r="1392" spans="1:38" x14ac:dyDescent="0.25">
      <c r="A1392">
        <v>1391</v>
      </c>
      <c r="B1392" t="str">
        <f xml:space="preserve"> "300438"</f>
        <v>300438</v>
      </c>
      <c r="C1392" t="s">
        <v>5442</v>
      </c>
      <c r="D1392">
        <v>31.98</v>
      </c>
      <c r="E1392">
        <v>2.96</v>
      </c>
      <c r="F1392">
        <v>0.92</v>
      </c>
      <c r="G1392" t="s">
        <v>5236</v>
      </c>
      <c r="H1392">
        <v>1758</v>
      </c>
      <c r="I1392">
        <v>31.97</v>
      </c>
      <c r="J1392">
        <v>31.98</v>
      </c>
      <c r="K1392">
        <v>0</v>
      </c>
      <c r="L1392">
        <v>6.25</v>
      </c>
      <c r="M1392" t="s">
        <v>5050</v>
      </c>
      <c r="N1392">
        <v>46.73</v>
      </c>
      <c r="O1392" t="s">
        <v>380</v>
      </c>
      <c r="P1392">
        <v>32.700000000000003</v>
      </c>
      <c r="Q1392">
        <v>31.95</v>
      </c>
      <c r="R1392">
        <v>32</v>
      </c>
      <c r="S1392">
        <v>31.06</v>
      </c>
      <c r="T1392">
        <v>2.41</v>
      </c>
      <c r="U1392">
        <v>2.0499999999999998</v>
      </c>
      <c r="V1392">
        <v>-4.0199999999999996</v>
      </c>
      <c r="W1392">
        <v>-36</v>
      </c>
      <c r="X1392">
        <v>32.25</v>
      </c>
      <c r="Y1392" t="s">
        <v>1984</v>
      </c>
      <c r="Z1392" t="s">
        <v>1601</v>
      </c>
      <c r="AA1392">
        <v>0.75</v>
      </c>
      <c r="AB1392">
        <v>98</v>
      </c>
      <c r="AC1392">
        <v>366</v>
      </c>
      <c r="AD1392">
        <v>4.79</v>
      </c>
      <c r="AE1392" t="s">
        <v>4526</v>
      </c>
      <c r="AF1392" t="s">
        <v>478</v>
      </c>
      <c r="AG1392" t="s">
        <v>640</v>
      </c>
      <c r="AH1392" t="s">
        <v>567</v>
      </c>
      <c r="AI1392">
        <v>1.65</v>
      </c>
      <c r="AJ1392">
        <v>0.19</v>
      </c>
      <c r="AK1392">
        <v>12.05</v>
      </c>
      <c r="AL1392">
        <v>21.51</v>
      </c>
    </row>
    <row r="1393" spans="1:38" x14ac:dyDescent="0.25">
      <c r="A1393">
        <v>1392</v>
      </c>
      <c r="B1393" t="str">
        <f xml:space="preserve"> "002792"</f>
        <v>002792</v>
      </c>
      <c r="C1393" t="s">
        <v>5443</v>
      </c>
      <c r="D1393">
        <v>39.81</v>
      </c>
      <c r="E1393">
        <v>-0.75</v>
      </c>
      <c r="F1393">
        <v>-0.3</v>
      </c>
      <c r="G1393" t="s">
        <v>1253</v>
      </c>
      <c r="H1393">
        <v>600</v>
      </c>
      <c r="I1393">
        <v>39.81</v>
      </c>
      <c r="J1393">
        <v>39.82</v>
      </c>
      <c r="K1393">
        <v>-0.05</v>
      </c>
      <c r="L1393">
        <v>7.17</v>
      </c>
      <c r="M1393" t="s">
        <v>3229</v>
      </c>
      <c r="N1393">
        <v>47.86</v>
      </c>
      <c r="O1393" t="s">
        <v>580</v>
      </c>
      <c r="P1393">
        <v>40.380000000000003</v>
      </c>
      <c r="Q1393">
        <v>39.14</v>
      </c>
      <c r="R1393">
        <v>39.36</v>
      </c>
      <c r="S1393">
        <v>40.11</v>
      </c>
      <c r="T1393">
        <v>3.09</v>
      </c>
      <c r="U1393">
        <v>0.61</v>
      </c>
      <c r="V1393">
        <v>60.36</v>
      </c>
      <c r="W1393">
        <v>670</v>
      </c>
      <c r="X1393">
        <v>39.770000000000003</v>
      </c>
      <c r="Y1393" t="s">
        <v>3877</v>
      </c>
      <c r="Z1393" t="s">
        <v>4118</v>
      </c>
      <c r="AA1393">
        <v>1.48</v>
      </c>
      <c r="AB1393">
        <v>609</v>
      </c>
      <c r="AC1393">
        <v>11</v>
      </c>
      <c r="AD1393">
        <v>4.74</v>
      </c>
      <c r="AE1393" t="s">
        <v>2942</v>
      </c>
      <c r="AF1393" t="s">
        <v>478</v>
      </c>
      <c r="AG1393" t="s">
        <v>5444</v>
      </c>
      <c r="AH1393" t="s">
        <v>1023</v>
      </c>
      <c r="AI1393">
        <v>-4.53</v>
      </c>
      <c r="AJ1393">
        <v>-4.8499999999999996</v>
      </c>
      <c r="AK1393">
        <v>24.67</v>
      </c>
      <c r="AL1393">
        <v>65.540000000000006</v>
      </c>
    </row>
    <row r="1394" spans="1:38" x14ac:dyDescent="0.25">
      <c r="A1394">
        <v>1393</v>
      </c>
      <c r="B1394" t="str">
        <f xml:space="preserve"> "002467"</f>
        <v>002467</v>
      </c>
      <c r="C1394" t="s">
        <v>5445</v>
      </c>
      <c r="D1394">
        <v>11.47</v>
      </c>
      <c r="E1394">
        <v>-4.42</v>
      </c>
      <c r="F1394">
        <v>-0.53</v>
      </c>
      <c r="G1394" t="s">
        <v>2201</v>
      </c>
      <c r="H1394" t="s">
        <v>1181</v>
      </c>
      <c r="I1394">
        <v>11.46</v>
      </c>
      <c r="J1394">
        <v>11.47</v>
      </c>
      <c r="K1394">
        <v>-0.09</v>
      </c>
      <c r="L1394">
        <v>19.079999999999998</v>
      </c>
      <c r="M1394" t="s">
        <v>2387</v>
      </c>
      <c r="N1394">
        <v>90.54</v>
      </c>
      <c r="O1394" t="s">
        <v>467</v>
      </c>
      <c r="P1394">
        <v>12.08</v>
      </c>
      <c r="Q1394">
        <v>11.25</v>
      </c>
      <c r="R1394">
        <v>11.9</v>
      </c>
      <c r="S1394">
        <v>12</v>
      </c>
      <c r="T1394">
        <v>6.92</v>
      </c>
      <c r="U1394">
        <v>1.08</v>
      </c>
      <c r="V1394">
        <v>-65.56</v>
      </c>
      <c r="W1394">
        <v>-9642</v>
      </c>
      <c r="X1394">
        <v>11.55</v>
      </c>
      <c r="Y1394" t="s">
        <v>5446</v>
      </c>
      <c r="Z1394" t="s">
        <v>5447</v>
      </c>
      <c r="AA1394">
        <v>1.58</v>
      </c>
      <c r="AB1394">
        <v>986</v>
      </c>
      <c r="AC1394">
        <v>4603</v>
      </c>
      <c r="AD1394">
        <v>4.9000000000000004</v>
      </c>
      <c r="AE1394" t="s">
        <v>5448</v>
      </c>
      <c r="AF1394" t="s">
        <v>478</v>
      </c>
      <c r="AG1394" t="s">
        <v>4393</v>
      </c>
      <c r="AH1394" t="s">
        <v>5045</v>
      </c>
      <c r="AI1394">
        <v>-0.26</v>
      </c>
      <c r="AJ1394">
        <v>28.44</v>
      </c>
      <c r="AK1394">
        <v>67.31</v>
      </c>
      <c r="AL1394">
        <v>107.84</v>
      </c>
    </row>
    <row r="1395" spans="1:38" x14ac:dyDescent="0.25">
      <c r="A1395">
        <v>1394</v>
      </c>
      <c r="B1395" t="str">
        <f xml:space="preserve"> "600736"</f>
        <v>600736</v>
      </c>
      <c r="C1395" t="s">
        <v>5449</v>
      </c>
      <c r="D1395">
        <v>7.52</v>
      </c>
      <c r="E1395">
        <v>0</v>
      </c>
      <c r="F1395">
        <v>0</v>
      </c>
      <c r="G1395" t="s">
        <v>3524</v>
      </c>
      <c r="H1395">
        <v>18</v>
      </c>
      <c r="I1395">
        <v>7.51</v>
      </c>
      <c r="J1395">
        <v>7.52</v>
      </c>
      <c r="K1395">
        <v>0.13</v>
      </c>
      <c r="L1395">
        <v>0.33</v>
      </c>
      <c r="M1395" t="s">
        <v>5450</v>
      </c>
      <c r="N1395">
        <v>17.36</v>
      </c>
      <c r="O1395" t="s">
        <v>244</v>
      </c>
      <c r="P1395">
        <v>7.57</v>
      </c>
      <c r="Q1395">
        <v>7.46</v>
      </c>
      <c r="R1395">
        <v>7.53</v>
      </c>
      <c r="S1395">
        <v>7.52</v>
      </c>
      <c r="T1395">
        <v>1.46</v>
      </c>
      <c r="U1395">
        <v>0.57999999999999996</v>
      </c>
      <c r="V1395">
        <v>-42.13</v>
      </c>
      <c r="W1395">
        <v>-3822</v>
      </c>
      <c r="X1395">
        <v>7.51</v>
      </c>
      <c r="Y1395" t="s">
        <v>394</v>
      </c>
      <c r="Z1395" t="s">
        <v>4590</v>
      </c>
      <c r="AA1395">
        <v>1.51</v>
      </c>
      <c r="AB1395">
        <v>131</v>
      </c>
      <c r="AC1395">
        <v>148</v>
      </c>
      <c r="AD1395">
        <v>1.57</v>
      </c>
      <c r="AE1395" t="s">
        <v>1011</v>
      </c>
      <c r="AF1395" t="s">
        <v>1301</v>
      </c>
      <c r="AG1395" t="s">
        <v>357</v>
      </c>
      <c r="AH1395" t="s">
        <v>5063</v>
      </c>
      <c r="AI1395">
        <v>0</v>
      </c>
      <c r="AJ1395">
        <v>2.4500000000000002</v>
      </c>
      <c r="AK1395">
        <v>1.39</v>
      </c>
      <c r="AL1395">
        <v>3.19</v>
      </c>
    </row>
    <row r="1396" spans="1:38" x14ac:dyDescent="0.25">
      <c r="A1396">
        <v>1395</v>
      </c>
      <c r="B1396" t="str">
        <f xml:space="preserve"> "300075"</f>
        <v>300075</v>
      </c>
      <c r="C1396" t="s">
        <v>5451</v>
      </c>
      <c r="D1396">
        <v>21.15</v>
      </c>
      <c r="E1396">
        <v>1</v>
      </c>
      <c r="F1396">
        <v>0.21</v>
      </c>
      <c r="G1396" t="s">
        <v>5452</v>
      </c>
      <c r="H1396">
        <v>1717</v>
      </c>
      <c r="I1396">
        <v>21.15</v>
      </c>
      <c r="J1396">
        <v>21.16</v>
      </c>
      <c r="K1396">
        <v>0</v>
      </c>
      <c r="L1396">
        <v>3.26</v>
      </c>
      <c r="M1396" t="s">
        <v>3201</v>
      </c>
      <c r="N1396">
        <v>71.459999999999994</v>
      </c>
      <c r="O1396" t="s">
        <v>893</v>
      </c>
      <c r="P1396">
        <v>21.2</v>
      </c>
      <c r="Q1396">
        <v>20.46</v>
      </c>
      <c r="R1396">
        <v>20.85</v>
      </c>
      <c r="S1396">
        <v>20.94</v>
      </c>
      <c r="T1396">
        <v>3.53</v>
      </c>
      <c r="U1396">
        <v>0.8</v>
      </c>
      <c r="V1396">
        <v>-19.190000000000001</v>
      </c>
      <c r="W1396">
        <v>-540</v>
      </c>
      <c r="X1396">
        <v>20.88</v>
      </c>
      <c r="Y1396" t="s">
        <v>3606</v>
      </c>
      <c r="Z1396" t="s">
        <v>1315</v>
      </c>
      <c r="AA1396">
        <v>0.95</v>
      </c>
      <c r="AB1396">
        <v>221</v>
      </c>
      <c r="AC1396">
        <v>282</v>
      </c>
      <c r="AD1396">
        <v>4.55</v>
      </c>
      <c r="AE1396" t="s">
        <v>5453</v>
      </c>
      <c r="AF1396" t="s">
        <v>1301</v>
      </c>
      <c r="AG1396" t="s">
        <v>2333</v>
      </c>
      <c r="AH1396" t="s">
        <v>5454</v>
      </c>
      <c r="AI1396">
        <v>-3.6</v>
      </c>
      <c r="AJ1396">
        <v>4.5999999999999996</v>
      </c>
      <c r="AK1396">
        <v>10.36</v>
      </c>
      <c r="AL1396">
        <v>23.65</v>
      </c>
    </row>
    <row r="1397" spans="1:38" x14ac:dyDescent="0.25">
      <c r="A1397">
        <v>1396</v>
      </c>
      <c r="B1397" t="str">
        <f xml:space="preserve"> "002675"</f>
        <v>002675</v>
      </c>
      <c r="C1397" t="s">
        <v>5455</v>
      </c>
      <c r="D1397">
        <v>12.76</v>
      </c>
      <c r="E1397">
        <v>-0.55000000000000004</v>
      </c>
      <c r="F1397">
        <v>-7.0000000000000007E-2</v>
      </c>
      <c r="G1397" t="s">
        <v>4802</v>
      </c>
      <c r="H1397">
        <v>376</v>
      </c>
      <c r="I1397">
        <v>12.75</v>
      </c>
      <c r="J1397">
        <v>12.76</v>
      </c>
      <c r="K1397">
        <v>0.16</v>
      </c>
      <c r="L1397">
        <v>0.8</v>
      </c>
      <c r="M1397" t="s">
        <v>5456</v>
      </c>
      <c r="N1397">
        <v>61.62</v>
      </c>
      <c r="O1397" t="s">
        <v>392</v>
      </c>
      <c r="P1397">
        <v>12.92</v>
      </c>
      <c r="Q1397">
        <v>12.66</v>
      </c>
      <c r="R1397">
        <v>12.85</v>
      </c>
      <c r="S1397">
        <v>12.83</v>
      </c>
      <c r="T1397">
        <v>2.0299999999999998</v>
      </c>
      <c r="U1397">
        <v>0.95</v>
      </c>
      <c r="V1397">
        <v>-11.61</v>
      </c>
      <c r="W1397">
        <v>-215</v>
      </c>
      <c r="X1397">
        <v>12.72</v>
      </c>
      <c r="Y1397" t="s">
        <v>2754</v>
      </c>
      <c r="Z1397" t="s">
        <v>3950</v>
      </c>
      <c r="AA1397">
        <v>1.79</v>
      </c>
      <c r="AB1397">
        <v>152</v>
      </c>
      <c r="AC1397">
        <v>174</v>
      </c>
      <c r="AD1397">
        <v>3.19</v>
      </c>
      <c r="AE1397" t="s">
        <v>3364</v>
      </c>
      <c r="AF1397" t="s">
        <v>1301</v>
      </c>
      <c r="AG1397" t="s">
        <v>2024</v>
      </c>
      <c r="AH1397" t="s">
        <v>4504</v>
      </c>
      <c r="AI1397">
        <v>-3.19</v>
      </c>
      <c r="AJ1397">
        <v>2.08</v>
      </c>
      <c r="AK1397">
        <v>2.81</v>
      </c>
      <c r="AL1397">
        <v>4.9800000000000004</v>
      </c>
    </row>
    <row r="1398" spans="1:38" x14ac:dyDescent="0.25">
      <c r="A1398">
        <v>1397</v>
      </c>
      <c r="B1398" t="str">
        <f xml:space="preserve"> "300158"</f>
        <v>300158</v>
      </c>
      <c r="C1398" t="s">
        <v>5457</v>
      </c>
      <c r="D1398">
        <v>17.28</v>
      </c>
      <c r="E1398">
        <v>-0.06</v>
      </c>
      <c r="F1398">
        <v>-0.01</v>
      </c>
      <c r="G1398" t="s">
        <v>1961</v>
      </c>
      <c r="H1398">
        <v>344</v>
      </c>
      <c r="I1398">
        <v>17.28</v>
      </c>
      <c r="J1398">
        <v>17.29</v>
      </c>
      <c r="K1398">
        <v>-0.06</v>
      </c>
      <c r="L1398">
        <v>0.59</v>
      </c>
      <c r="M1398" t="s">
        <v>5458</v>
      </c>
      <c r="N1398">
        <v>27.84</v>
      </c>
      <c r="O1398" t="s">
        <v>392</v>
      </c>
      <c r="P1398">
        <v>17.37</v>
      </c>
      <c r="Q1398">
        <v>17.149999999999999</v>
      </c>
      <c r="R1398">
        <v>17.239999999999998</v>
      </c>
      <c r="S1398">
        <v>17.29</v>
      </c>
      <c r="T1398">
        <v>1.27</v>
      </c>
      <c r="U1398">
        <v>1.04</v>
      </c>
      <c r="V1398">
        <v>2.08</v>
      </c>
      <c r="W1398">
        <v>22</v>
      </c>
      <c r="X1398">
        <v>17.25</v>
      </c>
      <c r="Y1398" t="s">
        <v>2232</v>
      </c>
      <c r="Z1398" t="s">
        <v>691</v>
      </c>
      <c r="AA1398">
        <v>1.01</v>
      </c>
      <c r="AB1398">
        <v>300</v>
      </c>
      <c r="AC1398">
        <v>163</v>
      </c>
      <c r="AD1398">
        <v>1.67</v>
      </c>
      <c r="AE1398" t="s">
        <v>1108</v>
      </c>
      <c r="AF1398" t="s">
        <v>1301</v>
      </c>
      <c r="AG1398" t="s">
        <v>139</v>
      </c>
      <c r="AH1398" t="s">
        <v>5459</v>
      </c>
      <c r="AI1398">
        <v>0.88</v>
      </c>
      <c r="AJ1398">
        <v>5.62</v>
      </c>
      <c r="AK1398">
        <v>1.93</v>
      </c>
      <c r="AL1398">
        <v>3.4</v>
      </c>
    </row>
    <row r="1399" spans="1:38" x14ac:dyDescent="0.25">
      <c r="A1399">
        <v>1398</v>
      </c>
      <c r="B1399" t="str">
        <f xml:space="preserve"> "002284"</f>
        <v>002284</v>
      </c>
      <c r="C1399" t="s">
        <v>5460</v>
      </c>
      <c r="D1399">
        <v>12.16</v>
      </c>
      <c r="E1399">
        <v>-2.25</v>
      </c>
      <c r="F1399">
        <v>-0.28000000000000003</v>
      </c>
      <c r="G1399" t="s">
        <v>1834</v>
      </c>
      <c r="H1399">
        <v>4443</v>
      </c>
      <c r="I1399">
        <v>12.16</v>
      </c>
      <c r="J1399">
        <v>12.17</v>
      </c>
      <c r="K1399">
        <v>-0.08</v>
      </c>
      <c r="L1399">
        <v>1.96</v>
      </c>
      <c r="M1399" t="s">
        <v>608</v>
      </c>
      <c r="N1399">
        <v>68.83</v>
      </c>
      <c r="O1399" t="s">
        <v>169</v>
      </c>
      <c r="P1399">
        <v>12.39</v>
      </c>
      <c r="Q1399">
        <v>12.1</v>
      </c>
      <c r="R1399">
        <v>12.35</v>
      </c>
      <c r="S1399">
        <v>12.44</v>
      </c>
      <c r="T1399">
        <v>2.33</v>
      </c>
      <c r="U1399">
        <v>0.55000000000000004</v>
      </c>
      <c r="V1399">
        <v>-34.909999999999997</v>
      </c>
      <c r="W1399">
        <v>-2417</v>
      </c>
      <c r="X1399">
        <v>12.22</v>
      </c>
      <c r="Y1399" t="s">
        <v>4239</v>
      </c>
      <c r="Z1399" t="s">
        <v>3264</v>
      </c>
      <c r="AA1399">
        <v>1.67</v>
      </c>
      <c r="AB1399">
        <v>214</v>
      </c>
      <c r="AC1399">
        <v>2357</v>
      </c>
      <c r="AD1399">
        <v>3.39</v>
      </c>
      <c r="AE1399" t="s">
        <v>4206</v>
      </c>
      <c r="AF1399" t="s">
        <v>5461</v>
      </c>
      <c r="AG1399" t="s">
        <v>3304</v>
      </c>
      <c r="AH1399" t="s">
        <v>5462</v>
      </c>
      <c r="AI1399">
        <v>-1.7</v>
      </c>
      <c r="AJ1399">
        <v>1.08</v>
      </c>
      <c r="AK1399">
        <v>11.82</v>
      </c>
      <c r="AL1399">
        <v>19.63</v>
      </c>
    </row>
    <row r="1400" spans="1:38" x14ac:dyDescent="0.25">
      <c r="A1400">
        <v>1399</v>
      </c>
      <c r="B1400" t="str">
        <f xml:space="preserve"> "002462"</f>
        <v>002462</v>
      </c>
      <c r="C1400" t="s">
        <v>5463</v>
      </c>
      <c r="D1400">
        <v>35.770000000000003</v>
      </c>
      <c r="E1400">
        <v>0.17</v>
      </c>
      <c r="F1400">
        <v>0.06</v>
      </c>
      <c r="G1400">
        <v>7924</v>
      </c>
      <c r="H1400">
        <v>52</v>
      </c>
      <c r="I1400">
        <v>35.76</v>
      </c>
      <c r="J1400">
        <v>35.770000000000003</v>
      </c>
      <c r="K1400">
        <v>0.03</v>
      </c>
      <c r="L1400">
        <v>0.32</v>
      </c>
      <c r="M1400" t="s">
        <v>5464</v>
      </c>
      <c r="N1400">
        <v>31.37</v>
      </c>
      <c r="O1400" t="s">
        <v>392</v>
      </c>
      <c r="P1400">
        <v>35.99</v>
      </c>
      <c r="Q1400">
        <v>35.5</v>
      </c>
      <c r="R1400">
        <v>35.71</v>
      </c>
      <c r="S1400">
        <v>35.71</v>
      </c>
      <c r="T1400">
        <v>1.37</v>
      </c>
      <c r="U1400">
        <v>0.57999999999999996</v>
      </c>
      <c r="V1400">
        <v>8.07</v>
      </c>
      <c r="W1400">
        <v>58</v>
      </c>
      <c r="X1400">
        <v>35.81</v>
      </c>
      <c r="Y1400">
        <v>4067</v>
      </c>
      <c r="Z1400">
        <v>3857</v>
      </c>
      <c r="AA1400">
        <v>1.05</v>
      </c>
      <c r="AB1400">
        <v>85</v>
      </c>
      <c r="AC1400">
        <v>43</v>
      </c>
      <c r="AD1400">
        <v>4.3</v>
      </c>
      <c r="AE1400" t="s">
        <v>4761</v>
      </c>
      <c r="AF1400" t="s">
        <v>5465</v>
      </c>
      <c r="AG1400" t="s">
        <v>5466</v>
      </c>
      <c r="AH1400" t="s">
        <v>5467</v>
      </c>
      <c r="AI1400">
        <v>-1.41</v>
      </c>
      <c r="AJ1400">
        <v>4.32</v>
      </c>
      <c r="AK1400">
        <v>1.23</v>
      </c>
      <c r="AL1400">
        <v>3.07</v>
      </c>
    </row>
    <row r="1401" spans="1:38" x14ac:dyDescent="0.25">
      <c r="A1401">
        <v>1400</v>
      </c>
      <c r="B1401" t="str">
        <f xml:space="preserve"> "000673"</f>
        <v>000673</v>
      </c>
      <c r="C1401" t="s">
        <v>5468</v>
      </c>
      <c r="D1401">
        <v>11.29</v>
      </c>
      <c r="E1401">
        <v>-2.67</v>
      </c>
      <c r="F1401">
        <v>-0.31</v>
      </c>
      <c r="G1401" t="s">
        <v>1627</v>
      </c>
      <c r="H1401">
        <v>2202</v>
      </c>
      <c r="I1401">
        <v>11.29</v>
      </c>
      <c r="J1401">
        <v>11.3</v>
      </c>
      <c r="K1401">
        <v>-0.09</v>
      </c>
      <c r="L1401">
        <v>2.97</v>
      </c>
      <c r="M1401" t="s">
        <v>3110</v>
      </c>
      <c r="N1401">
        <v>180.84</v>
      </c>
      <c r="O1401" t="s">
        <v>1126</v>
      </c>
      <c r="P1401">
        <v>11.52</v>
      </c>
      <c r="Q1401">
        <v>11.02</v>
      </c>
      <c r="R1401">
        <v>11.51</v>
      </c>
      <c r="S1401">
        <v>11.6</v>
      </c>
      <c r="T1401">
        <v>4.3099999999999996</v>
      </c>
      <c r="U1401">
        <v>2.62</v>
      </c>
      <c r="V1401">
        <v>-73.900000000000006</v>
      </c>
      <c r="W1401">
        <v>-3665</v>
      </c>
      <c r="X1401">
        <v>11.28</v>
      </c>
      <c r="Y1401" t="s">
        <v>4096</v>
      </c>
      <c r="Z1401" t="s">
        <v>5469</v>
      </c>
      <c r="AA1401">
        <v>0.67</v>
      </c>
      <c r="AB1401">
        <v>11</v>
      </c>
      <c r="AC1401">
        <v>1899</v>
      </c>
      <c r="AD1401">
        <v>3.83</v>
      </c>
      <c r="AE1401" t="s">
        <v>5470</v>
      </c>
      <c r="AF1401" t="s">
        <v>5465</v>
      </c>
      <c r="AG1401" t="s">
        <v>3932</v>
      </c>
      <c r="AH1401" t="s">
        <v>5471</v>
      </c>
      <c r="AI1401">
        <v>-4.08</v>
      </c>
      <c r="AJ1401">
        <v>-2</v>
      </c>
      <c r="AK1401">
        <v>5.48</v>
      </c>
      <c r="AL1401">
        <v>8.64</v>
      </c>
    </row>
    <row r="1402" spans="1:38" x14ac:dyDescent="0.25">
      <c r="A1402">
        <v>1401</v>
      </c>
      <c r="B1402" t="str">
        <f xml:space="preserve"> "300216"</f>
        <v>300216</v>
      </c>
      <c r="C1402" t="s">
        <v>5472</v>
      </c>
      <c r="D1402">
        <v>24.78</v>
      </c>
      <c r="E1402">
        <v>-0.36</v>
      </c>
      <c r="F1402">
        <v>-0.09</v>
      </c>
      <c r="G1402" t="s">
        <v>498</v>
      </c>
      <c r="H1402">
        <v>1078</v>
      </c>
      <c r="I1402">
        <v>24.78</v>
      </c>
      <c r="J1402">
        <v>24.79</v>
      </c>
      <c r="K1402">
        <v>0.04</v>
      </c>
      <c r="L1402">
        <v>4.21</v>
      </c>
      <c r="M1402" t="s">
        <v>5381</v>
      </c>
      <c r="N1402">
        <v>151.44</v>
      </c>
      <c r="O1402" t="s">
        <v>1552</v>
      </c>
      <c r="P1402">
        <v>25.38</v>
      </c>
      <c r="Q1402">
        <v>24.42</v>
      </c>
      <c r="R1402">
        <v>24.68</v>
      </c>
      <c r="S1402">
        <v>24.87</v>
      </c>
      <c r="T1402">
        <v>3.86</v>
      </c>
      <c r="U1402">
        <v>1.04</v>
      </c>
      <c r="V1402">
        <v>-5.3</v>
      </c>
      <c r="W1402">
        <v>-85</v>
      </c>
      <c r="X1402">
        <v>24.91</v>
      </c>
      <c r="Y1402" t="s">
        <v>721</v>
      </c>
      <c r="Z1402" t="s">
        <v>1253</v>
      </c>
      <c r="AA1402">
        <v>1.17</v>
      </c>
      <c r="AB1402">
        <v>391</v>
      </c>
      <c r="AC1402">
        <v>201</v>
      </c>
      <c r="AD1402">
        <v>7.38</v>
      </c>
      <c r="AE1402" t="s">
        <v>2686</v>
      </c>
      <c r="AF1402" t="s">
        <v>5465</v>
      </c>
      <c r="AG1402" t="s">
        <v>1770</v>
      </c>
      <c r="AH1402" t="s">
        <v>2933</v>
      </c>
      <c r="AI1402">
        <v>-1.82</v>
      </c>
      <c r="AJ1402">
        <v>8.59</v>
      </c>
      <c r="AK1402">
        <v>13.92</v>
      </c>
      <c r="AL1402">
        <v>24.45</v>
      </c>
    </row>
    <row r="1403" spans="1:38" x14ac:dyDescent="0.25">
      <c r="A1403">
        <v>1402</v>
      </c>
      <c r="B1403" t="str">
        <f xml:space="preserve"> "600458"</f>
        <v>600458</v>
      </c>
      <c r="C1403" t="s">
        <v>5473</v>
      </c>
      <c r="D1403">
        <v>11.14</v>
      </c>
      <c r="E1403">
        <v>0.18</v>
      </c>
      <c r="F1403">
        <v>0.02</v>
      </c>
      <c r="G1403" t="s">
        <v>2459</v>
      </c>
      <c r="H1403">
        <v>107</v>
      </c>
      <c r="I1403">
        <v>11.14</v>
      </c>
      <c r="J1403">
        <v>11.15</v>
      </c>
      <c r="K1403">
        <v>0</v>
      </c>
      <c r="L1403">
        <v>0.47</v>
      </c>
      <c r="M1403" t="s">
        <v>5474</v>
      </c>
      <c r="N1403">
        <v>145.49</v>
      </c>
      <c r="O1403" t="s">
        <v>859</v>
      </c>
      <c r="P1403">
        <v>11.2</v>
      </c>
      <c r="Q1403">
        <v>11.09</v>
      </c>
      <c r="R1403">
        <v>11.17</v>
      </c>
      <c r="S1403">
        <v>11.12</v>
      </c>
      <c r="T1403">
        <v>0.99</v>
      </c>
      <c r="U1403">
        <v>0.82</v>
      </c>
      <c r="V1403">
        <v>10.01</v>
      </c>
      <c r="W1403">
        <v>392</v>
      </c>
      <c r="X1403">
        <v>11.13</v>
      </c>
      <c r="Y1403" t="s">
        <v>1349</v>
      </c>
      <c r="Z1403" t="s">
        <v>2551</v>
      </c>
      <c r="AA1403">
        <v>1.24</v>
      </c>
      <c r="AB1403">
        <v>152</v>
      </c>
      <c r="AC1403">
        <v>493</v>
      </c>
      <c r="AD1403">
        <v>1.85</v>
      </c>
      <c r="AE1403" t="s">
        <v>2544</v>
      </c>
      <c r="AF1403" t="s">
        <v>4115</v>
      </c>
      <c r="AG1403" t="s">
        <v>168</v>
      </c>
      <c r="AH1403" t="s">
        <v>5475</v>
      </c>
      <c r="AI1403">
        <v>-0.45</v>
      </c>
      <c r="AJ1403">
        <v>1.83</v>
      </c>
      <c r="AK1403">
        <v>1.48</v>
      </c>
      <c r="AL1403">
        <v>3.31</v>
      </c>
    </row>
    <row r="1404" spans="1:38" x14ac:dyDescent="0.25">
      <c r="A1404">
        <v>1403</v>
      </c>
      <c r="B1404" t="str">
        <f xml:space="preserve"> "600601"</f>
        <v>600601</v>
      </c>
      <c r="C1404" t="s">
        <v>5476</v>
      </c>
      <c r="D1404">
        <v>4.07</v>
      </c>
      <c r="E1404">
        <v>-0.49</v>
      </c>
      <c r="F1404">
        <v>-0.02</v>
      </c>
      <c r="G1404" t="s">
        <v>2003</v>
      </c>
      <c r="H1404">
        <v>131</v>
      </c>
      <c r="I1404">
        <v>4.07</v>
      </c>
      <c r="J1404">
        <v>4.08</v>
      </c>
      <c r="K1404">
        <v>0</v>
      </c>
      <c r="L1404">
        <v>0.51</v>
      </c>
      <c r="M1404" t="s">
        <v>5477</v>
      </c>
      <c r="N1404">
        <v>-30.73</v>
      </c>
      <c r="O1404" t="s">
        <v>553</v>
      </c>
      <c r="P1404">
        <v>4.0999999999999996</v>
      </c>
      <c r="Q1404">
        <v>4.05</v>
      </c>
      <c r="R1404">
        <v>4.0999999999999996</v>
      </c>
      <c r="S1404">
        <v>4.09</v>
      </c>
      <c r="T1404">
        <v>1.22</v>
      </c>
      <c r="U1404">
        <v>0.85</v>
      </c>
      <c r="V1404">
        <v>24.77</v>
      </c>
      <c r="W1404" t="s">
        <v>75</v>
      </c>
      <c r="X1404">
        <v>4.07</v>
      </c>
      <c r="Y1404" t="s">
        <v>5478</v>
      </c>
      <c r="Z1404" t="s">
        <v>5066</v>
      </c>
      <c r="AA1404">
        <v>1.61</v>
      </c>
      <c r="AB1404">
        <v>1910</v>
      </c>
      <c r="AC1404">
        <v>4318</v>
      </c>
      <c r="AD1404">
        <v>2.38</v>
      </c>
      <c r="AE1404" t="s">
        <v>1733</v>
      </c>
      <c r="AF1404" t="s">
        <v>3661</v>
      </c>
      <c r="AG1404" t="s">
        <v>1733</v>
      </c>
      <c r="AH1404" t="s">
        <v>3661</v>
      </c>
      <c r="AI1404">
        <v>-1.21</v>
      </c>
      <c r="AJ1404">
        <v>2.0099999999999998</v>
      </c>
      <c r="AK1404">
        <v>1.57</v>
      </c>
      <c r="AL1404">
        <v>3.48</v>
      </c>
    </row>
    <row r="1405" spans="1:38" x14ac:dyDescent="0.25">
      <c r="A1405">
        <v>1404</v>
      </c>
      <c r="B1405" t="str">
        <f xml:space="preserve"> "002023"</f>
        <v>002023</v>
      </c>
      <c r="C1405" t="s">
        <v>5479</v>
      </c>
      <c r="D1405">
        <v>11.8</v>
      </c>
      <c r="E1405">
        <v>-0.17</v>
      </c>
      <c r="F1405">
        <v>-0.02</v>
      </c>
      <c r="G1405" t="s">
        <v>236</v>
      </c>
      <c r="H1405">
        <v>3659</v>
      </c>
      <c r="I1405">
        <v>11.8</v>
      </c>
      <c r="J1405">
        <v>11.81</v>
      </c>
      <c r="K1405">
        <v>0.17</v>
      </c>
      <c r="L1405">
        <v>2.0499999999999998</v>
      </c>
      <c r="M1405" t="s">
        <v>1820</v>
      </c>
      <c r="N1405">
        <v>193.47</v>
      </c>
      <c r="O1405" t="s">
        <v>926</v>
      </c>
      <c r="P1405">
        <v>11.93</v>
      </c>
      <c r="Q1405">
        <v>11.66</v>
      </c>
      <c r="R1405">
        <v>11.83</v>
      </c>
      <c r="S1405">
        <v>11.82</v>
      </c>
      <c r="T1405">
        <v>2.2799999999999998</v>
      </c>
      <c r="U1405">
        <v>0.49</v>
      </c>
      <c r="V1405">
        <v>67.75</v>
      </c>
      <c r="W1405" t="s">
        <v>2089</v>
      </c>
      <c r="X1405">
        <v>11.78</v>
      </c>
      <c r="Y1405" t="s">
        <v>3127</v>
      </c>
      <c r="Z1405" t="s">
        <v>1230</v>
      </c>
      <c r="AA1405">
        <v>1.71</v>
      </c>
      <c r="AB1405" t="s">
        <v>124</v>
      </c>
      <c r="AC1405">
        <v>536</v>
      </c>
      <c r="AD1405">
        <v>2.4900000000000002</v>
      </c>
      <c r="AE1405" t="s">
        <v>5480</v>
      </c>
      <c r="AF1405" t="s">
        <v>3661</v>
      </c>
      <c r="AG1405" t="s">
        <v>5481</v>
      </c>
      <c r="AH1405" t="s">
        <v>5482</v>
      </c>
      <c r="AI1405">
        <v>-4.45</v>
      </c>
      <c r="AJ1405">
        <v>4.42</v>
      </c>
      <c r="AK1405">
        <v>9.18</v>
      </c>
      <c r="AL1405">
        <v>23.11</v>
      </c>
    </row>
    <row r="1406" spans="1:38" x14ac:dyDescent="0.25">
      <c r="A1406">
        <v>1405</v>
      </c>
      <c r="B1406" t="str">
        <f xml:space="preserve"> "000801"</f>
        <v>000801</v>
      </c>
      <c r="C1406" t="s">
        <v>5483</v>
      </c>
      <c r="D1406">
        <v>8.73</v>
      </c>
      <c r="E1406">
        <v>2.34</v>
      </c>
      <c r="F1406">
        <v>0.2</v>
      </c>
      <c r="G1406" t="s">
        <v>759</v>
      </c>
      <c r="H1406">
        <v>7514</v>
      </c>
      <c r="I1406">
        <v>8.7200000000000006</v>
      </c>
      <c r="J1406">
        <v>8.73</v>
      </c>
      <c r="K1406">
        <v>0</v>
      </c>
      <c r="L1406">
        <v>1.43</v>
      </c>
      <c r="M1406" t="s">
        <v>315</v>
      </c>
      <c r="N1406">
        <v>-233.47</v>
      </c>
      <c r="O1406" t="s">
        <v>215</v>
      </c>
      <c r="P1406">
        <v>8.75</v>
      </c>
      <c r="Q1406">
        <v>8.48</v>
      </c>
      <c r="R1406">
        <v>8.5</v>
      </c>
      <c r="S1406">
        <v>8.5299999999999994</v>
      </c>
      <c r="T1406">
        <v>3.17</v>
      </c>
      <c r="U1406">
        <v>0.81</v>
      </c>
      <c r="V1406">
        <v>-19.920000000000002</v>
      </c>
      <c r="W1406">
        <v>-4174</v>
      </c>
      <c r="X1406">
        <v>8.66</v>
      </c>
      <c r="Y1406" t="s">
        <v>1937</v>
      </c>
      <c r="Z1406" t="s">
        <v>3960</v>
      </c>
      <c r="AA1406">
        <v>0.6</v>
      </c>
      <c r="AB1406">
        <v>274</v>
      </c>
      <c r="AC1406">
        <v>2449</v>
      </c>
      <c r="AD1406">
        <v>3.87</v>
      </c>
      <c r="AE1406" t="s">
        <v>1766</v>
      </c>
      <c r="AF1406" t="s">
        <v>3661</v>
      </c>
      <c r="AG1406" t="s">
        <v>1766</v>
      </c>
      <c r="AH1406" t="s">
        <v>3661</v>
      </c>
      <c r="AI1406">
        <v>-0.11</v>
      </c>
      <c r="AJ1406">
        <v>1.39</v>
      </c>
      <c r="AK1406">
        <v>4.13</v>
      </c>
      <c r="AL1406">
        <v>10.32</v>
      </c>
    </row>
    <row r="1407" spans="1:38" x14ac:dyDescent="0.25">
      <c r="A1407">
        <v>1406</v>
      </c>
      <c r="B1407" t="str">
        <f xml:space="preserve"> "601113"</f>
        <v>601113</v>
      </c>
      <c r="C1407" t="s">
        <v>5484</v>
      </c>
      <c r="D1407">
        <v>10.71</v>
      </c>
      <c r="E1407">
        <v>0.19</v>
      </c>
      <c r="F1407">
        <v>0.02</v>
      </c>
      <c r="G1407" t="s">
        <v>545</v>
      </c>
      <c r="H1407">
        <v>62</v>
      </c>
      <c r="I1407">
        <v>10.74</v>
      </c>
      <c r="J1407">
        <v>10.75</v>
      </c>
      <c r="K1407">
        <v>0.19</v>
      </c>
      <c r="L1407">
        <v>0.2</v>
      </c>
      <c r="M1407" t="s">
        <v>5485</v>
      </c>
      <c r="N1407">
        <v>192.38</v>
      </c>
      <c r="O1407" t="s">
        <v>1798</v>
      </c>
      <c r="P1407">
        <v>10.76</v>
      </c>
      <c r="Q1407">
        <v>10.58</v>
      </c>
      <c r="R1407">
        <v>10.69</v>
      </c>
      <c r="S1407">
        <v>10.69</v>
      </c>
      <c r="T1407">
        <v>1.68</v>
      </c>
      <c r="U1407">
        <v>0.87</v>
      </c>
      <c r="V1407">
        <v>-27.06</v>
      </c>
      <c r="W1407">
        <v>-279</v>
      </c>
      <c r="X1407">
        <v>10.66</v>
      </c>
      <c r="Y1407">
        <v>5559</v>
      </c>
      <c r="Z1407">
        <v>7307</v>
      </c>
      <c r="AA1407">
        <v>0.76</v>
      </c>
      <c r="AB1407">
        <v>138</v>
      </c>
      <c r="AC1407">
        <v>199</v>
      </c>
      <c r="AD1407">
        <v>3.26</v>
      </c>
      <c r="AE1407" t="s">
        <v>4255</v>
      </c>
      <c r="AF1407" t="s">
        <v>5467</v>
      </c>
      <c r="AG1407" t="s">
        <v>5441</v>
      </c>
      <c r="AH1407" t="s">
        <v>3925</v>
      </c>
      <c r="AI1407">
        <v>2.4900000000000002</v>
      </c>
      <c r="AJ1407">
        <v>2.4900000000000002</v>
      </c>
      <c r="AK1407">
        <v>0.73</v>
      </c>
      <c r="AL1407">
        <v>1.36</v>
      </c>
    </row>
    <row r="1408" spans="1:38" x14ac:dyDescent="0.25">
      <c r="A1408">
        <v>1407</v>
      </c>
      <c r="B1408" t="str">
        <f xml:space="preserve"> "300157"</f>
        <v>300157</v>
      </c>
      <c r="C1408" t="s">
        <v>5486</v>
      </c>
      <c r="D1408">
        <v>12.51</v>
      </c>
      <c r="E1408">
        <v>-0.16</v>
      </c>
      <c r="F1408">
        <v>-0.02</v>
      </c>
      <c r="G1408" t="s">
        <v>688</v>
      </c>
      <c r="H1408">
        <v>5217</v>
      </c>
      <c r="I1408">
        <v>12.5</v>
      </c>
      <c r="J1408">
        <v>12.51</v>
      </c>
      <c r="K1408">
        <v>0.16</v>
      </c>
      <c r="L1408">
        <v>3.65</v>
      </c>
      <c r="M1408" t="s">
        <v>273</v>
      </c>
      <c r="N1408">
        <v>62.85</v>
      </c>
      <c r="O1408" t="s">
        <v>61</v>
      </c>
      <c r="P1408">
        <v>12.58</v>
      </c>
      <c r="Q1408">
        <v>12.25</v>
      </c>
      <c r="R1408">
        <v>12.53</v>
      </c>
      <c r="S1408">
        <v>12.53</v>
      </c>
      <c r="T1408">
        <v>2.63</v>
      </c>
      <c r="U1408">
        <v>0.85</v>
      </c>
      <c r="V1408">
        <v>-45.68</v>
      </c>
      <c r="W1408">
        <v>-5337</v>
      </c>
      <c r="X1408">
        <v>12.42</v>
      </c>
      <c r="Y1408" t="s">
        <v>160</v>
      </c>
      <c r="Z1408" t="s">
        <v>825</v>
      </c>
      <c r="AA1408">
        <v>1.38</v>
      </c>
      <c r="AB1408">
        <v>1207</v>
      </c>
      <c r="AC1408">
        <v>1009</v>
      </c>
      <c r="AD1408">
        <v>2.33</v>
      </c>
      <c r="AE1408" t="s">
        <v>4273</v>
      </c>
      <c r="AF1408" t="s">
        <v>5467</v>
      </c>
      <c r="AG1408" t="s">
        <v>4193</v>
      </c>
      <c r="AH1408" t="s">
        <v>2623</v>
      </c>
      <c r="AI1408">
        <v>0.56000000000000005</v>
      </c>
      <c r="AJ1408">
        <v>5.04</v>
      </c>
      <c r="AK1408">
        <v>10.75</v>
      </c>
      <c r="AL1408">
        <v>25.22</v>
      </c>
    </row>
    <row r="1409" spans="1:38" x14ac:dyDescent="0.25">
      <c r="A1409">
        <v>1408</v>
      </c>
      <c r="B1409" t="str">
        <f xml:space="preserve"> "603686"</f>
        <v>603686</v>
      </c>
      <c r="C1409" t="s">
        <v>5487</v>
      </c>
      <c r="D1409">
        <v>32.74</v>
      </c>
      <c r="E1409">
        <v>1.3</v>
      </c>
      <c r="F1409">
        <v>0.42</v>
      </c>
      <c r="G1409" t="s">
        <v>2383</v>
      </c>
      <c r="H1409">
        <v>9</v>
      </c>
      <c r="I1409">
        <v>32.729999999999997</v>
      </c>
      <c r="J1409">
        <v>32.74</v>
      </c>
      <c r="K1409">
        <v>0.03</v>
      </c>
      <c r="L1409">
        <v>1.82</v>
      </c>
      <c r="M1409" t="s">
        <v>5488</v>
      </c>
      <c r="N1409">
        <v>35.020000000000003</v>
      </c>
      <c r="O1409" t="s">
        <v>648</v>
      </c>
      <c r="P1409">
        <v>33.15</v>
      </c>
      <c r="Q1409">
        <v>32.18</v>
      </c>
      <c r="R1409">
        <v>32.32</v>
      </c>
      <c r="S1409">
        <v>32.32</v>
      </c>
      <c r="T1409">
        <v>3</v>
      </c>
      <c r="U1409">
        <v>1.04</v>
      </c>
      <c r="V1409">
        <v>25.31</v>
      </c>
      <c r="W1409">
        <v>206</v>
      </c>
      <c r="X1409">
        <v>32.700000000000003</v>
      </c>
      <c r="Y1409">
        <v>7150</v>
      </c>
      <c r="Z1409" t="s">
        <v>1869</v>
      </c>
      <c r="AA1409">
        <v>0.63</v>
      </c>
      <c r="AB1409">
        <v>46</v>
      </c>
      <c r="AC1409">
        <v>114</v>
      </c>
      <c r="AD1409">
        <v>6.94</v>
      </c>
      <c r="AE1409" t="s">
        <v>2333</v>
      </c>
      <c r="AF1409" t="s">
        <v>5467</v>
      </c>
      <c r="AG1409" t="s">
        <v>2179</v>
      </c>
      <c r="AH1409" t="s">
        <v>5489</v>
      </c>
      <c r="AI1409">
        <v>-0.37</v>
      </c>
      <c r="AJ1409">
        <v>-1.1499999999999999</v>
      </c>
      <c r="AK1409">
        <v>4.2300000000000004</v>
      </c>
      <c r="AL1409">
        <v>10.56</v>
      </c>
    </row>
    <row r="1410" spans="1:38" x14ac:dyDescent="0.25">
      <c r="A1410">
        <v>1409</v>
      </c>
      <c r="B1410" t="str">
        <f xml:space="preserve"> "300340"</f>
        <v>300340</v>
      </c>
      <c r="C1410" t="s">
        <v>5490</v>
      </c>
      <c r="D1410">
        <v>75.650000000000006</v>
      </c>
      <c r="E1410">
        <v>-5.73</v>
      </c>
      <c r="F1410">
        <v>-4.5999999999999996</v>
      </c>
      <c r="G1410" t="s">
        <v>3073</v>
      </c>
      <c r="H1410">
        <v>4193</v>
      </c>
      <c r="I1410">
        <v>75.650000000000006</v>
      </c>
      <c r="J1410">
        <v>75.66</v>
      </c>
      <c r="K1410">
        <v>0</v>
      </c>
      <c r="L1410">
        <v>14.58</v>
      </c>
      <c r="M1410" t="s">
        <v>4516</v>
      </c>
      <c r="N1410">
        <v>73.349999999999994</v>
      </c>
      <c r="O1410" t="s">
        <v>449</v>
      </c>
      <c r="P1410">
        <v>79.97</v>
      </c>
      <c r="Q1410">
        <v>75.5</v>
      </c>
      <c r="R1410">
        <v>78.930000000000007</v>
      </c>
      <c r="S1410">
        <v>80.25</v>
      </c>
      <c r="T1410">
        <v>5.57</v>
      </c>
      <c r="U1410">
        <v>1.48</v>
      </c>
      <c r="V1410">
        <v>35.380000000000003</v>
      </c>
      <c r="W1410">
        <v>323</v>
      </c>
      <c r="X1410">
        <v>77.5</v>
      </c>
      <c r="Y1410" t="s">
        <v>5491</v>
      </c>
      <c r="Z1410" t="s">
        <v>1230</v>
      </c>
      <c r="AA1410">
        <v>1.4</v>
      </c>
      <c r="AB1410">
        <v>340</v>
      </c>
      <c r="AC1410">
        <v>99</v>
      </c>
      <c r="AD1410">
        <v>6.62</v>
      </c>
      <c r="AE1410" t="s">
        <v>1606</v>
      </c>
      <c r="AF1410" t="s">
        <v>5467</v>
      </c>
      <c r="AG1410" t="s">
        <v>5492</v>
      </c>
      <c r="AH1410" t="s">
        <v>5493</v>
      </c>
      <c r="AI1410">
        <v>-3.21</v>
      </c>
      <c r="AJ1410">
        <v>17.12</v>
      </c>
      <c r="AK1410">
        <v>62.32</v>
      </c>
      <c r="AL1410">
        <v>63.27</v>
      </c>
    </row>
    <row r="1411" spans="1:38" x14ac:dyDescent="0.25">
      <c r="A1411">
        <v>1410</v>
      </c>
      <c r="B1411" t="str">
        <f xml:space="preserve"> "600620"</f>
        <v>600620</v>
      </c>
      <c r="C1411" t="s">
        <v>5494</v>
      </c>
      <c r="D1411">
        <v>12.98</v>
      </c>
      <c r="E1411">
        <v>-0.54</v>
      </c>
      <c r="F1411">
        <v>-7.0000000000000007E-2</v>
      </c>
      <c r="G1411" t="s">
        <v>1821</v>
      </c>
      <c r="H1411">
        <v>10</v>
      </c>
      <c r="I1411">
        <v>12.97</v>
      </c>
      <c r="J1411">
        <v>12.98</v>
      </c>
      <c r="K1411">
        <v>0</v>
      </c>
      <c r="L1411">
        <v>0.2</v>
      </c>
      <c r="M1411" t="s">
        <v>5495</v>
      </c>
      <c r="N1411">
        <v>71.84</v>
      </c>
      <c r="O1411" t="s">
        <v>3277</v>
      </c>
      <c r="P1411">
        <v>13.12</v>
      </c>
      <c r="Q1411">
        <v>12.96</v>
      </c>
      <c r="R1411">
        <v>13.04</v>
      </c>
      <c r="S1411">
        <v>13.05</v>
      </c>
      <c r="T1411">
        <v>1.23</v>
      </c>
      <c r="U1411">
        <v>0.81</v>
      </c>
      <c r="V1411">
        <v>40.85</v>
      </c>
      <c r="W1411">
        <v>1011</v>
      </c>
      <c r="X1411">
        <v>12.99</v>
      </c>
      <c r="Y1411">
        <v>8970</v>
      </c>
      <c r="Z1411">
        <v>4528</v>
      </c>
      <c r="AA1411">
        <v>1.98</v>
      </c>
      <c r="AB1411">
        <v>88</v>
      </c>
      <c r="AC1411">
        <v>530</v>
      </c>
      <c r="AD1411">
        <v>3.5</v>
      </c>
      <c r="AE1411" t="s">
        <v>3672</v>
      </c>
      <c r="AF1411" t="s">
        <v>5496</v>
      </c>
      <c r="AG1411" t="s">
        <v>3672</v>
      </c>
      <c r="AH1411" t="s">
        <v>5496</v>
      </c>
      <c r="AI1411">
        <v>0.23</v>
      </c>
      <c r="AJ1411">
        <v>2.77</v>
      </c>
      <c r="AK1411">
        <v>0.65</v>
      </c>
      <c r="AL1411">
        <v>1.41</v>
      </c>
    </row>
    <row r="1412" spans="1:38" x14ac:dyDescent="0.25">
      <c r="A1412">
        <v>1411</v>
      </c>
      <c r="B1412" t="str">
        <f xml:space="preserve"> "002094"</f>
        <v>002094</v>
      </c>
      <c r="C1412" t="s">
        <v>5497</v>
      </c>
      <c r="D1412">
        <v>22.7</v>
      </c>
      <c r="E1412">
        <v>4.08</v>
      </c>
      <c r="F1412">
        <v>0.89</v>
      </c>
      <c r="G1412" t="s">
        <v>5498</v>
      </c>
      <c r="H1412">
        <v>3785</v>
      </c>
      <c r="I1412">
        <v>22.69</v>
      </c>
      <c r="J1412">
        <v>22.7</v>
      </c>
      <c r="K1412">
        <v>0</v>
      </c>
      <c r="L1412">
        <v>2.08</v>
      </c>
      <c r="M1412" t="s">
        <v>608</v>
      </c>
      <c r="N1412">
        <v>14.53</v>
      </c>
      <c r="O1412" t="s">
        <v>5499</v>
      </c>
      <c r="P1412">
        <v>22.7</v>
      </c>
      <c r="Q1412">
        <v>21.9</v>
      </c>
      <c r="R1412">
        <v>21.9</v>
      </c>
      <c r="S1412">
        <v>21.81</v>
      </c>
      <c r="T1412">
        <v>3.67</v>
      </c>
      <c r="U1412">
        <v>2.23</v>
      </c>
      <c r="V1412">
        <v>-52.29</v>
      </c>
      <c r="W1412">
        <v>-605</v>
      </c>
      <c r="X1412">
        <v>22.41</v>
      </c>
      <c r="Y1412" t="s">
        <v>3357</v>
      </c>
      <c r="Z1412" t="s">
        <v>927</v>
      </c>
      <c r="AA1412">
        <v>0.52</v>
      </c>
      <c r="AB1412">
        <v>78</v>
      </c>
      <c r="AC1412">
        <v>266</v>
      </c>
      <c r="AD1412">
        <v>3.66</v>
      </c>
      <c r="AE1412" t="s">
        <v>3428</v>
      </c>
      <c r="AF1412" t="s">
        <v>5496</v>
      </c>
      <c r="AG1412" t="s">
        <v>3287</v>
      </c>
      <c r="AH1412" t="s">
        <v>5500</v>
      </c>
      <c r="AI1412">
        <v>2.44</v>
      </c>
      <c r="AJ1412">
        <v>7.69</v>
      </c>
      <c r="AK1412">
        <v>3.64</v>
      </c>
      <c r="AL1412">
        <v>6.75</v>
      </c>
    </row>
    <row r="1413" spans="1:38" x14ac:dyDescent="0.25">
      <c r="A1413">
        <v>1412</v>
      </c>
      <c r="B1413" t="str">
        <f xml:space="preserve"> "002449"</f>
        <v>002449</v>
      </c>
      <c r="C1413" t="s">
        <v>5501</v>
      </c>
      <c r="D1413">
        <v>18.71</v>
      </c>
      <c r="E1413">
        <v>-2.14</v>
      </c>
      <c r="F1413">
        <v>-0.41</v>
      </c>
      <c r="G1413" t="s">
        <v>1906</v>
      </c>
      <c r="H1413">
        <v>1215</v>
      </c>
      <c r="I1413">
        <v>18.71</v>
      </c>
      <c r="J1413">
        <v>18.72</v>
      </c>
      <c r="K1413">
        <v>-0.27</v>
      </c>
      <c r="L1413">
        <v>2.5099999999999998</v>
      </c>
      <c r="M1413" t="s">
        <v>608</v>
      </c>
      <c r="N1413">
        <v>28.96</v>
      </c>
      <c r="O1413" t="s">
        <v>380</v>
      </c>
      <c r="P1413">
        <v>19.21</v>
      </c>
      <c r="Q1413">
        <v>18.62</v>
      </c>
      <c r="R1413">
        <v>19.149999999999999</v>
      </c>
      <c r="S1413">
        <v>19.12</v>
      </c>
      <c r="T1413">
        <v>3.09</v>
      </c>
      <c r="U1413">
        <v>1.24</v>
      </c>
      <c r="V1413">
        <v>75.569999999999993</v>
      </c>
      <c r="W1413">
        <v>1052</v>
      </c>
      <c r="X1413">
        <v>18.829999999999998</v>
      </c>
      <c r="Y1413" t="s">
        <v>3707</v>
      </c>
      <c r="Z1413" t="s">
        <v>2732</v>
      </c>
      <c r="AA1413">
        <v>1.41</v>
      </c>
      <c r="AB1413">
        <v>241</v>
      </c>
      <c r="AC1413">
        <v>10</v>
      </c>
      <c r="AD1413">
        <v>3.01</v>
      </c>
      <c r="AE1413" t="s">
        <v>4438</v>
      </c>
      <c r="AF1413" t="s">
        <v>2077</v>
      </c>
      <c r="AG1413" t="s">
        <v>3758</v>
      </c>
      <c r="AH1413" t="s">
        <v>5151</v>
      </c>
      <c r="AI1413">
        <v>-0.37</v>
      </c>
      <c r="AJ1413">
        <v>0.32</v>
      </c>
      <c r="AK1413">
        <v>6.94</v>
      </c>
      <c r="AL1413">
        <v>12.64</v>
      </c>
    </row>
    <row r="1414" spans="1:38" x14ac:dyDescent="0.25">
      <c r="A1414">
        <v>1413</v>
      </c>
      <c r="B1414" t="str">
        <f xml:space="preserve"> "600966"</f>
        <v>600966</v>
      </c>
      <c r="C1414" t="s">
        <v>5502</v>
      </c>
      <c r="D1414">
        <v>6.65</v>
      </c>
      <c r="E1414">
        <v>-0.15</v>
      </c>
      <c r="F1414">
        <v>-0.01</v>
      </c>
      <c r="G1414" t="s">
        <v>53</v>
      </c>
      <c r="H1414">
        <v>20</v>
      </c>
      <c r="I1414">
        <v>6.64</v>
      </c>
      <c r="J1414">
        <v>6.65</v>
      </c>
      <c r="K1414">
        <v>0</v>
      </c>
      <c r="L1414">
        <v>2.56</v>
      </c>
      <c r="M1414" t="s">
        <v>764</v>
      </c>
      <c r="N1414">
        <v>10.93</v>
      </c>
      <c r="O1414" t="s">
        <v>1874</v>
      </c>
      <c r="P1414">
        <v>6.67</v>
      </c>
      <c r="Q1414">
        <v>6.58</v>
      </c>
      <c r="R1414">
        <v>6.64</v>
      </c>
      <c r="S1414">
        <v>6.66</v>
      </c>
      <c r="T1414">
        <v>1.35</v>
      </c>
      <c r="U1414">
        <v>0.36</v>
      </c>
      <c r="V1414">
        <v>-43.14</v>
      </c>
      <c r="W1414" t="s">
        <v>5411</v>
      </c>
      <c r="X1414">
        <v>6.62</v>
      </c>
      <c r="Y1414" t="s">
        <v>2008</v>
      </c>
      <c r="Z1414" t="s">
        <v>2292</v>
      </c>
      <c r="AA1414">
        <v>1.0900000000000001</v>
      </c>
      <c r="AB1414">
        <v>2987</v>
      </c>
      <c r="AC1414">
        <v>2</v>
      </c>
      <c r="AD1414">
        <v>1.88</v>
      </c>
      <c r="AE1414" t="s">
        <v>2005</v>
      </c>
      <c r="AF1414" t="s">
        <v>5503</v>
      </c>
      <c r="AG1414" t="s">
        <v>2005</v>
      </c>
      <c r="AH1414" t="s">
        <v>5503</v>
      </c>
      <c r="AI1414">
        <v>-7.12</v>
      </c>
      <c r="AJ1414">
        <v>-0.75</v>
      </c>
      <c r="AK1414">
        <v>16.22</v>
      </c>
      <c r="AL1414">
        <v>38.21</v>
      </c>
    </row>
    <row r="1415" spans="1:38" x14ac:dyDescent="0.25">
      <c r="A1415">
        <v>1414</v>
      </c>
      <c r="B1415" t="str">
        <f xml:space="preserve"> "600744"</f>
        <v>600744</v>
      </c>
      <c r="C1415" t="s">
        <v>5504</v>
      </c>
      <c r="D1415">
        <v>4.99</v>
      </c>
      <c r="E1415">
        <v>0.4</v>
      </c>
      <c r="F1415">
        <v>0.02</v>
      </c>
      <c r="G1415" t="s">
        <v>919</v>
      </c>
      <c r="H1415">
        <v>80</v>
      </c>
      <c r="I1415">
        <v>4.9800000000000004</v>
      </c>
      <c r="J1415">
        <v>4.99</v>
      </c>
      <c r="K1415">
        <v>0.2</v>
      </c>
      <c r="L1415">
        <v>0.75</v>
      </c>
      <c r="M1415" t="s">
        <v>5505</v>
      </c>
      <c r="N1415">
        <v>-9.7100000000000009</v>
      </c>
      <c r="O1415" t="s">
        <v>186</v>
      </c>
      <c r="P1415">
        <v>5.0199999999999996</v>
      </c>
      <c r="Q1415">
        <v>4.9400000000000004</v>
      </c>
      <c r="R1415">
        <v>4.96</v>
      </c>
      <c r="S1415">
        <v>4.97</v>
      </c>
      <c r="T1415">
        <v>1.61</v>
      </c>
      <c r="U1415">
        <v>0.85</v>
      </c>
      <c r="V1415">
        <v>-56.81</v>
      </c>
      <c r="W1415" t="s">
        <v>5506</v>
      </c>
      <c r="X1415">
        <v>4.9800000000000004</v>
      </c>
      <c r="Y1415" t="s">
        <v>5016</v>
      </c>
      <c r="Z1415" t="s">
        <v>3585</v>
      </c>
      <c r="AA1415">
        <v>0.7</v>
      </c>
      <c r="AB1415">
        <v>64</v>
      </c>
      <c r="AC1415">
        <v>1353</v>
      </c>
      <c r="AD1415">
        <v>2.41</v>
      </c>
      <c r="AE1415" t="s">
        <v>1713</v>
      </c>
      <c r="AF1415" t="s">
        <v>5503</v>
      </c>
      <c r="AG1415" t="s">
        <v>5507</v>
      </c>
      <c r="AH1415" t="s">
        <v>5508</v>
      </c>
      <c r="AI1415">
        <v>2.25</v>
      </c>
      <c r="AJ1415">
        <v>5.05</v>
      </c>
      <c r="AK1415">
        <v>3.47</v>
      </c>
      <c r="AL1415">
        <v>5.18</v>
      </c>
    </row>
    <row r="1416" spans="1:38" x14ac:dyDescent="0.25">
      <c r="A1416">
        <v>1415</v>
      </c>
      <c r="B1416" t="str">
        <f xml:space="preserve"> "000558"</f>
        <v>000558</v>
      </c>
      <c r="C1416" t="s">
        <v>5509</v>
      </c>
      <c r="D1416">
        <v>6.89</v>
      </c>
      <c r="E1416">
        <v>2.84</v>
      </c>
      <c r="F1416">
        <v>0.19</v>
      </c>
      <c r="G1416" t="s">
        <v>460</v>
      </c>
      <c r="H1416">
        <v>3368</v>
      </c>
      <c r="I1416">
        <v>6.88</v>
      </c>
      <c r="J1416">
        <v>6.89</v>
      </c>
      <c r="K1416">
        <v>0</v>
      </c>
      <c r="L1416">
        <v>1.4</v>
      </c>
      <c r="M1416" t="s">
        <v>2442</v>
      </c>
      <c r="N1416">
        <v>306.31</v>
      </c>
      <c r="O1416" t="s">
        <v>244</v>
      </c>
      <c r="P1416">
        <v>6.95</v>
      </c>
      <c r="Q1416">
        <v>6.66</v>
      </c>
      <c r="R1416">
        <v>6.69</v>
      </c>
      <c r="S1416">
        <v>6.7</v>
      </c>
      <c r="T1416">
        <v>4.33</v>
      </c>
      <c r="U1416">
        <v>2.5</v>
      </c>
      <c r="V1416">
        <v>40.83</v>
      </c>
      <c r="W1416" t="s">
        <v>1726</v>
      </c>
      <c r="X1416">
        <v>6.8</v>
      </c>
      <c r="Y1416" t="s">
        <v>3836</v>
      </c>
      <c r="Z1416" t="s">
        <v>102</v>
      </c>
      <c r="AA1416">
        <v>0.57999999999999996</v>
      </c>
      <c r="AB1416">
        <v>2876</v>
      </c>
      <c r="AC1416">
        <v>790</v>
      </c>
      <c r="AD1416">
        <v>6.77</v>
      </c>
      <c r="AE1416" t="s">
        <v>2683</v>
      </c>
      <c r="AF1416" t="s">
        <v>1581</v>
      </c>
      <c r="AG1416" t="s">
        <v>2683</v>
      </c>
      <c r="AH1416" t="s">
        <v>1581</v>
      </c>
      <c r="AI1416">
        <v>2.84</v>
      </c>
      <c r="AJ1416">
        <v>6.16</v>
      </c>
      <c r="AK1416">
        <v>2.65</v>
      </c>
      <c r="AL1416">
        <v>4.2</v>
      </c>
    </row>
    <row r="1417" spans="1:38" x14ac:dyDescent="0.25">
      <c r="A1417">
        <v>1416</v>
      </c>
      <c r="B1417" t="str">
        <f xml:space="preserve"> "300008"</f>
        <v>300008</v>
      </c>
      <c r="C1417" t="s">
        <v>5510</v>
      </c>
      <c r="D1417">
        <v>9.25</v>
      </c>
      <c r="E1417">
        <v>0.11</v>
      </c>
      <c r="F1417">
        <v>0.01</v>
      </c>
      <c r="G1417" t="s">
        <v>235</v>
      </c>
      <c r="H1417">
        <v>1485</v>
      </c>
      <c r="I1417">
        <v>9.24</v>
      </c>
      <c r="J1417">
        <v>9.25</v>
      </c>
      <c r="K1417">
        <v>0.11</v>
      </c>
      <c r="L1417">
        <v>2.85</v>
      </c>
      <c r="M1417" t="s">
        <v>2231</v>
      </c>
      <c r="N1417">
        <v>46.76</v>
      </c>
      <c r="O1417" t="s">
        <v>635</v>
      </c>
      <c r="P1417">
        <v>9.3000000000000007</v>
      </c>
      <c r="Q1417">
        <v>9.1199999999999992</v>
      </c>
      <c r="R1417">
        <v>9.24</v>
      </c>
      <c r="S1417">
        <v>9.24</v>
      </c>
      <c r="T1417">
        <v>1.95</v>
      </c>
      <c r="U1417">
        <v>0.61</v>
      </c>
      <c r="V1417">
        <v>-43.83</v>
      </c>
      <c r="W1417">
        <v>-4954</v>
      </c>
      <c r="X1417">
        <v>9.1999999999999993</v>
      </c>
      <c r="Y1417" t="s">
        <v>1305</v>
      </c>
      <c r="Z1417" t="s">
        <v>5511</v>
      </c>
      <c r="AA1417">
        <v>1.34</v>
      </c>
      <c r="AB1417">
        <v>1029</v>
      </c>
      <c r="AC1417">
        <v>767</v>
      </c>
      <c r="AD1417">
        <v>3</v>
      </c>
      <c r="AE1417" t="s">
        <v>3583</v>
      </c>
      <c r="AF1417" t="s">
        <v>1581</v>
      </c>
      <c r="AG1417" t="s">
        <v>2789</v>
      </c>
      <c r="AH1417" t="s">
        <v>5512</v>
      </c>
      <c r="AI1417">
        <v>-1.7</v>
      </c>
      <c r="AJ1417">
        <v>-1.6</v>
      </c>
      <c r="AK1417">
        <v>10.77</v>
      </c>
      <c r="AL1417">
        <v>26.36</v>
      </c>
    </row>
    <row r="1418" spans="1:38" x14ac:dyDescent="0.25">
      <c r="A1418">
        <v>1417</v>
      </c>
      <c r="B1418" t="str">
        <f xml:space="preserve"> "002833"</f>
        <v>002833</v>
      </c>
      <c r="C1418" t="s">
        <v>5513</v>
      </c>
      <c r="D1418">
        <v>65.61</v>
      </c>
      <c r="E1418">
        <v>0.15</v>
      </c>
      <c r="F1418">
        <v>0.1</v>
      </c>
      <c r="G1418">
        <v>8095</v>
      </c>
      <c r="H1418">
        <v>174</v>
      </c>
      <c r="I1418">
        <v>65.58</v>
      </c>
      <c r="J1418">
        <v>65.62</v>
      </c>
      <c r="K1418">
        <v>0.06</v>
      </c>
      <c r="L1418">
        <v>2.4300000000000002</v>
      </c>
      <c r="M1418" t="s">
        <v>5514</v>
      </c>
      <c r="N1418">
        <v>36.14</v>
      </c>
      <c r="O1418" t="s">
        <v>2647</v>
      </c>
      <c r="P1418">
        <v>66.39</v>
      </c>
      <c r="Q1418">
        <v>64.86</v>
      </c>
      <c r="R1418">
        <v>65.5</v>
      </c>
      <c r="S1418">
        <v>65.510000000000005</v>
      </c>
      <c r="T1418">
        <v>2.34</v>
      </c>
      <c r="U1418">
        <v>0.62</v>
      </c>
      <c r="V1418">
        <v>2.1800000000000002</v>
      </c>
      <c r="W1418">
        <v>5</v>
      </c>
      <c r="X1418">
        <v>65.55</v>
      </c>
      <c r="Y1418">
        <v>4472</v>
      </c>
      <c r="Z1418">
        <v>3623</v>
      </c>
      <c r="AA1418">
        <v>1.23</v>
      </c>
      <c r="AB1418">
        <v>2</v>
      </c>
      <c r="AC1418">
        <v>5</v>
      </c>
      <c r="AD1418">
        <v>10.32</v>
      </c>
      <c r="AE1418" t="s">
        <v>1985</v>
      </c>
      <c r="AF1418" t="s">
        <v>4286</v>
      </c>
      <c r="AG1418" t="s">
        <v>5255</v>
      </c>
      <c r="AH1418" t="s">
        <v>1733</v>
      </c>
      <c r="AI1418">
        <v>0.28999999999999998</v>
      </c>
      <c r="AJ1418">
        <v>3.03</v>
      </c>
      <c r="AK1418">
        <v>9.85</v>
      </c>
      <c r="AL1418">
        <v>22.12</v>
      </c>
    </row>
    <row r="1419" spans="1:38" x14ac:dyDescent="0.25">
      <c r="A1419">
        <v>1418</v>
      </c>
      <c r="B1419" t="str">
        <f xml:space="preserve"> "600182"</f>
        <v>600182</v>
      </c>
      <c r="C1419" t="s">
        <v>5515</v>
      </c>
      <c r="D1419">
        <v>26.09</v>
      </c>
      <c r="E1419">
        <v>3.57</v>
      </c>
      <c r="F1419">
        <v>0.9</v>
      </c>
      <c r="G1419" t="s">
        <v>1205</v>
      </c>
      <c r="H1419">
        <v>9</v>
      </c>
      <c r="I1419">
        <v>26.07</v>
      </c>
      <c r="J1419">
        <v>26.08</v>
      </c>
      <c r="K1419">
        <v>0</v>
      </c>
      <c r="L1419">
        <v>3.47</v>
      </c>
      <c r="M1419" t="s">
        <v>4271</v>
      </c>
      <c r="N1419">
        <v>248.91</v>
      </c>
      <c r="O1419" t="s">
        <v>169</v>
      </c>
      <c r="P1419">
        <v>26.39</v>
      </c>
      <c r="Q1419">
        <v>25.21</v>
      </c>
      <c r="R1419">
        <v>25.31</v>
      </c>
      <c r="S1419">
        <v>25.19</v>
      </c>
      <c r="T1419">
        <v>4.68</v>
      </c>
      <c r="U1419">
        <v>0.82</v>
      </c>
      <c r="V1419">
        <v>-62.55</v>
      </c>
      <c r="W1419">
        <v>-405</v>
      </c>
      <c r="X1419">
        <v>25.96</v>
      </c>
      <c r="Y1419" t="s">
        <v>3086</v>
      </c>
      <c r="Z1419" t="s">
        <v>3861</v>
      </c>
      <c r="AA1419">
        <v>0.86</v>
      </c>
      <c r="AB1419">
        <v>26</v>
      </c>
      <c r="AC1419">
        <v>394</v>
      </c>
      <c r="AD1419">
        <v>10.83</v>
      </c>
      <c r="AE1419" t="s">
        <v>2603</v>
      </c>
      <c r="AF1419" t="s">
        <v>4286</v>
      </c>
      <c r="AG1419" t="s">
        <v>2345</v>
      </c>
      <c r="AH1419" t="s">
        <v>2940</v>
      </c>
      <c r="AI1419">
        <v>4.99</v>
      </c>
      <c r="AJ1419">
        <v>7.19</v>
      </c>
      <c r="AK1419">
        <v>13.22</v>
      </c>
      <c r="AL1419">
        <v>24.59</v>
      </c>
    </row>
    <row r="1420" spans="1:38" x14ac:dyDescent="0.25">
      <c r="A1420">
        <v>1419</v>
      </c>
      <c r="B1420" t="str">
        <f xml:space="preserve"> "300191"</f>
        <v>300191</v>
      </c>
      <c r="C1420" t="s">
        <v>5516</v>
      </c>
      <c r="D1420">
        <v>27.72</v>
      </c>
      <c r="E1420">
        <v>-2.74</v>
      </c>
      <c r="F1420">
        <v>-0.78</v>
      </c>
      <c r="G1420" t="s">
        <v>3481</v>
      </c>
      <c r="H1420">
        <v>2177</v>
      </c>
      <c r="I1420">
        <v>27.71</v>
      </c>
      <c r="J1420">
        <v>27.72</v>
      </c>
      <c r="K1420">
        <v>0</v>
      </c>
      <c r="L1420">
        <v>2.54</v>
      </c>
      <c r="M1420" t="s">
        <v>1333</v>
      </c>
      <c r="N1420">
        <v>-278.05</v>
      </c>
      <c r="O1420" t="s">
        <v>61</v>
      </c>
      <c r="P1420">
        <v>28.9</v>
      </c>
      <c r="Q1420">
        <v>27.61</v>
      </c>
      <c r="R1420">
        <v>28.57</v>
      </c>
      <c r="S1420">
        <v>28.5</v>
      </c>
      <c r="T1420">
        <v>4.53</v>
      </c>
      <c r="U1420">
        <v>0.65</v>
      </c>
      <c r="V1420">
        <v>13.1</v>
      </c>
      <c r="W1420">
        <v>133</v>
      </c>
      <c r="X1420">
        <v>28.22</v>
      </c>
      <c r="Y1420" t="s">
        <v>3814</v>
      </c>
      <c r="Z1420" t="s">
        <v>2360</v>
      </c>
      <c r="AA1420">
        <v>1.38</v>
      </c>
      <c r="AB1420">
        <v>286</v>
      </c>
      <c r="AC1420">
        <v>89</v>
      </c>
      <c r="AD1420">
        <v>7.67</v>
      </c>
      <c r="AE1420" t="s">
        <v>2738</v>
      </c>
      <c r="AF1420" t="s">
        <v>4286</v>
      </c>
      <c r="AG1420" t="s">
        <v>883</v>
      </c>
      <c r="AH1420" t="s">
        <v>5020</v>
      </c>
      <c r="AI1420">
        <v>0.69</v>
      </c>
      <c r="AJ1420">
        <v>2.5499999999999998</v>
      </c>
      <c r="AK1420">
        <v>9.89</v>
      </c>
      <c r="AL1420">
        <v>21.97</v>
      </c>
    </row>
    <row r="1421" spans="1:38" x14ac:dyDescent="0.25">
      <c r="A1421">
        <v>1420</v>
      </c>
      <c r="B1421" t="str">
        <f xml:space="preserve"> "300131"</f>
        <v>300131</v>
      </c>
      <c r="C1421" t="s">
        <v>5517</v>
      </c>
      <c r="D1421">
        <v>8.2799999999999994</v>
      </c>
      <c r="E1421">
        <v>-1.43</v>
      </c>
      <c r="F1421">
        <v>-0.12</v>
      </c>
      <c r="G1421" t="s">
        <v>4810</v>
      </c>
      <c r="H1421">
        <v>1814</v>
      </c>
      <c r="I1421">
        <v>8.27</v>
      </c>
      <c r="J1421">
        <v>8.2799999999999994</v>
      </c>
      <c r="K1421">
        <v>0</v>
      </c>
      <c r="L1421">
        <v>0.99</v>
      </c>
      <c r="M1421" t="s">
        <v>5518</v>
      </c>
      <c r="N1421">
        <v>58.14</v>
      </c>
      <c r="O1421" t="s">
        <v>380</v>
      </c>
      <c r="P1421">
        <v>8.3800000000000008</v>
      </c>
      <c r="Q1421">
        <v>8.24</v>
      </c>
      <c r="R1421">
        <v>8.3699999999999992</v>
      </c>
      <c r="S1421">
        <v>8.4</v>
      </c>
      <c r="T1421">
        <v>1.67</v>
      </c>
      <c r="U1421">
        <v>0.74</v>
      </c>
      <c r="V1421">
        <v>-10.92</v>
      </c>
      <c r="W1421">
        <v>-661</v>
      </c>
      <c r="X1421">
        <v>8.2899999999999991</v>
      </c>
      <c r="Y1421" t="s">
        <v>2421</v>
      </c>
      <c r="Z1421" t="s">
        <v>1340</v>
      </c>
      <c r="AA1421">
        <v>2.39</v>
      </c>
      <c r="AB1421">
        <v>527</v>
      </c>
      <c r="AC1421">
        <v>561</v>
      </c>
      <c r="AD1421">
        <v>4.87</v>
      </c>
      <c r="AE1421" t="s">
        <v>1429</v>
      </c>
      <c r="AF1421" t="s">
        <v>3921</v>
      </c>
      <c r="AG1421" t="s">
        <v>3726</v>
      </c>
      <c r="AH1421" t="s">
        <v>1655</v>
      </c>
      <c r="AI1421">
        <v>-1.66</v>
      </c>
      <c r="AJ1421">
        <v>2.6</v>
      </c>
      <c r="AK1421">
        <v>3.75</v>
      </c>
      <c r="AL1421">
        <v>7.63</v>
      </c>
    </row>
    <row r="1422" spans="1:38" x14ac:dyDescent="0.25">
      <c r="A1422">
        <v>1421</v>
      </c>
      <c r="B1422" t="str">
        <f xml:space="preserve"> "601038"</f>
        <v>601038</v>
      </c>
      <c r="C1422" t="s">
        <v>5519</v>
      </c>
      <c r="D1422">
        <v>8.98</v>
      </c>
      <c r="E1422">
        <v>1.24</v>
      </c>
      <c r="F1422">
        <v>0.11</v>
      </c>
      <c r="G1422" t="s">
        <v>4912</v>
      </c>
      <c r="H1422">
        <v>11</v>
      </c>
      <c r="I1422">
        <v>8.98</v>
      </c>
      <c r="J1422">
        <v>8.99</v>
      </c>
      <c r="K1422">
        <v>0</v>
      </c>
      <c r="L1422">
        <v>0.95</v>
      </c>
      <c r="M1422" t="s">
        <v>5520</v>
      </c>
      <c r="N1422">
        <v>137.19</v>
      </c>
      <c r="O1422" t="s">
        <v>648</v>
      </c>
      <c r="P1422">
        <v>9.08</v>
      </c>
      <c r="Q1422">
        <v>8.9</v>
      </c>
      <c r="R1422">
        <v>8.91</v>
      </c>
      <c r="S1422">
        <v>8.8699999999999992</v>
      </c>
      <c r="T1422">
        <v>2.0299999999999998</v>
      </c>
      <c r="U1422">
        <v>1.36</v>
      </c>
      <c r="V1422">
        <v>-60.49</v>
      </c>
      <c r="W1422">
        <v>-1237</v>
      </c>
      <c r="X1422">
        <v>8.99</v>
      </c>
      <c r="Y1422" t="s">
        <v>3272</v>
      </c>
      <c r="Z1422" t="s">
        <v>506</v>
      </c>
      <c r="AA1422">
        <v>0.76</v>
      </c>
      <c r="AB1422">
        <v>105</v>
      </c>
      <c r="AC1422">
        <v>345</v>
      </c>
      <c r="AD1422">
        <v>1.87</v>
      </c>
      <c r="AE1422" t="s">
        <v>4091</v>
      </c>
      <c r="AF1422" t="s">
        <v>4684</v>
      </c>
      <c r="AG1422" t="s">
        <v>5521</v>
      </c>
      <c r="AH1422" t="s">
        <v>5159</v>
      </c>
      <c r="AI1422">
        <v>0.34</v>
      </c>
      <c r="AJ1422">
        <v>3.94</v>
      </c>
      <c r="AK1422">
        <v>2.2999999999999998</v>
      </c>
      <c r="AL1422">
        <v>4.43</v>
      </c>
    </row>
    <row r="1423" spans="1:38" x14ac:dyDescent="0.25">
      <c r="A1423">
        <v>1422</v>
      </c>
      <c r="B1423" t="str">
        <f xml:space="preserve"> "002171"</f>
        <v>002171</v>
      </c>
      <c r="C1423" t="s">
        <v>5522</v>
      </c>
      <c r="D1423">
        <v>8.27</v>
      </c>
      <c r="E1423">
        <v>-1.19</v>
      </c>
      <c r="F1423">
        <v>-0.1</v>
      </c>
      <c r="G1423" t="s">
        <v>2955</v>
      </c>
      <c r="H1423">
        <v>1606</v>
      </c>
      <c r="I1423">
        <v>8.27</v>
      </c>
      <c r="J1423">
        <v>8.2799999999999994</v>
      </c>
      <c r="K1423">
        <v>-0.12</v>
      </c>
      <c r="L1423">
        <v>2.2799999999999998</v>
      </c>
      <c r="M1423" t="s">
        <v>2049</v>
      </c>
      <c r="N1423">
        <v>25.65</v>
      </c>
      <c r="O1423" t="s">
        <v>449</v>
      </c>
      <c r="P1423">
        <v>8.32</v>
      </c>
      <c r="Q1423">
        <v>7.97</v>
      </c>
      <c r="R1423">
        <v>8.1999999999999993</v>
      </c>
      <c r="S1423">
        <v>8.3699999999999992</v>
      </c>
      <c r="T1423">
        <v>4.18</v>
      </c>
      <c r="U1423">
        <v>1.1499999999999999</v>
      </c>
      <c r="V1423">
        <v>-18.329999999999998</v>
      </c>
      <c r="W1423">
        <v>-982</v>
      </c>
      <c r="X1423">
        <v>8.18</v>
      </c>
      <c r="Y1423" t="s">
        <v>912</v>
      </c>
      <c r="Z1423" t="s">
        <v>317</v>
      </c>
      <c r="AA1423">
        <v>1.3</v>
      </c>
      <c r="AB1423">
        <v>173</v>
      </c>
      <c r="AC1423">
        <v>902</v>
      </c>
      <c r="AD1423">
        <v>2.64</v>
      </c>
      <c r="AE1423" t="s">
        <v>1429</v>
      </c>
      <c r="AF1423" t="s">
        <v>5113</v>
      </c>
      <c r="AG1423" t="s">
        <v>4255</v>
      </c>
      <c r="AH1423" t="s">
        <v>3059</v>
      </c>
      <c r="AI1423">
        <v>-6.34</v>
      </c>
      <c r="AJ1423">
        <v>-8.92</v>
      </c>
      <c r="AK1423">
        <v>6.11</v>
      </c>
      <c r="AL1423">
        <v>12.15</v>
      </c>
    </row>
    <row r="1424" spans="1:38" x14ac:dyDescent="0.25">
      <c r="A1424">
        <v>1423</v>
      </c>
      <c r="B1424" t="str">
        <f xml:space="preserve"> "603081"</f>
        <v>603081</v>
      </c>
      <c r="C1424" t="s">
        <v>5523</v>
      </c>
      <c r="D1424">
        <v>21.99</v>
      </c>
      <c r="E1424">
        <v>1.34</v>
      </c>
      <c r="F1424">
        <v>0.28999999999999998</v>
      </c>
      <c r="G1424" t="s">
        <v>1489</v>
      </c>
      <c r="H1424">
        <v>7</v>
      </c>
      <c r="I1424">
        <v>21.98</v>
      </c>
      <c r="J1424">
        <v>22.02</v>
      </c>
      <c r="K1424">
        <v>-0.18</v>
      </c>
      <c r="L1424">
        <v>8.0500000000000007</v>
      </c>
      <c r="M1424" t="s">
        <v>5524</v>
      </c>
      <c r="N1424">
        <v>40.770000000000003</v>
      </c>
      <c r="O1424" t="s">
        <v>2647</v>
      </c>
      <c r="P1424">
        <v>22.25</v>
      </c>
      <c r="Q1424">
        <v>21.49</v>
      </c>
      <c r="R1424">
        <v>21.49</v>
      </c>
      <c r="S1424">
        <v>21.7</v>
      </c>
      <c r="T1424">
        <v>3.5</v>
      </c>
      <c r="U1424">
        <v>1.05</v>
      </c>
      <c r="V1424">
        <v>-17.62</v>
      </c>
      <c r="W1424">
        <v>-77</v>
      </c>
      <c r="X1424">
        <v>21.99</v>
      </c>
      <c r="Y1424" t="s">
        <v>125</v>
      </c>
      <c r="Z1424" t="s">
        <v>2373</v>
      </c>
      <c r="AA1424">
        <v>0.57999999999999996</v>
      </c>
      <c r="AB1424">
        <v>34</v>
      </c>
      <c r="AC1424">
        <v>74</v>
      </c>
      <c r="AD1424">
        <v>6.26</v>
      </c>
      <c r="AE1424" t="s">
        <v>2640</v>
      </c>
      <c r="AF1424" t="s">
        <v>5113</v>
      </c>
      <c r="AG1424" t="s">
        <v>5525</v>
      </c>
      <c r="AH1424" t="s">
        <v>357</v>
      </c>
      <c r="AI1424">
        <v>0.87</v>
      </c>
      <c r="AJ1424">
        <v>3.53</v>
      </c>
      <c r="AK1424">
        <v>24.45</v>
      </c>
      <c r="AL1424">
        <v>46.31</v>
      </c>
    </row>
    <row r="1425" spans="1:38" x14ac:dyDescent="0.25">
      <c r="A1425">
        <v>1424</v>
      </c>
      <c r="B1425" t="str">
        <f xml:space="preserve"> "601339"</f>
        <v>601339</v>
      </c>
      <c r="C1425" t="s">
        <v>5526</v>
      </c>
      <c r="D1425">
        <v>5.89</v>
      </c>
      <c r="E1425">
        <v>0.68</v>
      </c>
      <c r="F1425">
        <v>0.04</v>
      </c>
      <c r="G1425" t="s">
        <v>3077</v>
      </c>
      <c r="H1425">
        <v>6</v>
      </c>
      <c r="I1425">
        <v>5.89</v>
      </c>
      <c r="J1425">
        <v>5.9</v>
      </c>
      <c r="K1425">
        <v>0.17</v>
      </c>
      <c r="L1425">
        <v>0.24</v>
      </c>
      <c r="M1425" t="s">
        <v>5527</v>
      </c>
      <c r="N1425">
        <v>14.32</v>
      </c>
      <c r="O1425" t="s">
        <v>1443</v>
      </c>
      <c r="P1425">
        <v>5.9</v>
      </c>
      <c r="Q1425">
        <v>5.83</v>
      </c>
      <c r="R1425">
        <v>5.85</v>
      </c>
      <c r="S1425">
        <v>5.85</v>
      </c>
      <c r="T1425">
        <v>1.2</v>
      </c>
      <c r="U1425">
        <v>0.97</v>
      </c>
      <c r="V1425">
        <v>-57.53</v>
      </c>
      <c r="W1425">
        <v>-4753</v>
      </c>
      <c r="X1425">
        <v>5.87</v>
      </c>
      <c r="Y1425" t="s">
        <v>3041</v>
      </c>
      <c r="Z1425" t="s">
        <v>3695</v>
      </c>
      <c r="AA1425">
        <v>0.44</v>
      </c>
      <c r="AB1425">
        <v>6</v>
      </c>
      <c r="AC1425">
        <v>2358</v>
      </c>
      <c r="AD1425">
        <v>1.24</v>
      </c>
      <c r="AE1425" t="s">
        <v>2347</v>
      </c>
      <c r="AF1425" t="s">
        <v>3096</v>
      </c>
      <c r="AG1425" t="s">
        <v>2347</v>
      </c>
      <c r="AH1425" t="s">
        <v>3096</v>
      </c>
      <c r="AI1425">
        <v>0.86</v>
      </c>
      <c r="AJ1425">
        <v>3.15</v>
      </c>
      <c r="AK1425">
        <v>0.85</v>
      </c>
      <c r="AL1425">
        <v>1.46</v>
      </c>
    </row>
    <row r="1426" spans="1:38" x14ac:dyDescent="0.25">
      <c r="A1426">
        <v>1425</v>
      </c>
      <c r="B1426" t="str">
        <f xml:space="preserve"> "600531"</f>
        <v>600531</v>
      </c>
      <c r="C1426" t="s">
        <v>5528</v>
      </c>
      <c r="D1426">
        <v>8.1</v>
      </c>
      <c r="E1426">
        <v>0.12</v>
      </c>
      <c r="F1426">
        <v>0.01</v>
      </c>
      <c r="G1426" t="s">
        <v>2045</v>
      </c>
      <c r="H1426">
        <v>18</v>
      </c>
      <c r="I1426">
        <v>8.1</v>
      </c>
      <c r="J1426">
        <v>8.11</v>
      </c>
      <c r="K1426">
        <v>0.12</v>
      </c>
      <c r="L1426">
        <v>0.63</v>
      </c>
      <c r="M1426" t="s">
        <v>5529</v>
      </c>
      <c r="N1426">
        <v>51.58</v>
      </c>
      <c r="O1426" t="s">
        <v>449</v>
      </c>
      <c r="P1426">
        <v>8.1199999999999992</v>
      </c>
      <c r="Q1426">
        <v>8.06</v>
      </c>
      <c r="R1426">
        <v>8.09</v>
      </c>
      <c r="S1426">
        <v>8.09</v>
      </c>
      <c r="T1426">
        <v>0.74</v>
      </c>
      <c r="U1426">
        <v>0.5</v>
      </c>
      <c r="V1426">
        <v>-44.9</v>
      </c>
      <c r="W1426">
        <v>-5990</v>
      </c>
      <c r="X1426">
        <v>8.1</v>
      </c>
      <c r="Y1426" t="s">
        <v>4200</v>
      </c>
      <c r="Z1426" t="s">
        <v>623</v>
      </c>
      <c r="AA1426">
        <v>1.08</v>
      </c>
      <c r="AB1426">
        <v>188</v>
      </c>
      <c r="AC1426">
        <v>2959</v>
      </c>
      <c r="AD1426">
        <v>2.89</v>
      </c>
      <c r="AE1426" t="s">
        <v>888</v>
      </c>
      <c r="AF1426" t="s">
        <v>3096</v>
      </c>
      <c r="AG1426" t="s">
        <v>3716</v>
      </c>
      <c r="AH1426" t="s">
        <v>5530</v>
      </c>
      <c r="AI1426">
        <v>-1.1000000000000001</v>
      </c>
      <c r="AJ1426">
        <v>1</v>
      </c>
      <c r="AK1426">
        <v>2.81</v>
      </c>
      <c r="AL1426">
        <v>6.92</v>
      </c>
    </row>
    <row r="1427" spans="1:38" x14ac:dyDescent="0.25">
      <c r="A1427">
        <v>1426</v>
      </c>
      <c r="B1427" t="str">
        <f xml:space="preserve"> "000816"</f>
        <v>000816</v>
      </c>
      <c r="C1427" t="s">
        <v>5531</v>
      </c>
      <c r="D1427">
        <v>6.22</v>
      </c>
      <c r="E1427">
        <v>-0.96</v>
      </c>
      <c r="F1427">
        <v>-0.06</v>
      </c>
      <c r="G1427" t="s">
        <v>308</v>
      </c>
      <c r="H1427">
        <v>1937</v>
      </c>
      <c r="I1427">
        <v>6.22</v>
      </c>
      <c r="J1427">
        <v>6.23</v>
      </c>
      <c r="K1427">
        <v>-0.48</v>
      </c>
      <c r="L1427">
        <v>1.6</v>
      </c>
      <c r="M1427" t="s">
        <v>333</v>
      </c>
      <c r="N1427">
        <v>-85.26</v>
      </c>
      <c r="O1427" t="s">
        <v>648</v>
      </c>
      <c r="P1427">
        <v>6.33</v>
      </c>
      <c r="Q1427">
        <v>6.17</v>
      </c>
      <c r="R1427">
        <v>6.28</v>
      </c>
      <c r="S1427">
        <v>6.28</v>
      </c>
      <c r="T1427">
        <v>2.5499999999999998</v>
      </c>
      <c r="U1427">
        <v>0.64</v>
      </c>
      <c r="V1427">
        <v>49.03</v>
      </c>
      <c r="W1427">
        <v>8033</v>
      </c>
      <c r="X1427">
        <v>6.22</v>
      </c>
      <c r="Y1427" t="s">
        <v>767</v>
      </c>
      <c r="Z1427" t="s">
        <v>696</v>
      </c>
      <c r="AA1427">
        <v>1.32</v>
      </c>
      <c r="AB1427">
        <v>1152</v>
      </c>
      <c r="AC1427">
        <v>263</v>
      </c>
      <c r="AD1427">
        <v>2.69</v>
      </c>
      <c r="AE1427" t="s">
        <v>1202</v>
      </c>
      <c r="AF1427" t="s">
        <v>4518</v>
      </c>
      <c r="AG1427" t="s">
        <v>2005</v>
      </c>
      <c r="AH1427" t="s">
        <v>5182</v>
      </c>
      <c r="AI1427">
        <v>-2.96</v>
      </c>
      <c r="AJ1427">
        <v>-10.5</v>
      </c>
      <c r="AK1427">
        <v>6.07</v>
      </c>
      <c r="AL1427">
        <v>14.13</v>
      </c>
    </row>
    <row r="1428" spans="1:38" x14ac:dyDescent="0.25">
      <c r="A1428">
        <v>1427</v>
      </c>
      <c r="B1428" t="str">
        <f xml:space="preserve"> "002068"</f>
        <v>002068</v>
      </c>
      <c r="C1428" t="s">
        <v>5532</v>
      </c>
      <c r="D1428">
        <v>12.13</v>
      </c>
      <c r="E1428">
        <v>-0.25</v>
      </c>
      <c r="F1428">
        <v>-0.03</v>
      </c>
      <c r="G1428" t="s">
        <v>1895</v>
      </c>
      <c r="H1428">
        <v>2485</v>
      </c>
      <c r="I1428">
        <v>12.12</v>
      </c>
      <c r="J1428">
        <v>12.13</v>
      </c>
      <c r="K1428">
        <v>-0.08</v>
      </c>
      <c r="L1428">
        <v>2.63</v>
      </c>
      <c r="M1428" t="s">
        <v>629</v>
      </c>
      <c r="N1428">
        <v>20.48</v>
      </c>
      <c r="O1428" t="s">
        <v>667</v>
      </c>
      <c r="P1428">
        <v>12.36</v>
      </c>
      <c r="Q1428">
        <v>12</v>
      </c>
      <c r="R1428">
        <v>12.2</v>
      </c>
      <c r="S1428">
        <v>12.16</v>
      </c>
      <c r="T1428">
        <v>2.96</v>
      </c>
      <c r="U1428">
        <v>0.59</v>
      </c>
      <c r="V1428">
        <v>-28.75</v>
      </c>
      <c r="W1428">
        <v>-1002</v>
      </c>
      <c r="X1428">
        <v>12.18</v>
      </c>
      <c r="Y1428" t="s">
        <v>830</v>
      </c>
      <c r="Z1428" t="s">
        <v>5498</v>
      </c>
      <c r="AA1428">
        <v>1.18</v>
      </c>
      <c r="AB1428">
        <v>312</v>
      </c>
      <c r="AC1428">
        <v>1171</v>
      </c>
      <c r="AD1428">
        <v>3.96</v>
      </c>
      <c r="AE1428" t="s">
        <v>5196</v>
      </c>
      <c r="AF1428" t="s">
        <v>4518</v>
      </c>
      <c r="AG1428" t="s">
        <v>3081</v>
      </c>
      <c r="AH1428" t="s">
        <v>5533</v>
      </c>
      <c r="AI1428">
        <v>-4.8600000000000003</v>
      </c>
      <c r="AJ1428">
        <v>-4.8600000000000003</v>
      </c>
      <c r="AK1428">
        <v>12.08</v>
      </c>
      <c r="AL1428">
        <v>25.04</v>
      </c>
    </row>
    <row r="1429" spans="1:38" x14ac:dyDescent="0.25">
      <c r="A1429">
        <v>1428</v>
      </c>
      <c r="B1429" t="str">
        <f xml:space="preserve"> "300077"</f>
        <v>300077</v>
      </c>
      <c r="C1429" t="s">
        <v>5534</v>
      </c>
      <c r="D1429">
        <v>15.63</v>
      </c>
      <c r="E1429">
        <v>0.26</v>
      </c>
      <c r="F1429">
        <v>0.04</v>
      </c>
      <c r="G1429" t="s">
        <v>1921</v>
      </c>
      <c r="H1429">
        <v>4923</v>
      </c>
      <c r="I1429">
        <v>15.63</v>
      </c>
      <c r="J1429">
        <v>15.64</v>
      </c>
      <c r="K1429">
        <v>-0.06</v>
      </c>
      <c r="L1429">
        <v>3.35</v>
      </c>
      <c r="M1429" t="s">
        <v>4526</v>
      </c>
      <c r="N1429">
        <v>99.53</v>
      </c>
      <c r="O1429" t="s">
        <v>380</v>
      </c>
      <c r="P1429">
        <v>15.64</v>
      </c>
      <c r="Q1429">
        <v>15.23</v>
      </c>
      <c r="R1429">
        <v>15.48</v>
      </c>
      <c r="S1429">
        <v>15.59</v>
      </c>
      <c r="T1429">
        <v>2.63</v>
      </c>
      <c r="U1429">
        <v>0.5</v>
      </c>
      <c r="V1429">
        <v>-54.7</v>
      </c>
      <c r="W1429">
        <v>-4272</v>
      </c>
      <c r="X1429">
        <v>15.46</v>
      </c>
      <c r="Y1429" t="s">
        <v>1050</v>
      </c>
      <c r="Z1429" t="s">
        <v>1427</v>
      </c>
      <c r="AA1429">
        <v>1.21</v>
      </c>
      <c r="AB1429">
        <v>379</v>
      </c>
      <c r="AC1429">
        <v>3797</v>
      </c>
      <c r="AD1429">
        <v>2.89</v>
      </c>
      <c r="AE1429" t="s">
        <v>3770</v>
      </c>
      <c r="AF1429" t="s">
        <v>5535</v>
      </c>
      <c r="AG1429" t="s">
        <v>3807</v>
      </c>
      <c r="AH1429" t="s">
        <v>4046</v>
      </c>
      <c r="AI1429">
        <v>-2.19</v>
      </c>
      <c r="AJ1429">
        <v>-0.76</v>
      </c>
      <c r="AK1429">
        <v>13.95</v>
      </c>
      <c r="AL1429">
        <v>36.590000000000003</v>
      </c>
    </row>
    <row r="1430" spans="1:38" x14ac:dyDescent="0.25">
      <c r="A1430">
        <v>1429</v>
      </c>
      <c r="B1430" t="str">
        <f xml:space="preserve"> "300466"</f>
        <v>300466</v>
      </c>
      <c r="C1430" t="s">
        <v>5536</v>
      </c>
      <c r="D1430" t="s">
        <v>616</v>
      </c>
      <c r="E1430" t="s">
        <v>616</v>
      </c>
      <c r="F1430" t="s">
        <v>616</v>
      </c>
      <c r="G1430" t="s">
        <v>616</v>
      </c>
      <c r="H1430" t="s">
        <v>616</v>
      </c>
      <c r="I1430" t="s">
        <v>616</v>
      </c>
      <c r="J1430" t="s">
        <v>616</v>
      </c>
      <c r="K1430" t="s">
        <v>616</v>
      </c>
      <c r="L1430" t="s">
        <v>616</v>
      </c>
      <c r="M1430" t="s">
        <v>616</v>
      </c>
      <c r="N1430">
        <v>530.15</v>
      </c>
      <c r="O1430" t="s">
        <v>1372</v>
      </c>
      <c r="P1430" t="s">
        <v>616</v>
      </c>
      <c r="Q1430" t="s">
        <v>616</v>
      </c>
      <c r="R1430" t="s">
        <v>616</v>
      </c>
      <c r="S1430">
        <v>15.93</v>
      </c>
      <c r="T1430" t="s">
        <v>616</v>
      </c>
      <c r="U1430" t="s">
        <v>616</v>
      </c>
      <c r="V1430" t="s">
        <v>616</v>
      </c>
      <c r="W1430" t="s">
        <v>616</v>
      </c>
      <c r="X1430" t="s">
        <v>616</v>
      </c>
      <c r="Y1430" t="s">
        <v>616</v>
      </c>
      <c r="Z1430" t="s">
        <v>616</v>
      </c>
      <c r="AA1430" t="s">
        <v>616</v>
      </c>
      <c r="AB1430" t="s">
        <v>616</v>
      </c>
      <c r="AC1430" t="s">
        <v>616</v>
      </c>
      <c r="AD1430">
        <v>7.11</v>
      </c>
      <c r="AE1430" t="s">
        <v>2174</v>
      </c>
      <c r="AF1430" t="s">
        <v>5535</v>
      </c>
      <c r="AG1430" t="s">
        <v>1710</v>
      </c>
      <c r="AH1430" t="s">
        <v>2104</v>
      </c>
      <c r="AI1430">
        <v>0</v>
      </c>
      <c r="AJ1430">
        <v>0</v>
      </c>
      <c r="AK1430">
        <v>0</v>
      </c>
      <c r="AL1430">
        <v>0</v>
      </c>
    </row>
    <row r="1431" spans="1:38" x14ac:dyDescent="0.25">
      <c r="A1431">
        <v>1430</v>
      </c>
      <c r="B1431" t="str">
        <f xml:space="preserve"> "603108"</f>
        <v>603108</v>
      </c>
      <c r="C1431" t="s">
        <v>5537</v>
      </c>
      <c r="D1431">
        <v>15.19</v>
      </c>
      <c r="E1431">
        <v>0</v>
      </c>
      <c r="F1431">
        <v>0</v>
      </c>
      <c r="G1431" t="s">
        <v>1494</v>
      </c>
      <c r="H1431">
        <v>10</v>
      </c>
      <c r="I1431">
        <v>15.18</v>
      </c>
      <c r="J1431">
        <v>15.19</v>
      </c>
      <c r="K1431">
        <v>-0.2</v>
      </c>
      <c r="L1431">
        <v>1.96</v>
      </c>
      <c r="M1431" t="s">
        <v>4628</v>
      </c>
      <c r="N1431">
        <v>45.75</v>
      </c>
      <c r="O1431" t="s">
        <v>392</v>
      </c>
      <c r="P1431">
        <v>15.41</v>
      </c>
      <c r="Q1431">
        <v>15.05</v>
      </c>
      <c r="R1431">
        <v>15.11</v>
      </c>
      <c r="S1431">
        <v>15.19</v>
      </c>
      <c r="T1431">
        <v>2.37</v>
      </c>
      <c r="U1431">
        <v>0.6</v>
      </c>
      <c r="V1431">
        <v>-3.85</v>
      </c>
      <c r="W1431">
        <v>-38</v>
      </c>
      <c r="X1431">
        <v>15.26</v>
      </c>
      <c r="Y1431" t="s">
        <v>1504</v>
      </c>
      <c r="Z1431" t="s">
        <v>1285</v>
      </c>
      <c r="AA1431">
        <v>0.76</v>
      </c>
      <c r="AB1431">
        <v>25</v>
      </c>
      <c r="AC1431">
        <v>50</v>
      </c>
      <c r="AD1431">
        <v>4.07</v>
      </c>
      <c r="AE1431" t="s">
        <v>2789</v>
      </c>
      <c r="AF1431" t="s">
        <v>4859</v>
      </c>
      <c r="AG1431" t="s">
        <v>2907</v>
      </c>
      <c r="AH1431" t="s">
        <v>3223</v>
      </c>
      <c r="AI1431">
        <v>-0.39</v>
      </c>
      <c r="AJ1431">
        <v>8.0399999999999991</v>
      </c>
      <c r="AK1431">
        <v>8.11</v>
      </c>
      <c r="AL1431">
        <v>18.25</v>
      </c>
    </row>
    <row r="1432" spans="1:38" x14ac:dyDescent="0.25">
      <c r="A1432">
        <v>1431</v>
      </c>
      <c r="B1432" t="str">
        <f xml:space="preserve"> "002313"</f>
        <v>002313</v>
      </c>
      <c r="C1432" t="s">
        <v>5538</v>
      </c>
      <c r="D1432">
        <v>28.2</v>
      </c>
      <c r="E1432">
        <v>2.88</v>
      </c>
      <c r="F1432">
        <v>0.79</v>
      </c>
      <c r="G1432" t="s">
        <v>2673</v>
      </c>
      <c r="H1432">
        <v>1213</v>
      </c>
      <c r="I1432">
        <v>28.2</v>
      </c>
      <c r="J1432">
        <v>28.22</v>
      </c>
      <c r="K1432">
        <v>0.18</v>
      </c>
      <c r="L1432">
        <v>1.46</v>
      </c>
      <c r="M1432" t="s">
        <v>315</v>
      </c>
      <c r="N1432">
        <v>153.22999999999999</v>
      </c>
      <c r="O1432" t="s">
        <v>580</v>
      </c>
      <c r="P1432">
        <v>28.2</v>
      </c>
      <c r="Q1432">
        <v>27.5</v>
      </c>
      <c r="R1432">
        <v>27.88</v>
      </c>
      <c r="S1432">
        <v>27.41</v>
      </c>
      <c r="T1432">
        <v>2.5499999999999998</v>
      </c>
      <c r="U1432">
        <v>0.94</v>
      </c>
      <c r="V1432">
        <v>93.07</v>
      </c>
      <c r="W1432">
        <v>1101</v>
      </c>
      <c r="X1432">
        <v>27.84</v>
      </c>
      <c r="Y1432" t="s">
        <v>3603</v>
      </c>
      <c r="Z1432" t="s">
        <v>1043</v>
      </c>
      <c r="AA1432">
        <v>0.62</v>
      </c>
      <c r="AB1432">
        <v>181</v>
      </c>
      <c r="AC1432">
        <v>6</v>
      </c>
      <c r="AD1432">
        <v>4.62</v>
      </c>
      <c r="AE1432" t="s">
        <v>5539</v>
      </c>
      <c r="AF1432" t="s">
        <v>4859</v>
      </c>
      <c r="AG1432" t="s">
        <v>5539</v>
      </c>
      <c r="AH1432" t="s">
        <v>4859</v>
      </c>
      <c r="AI1432">
        <v>1.81</v>
      </c>
      <c r="AJ1432">
        <v>4.5599999999999996</v>
      </c>
      <c r="AK1432">
        <v>3.97</v>
      </c>
      <c r="AL1432">
        <v>9.2100000000000009</v>
      </c>
    </row>
    <row r="1433" spans="1:38" x14ac:dyDescent="0.25">
      <c r="A1433">
        <v>1432</v>
      </c>
      <c r="B1433" t="str">
        <f xml:space="preserve"> "300185"</f>
        <v>300185</v>
      </c>
      <c r="C1433" t="s">
        <v>5540</v>
      </c>
      <c r="D1433">
        <v>2.69</v>
      </c>
      <c r="E1433">
        <v>0</v>
      </c>
      <c r="F1433">
        <v>0</v>
      </c>
      <c r="G1433" t="s">
        <v>225</v>
      </c>
      <c r="H1433">
        <v>2076</v>
      </c>
      <c r="I1433">
        <v>2.69</v>
      </c>
      <c r="J1433">
        <v>2.7</v>
      </c>
      <c r="K1433">
        <v>-0.37</v>
      </c>
      <c r="L1433">
        <v>0.55000000000000004</v>
      </c>
      <c r="M1433" t="s">
        <v>5541</v>
      </c>
      <c r="N1433">
        <v>44.4</v>
      </c>
      <c r="O1433" t="s">
        <v>648</v>
      </c>
      <c r="P1433">
        <v>2.7</v>
      </c>
      <c r="Q1433">
        <v>2.67</v>
      </c>
      <c r="R1433">
        <v>2.68</v>
      </c>
      <c r="S1433">
        <v>2.69</v>
      </c>
      <c r="T1433">
        <v>1.1200000000000001</v>
      </c>
      <c r="U1433">
        <v>0.86</v>
      </c>
      <c r="V1433">
        <v>-35.18</v>
      </c>
      <c r="W1433" t="s">
        <v>5542</v>
      </c>
      <c r="X1433">
        <v>2.69</v>
      </c>
      <c r="Y1433" t="s">
        <v>5391</v>
      </c>
      <c r="Z1433" t="s">
        <v>1283</v>
      </c>
      <c r="AA1433">
        <v>1.53</v>
      </c>
      <c r="AB1433">
        <v>6390</v>
      </c>
      <c r="AC1433" t="s">
        <v>2416</v>
      </c>
      <c r="AD1433">
        <v>1.82</v>
      </c>
      <c r="AE1433" t="s">
        <v>3278</v>
      </c>
      <c r="AF1433" t="s">
        <v>4380</v>
      </c>
      <c r="AG1433" t="s">
        <v>2608</v>
      </c>
      <c r="AH1433" t="s">
        <v>5475</v>
      </c>
      <c r="AI1433">
        <v>-0.37</v>
      </c>
      <c r="AJ1433">
        <v>2.67</v>
      </c>
      <c r="AK1433">
        <v>1.69</v>
      </c>
      <c r="AL1433">
        <v>3.79</v>
      </c>
    </row>
    <row r="1434" spans="1:38" x14ac:dyDescent="0.25">
      <c r="A1434">
        <v>1433</v>
      </c>
      <c r="B1434" t="str">
        <f xml:space="preserve"> "000524"</f>
        <v>000524</v>
      </c>
      <c r="C1434" t="s">
        <v>5543</v>
      </c>
      <c r="D1434">
        <v>13.11</v>
      </c>
      <c r="E1434">
        <v>2.42</v>
      </c>
      <c r="F1434">
        <v>0.31</v>
      </c>
      <c r="G1434" t="s">
        <v>2433</v>
      </c>
      <c r="H1434">
        <v>216</v>
      </c>
      <c r="I1434">
        <v>13.11</v>
      </c>
      <c r="J1434">
        <v>13.12</v>
      </c>
      <c r="K1434">
        <v>-0.08</v>
      </c>
      <c r="L1434">
        <v>1.1599999999999999</v>
      </c>
      <c r="M1434" t="s">
        <v>5544</v>
      </c>
      <c r="N1434">
        <v>54.54</v>
      </c>
      <c r="O1434" t="s">
        <v>951</v>
      </c>
      <c r="P1434">
        <v>13.25</v>
      </c>
      <c r="Q1434">
        <v>12.89</v>
      </c>
      <c r="R1434">
        <v>12.89</v>
      </c>
      <c r="S1434">
        <v>12.8</v>
      </c>
      <c r="T1434">
        <v>2.81</v>
      </c>
      <c r="U1434">
        <v>1.53</v>
      </c>
      <c r="V1434">
        <v>-17.91</v>
      </c>
      <c r="W1434">
        <v>-408</v>
      </c>
      <c r="X1434">
        <v>13.12</v>
      </c>
      <c r="Y1434" t="s">
        <v>603</v>
      </c>
      <c r="Z1434" t="s">
        <v>1950</v>
      </c>
      <c r="AA1434">
        <v>0.83</v>
      </c>
      <c r="AB1434">
        <v>305</v>
      </c>
      <c r="AC1434">
        <v>218</v>
      </c>
      <c r="AD1434">
        <v>3.57</v>
      </c>
      <c r="AE1434" t="s">
        <v>2847</v>
      </c>
      <c r="AF1434" t="s">
        <v>4380</v>
      </c>
      <c r="AG1434" t="s">
        <v>4296</v>
      </c>
      <c r="AH1434" t="s">
        <v>861</v>
      </c>
      <c r="AI1434">
        <v>-0.15</v>
      </c>
      <c r="AJ1434">
        <v>0.46</v>
      </c>
      <c r="AK1434">
        <v>2.64</v>
      </c>
      <c r="AL1434">
        <v>4.96</v>
      </c>
    </row>
    <row r="1435" spans="1:38" x14ac:dyDescent="0.25">
      <c r="A1435">
        <v>1434</v>
      </c>
      <c r="B1435" t="str">
        <f xml:space="preserve"> "002464"</f>
        <v>002464</v>
      </c>
      <c r="C1435" t="s">
        <v>5545</v>
      </c>
      <c r="D1435">
        <v>37.61</v>
      </c>
      <c r="E1435">
        <v>-2.31</v>
      </c>
      <c r="F1435">
        <v>-0.89</v>
      </c>
      <c r="G1435" t="s">
        <v>1399</v>
      </c>
      <c r="H1435">
        <v>1179</v>
      </c>
      <c r="I1435">
        <v>37.61</v>
      </c>
      <c r="J1435">
        <v>37.630000000000003</v>
      </c>
      <c r="K1435">
        <v>0.16</v>
      </c>
      <c r="L1435">
        <v>2.4300000000000002</v>
      </c>
      <c r="M1435" t="s">
        <v>4728</v>
      </c>
      <c r="N1435">
        <v>53.14</v>
      </c>
      <c r="O1435" t="s">
        <v>2128</v>
      </c>
      <c r="P1435">
        <v>38.18</v>
      </c>
      <c r="Q1435">
        <v>37.11</v>
      </c>
      <c r="R1435">
        <v>37.700000000000003</v>
      </c>
      <c r="S1435">
        <v>38.5</v>
      </c>
      <c r="T1435">
        <v>2.78</v>
      </c>
      <c r="U1435">
        <v>0.56000000000000005</v>
      </c>
      <c r="V1435">
        <v>90.66</v>
      </c>
      <c r="W1435">
        <v>874</v>
      </c>
      <c r="X1435">
        <v>37.659999999999997</v>
      </c>
      <c r="Y1435" t="s">
        <v>885</v>
      </c>
      <c r="Z1435" t="s">
        <v>2786</v>
      </c>
      <c r="AA1435">
        <v>1.32</v>
      </c>
      <c r="AB1435">
        <v>114</v>
      </c>
      <c r="AC1435">
        <v>2</v>
      </c>
      <c r="AD1435">
        <v>6.94</v>
      </c>
      <c r="AE1435" t="s">
        <v>4430</v>
      </c>
      <c r="AF1435" t="s">
        <v>5546</v>
      </c>
      <c r="AG1435" t="s">
        <v>4430</v>
      </c>
      <c r="AH1435" t="s">
        <v>5546</v>
      </c>
      <c r="AI1435">
        <v>5.94</v>
      </c>
      <c r="AJ1435">
        <v>11.6</v>
      </c>
      <c r="AK1435">
        <v>17.27</v>
      </c>
      <c r="AL1435">
        <v>24.04</v>
      </c>
    </row>
    <row r="1436" spans="1:38" x14ac:dyDescent="0.25">
      <c r="A1436">
        <v>1435</v>
      </c>
      <c r="B1436" t="str">
        <f xml:space="preserve"> "002367"</f>
        <v>002367</v>
      </c>
      <c r="C1436" t="s">
        <v>5547</v>
      </c>
      <c r="D1436">
        <v>10.98</v>
      </c>
      <c r="E1436">
        <v>0.37</v>
      </c>
      <c r="F1436">
        <v>0.04</v>
      </c>
      <c r="G1436" t="s">
        <v>2862</v>
      </c>
      <c r="H1436">
        <v>978</v>
      </c>
      <c r="I1436">
        <v>10.98</v>
      </c>
      <c r="J1436">
        <v>10.99</v>
      </c>
      <c r="K1436">
        <v>0.27</v>
      </c>
      <c r="L1436">
        <v>0.5</v>
      </c>
      <c r="M1436" t="s">
        <v>5548</v>
      </c>
      <c r="N1436">
        <v>21.45</v>
      </c>
      <c r="O1436" t="s">
        <v>648</v>
      </c>
      <c r="P1436">
        <v>11.01</v>
      </c>
      <c r="Q1436">
        <v>10.91</v>
      </c>
      <c r="R1436">
        <v>10.99</v>
      </c>
      <c r="S1436">
        <v>10.94</v>
      </c>
      <c r="T1436">
        <v>0.91</v>
      </c>
      <c r="U1436">
        <v>0.56000000000000005</v>
      </c>
      <c r="V1436">
        <v>-36.659999999999997</v>
      </c>
      <c r="W1436">
        <v>-2301</v>
      </c>
      <c r="X1436">
        <v>10.96</v>
      </c>
      <c r="Y1436" t="s">
        <v>4399</v>
      </c>
      <c r="Z1436" t="s">
        <v>316</v>
      </c>
      <c r="AA1436">
        <v>1.22</v>
      </c>
      <c r="AB1436">
        <v>355</v>
      </c>
      <c r="AC1436">
        <v>639</v>
      </c>
      <c r="AD1436">
        <v>2.42</v>
      </c>
      <c r="AE1436" t="s">
        <v>2129</v>
      </c>
      <c r="AF1436" t="s">
        <v>5546</v>
      </c>
      <c r="AG1436" t="s">
        <v>1108</v>
      </c>
      <c r="AH1436" t="s">
        <v>5291</v>
      </c>
      <c r="AI1436">
        <v>0.46</v>
      </c>
      <c r="AJ1436">
        <v>2.62</v>
      </c>
      <c r="AK1436">
        <v>2.82</v>
      </c>
      <c r="AL1436">
        <v>4.9800000000000004</v>
      </c>
    </row>
    <row r="1437" spans="1:38" x14ac:dyDescent="0.25">
      <c r="A1437">
        <v>1436</v>
      </c>
      <c r="B1437" t="str">
        <f xml:space="preserve"> "300339"</f>
        <v>300339</v>
      </c>
      <c r="C1437" t="s">
        <v>5549</v>
      </c>
      <c r="D1437">
        <v>12.24</v>
      </c>
      <c r="E1437">
        <v>0.82</v>
      </c>
      <c r="F1437">
        <v>0.1</v>
      </c>
      <c r="G1437" t="s">
        <v>2770</v>
      </c>
      <c r="H1437">
        <v>1482</v>
      </c>
      <c r="I1437">
        <v>12.24</v>
      </c>
      <c r="J1437">
        <v>12.25</v>
      </c>
      <c r="K1437">
        <v>0</v>
      </c>
      <c r="L1437">
        <v>1.19</v>
      </c>
      <c r="M1437" t="s">
        <v>5550</v>
      </c>
      <c r="N1437">
        <v>67.06</v>
      </c>
      <c r="O1437" t="s">
        <v>893</v>
      </c>
      <c r="P1437">
        <v>12.27</v>
      </c>
      <c r="Q1437">
        <v>12.11</v>
      </c>
      <c r="R1437">
        <v>12.21</v>
      </c>
      <c r="S1437">
        <v>12.14</v>
      </c>
      <c r="T1437">
        <v>1.32</v>
      </c>
      <c r="U1437">
        <v>1.1299999999999999</v>
      </c>
      <c r="V1437">
        <v>-35.270000000000003</v>
      </c>
      <c r="W1437">
        <v>-1640</v>
      </c>
      <c r="X1437">
        <v>12.2</v>
      </c>
      <c r="Y1437" t="s">
        <v>2695</v>
      </c>
      <c r="Z1437" t="s">
        <v>1843</v>
      </c>
      <c r="AA1437">
        <v>0.74</v>
      </c>
      <c r="AB1437">
        <v>690</v>
      </c>
      <c r="AC1437">
        <v>691</v>
      </c>
      <c r="AD1437">
        <v>2.4900000000000002</v>
      </c>
      <c r="AE1437" t="s">
        <v>4835</v>
      </c>
      <c r="AF1437" t="s">
        <v>5546</v>
      </c>
      <c r="AG1437" t="s">
        <v>1600</v>
      </c>
      <c r="AH1437" t="s">
        <v>969</v>
      </c>
      <c r="AI1437">
        <v>0.57999999999999996</v>
      </c>
      <c r="AJ1437">
        <v>5.43</v>
      </c>
      <c r="AK1437">
        <v>3.42</v>
      </c>
      <c r="AL1437">
        <v>6.44</v>
      </c>
    </row>
    <row r="1438" spans="1:38" x14ac:dyDescent="0.25">
      <c r="A1438">
        <v>1437</v>
      </c>
      <c r="B1438" t="str">
        <f xml:space="preserve"> "000739"</f>
        <v>000739</v>
      </c>
      <c r="C1438" t="s">
        <v>5551</v>
      </c>
      <c r="D1438">
        <v>7.63</v>
      </c>
      <c r="E1438">
        <v>0.79</v>
      </c>
      <c r="F1438">
        <v>0.06</v>
      </c>
      <c r="G1438" t="s">
        <v>1825</v>
      </c>
      <c r="H1438">
        <v>831</v>
      </c>
      <c r="I1438">
        <v>7.62</v>
      </c>
      <c r="J1438">
        <v>7.63</v>
      </c>
      <c r="K1438">
        <v>0.39</v>
      </c>
      <c r="L1438">
        <v>0.68</v>
      </c>
      <c r="M1438" t="s">
        <v>4401</v>
      </c>
      <c r="N1438">
        <v>33.68</v>
      </c>
      <c r="O1438" t="s">
        <v>392</v>
      </c>
      <c r="P1438">
        <v>7.67</v>
      </c>
      <c r="Q1438">
        <v>7.5</v>
      </c>
      <c r="R1438">
        <v>7.58</v>
      </c>
      <c r="S1438">
        <v>7.57</v>
      </c>
      <c r="T1438">
        <v>2.25</v>
      </c>
      <c r="U1438">
        <v>1.38</v>
      </c>
      <c r="V1438">
        <v>-19.07</v>
      </c>
      <c r="W1438">
        <v>-923</v>
      </c>
      <c r="X1438">
        <v>7.6</v>
      </c>
      <c r="Y1438" t="s">
        <v>2559</v>
      </c>
      <c r="Z1438" t="s">
        <v>2443</v>
      </c>
      <c r="AA1438">
        <v>0.77</v>
      </c>
      <c r="AB1438">
        <v>477</v>
      </c>
      <c r="AC1438">
        <v>78</v>
      </c>
      <c r="AD1438">
        <v>3.26</v>
      </c>
      <c r="AE1438" t="s">
        <v>2388</v>
      </c>
      <c r="AF1438" t="s">
        <v>5341</v>
      </c>
      <c r="AG1438" t="s">
        <v>2388</v>
      </c>
      <c r="AH1438" t="s">
        <v>5341</v>
      </c>
      <c r="AI1438">
        <v>0.66</v>
      </c>
      <c r="AJ1438">
        <v>5.0999999999999996</v>
      </c>
      <c r="AK1438">
        <v>1.69</v>
      </c>
      <c r="AL1438">
        <v>3.14</v>
      </c>
    </row>
    <row r="1439" spans="1:38" x14ac:dyDescent="0.25">
      <c r="A1439">
        <v>1438</v>
      </c>
      <c r="B1439" t="str">
        <f xml:space="preserve"> "600292"</f>
        <v>600292</v>
      </c>
      <c r="C1439" t="s">
        <v>5552</v>
      </c>
      <c r="D1439">
        <v>11.2</v>
      </c>
      <c r="E1439">
        <v>6.06</v>
      </c>
      <c r="F1439">
        <v>0.64</v>
      </c>
      <c r="G1439" t="s">
        <v>600</v>
      </c>
      <c r="H1439">
        <v>53</v>
      </c>
      <c r="I1439">
        <v>11.2</v>
      </c>
      <c r="J1439">
        <v>11.21</v>
      </c>
      <c r="K1439">
        <v>-0.09</v>
      </c>
      <c r="L1439">
        <v>3.38</v>
      </c>
      <c r="M1439" t="s">
        <v>726</v>
      </c>
      <c r="N1439">
        <v>145.1</v>
      </c>
      <c r="O1439" t="s">
        <v>1155</v>
      </c>
      <c r="P1439">
        <v>11.31</v>
      </c>
      <c r="Q1439">
        <v>10.5</v>
      </c>
      <c r="R1439">
        <v>10.51</v>
      </c>
      <c r="S1439">
        <v>10.56</v>
      </c>
      <c r="T1439">
        <v>7.67</v>
      </c>
      <c r="U1439">
        <v>8.2799999999999994</v>
      </c>
      <c r="V1439">
        <v>-20.67</v>
      </c>
      <c r="W1439">
        <v>-899</v>
      </c>
      <c r="X1439">
        <v>11</v>
      </c>
      <c r="Y1439" t="s">
        <v>1840</v>
      </c>
      <c r="Z1439" t="s">
        <v>4340</v>
      </c>
      <c r="AA1439">
        <v>0.56999999999999995</v>
      </c>
      <c r="AB1439">
        <v>260</v>
      </c>
      <c r="AC1439">
        <v>302</v>
      </c>
      <c r="AD1439">
        <v>1.81</v>
      </c>
      <c r="AE1439" t="s">
        <v>510</v>
      </c>
      <c r="AF1439" t="s">
        <v>5341</v>
      </c>
      <c r="AG1439" t="s">
        <v>510</v>
      </c>
      <c r="AH1439" t="s">
        <v>5341</v>
      </c>
      <c r="AI1439">
        <v>5.46</v>
      </c>
      <c r="AJ1439">
        <v>8.84</v>
      </c>
      <c r="AK1439">
        <v>4.3</v>
      </c>
      <c r="AL1439">
        <v>5.43</v>
      </c>
    </row>
    <row r="1440" spans="1:38" x14ac:dyDescent="0.25">
      <c r="A1440">
        <v>1439</v>
      </c>
      <c r="B1440" t="str">
        <f xml:space="preserve"> "000667"</f>
        <v>000667</v>
      </c>
      <c r="C1440" t="s">
        <v>5553</v>
      </c>
      <c r="D1440">
        <v>3.41</v>
      </c>
      <c r="E1440">
        <v>0.28999999999999998</v>
      </c>
      <c r="F1440">
        <v>0.01</v>
      </c>
      <c r="G1440" t="s">
        <v>924</v>
      </c>
      <c r="H1440">
        <v>661</v>
      </c>
      <c r="I1440">
        <v>3.4</v>
      </c>
      <c r="J1440">
        <v>3.41</v>
      </c>
      <c r="K1440">
        <v>0.28999999999999998</v>
      </c>
      <c r="L1440">
        <v>0.32</v>
      </c>
      <c r="M1440" t="s">
        <v>5554</v>
      </c>
      <c r="N1440">
        <v>14.55</v>
      </c>
      <c r="O1440" t="s">
        <v>244</v>
      </c>
      <c r="P1440">
        <v>3.41</v>
      </c>
      <c r="Q1440">
        <v>3.38</v>
      </c>
      <c r="R1440">
        <v>3.39</v>
      </c>
      <c r="S1440">
        <v>3.4</v>
      </c>
      <c r="T1440">
        <v>0.88</v>
      </c>
      <c r="U1440">
        <v>0.65</v>
      </c>
      <c r="V1440">
        <v>-24.81</v>
      </c>
      <c r="W1440" t="s">
        <v>2918</v>
      </c>
      <c r="X1440">
        <v>3.39</v>
      </c>
      <c r="Y1440" t="s">
        <v>2417</v>
      </c>
      <c r="Z1440" t="s">
        <v>3877</v>
      </c>
      <c r="AA1440">
        <v>1.68</v>
      </c>
      <c r="AB1440">
        <v>4544</v>
      </c>
      <c r="AC1440">
        <v>8523</v>
      </c>
      <c r="AD1440">
        <v>1.3</v>
      </c>
      <c r="AE1440" t="s">
        <v>3243</v>
      </c>
      <c r="AF1440" t="s">
        <v>5555</v>
      </c>
      <c r="AG1440" t="s">
        <v>1129</v>
      </c>
      <c r="AH1440" t="s">
        <v>5556</v>
      </c>
      <c r="AI1440">
        <v>-0.57999999999999996</v>
      </c>
      <c r="AJ1440">
        <v>1.79</v>
      </c>
      <c r="AK1440">
        <v>1.27</v>
      </c>
      <c r="AL1440">
        <v>2.77</v>
      </c>
    </row>
    <row r="1441" spans="1:38" x14ac:dyDescent="0.25">
      <c r="A1441">
        <v>1440</v>
      </c>
      <c r="B1441" t="str">
        <f xml:space="preserve"> "600063"</f>
        <v>600063</v>
      </c>
      <c r="C1441" t="s">
        <v>5557</v>
      </c>
      <c r="D1441">
        <v>4.53</v>
      </c>
      <c r="E1441">
        <v>-0.44</v>
      </c>
      <c r="F1441">
        <v>-0.02</v>
      </c>
      <c r="G1441" t="s">
        <v>4308</v>
      </c>
      <c r="H1441">
        <v>30</v>
      </c>
      <c r="I1441">
        <v>4.53</v>
      </c>
      <c r="J1441">
        <v>4.54</v>
      </c>
      <c r="K1441">
        <v>-0.22</v>
      </c>
      <c r="L1441">
        <v>0.64</v>
      </c>
      <c r="M1441" t="s">
        <v>5558</v>
      </c>
      <c r="N1441">
        <v>59.55</v>
      </c>
      <c r="O1441" t="s">
        <v>1798</v>
      </c>
      <c r="P1441">
        <v>4.57</v>
      </c>
      <c r="Q1441">
        <v>4.5199999999999996</v>
      </c>
      <c r="R1441">
        <v>4.55</v>
      </c>
      <c r="S1441">
        <v>4.55</v>
      </c>
      <c r="T1441">
        <v>1.1000000000000001</v>
      </c>
      <c r="U1441">
        <v>0.95</v>
      </c>
      <c r="V1441">
        <v>-7.73</v>
      </c>
      <c r="W1441">
        <v>-2596</v>
      </c>
      <c r="X1441">
        <v>4.54</v>
      </c>
      <c r="Y1441" t="s">
        <v>2484</v>
      </c>
      <c r="Z1441" t="s">
        <v>3606</v>
      </c>
      <c r="AA1441">
        <v>1.24</v>
      </c>
      <c r="AB1441">
        <v>1652</v>
      </c>
      <c r="AC1441">
        <v>2703</v>
      </c>
      <c r="AD1441">
        <v>1.78</v>
      </c>
      <c r="AE1441" t="s">
        <v>886</v>
      </c>
      <c r="AF1441" t="s">
        <v>5559</v>
      </c>
      <c r="AG1441" t="s">
        <v>1225</v>
      </c>
      <c r="AH1441" t="s">
        <v>4353</v>
      </c>
      <c r="AI1441">
        <v>-0.44</v>
      </c>
      <c r="AJ1441">
        <v>2.2599999999999998</v>
      </c>
      <c r="AK1441">
        <v>1.95</v>
      </c>
      <c r="AL1441">
        <v>3.98</v>
      </c>
    </row>
    <row r="1442" spans="1:38" x14ac:dyDescent="0.25">
      <c r="A1442">
        <v>1441</v>
      </c>
      <c r="B1442" t="str">
        <f xml:space="preserve"> "300567"</f>
        <v>300567</v>
      </c>
      <c r="C1442" t="s">
        <v>5560</v>
      </c>
      <c r="D1442">
        <v>106.35</v>
      </c>
      <c r="E1442">
        <v>-1.92</v>
      </c>
      <c r="F1442">
        <v>-2.08</v>
      </c>
      <c r="G1442">
        <v>6821</v>
      </c>
      <c r="H1442">
        <v>88</v>
      </c>
      <c r="I1442">
        <v>106.35</v>
      </c>
      <c r="J1442">
        <v>106.9</v>
      </c>
      <c r="K1442">
        <v>-0.51</v>
      </c>
      <c r="L1442">
        <v>3.41</v>
      </c>
      <c r="M1442" t="s">
        <v>5561</v>
      </c>
      <c r="N1442">
        <v>83.04</v>
      </c>
      <c r="O1442" t="s">
        <v>2647</v>
      </c>
      <c r="P1442">
        <v>109.83</v>
      </c>
      <c r="Q1442">
        <v>106</v>
      </c>
      <c r="R1442">
        <v>108.88</v>
      </c>
      <c r="S1442">
        <v>108.43</v>
      </c>
      <c r="T1442">
        <v>3.53</v>
      </c>
      <c r="U1442">
        <v>1.05</v>
      </c>
      <c r="V1442">
        <v>35.450000000000003</v>
      </c>
      <c r="W1442">
        <v>69</v>
      </c>
      <c r="X1442">
        <v>108.44</v>
      </c>
      <c r="Y1442">
        <v>2798</v>
      </c>
      <c r="Z1442">
        <v>4023</v>
      </c>
      <c r="AA1442">
        <v>0.7</v>
      </c>
      <c r="AB1442">
        <v>9</v>
      </c>
      <c r="AC1442">
        <v>36</v>
      </c>
      <c r="AD1442">
        <v>10.66</v>
      </c>
      <c r="AE1442" t="s">
        <v>4681</v>
      </c>
      <c r="AF1442" t="s">
        <v>346</v>
      </c>
      <c r="AG1442" t="s">
        <v>5562</v>
      </c>
      <c r="AH1442" t="s">
        <v>3046</v>
      </c>
      <c r="AI1442">
        <v>-2.4300000000000002</v>
      </c>
      <c r="AJ1442">
        <v>3.15</v>
      </c>
      <c r="AK1442">
        <v>9.18</v>
      </c>
      <c r="AL1442">
        <v>19.72</v>
      </c>
    </row>
    <row r="1443" spans="1:38" x14ac:dyDescent="0.25">
      <c r="A1443">
        <v>1442</v>
      </c>
      <c r="B1443" t="str">
        <f xml:space="preserve"> "600629"</f>
        <v>600629</v>
      </c>
      <c r="C1443" t="s">
        <v>5563</v>
      </c>
      <c r="D1443">
        <v>20.149999999999999</v>
      </c>
      <c r="E1443">
        <v>0.8</v>
      </c>
      <c r="F1443">
        <v>0.16</v>
      </c>
      <c r="G1443" t="s">
        <v>1153</v>
      </c>
      <c r="H1443">
        <v>99</v>
      </c>
      <c r="I1443">
        <v>20.14</v>
      </c>
      <c r="J1443">
        <v>20.149999999999999</v>
      </c>
      <c r="K1443">
        <v>0.15</v>
      </c>
      <c r="L1443">
        <v>0.4</v>
      </c>
      <c r="M1443" t="s">
        <v>5564</v>
      </c>
      <c r="N1443">
        <v>59.12</v>
      </c>
      <c r="O1443" t="s">
        <v>263</v>
      </c>
      <c r="P1443">
        <v>20.149999999999999</v>
      </c>
      <c r="Q1443">
        <v>19.95</v>
      </c>
      <c r="R1443">
        <v>20.079999999999998</v>
      </c>
      <c r="S1443">
        <v>19.989999999999998</v>
      </c>
      <c r="T1443">
        <v>1</v>
      </c>
      <c r="U1443">
        <v>0.87</v>
      </c>
      <c r="V1443">
        <v>-60.4</v>
      </c>
      <c r="W1443">
        <v>-649</v>
      </c>
      <c r="X1443">
        <v>20.09</v>
      </c>
      <c r="Y1443">
        <v>5941</v>
      </c>
      <c r="Z1443">
        <v>8094</v>
      </c>
      <c r="AA1443">
        <v>0.73</v>
      </c>
      <c r="AB1443">
        <v>25</v>
      </c>
      <c r="AC1443">
        <v>368</v>
      </c>
      <c r="AD1443">
        <v>3.77</v>
      </c>
      <c r="AE1443" t="s">
        <v>5565</v>
      </c>
      <c r="AF1443" t="s">
        <v>346</v>
      </c>
      <c r="AG1443" t="s">
        <v>811</v>
      </c>
      <c r="AH1443" t="s">
        <v>2576</v>
      </c>
      <c r="AI1443">
        <v>-0.4</v>
      </c>
      <c r="AJ1443">
        <v>2.1800000000000002</v>
      </c>
      <c r="AK1443">
        <v>1.35</v>
      </c>
      <c r="AL1443">
        <v>2.72</v>
      </c>
    </row>
    <row r="1444" spans="1:38" x14ac:dyDescent="0.25">
      <c r="A1444">
        <v>1443</v>
      </c>
      <c r="B1444" t="str">
        <f xml:space="preserve"> "002447"</f>
        <v>002447</v>
      </c>
      <c r="C1444" t="s">
        <v>5566</v>
      </c>
      <c r="D1444">
        <v>6.09</v>
      </c>
      <c r="E1444">
        <v>2.35</v>
      </c>
      <c r="F1444">
        <v>0.14000000000000001</v>
      </c>
      <c r="G1444" t="s">
        <v>337</v>
      </c>
      <c r="H1444">
        <v>2152</v>
      </c>
      <c r="I1444">
        <v>6.09</v>
      </c>
      <c r="J1444">
        <v>6.1</v>
      </c>
      <c r="K1444">
        <v>-0.16</v>
      </c>
      <c r="L1444">
        <v>1.17</v>
      </c>
      <c r="M1444" t="s">
        <v>5567</v>
      </c>
      <c r="N1444">
        <v>117.93</v>
      </c>
      <c r="O1444" t="s">
        <v>622</v>
      </c>
      <c r="P1444">
        <v>6.11</v>
      </c>
      <c r="Q1444">
        <v>5.94</v>
      </c>
      <c r="R1444">
        <v>5.94</v>
      </c>
      <c r="S1444">
        <v>5.95</v>
      </c>
      <c r="T1444">
        <v>2.86</v>
      </c>
      <c r="U1444">
        <v>0.62</v>
      </c>
      <c r="V1444">
        <v>-20.46</v>
      </c>
      <c r="W1444">
        <v>-1698</v>
      </c>
      <c r="X1444">
        <v>6.04</v>
      </c>
      <c r="Y1444" t="s">
        <v>2407</v>
      </c>
      <c r="Z1444" t="s">
        <v>318</v>
      </c>
      <c r="AA1444">
        <v>0.77</v>
      </c>
      <c r="AB1444">
        <v>779</v>
      </c>
      <c r="AC1444">
        <v>1788</v>
      </c>
      <c r="AD1444">
        <v>3.25</v>
      </c>
      <c r="AE1444" t="s">
        <v>2246</v>
      </c>
      <c r="AF1444" t="s">
        <v>3816</v>
      </c>
      <c r="AG1444" t="s">
        <v>4577</v>
      </c>
      <c r="AH1444" t="s">
        <v>4574</v>
      </c>
      <c r="AI1444">
        <v>-0.98</v>
      </c>
      <c r="AJ1444">
        <v>3.4</v>
      </c>
      <c r="AK1444">
        <v>4.6900000000000004</v>
      </c>
      <c r="AL1444">
        <v>10.58</v>
      </c>
    </row>
    <row r="1445" spans="1:38" x14ac:dyDescent="0.25">
      <c r="A1445">
        <v>1444</v>
      </c>
      <c r="B1445" t="str">
        <f xml:space="preserve"> "002020"</f>
        <v>002020</v>
      </c>
      <c r="C1445" t="s">
        <v>5568</v>
      </c>
      <c r="D1445">
        <v>11.81</v>
      </c>
      <c r="E1445">
        <v>-0.42</v>
      </c>
      <c r="F1445">
        <v>-0.05</v>
      </c>
      <c r="G1445" t="s">
        <v>2732</v>
      </c>
      <c r="H1445">
        <v>317</v>
      </c>
      <c r="I1445">
        <v>11.81</v>
      </c>
      <c r="J1445">
        <v>11.82</v>
      </c>
      <c r="K1445">
        <v>-0.08</v>
      </c>
      <c r="L1445">
        <v>0.74</v>
      </c>
      <c r="M1445" t="s">
        <v>5569</v>
      </c>
      <c r="N1445">
        <v>25.57</v>
      </c>
      <c r="O1445" t="s">
        <v>392</v>
      </c>
      <c r="P1445">
        <v>11.95</v>
      </c>
      <c r="Q1445">
        <v>11.8</v>
      </c>
      <c r="R1445">
        <v>11.86</v>
      </c>
      <c r="S1445">
        <v>11.86</v>
      </c>
      <c r="T1445">
        <v>1.26</v>
      </c>
      <c r="U1445">
        <v>0.47</v>
      </c>
      <c r="V1445">
        <v>5</v>
      </c>
      <c r="W1445">
        <v>152</v>
      </c>
      <c r="X1445">
        <v>11.88</v>
      </c>
      <c r="Y1445" t="s">
        <v>2773</v>
      </c>
      <c r="Z1445" t="s">
        <v>3062</v>
      </c>
      <c r="AA1445">
        <v>0.82</v>
      </c>
      <c r="AB1445">
        <v>700</v>
      </c>
      <c r="AC1445">
        <v>252</v>
      </c>
      <c r="AD1445">
        <v>2.4300000000000002</v>
      </c>
      <c r="AE1445" t="s">
        <v>4167</v>
      </c>
      <c r="AF1445" t="s">
        <v>5570</v>
      </c>
      <c r="AG1445" t="s">
        <v>1455</v>
      </c>
      <c r="AH1445" t="s">
        <v>5020</v>
      </c>
      <c r="AI1445">
        <v>0.34</v>
      </c>
      <c r="AJ1445">
        <v>3.6</v>
      </c>
      <c r="AK1445">
        <v>4.37</v>
      </c>
      <c r="AL1445">
        <v>8.68</v>
      </c>
    </row>
    <row r="1446" spans="1:38" x14ac:dyDescent="0.25">
      <c r="A1446">
        <v>1445</v>
      </c>
      <c r="B1446" t="str">
        <f xml:space="preserve"> "300031"</f>
        <v>300031</v>
      </c>
      <c r="C1446" t="s">
        <v>5571</v>
      </c>
      <c r="D1446">
        <v>21.9</v>
      </c>
      <c r="E1446">
        <v>5.34</v>
      </c>
      <c r="F1446">
        <v>1.1100000000000001</v>
      </c>
      <c r="G1446" t="s">
        <v>2535</v>
      </c>
      <c r="H1446">
        <v>893</v>
      </c>
      <c r="I1446">
        <v>21.88</v>
      </c>
      <c r="J1446">
        <v>21.9</v>
      </c>
      <c r="K1446">
        <v>-0.23</v>
      </c>
      <c r="L1446">
        <v>3.27</v>
      </c>
      <c r="M1446" t="s">
        <v>2637</v>
      </c>
      <c r="N1446">
        <v>40.69</v>
      </c>
      <c r="O1446" t="s">
        <v>893</v>
      </c>
      <c r="P1446">
        <v>22.2</v>
      </c>
      <c r="Q1446">
        <v>20.76</v>
      </c>
      <c r="R1446">
        <v>20.79</v>
      </c>
      <c r="S1446">
        <v>20.79</v>
      </c>
      <c r="T1446">
        <v>6.93</v>
      </c>
      <c r="U1446">
        <v>2.38</v>
      </c>
      <c r="V1446">
        <v>28.1</v>
      </c>
      <c r="W1446">
        <v>354</v>
      </c>
      <c r="X1446">
        <v>21.66</v>
      </c>
      <c r="Y1446" t="s">
        <v>1286</v>
      </c>
      <c r="Z1446" t="s">
        <v>3171</v>
      </c>
      <c r="AA1446">
        <v>0.72</v>
      </c>
      <c r="AB1446">
        <v>26</v>
      </c>
      <c r="AC1446">
        <v>135</v>
      </c>
      <c r="AD1446">
        <v>3.97</v>
      </c>
      <c r="AE1446" t="s">
        <v>3245</v>
      </c>
      <c r="AF1446" t="s">
        <v>5570</v>
      </c>
      <c r="AG1446" t="s">
        <v>925</v>
      </c>
      <c r="AH1446" t="s">
        <v>5385</v>
      </c>
      <c r="AI1446">
        <v>7.83</v>
      </c>
      <c r="AJ1446">
        <v>9.01</v>
      </c>
      <c r="AK1446">
        <v>5.67</v>
      </c>
      <c r="AL1446">
        <v>10.119999999999999</v>
      </c>
    </row>
    <row r="1447" spans="1:38" x14ac:dyDescent="0.25">
      <c r="A1447">
        <v>1446</v>
      </c>
      <c r="B1447" t="str">
        <f xml:space="preserve"> "002463"</f>
        <v>002463</v>
      </c>
      <c r="C1447" t="s">
        <v>5572</v>
      </c>
      <c r="D1447">
        <v>5.19</v>
      </c>
      <c r="E1447">
        <v>-1.1399999999999999</v>
      </c>
      <c r="F1447">
        <v>-0.06</v>
      </c>
      <c r="G1447" t="s">
        <v>1163</v>
      </c>
      <c r="H1447">
        <v>3208</v>
      </c>
      <c r="I1447">
        <v>5.19</v>
      </c>
      <c r="J1447">
        <v>5.2</v>
      </c>
      <c r="K1447">
        <v>0.19</v>
      </c>
      <c r="L1447">
        <v>2.0299999999999998</v>
      </c>
      <c r="M1447" t="s">
        <v>1710</v>
      </c>
      <c r="N1447">
        <v>42.19</v>
      </c>
      <c r="O1447" t="s">
        <v>380</v>
      </c>
      <c r="P1447">
        <v>5.31</v>
      </c>
      <c r="Q1447">
        <v>5.15</v>
      </c>
      <c r="R1447">
        <v>5.23</v>
      </c>
      <c r="S1447">
        <v>5.25</v>
      </c>
      <c r="T1447">
        <v>3.05</v>
      </c>
      <c r="U1447">
        <v>0.87</v>
      </c>
      <c r="V1447">
        <v>13.46</v>
      </c>
      <c r="W1447">
        <v>1971</v>
      </c>
      <c r="X1447">
        <v>5.25</v>
      </c>
      <c r="Y1447" t="s">
        <v>3660</v>
      </c>
      <c r="Z1447" t="s">
        <v>225</v>
      </c>
      <c r="AA1447">
        <v>1.24</v>
      </c>
      <c r="AB1447">
        <v>677</v>
      </c>
      <c r="AC1447">
        <v>3241</v>
      </c>
      <c r="AD1447">
        <v>2.56</v>
      </c>
      <c r="AE1447" t="s">
        <v>1375</v>
      </c>
      <c r="AF1447" t="s">
        <v>5570</v>
      </c>
      <c r="AG1447" t="s">
        <v>1375</v>
      </c>
      <c r="AH1447" t="s">
        <v>5570</v>
      </c>
      <c r="AI1447">
        <v>-0.56999999999999995</v>
      </c>
      <c r="AJ1447">
        <v>5.92</v>
      </c>
      <c r="AK1447">
        <v>6.66</v>
      </c>
      <c r="AL1447">
        <v>13.69</v>
      </c>
    </row>
    <row r="1448" spans="1:38" x14ac:dyDescent="0.25">
      <c r="A1448">
        <v>1447</v>
      </c>
      <c r="B1448" t="str">
        <f xml:space="preserve"> "603718"</f>
        <v>603718</v>
      </c>
      <c r="C1448" t="s">
        <v>5573</v>
      </c>
      <c r="D1448">
        <v>13.48</v>
      </c>
      <c r="E1448">
        <v>0.15</v>
      </c>
      <c r="F1448">
        <v>0.02</v>
      </c>
      <c r="G1448" t="s">
        <v>1732</v>
      </c>
      <c r="H1448">
        <v>14</v>
      </c>
      <c r="I1448">
        <v>13.46</v>
      </c>
      <c r="J1448">
        <v>13.48</v>
      </c>
      <c r="K1448">
        <v>0.22</v>
      </c>
      <c r="L1448">
        <v>0.47</v>
      </c>
      <c r="M1448" t="s">
        <v>5574</v>
      </c>
      <c r="N1448">
        <v>80.63</v>
      </c>
      <c r="O1448" t="s">
        <v>392</v>
      </c>
      <c r="P1448">
        <v>13.49</v>
      </c>
      <c r="Q1448">
        <v>13.34</v>
      </c>
      <c r="R1448">
        <v>13.45</v>
      </c>
      <c r="S1448">
        <v>13.46</v>
      </c>
      <c r="T1448">
        <v>1.1100000000000001</v>
      </c>
      <c r="U1448">
        <v>0.91</v>
      </c>
      <c r="V1448">
        <v>-59.21</v>
      </c>
      <c r="W1448">
        <v>-839</v>
      </c>
      <c r="X1448">
        <v>13.42</v>
      </c>
      <c r="Y1448">
        <v>7955</v>
      </c>
      <c r="Z1448">
        <v>6522</v>
      </c>
      <c r="AA1448">
        <v>1.22</v>
      </c>
      <c r="AB1448">
        <v>188</v>
      </c>
      <c r="AC1448">
        <v>95</v>
      </c>
      <c r="AD1448">
        <v>8.6</v>
      </c>
      <c r="AE1448" t="s">
        <v>5575</v>
      </c>
      <c r="AF1448" t="s">
        <v>5576</v>
      </c>
      <c r="AG1448" t="s">
        <v>4786</v>
      </c>
      <c r="AH1448" t="s">
        <v>1871</v>
      </c>
      <c r="AI1448">
        <v>0.22</v>
      </c>
      <c r="AJ1448">
        <v>1.51</v>
      </c>
      <c r="AK1448">
        <v>1.51</v>
      </c>
      <c r="AL1448">
        <v>3.09</v>
      </c>
    </row>
    <row r="1449" spans="1:38" x14ac:dyDescent="0.25">
      <c r="A1449">
        <v>1448</v>
      </c>
      <c r="B1449" t="str">
        <f xml:space="preserve"> "600330"</f>
        <v>600330</v>
      </c>
      <c r="C1449" t="s">
        <v>5577</v>
      </c>
      <c r="D1449">
        <v>10.45</v>
      </c>
      <c r="E1449">
        <v>-2.06</v>
      </c>
      <c r="F1449">
        <v>-0.22</v>
      </c>
      <c r="G1449" t="s">
        <v>297</v>
      </c>
      <c r="H1449">
        <v>1029</v>
      </c>
      <c r="I1449">
        <v>10.43</v>
      </c>
      <c r="J1449">
        <v>10.45</v>
      </c>
      <c r="K1449">
        <v>-0.1</v>
      </c>
      <c r="L1449">
        <v>1.97</v>
      </c>
      <c r="M1449" t="s">
        <v>2345</v>
      </c>
      <c r="N1449">
        <v>43.19</v>
      </c>
      <c r="O1449" t="s">
        <v>380</v>
      </c>
      <c r="P1449">
        <v>10.63</v>
      </c>
      <c r="Q1449">
        <v>10.42</v>
      </c>
      <c r="R1449">
        <v>10.62</v>
      </c>
      <c r="S1449">
        <v>10.67</v>
      </c>
      <c r="T1449">
        <v>1.97</v>
      </c>
      <c r="U1449">
        <v>0.6</v>
      </c>
      <c r="V1449">
        <v>36.75</v>
      </c>
      <c r="W1449">
        <v>2368</v>
      </c>
      <c r="X1449">
        <v>10.5</v>
      </c>
      <c r="Y1449" t="s">
        <v>363</v>
      </c>
      <c r="Z1449" t="s">
        <v>3481</v>
      </c>
      <c r="AA1449">
        <v>2.0699999999999998</v>
      </c>
      <c r="AB1449">
        <v>221</v>
      </c>
      <c r="AC1449">
        <v>30</v>
      </c>
      <c r="AD1449">
        <v>2.34</v>
      </c>
      <c r="AE1449" t="s">
        <v>4424</v>
      </c>
      <c r="AF1449" t="s">
        <v>5576</v>
      </c>
      <c r="AG1449" t="s">
        <v>5578</v>
      </c>
      <c r="AH1449" t="s">
        <v>2561</v>
      </c>
      <c r="AI1449">
        <v>-3.6</v>
      </c>
      <c r="AJ1449">
        <v>-2.4300000000000002</v>
      </c>
      <c r="AK1449">
        <v>6.61</v>
      </c>
      <c r="AL1449">
        <v>18.3</v>
      </c>
    </row>
    <row r="1450" spans="1:38" x14ac:dyDescent="0.25">
      <c r="A1450">
        <v>1449</v>
      </c>
      <c r="B1450" t="str">
        <f xml:space="preserve"> "000756"</f>
        <v>000756</v>
      </c>
      <c r="C1450" t="s">
        <v>5579</v>
      </c>
      <c r="D1450">
        <v>18.14</v>
      </c>
      <c r="E1450">
        <v>2.31</v>
      </c>
      <c r="F1450">
        <v>0.41</v>
      </c>
      <c r="G1450" t="s">
        <v>194</v>
      </c>
      <c r="H1450">
        <v>1321</v>
      </c>
      <c r="I1450">
        <v>18.13</v>
      </c>
      <c r="J1450">
        <v>18.149999999999999</v>
      </c>
      <c r="K1450">
        <v>0.33</v>
      </c>
      <c r="L1450">
        <v>4.08</v>
      </c>
      <c r="M1450" t="s">
        <v>1812</v>
      </c>
      <c r="N1450">
        <v>40.630000000000003</v>
      </c>
      <c r="O1450" t="s">
        <v>392</v>
      </c>
      <c r="P1450">
        <v>18.59</v>
      </c>
      <c r="Q1450">
        <v>17.5</v>
      </c>
      <c r="R1450">
        <v>17.510000000000002</v>
      </c>
      <c r="S1450">
        <v>17.73</v>
      </c>
      <c r="T1450">
        <v>6.15</v>
      </c>
      <c r="U1450">
        <v>1.08</v>
      </c>
      <c r="V1450">
        <v>69.34</v>
      </c>
      <c r="W1450">
        <v>751</v>
      </c>
      <c r="X1450">
        <v>18.149999999999999</v>
      </c>
      <c r="Y1450" t="s">
        <v>197</v>
      </c>
      <c r="Z1450" t="s">
        <v>2401</v>
      </c>
      <c r="AA1450">
        <v>0.98</v>
      </c>
      <c r="AB1450">
        <v>202</v>
      </c>
      <c r="AC1450">
        <v>89</v>
      </c>
      <c r="AD1450">
        <v>4.09</v>
      </c>
      <c r="AE1450" t="s">
        <v>1584</v>
      </c>
      <c r="AF1450" t="s">
        <v>5576</v>
      </c>
      <c r="AG1450" t="s">
        <v>719</v>
      </c>
      <c r="AH1450" t="s">
        <v>4940</v>
      </c>
      <c r="AI1450">
        <v>5.65</v>
      </c>
      <c r="AJ1450">
        <v>15.98</v>
      </c>
      <c r="AK1450">
        <v>12.23</v>
      </c>
      <c r="AL1450">
        <v>23.07</v>
      </c>
    </row>
    <row r="1451" spans="1:38" x14ac:dyDescent="0.25">
      <c r="A1451">
        <v>1450</v>
      </c>
      <c r="B1451" t="str">
        <f xml:space="preserve"> "603098"</f>
        <v>603098</v>
      </c>
      <c r="C1451" t="s">
        <v>5580</v>
      </c>
      <c r="D1451">
        <v>21.69</v>
      </c>
      <c r="E1451">
        <v>2.7</v>
      </c>
      <c r="F1451">
        <v>0.56999999999999995</v>
      </c>
      <c r="G1451" t="s">
        <v>2731</v>
      </c>
      <c r="H1451">
        <v>26</v>
      </c>
      <c r="I1451">
        <v>21.69</v>
      </c>
      <c r="J1451">
        <v>21.7</v>
      </c>
      <c r="K1451">
        <v>-0.09</v>
      </c>
      <c r="L1451">
        <v>3.8</v>
      </c>
      <c r="M1451" t="s">
        <v>5581</v>
      </c>
      <c r="N1451">
        <v>48.51</v>
      </c>
      <c r="O1451" t="s">
        <v>263</v>
      </c>
      <c r="P1451">
        <v>21.8</v>
      </c>
      <c r="Q1451">
        <v>21.04</v>
      </c>
      <c r="R1451">
        <v>21.12</v>
      </c>
      <c r="S1451">
        <v>21.12</v>
      </c>
      <c r="T1451">
        <v>3.6</v>
      </c>
      <c r="U1451">
        <v>1.47</v>
      </c>
      <c r="V1451">
        <v>-5.87</v>
      </c>
      <c r="W1451">
        <v>-46</v>
      </c>
      <c r="X1451">
        <v>21.53</v>
      </c>
      <c r="Y1451">
        <v>8749</v>
      </c>
      <c r="Z1451" t="s">
        <v>2365</v>
      </c>
      <c r="AA1451">
        <v>0.57999999999999996</v>
      </c>
      <c r="AB1451">
        <v>132</v>
      </c>
      <c r="AC1451">
        <v>63</v>
      </c>
      <c r="AD1451">
        <v>5.55</v>
      </c>
      <c r="AE1451" t="s">
        <v>1000</v>
      </c>
      <c r="AF1451" t="s">
        <v>5576</v>
      </c>
      <c r="AG1451" t="s">
        <v>5582</v>
      </c>
      <c r="AH1451" t="s">
        <v>1434</v>
      </c>
      <c r="AI1451">
        <v>-1</v>
      </c>
      <c r="AJ1451">
        <v>2.12</v>
      </c>
      <c r="AK1451">
        <v>9.94</v>
      </c>
      <c r="AL1451">
        <v>16.690000000000001</v>
      </c>
    </row>
    <row r="1452" spans="1:38" x14ac:dyDescent="0.25">
      <c r="A1452">
        <v>1451</v>
      </c>
      <c r="B1452" t="str">
        <f xml:space="preserve"> "600399"</f>
        <v>600399</v>
      </c>
      <c r="C1452" t="s">
        <v>5583</v>
      </c>
      <c r="D1452">
        <v>6.67</v>
      </c>
      <c r="E1452">
        <v>-0.6</v>
      </c>
      <c r="F1452">
        <v>-0.04</v>
      </c>
      <c r="G1452" t="s">
        <v>1629</v>
      </c>
      <c r="H1452">
        <v>10</v>
      </c>
      <c r="I1452">
        <v>6.67</v>
      </c>
      <c r="J1452">
        <v>6.68</v>
      </c>
      <c r="K1452">
        <v>0</v>
      </c>
      <c r="L1452">
        <v>0.54</v>
      </c>
      <c r="M1452" t="s">
        <v>5584</v>
      </c>
      <c r="N1452">
        <v>72.760000000000005</v>
      </c>
      <c r="O1452" t="s">
        <v>416</v>
      </c>
      <c r="P1452">
        <v>6.71</v>
      </c>
      <c r="Q1452">
        <v>6.64</v>
      </c>
      <c r="R1452">
        <v>6.71</v>
      </c>
      <c r="S1452">
        <v>6.71</v>
      </c>
      <c r="T1452">
        <v>1.04</v>
      </c>
      <c r="U1452">
        <v>0.71</v>
      </c>
      <c r="V1452">
        <v>-9.94</v>
      </c>
      <c r="W1452">
        <v>-1281</v>
      </c>
      <c r="X1452">
        <v>6.67</v>
      </c>
      <c r="Y1452" t="s">
        <v>2714</v>
      </c>
      <c r="Z1452" t="s">
        <v>1341</v>
      </c>
      <c r="AA1452">
        <v>1.39</v>
      </c>
      <c r="AB1452">
        <v>755</v>
      </c>
      <c r="AC1452">
        <v>854</v>
      </c>
      <c r="AD1452">
        <v>4.24</v>
      </c>
      <c r="AE1452" t="s">
        <v>2828</v>
      </c>
      <c r="AF1452" t="s">
        <v>5585</v>
      </c>
      <c r="AG1452" t="s">
        <v>2756</v>
      </c>
      <c r="AH1452" t="s">
        <v>4615</v>
      </c>
      <c r="AI1452">
        <v>-0.45</v>
      </c>
      <c r="AJ1452">
        <v>-0.15</v>
      </c>
      <c r="AK1452">
        <v>2.13</v>
      </c>
      <c r="AL1452">
        <v>4.3</v>
      </c>
    </row>
    <row r="1453" spans="1:38" x14ac:dyDescent="0.25">
      <c r="A1453">
        <v>1452</v>
      </c>
      <c r="B1453" t="str">
        <f xml:space="preserve"> "300338"</f>
        <v>300338</v>
      </c>
      <c r="C1453" t="s">
        <v>5586</v>
      </c>
      <c r="D1453">
        <v>25.53</v>
      </c>
      <c r="E1453">
        <v>3.86</v>
      </c>
      <c r="F1453">
        <v>0.95</v>
      </c>
      <c r="G1453" t="s">
        <v>3251</v>
      </c>
      <c r="H1453">
        <v>275</v>
      </c>
      <c r="I1453">
        <v>25.5</v>
      </c>
      <c r="J1453">
        <v>25.53</v>
      </c>
      <c r="K1453">
        <v>0</v>
      </c>
      <c r="L1453">
        <v>1.1200000000000001</v>
      </c>
      <c r="M1453" t="s">
        <v>5587</v>
      </c>
      <c r="N1453">
        <v>78.67</v>
      </c>
      <c r="O1453" t="s">
        <v>807</v>
      </c>
      <c r="P1453">
        <v>25.55</v>
      </c>
      <c r="Q1453">
        <v>24.5</v>
      </c>
      <c r="R1453">
        <v>24.5</v>
      </c>
      <c r="S1453">
        <v>24.58</v>
      </c>
      <c r="T1453">
        <v>4.2699999999999996</v>
      </c>
      <c r="U1453">
        <v>0.87</v>
      </c>
      <c r="V1453">
        <v>2.09</v>
      </c>
      <c r="W1453">
        <v>21</v>
      </c>
      <c r="X1453">
        <v>24.99</v>
      </c>
      <c r="Y1453">
        <v>6257</v>
      </c>
      <c r="Z1453" t="s">
        <v>1799</v>
      </c>
      <c r="AA1453">
        <v>0.49</v>
      </c>
      <c r="AB1453">
        <v>60</v>
      </c>
      <c r="AC1453">
        <v>408</v>
      </c>
      <c r="AD1453">
        <v>4.21</v>
      </c>
      <c r="AE1453" t="s">
        <v>2603</v>
      </c>
      <c r="AF1453" t="s">
        <v>5585</v>
      </c>
      <c r="AG1453" t="s">
        <v>989</v>
      </c>
      <c r="AH1453" t="s">
        <v>1100</v>
      </c>
      <c r="AI1453">
        <v>0</v>
      </c>
      <c r="AJ1453">
        <v>4.72</v>
      </c>
      <c r="AK1453">
        <v>3.93</v>
      </c>
      <c r="AL1453">
        <v>7.54</v>
      </c>
    </row>
    <row r="1454" spans="1:38" x14ac:dyDescent="0.25">
      <c r="A1454">
        <v>1453</v>
      </c>
      <c r="B1454" t="str">
        <f xml:space="preserve"> "000636"</f>
        <v>000636</v>
      </c>
      <c r="C1454" t="s">
        <v>5588</v>
      </c>
      <c r="D1454">
        <v>9.68</v>
      </c>
      <c r="E1454">
        <v>1.79</v>
      </c>
      <c r="F1454">
        <v>0.17</v>
      </c>
      <c r="G1454" t="s">
        <v>844</v>
      </c>
      <c r="H1454">
        <v>1077</v>
      </c>
      <c r="I1454">
        <v>9.68</v>
      </c>
      <c r="J1454">
        <v>9.69</v>
      </c>
      <c r="K1454">
        <v>0</v>
      </c>
      <c r="L1454">
        <v>1.7</v>
      </c>
      <c r="M1454" t="s">
        <v>333</v>
      </c>
      <c r="N1454">
        <v>38.79</v>
      </c>
      <c r="O1454" t="s">
        <v>380</v>
      </c>
      <c r="P1454">
        <v>9.7200000000000006</v>
      </c>
      <c r="Q1454">
        <v>9.4499999999999993</v>
      </c>
      <c r="R1454">
        <v>9.5299999999999994</v>
      </c>
      <c r="S1454">
        <v>9.51</v>
      </c>
      <c r="T1454">
        <v>2.84</v>
      </c>
      <c r="U1454">
        <v>0.79</v>
      </c>
      <c r="V1454">
        <v>-61.09</v>
      </c>
      <c r="W1454">
        <v>-5503</v>
      </c>
      <c r="X1454">
        <v>9.6</v>
      </c>
      <c r="Y1454" t="s">
        <v>1660</v>
      </c>
      <c r="Z1454" t="s">
        <v>2475</v>
      </c>
      <c r="AA1454">
        <v>0.64</v>
      </c>
      <c r="AB1454">
        <v>999</v>
      </c>
      <c r="AC1454">
        <v>874</v>
      </c>
      <c r="AD1454">
        <v>1.93</v>
      </c>
      <c r="AE1454" t="s">
        <v>243</v>
      </c>
      <c r="AF1454" t="s">
        <v>5585</v>
      </c>
      <c r="AG1454" t="s">
        <v>2875</v>
      </c>
      <c r="AH1454" t="s">
        <v>4847</v>
      </c>
      <c r="AI1454">
        <v>-1.43</v>
      </c>
      <c r="AJ1454">
        <v>2.98</v>
      </c>
      <c r="AK1454">
        <v>6.45</v>
      </c>
      <c r="AL1454">
        <v>12.45</v>
      </c>
    </row>
    <row r="1455" spans="1:38" x14ac:dyDescent="0.25">
      <c r="A1455">
        <v>1454</v>
      </c>
      <c r="B1455" t="str">
        <f xml:space="preserve"> "600658"</f>
        <v>600658</v>
      </c>
      <c r="C1455" t="s">
        <v>5589</v>
      </c>
      <c r="D1455">
        <v>10.84</v>
      </c>
      <c r="E1455">
        <v>-1</v>
      </c>
      <c r="F1455">
        <v>-0.11</v>
      </c>
      <c r="G1455" t="s">
        <v>1278</v>
      </c>
      <c r="H1455">
        <v>349</v>
      </c>
      <c r="I1455">
        <v>10.81</v>
      </c>
      <c r="J1455">
        <v>10.86</v>
      </c>
      <c r="K1455">
        <v>0.09</v>
      </c>
      <c r="L1455">
        <v>0.2</v>
      </c>
      <c r="M1455" t="s">
        <v>5590</v>
      </c>
      <c r="N1455">
        <v>60.78</v>
      </c>
      <c r="O1455" t="s">
        <v>244</v>
      </c>
      <c r="P1455">
        <v>10.98</v>
      </c>
      <c r="Q1455">
        <v>10.81</v>
      </c>
      <c r="R1455">
        <v>10.96</v>
      </c>
      <c r="S1455">
        <v>10.95</v>
      </c>
      <c r="T1455">
        <v>1.55</v>
      </c>
      <c r="U1455">
        <v>0.88</v>
      </c>
      <c r="V1455">
        <v>-11.16</v>
      </c>
      <c r="W1455">
        <v>-234</v>
      </c>
      <c r="X1455">
        <v>10.87</v>
      </c>
      <c r="Y1455" t="s">
        <v>316</v>
      </c>
      <c r="Z1455">
        <v>4566</v>
      </c>
      <c r="AA1455">
        <v>2.56</v>
      </c>
      <c r="AB1455">
        <v>192</v>
      </c>
      <c r="AC1455">
        <v>200</v>
      </c>
      <c r="AD1455">
        <v>1.46</v>
      </c>
      <c r="AE1455" t="s">
        <v>5591</v>
      </c>
      <c r="AF1455" t="s">
        <v>5556</v>
      </c>
      <c r="AG1455" t="s">
        <v>5591</v>
      </c>
      <c r="AH1455" t="s">
        <v>5556</v>
      </c>
      <c r="AI1455">
        <v>-1.81</v>
      </c>
      <c r="AJ1455">
        <v>-1.72</v>
      </c>
      <c r="AK1455">
        <v>0.66</v>
      </c>
      <c r="AL1455">
        <v>1.35</v>
      </c>
    </row>
    <row r="1456" spans="1:38" x14ac:dyDescent="0.25">
      <c r="A1456">
        <v>1455</v>
      </c>
      <c r="B1456" t="str">
        <f xml:space="preserve"> "603861"</f>
        <v>603861</v>
      </c>
      <c r="C1456" t="s">
        <v>5592</v>
      </c>
      <c r="D1456">
        <v>21.17</v>
      </c>
      <c r="E1456">
        <v>0.81</v>
      </c>
      <c r="F1456">
        <v>0.17</v>
      </c>
      <c r="G1456" t="s">
        <v>2773</v>
      </c>
      <c r="H1456">
        <v>8</v>
      </c>
      <c r="I1456">
        <v>21.17</v>
      </c>
      <c r="J1456">
        <v>21.19</v>
      </c>
      <c r="K1456">
        <v>0</v>
      </c>
      <c r="L1456">
        <v>1.35</v>
      </c>
      <c r="M1456" t="s">
        <v>5593</v>
      </c>
      <c r="N1456">
        <v>98.15</v>
      </c>
      <c r="O1456" t="s">
        <v>680</v>
      </c>
      <c r="P1456">
        <v>21.6</v>
      </c>
      <c r="Q1456">
        <v>21.05</v>
      </c>
      <c r="R1456">
        <v>21.6</v>
      </c>
      <c r="S1456">
        <v>21</v>
      </c>
      <c r="T1456">
        <v>2.62</v>
      </c>
      <c r="U1456">
        <v>0.37</v>
      </c>
      <c r="V1456">
        <v>-19.38</v>
      </c>
      <c r="W1456">
        <v>-100</v>
      </c>
      <c r="X1456">
        <v>21.21</v>
      </c>
      <c r="Y1456">
        <v>8898</v>
      </c>
      <c r="Z1456">
        <v>7390</v>
      </c>
      <c r="AA1456">
        <v>1.2</v>
      </c>
      <c r="AB1456">
        <v>4</v>
      </c>
      <c r="AC1456">
        <v>45</v>
      </c>
      <c r="AD1456">
        <v>4.6500000000000004</v>
      </c>
      <c r="AE1456" t="s">
        <v>139</v>
      </c>
      <c r="AF1456" t="s">
        <v>5556</v>
      </c>
      <c r="AG1456" t="s">
        <v>3574</v>
      </c>
      <c r="AH1456" t="s">
        <v>3243</v>
      </c>
      <c r="AI1456">
        <v>-3.38</v>
      </c>
      <c r="AJ1456">
        <v>-8.24</v>
      </c>
      <c r="AK1456">
        <v>6.15</v>
      </c>
      <c r="AL1456">
        <v>19.34</v>
      </c>
    </row>
    <row r="1457" spans="1:38" x14ac:dyDescent="0.25">
      <c r="A1457">
        <v>1456</v>
      </c>
      <c r="B1457" t="str">
        <f xml:space="preserve"> "603648"</f>
        <v>603648</v>
      </c>
      <c r="C1457" t="s">
        <v>5594</v>
      </c>
      <c r="D1457">
        <v>23.49</v>
      </c>
      <c r="E1457">
        <v>-0.89</v>
      </c>
      <c r="F1457">
        <v>-0.21</v>
      </c>
      <c r="G1457" t="s">
        <v>2043</v>
      </c>
      <c r="H1457">
        <v>15</v>
      </c>
      <c r="I1457">
        <v>23.47</v>
      </c>
      <c r="J1457">
        <v>23.48</v>
      </c>
      <c r="K1457">
        <v>-0.13</v>
      </c>
      <c r="L1457">
        <v>21.77</v>
      </c>
      <c r="M1457" t="s">
        <v>4438</v>
      </c>
      <c r="N1457">
        <v>53.35</v>
      </c>
      <c r="O1457" t="s">
        <v>274</v>
      </c>
      <c r="P1457">
        <v>24.45</v>
      </c>
      <c r="Q1457">
        <v>23.1</v>
      </c>
      <c r="R1457">
        <v>24</v>
      </c>
      <c r="S1457">
        <v>23.7</v>
      </c>
      <c r="T1457">
        <v>5.7</v>
      </c>
      <c r="U1457">
        <v>0.62</v>
      </c>
      <c r="V1457">
        <v>1.05</v>
      </c>
      <c r="W1457">
        <v>12</v>
      </c>
      <c r="X1457">
        <v>23.72</v>
      </c>
      <c r="Y1457" t="s">
        <v>363</v>
      </c>
      <c r="Z1457" t="s">
        <v>5595</v>
      </c>
      <c r="AA1457">
        <v>1.2</v>
      </c>
      <c r="AB1457">
        <v>161</v>
      </c>
      <c r="AC1457">
        <v>30</v>
      </c>
      <c r="AD1457">
        <v>5.83</v>
      </c>
      <c r="AE1457" t="s">
        <v>4391</v>
      </c>
      <c r="AF1457" t="s">
        <v>5556</v>
      </c>
      <c r="AG1457" t="s">
        <v>5596</v>
      </c>
      <c r="AH1457" t="s">
        <v>4000</v>
      </c>
      <c r="AI1457">
        <v>-3.53</v>
      </c>
      <c r="AJ1457">
        <v>-10.99</v>
      </c>
      <c r="AK1457">
        <v>94.16</v>
      </c>
      <c r="AL1457">
        <v>197.24</v>
      </c>
    </row>
    <row r="1458" spans="1:38" x14ac:dyDescent="0.25">
      <c r="A1458">
        <v>1457</v>
      </c>
      <c r="B1458" t="str">
        <f xml:space="preserve"> "601882"</f>
        <v>601882</v>
      </c>
      <c r="C1458" t="s">
        <v>5597</v>
      </c>
      <c r="D1458">
        <v>16.579999999999998</v>
      </c>
      <c r="E1458">
        <v>2.0299999999999998</v>
      </c>
      <c r="F1458">
        <v>0.33</v>
      </c>
      <c r="G1458" t="s">
        <v>4303</v>
      </c>
      <c r="H1458">
        <v>4</v>
      </c>
      <c r="I1458">
        <v>16.57</v>
      </c>
      <c r="J1458">
        <v>16.579999999999998</v>
      </c>
      <c r="K1458">
        <v>0</v>
      </c>
      <c r="L1458">
        <v>3.19</v>
      </c>
      <c r="M1458" t="s">
        <v>5598</v>
      </c>
      <c r="N1458">
        <v>89.19</v>
      </c>
      <c r="O1458" t="s">
        <v>648</v>
      </c>
      <c r="P1458">
        <v>16.670000000000002</v>
      </c>
      <c r="Q1458">
        <v>16.02</v>
      </c>
      <c r="R1458">
        <v>16.239999999999998</v>
      </c>
      <c r="S1458">
        <v>16.25</v>
      </c>
      <c r="T1458">
        <v>4</v>
      </c>
      <c r="U1458">
        <v>1.43</v>
      </c>
      <c r="V1458">
        <v>-64.819999999999993</v>
      </c>
      <c r="W1458">
        <v>-534</v>
      </c>
      <c r="X1458">
        <v>16.48</v>
      </c>
      <c r="Y1458">
        <v>7094</v>
      </c>
      <c r="Z1458">
        <v>9582</v>
      </c>
      <c r="AA1458">
        <v>0.74</v>
      </c>
      <c r="AB1458">
        <v>17</v>
      </c>
      <c r="AC1458">
        <v>28</v>
      </c>
      <c r="AD1458">
        <v>7.8</v>
      </c>
      <c r="AE1458" t="s">
        <v>4417</v>
      </c>
      <c r="AF1458" t="s">
        <v>3963</v>
      </c>
      <c r="AG1458" t="s">
        <v>5599</v>
      </c>
      <c r="AH1458" t="s">
        <v>3416</v>
      </c>
      <c r="AI1458">
        <v>0.42</v>
      </c>
      <c r="AJ1458">
        <v>4.28</v>
      </c>
      <c r="AK1458">
        <v>7.32</v>
      </c>
      <c r="AL1458">
        <v>14.35</v>
      </c>
    </row>
    <row r="1459" spans="1:38" x14ac:dyDescent="0.25">
      <c r="A1459">
        <v>1458</v>
      </c>
      <c r="B1459" t="str">
        <f xml:space="preserve"> "601058"</f>
        <v>601058</v>
      </c>
      <c r="C1459" t="s">
        <v>5600</v>
      </c>
      <c r="D1459">
        <v>3.77</v>
      </c>
      <c r="E1459">
        <v>-0.26</v>
      </c>
      <c r="F1459">
        <v>-0.01</v>
      </c>
      <c r="G1459" t="s">
        <v>371</v>
      </c>
      <c r="H1459">
        <v>1</v>
      </c>
      <c r="I1459">
        <v>3.77</v>
      </c>
      <c r="J1459">
        <v>3.78</v>
      </c>
      <c r="K1459">
        <v>0</v>
      </c>
      <c r="L1459">
        <v>0.5</v>
      </c>
      <c r="M1459" t="s">
        <v>5601</v>
      </c>
      <c r="N1459">
        <v>225.01</v>
      </c>
      <c r="O1459" t="s">
        <v>169</v>
      </c>
      <c r="P1459">
        <v>3.82</v>
      </c>
      <c r="Q1459">
        <v>3.76</v>
      </c>
      <c r="R1459">
        <v>3.78</v>
      </c>
      <c r="S1459">
        <v>3.78</v>
      </c>
      <c r="T1459">
        <v>1.59</v>
      </c>
      <c r="U1459">
        <v>0.41</v>
      </c>
      <c r="V1459">
        <v>-61.44</v>
      </c>
      <c r="W1459" t="s">
        <v>5602</v>
      </c>
      <c r="X1459">
        <v>3.79</v>
      </c>
      <c r="Y1459" t="s">
        <v>5022</v>
      </c>
      <c r="Z1459" t="s">
        <v>875</v>
      </c>
      <c r="AA1459">
        <v>1.32</v>
      </c>
      <c r="AB1459">
        <v>659</v>
      </c>
      <c r="AC1459">
        <v>2129</v>
      </c>
      <c r="AD1459">
        <v>1.96</v>
      </c>
      <c r="AE1459" t="s">
        <v>3616</v>
      </c>
      <c r="AF1459" t="s">
        <v>3963</v>
      </c>
      <c r="AG1459" t="s">
        <v>1720</v>
      </c>
      <c r="AH1459" t="s">
        <v>577</v>
      </c>
      <c r="AI1459">
        <v>-1.05</v>
      </c>
      <c r="AJ1459">
        <v>4.1399999999999997</v>
      </c>
      <c r="AK1459">
        <v>2.68</v>
      </c>
      <c r="AL1459">
        <v>6.6</v>
      </c>
    </row>
    <row r="1460" spans="1:38" x14ac:dyDescent="0.25">
      <c r="A1460">
        <v>1459</v>
      </c>
      <c r="B1460" t="str">
        <f xml:space="preserve"> "600603"</f>
        <v>600603</v>
      </c>
      <c r="C1460" t="s">
        <v>5603</v>
      </c>
      <c r="D1460">
        <v>9.84</v>
      </c>
      <c r="E1460">
        <v>2.39</v>
      </c>
      <c r="F1460">
        <v>0.23</v>
      </c>
      <c r="G1460" t="s">
        <v>3660</v>
      </c>
      <c r="H1460">
        <v>573</v>
      </c>
      <c r="I1460">
        <v>9.83</v>
      </c>
      <c r="J1460">
        <v>9.85</v>
      </c>
      <c r="K1460">
        <v>1.23</v>
      </c>
      <c r="L1460">
        <v>6.87</v>
      </c>
      <c r="M1460" t="s">
        <v>1710</v>
      </c>
      <c r="N1460">
        <v>38.64</v>
      </c>
      <c r="O1460" t="s">
        <v>274</v>
      </c>
      <c r="P1460">
        <v>9.89</v>
      </c>
      <c r="Q1460">
        <v>9.24</v>
      </c>
      <c r="R1460">
        <v>9.48</v>
      </c>
      <c r="S1460">
        <v>9.61</v>
      </c>
      <c r="T1460">
        <v>6.76</v>
      </c>
      <c r="U1460">
        <v>1.62</v>
      </c>
      <c r="V1460">
        <v>-31.25</v>
      </c>
      <c r="W1460">
        <v>-503</v>
      </c>
      <c r="X1460">
        <v>9.52</v>
      </c>
      <c r="Y1460" t="s">
        <v>1222</v>
      </c>
      <c r="Z1460" t="s">
        <v>1901</v>
      </c>
      <c r="AA1460">
        <v>1.21</v>
      </c>
      <c r="AB1460">
        <v>23</v>
      </c>
      <c r="AC1460">
        <v>369</v>
      </c>
      <c r="AD1460">
        <v>1.52</v>
      </c>
      <c r="AE1460" t="s">
        <v>1027</v>
      </c>
      <c r="AF1460" t="s">
        <v>3963</v>
      </c>
      <c r="AG1460" t="s">
        <v>2333</v>
      </c>
      <c r="AH1460" t="s">
        <v>1223</v>
      </c>
      <c r="AI1460">
        <v>14.42</v>
      </c>
      <c r="AJ1460">
        <v>13.63</v>
      </c>
      <c r="AK1460">
        <v>23.76</v>
      </c>
      <c r="AL1460">
        <v>28.08</v>
      </c>
    </row>
    <row r="1461" spans="1:38" x14ac:dyDescent="0.25">
      <c r="A1461">
        <v>1460</v>
      </c>
      <c r="B1461" t="str">
        <f xml:space="preserve"> "603920"</f>
        <v>603920</v>
      </c>
      <c r="C1461" t="s">
        <v>5604</v>
      </c>
      <c r="D1461">
        <v>21.48</v>
      </c>
      <c r="E1461">
        <v>0.8</v>
      </c>
      <c r="F1461">
        <v>0.17</v>
      </c>
      <c r="G1461" t="s">
        <v>3781</v>
      </c>
      <c r="H1461">
        <v>2</v>
      </c>
      <c r="I1461">
        <v>21.48</v>
      </c>
      <c r="J1461">
        <v>21.49</v>
      </c>
      <c r="K1461">
        <v>0.14000000000000001</v>
      </c>
      <c r="L1461">
        <v>4.29</v>
      </c>
      <c r="M1461" t="s">
        <v>5605</v>
      </c>
      <c r="N1461">
        <v>43.62</v>
      </c>
      <c r="O1461" t="s">
        <v>380</v>
      </c>
      <c r="P1461">
        <v>21.72</v>
      </c>
      <c r="Q1461">
        <v>21.26</v>
      </c>
      <c r="R1461">
        <v>21.26</v>
      </c>
      <c r="S1461">
        <v>21.31</v>
      </c>
      <c r="T1461">
        <v>2.16</v>
      </c>
      <c r="U1461">
        <v>0.56000000000000005</v>
      </c>
      <c r="V1461">
        <v>-30.62</v>
      </c>
      <c r="W1461">
        <v>-256</v>
      </c>
      <c r="X1461">
        <v>21.5</v>
      </c>
      <c r="Y1461" t="s">
        <v>1504</v>
      </c>
      <c r="Z1461" t="s">
        <v>884</v>
      </c>
      <c r="AA1461">
        <v>0.97</v>
      </c>
      <c r="AB1461">
        <v>13</v>
      </c>
      <c r="AC1461">
        <v>295</v>
      </c>
      <c r="AD1461">
        <v>3.8</v>
      </c>
      <c r="AE1461" t="s">
        <v>2640</v>
      </c>
      <c r="AF1461" t="s">
        <v>4258</v>
      </c>
      <c r="AG1461" t="s">
        <v>5606</v>
      </c>
      <c r="AH1461" t="s">
        <v>784</v>
      </c>
      <c r="AI1461">
        <v>-2.36</v>
      </c>
      <c r="AJ1461">
        <v>0.19</v>
      </c>
      <c r="AK1461">
        <v>15.52</v>
      </c>
      <c r="AL1461">
        <v>42.29</v>
      </c>
    </row>
    <row r="1462" spans="1:38" x14ac:dyDescent="0.25">
      <c r="A1462">
        <v>1461</v>
      </c>
      <c r="B1462" t="str">
        <f xml:space="preserve"> "300201"</f>
        <v>300201</v>
      </c>
      <c r="C1462" t="s">
        <v>5607</v>
      </c>
      <c r="D1462">
        <v>8.2899999999999991</v>
      </c>
      <c r="E1462">
        <v>0.12</v>
      </c>
      <c r="F1462">
        <v>0.01</v>
      </c>
      <c r="G1462" t="s">
        <v>698</v>
      </c>
      <c r="H1462">
        <v>1341</v>
      </c>
      <c r="I1462">
        <v>8.2899999999999991</v>
      </c>
      <c r="J1462">
        <v>8.3000000000000007</v>
      </c>
      <c r="K1462">
        <v>0</v>
      </c>
      <c r="L1462">
        <v>0.55000000000000004</v>
      </c>
      <c r="M1462" t="s">
        <v>5608</v>
      </c>
      <c r="N1462">
        <v>152.38999999999999</v>
      </c>
      <c r="O1462" t="s">
        <v>169</v>
      </c>
      <c r="P1462">
        <v>8.3800000000000008</v>
      </c>
      <c r="Q1462">
        <v>8.23</v>
      </c>
      <c r="R1462">
        <v>8.3000000000000007</v>
      </c>
      <c r="S1462">
        <v>8.2799999999999994</v>
      </c>
      <c r="T1462">
        <v>1.81</v>
      </c>
      <c r="U1462">
        <v>0.66</v>
      </c>
      <c r="V1462">
        <v>-5.76</v>
      </c>
      <c r="W1462">
        <v>-306</v>
      </c>
      <c r="X1462">
        <v>8.2799999999999994</v>
      </c>
      <c r="Y1462" t="s">
        <v>87</v>
      </c>
      <c r="Z1462" t="s">
        <v>3230</v>
      </c>
      <c r="AA1462">
        <v>1.08</v>
      </c>
      <c r="AB1462">
        <v>827</v>
      </c>
      <c r="AC1462">
        <v>1114</v>
      </c>
      <c r="AD1462">
        <v>6.1</v>
      </c>
      <c r="AE1462" t="s">
        <v>755</v>
      </c>
      <c r="AF1462" t="s">
        <v>4258</v>
      </c>
      <c r="AG1462" t="s">
        <v>305</v>
      </c>
      <c r="AH1462" t="s">
        <v>3479</v>
      </c>
      <c r="AI1462">
        <v>1.59</v>
      </c>
      <c r="AJ1462">
        <v>4.0199999999999996</v>
      </c>
      <c r="AK1462">
        <v>2.85</v>
      </c>
      <c r="AL1462">
        <v>4.78</v>
      </c>
    </row>
    <row r="1463" spans="1:38" x14ac:dyDescent="0.25">
      <c r="A1463">
        <v>1462</v>
      </c>
      <c r="B1463" t="str">
        <f xml:space="preserve"> "603579"</f>
        <v>603579</v>
      </c>
      <c r="C1463" t="s">
        <v>5609</v>
      </c>
      <c r="D1463">
        <v>61.6</v>
      </c>
      <c r="E1463">
        <v>3.41</v>
      </c>
      <c r="F1463">
        <v>2.0299999999999998</v>
      </c>
      <c r="G1463" t="s">
        <v>2453</v>
      </c>
      <c r="H1463">
        <v>5</v>
      </c>
      <c r="I1463">
        <v>61.62</v>
      </c>
      <c r="J1463">
        <v>61.64</v>
      </c>
      <c r="K1463">
        <v>0</v>
      </c>
      <c r="L1463">
        <v>4.22</v>
      </c>
      <c r="M1463" t="s">
        <v>5610</v>
      </c>
      <c r="N1463">
        <v>38.76</v>
      </c>
      <c r="O1463" t="s">
        <v>2647</v>
      </c>
      <c r="P1463">
        <v>62.6</v>
      </c>
      <c r="Q1463">
        <v>59.56</v>
      </c>
      <c r="R1463">
        <v>59.56</v>
      </c>
      <c r="S1463">
        <v>59.57</v>
      </c>
      <c r="T1463">
        <v>5.0999999999999996</v>
      </c>
      <c r="U1463">
        <v>1.32</v>
      </c>
      <c r="V1463">
        <v>46.67</v>
      </c>
      <c r="W1463">
        <v>35</v>
      </c>
      <c r="X1463">
        <v>61.48</v>
      </c>
      <c r="Y1463">
        <v>5826</v>
      </c>
      <c r="Z1463">
        <v>8951</v>
      </c>
      <c r="AA1463">
        <v>0.65</v>
      </c>
      <c r="AB1463">
        <v>4</v>
      </c>
      <c r="AC1463">
        <v>2</v>
      </c>
      <c r="AD1463">
        <v>6.87</v>
      </c>
      <c r="AE1463" t="s">
        <v>3110</v>
      </c>
      <c r="AF1463" t="s">
        <v>5611</v>
      </c>
      <c r="AG1463" t="s">
        <v>4537</v>
      </c>
      <c r="AH1463" t="s">
        <v>4000</v>
      </c>
      <c r="AI1463">
        <v>-0.85</v>
      </c>
      <c r="AJ1463">
        <v>4.55</v>
      </c>
      <c r="AK1463">
        <v>10.94</v>
      </c>
      <c r="AL1463">
        <v>20.170000000000002</v>
      </c>
    </row>
    <row r="1464" spans="1:38" x14ac:dyDescent="0.25">
      <c r="A1464">
        <v>1463</v>
      </c>
      <c r="B1464" t="str">
        <f xml:space="preserve"> "300304"</f>
        <v>300304</v>
      </c>
      <c r="C1464" t="s">
        <v>5612</v>
      </c>
      <c r="D1464">
        <v>9.8800000000000008</v>
      </c>
      <c r="E1464">
        <v>1.02</v>
      </c>
      <c r="F1464">
        <v>0.1</v>
      </c>
      <c r="G1464" t="s">
        <v>3660</v>
      </c>
      <c r="H1464">
        <v>3415</v>
      </c>
      <c r="I1464">
        <v>9.8800000000000008</v>
      </c>
      <c r="J1464">
        <v>9.89</v>
      </c>
      <c r="K1464">
        <v>-0.1</v>
      </c>
      <c r="L1464">
        <v>2.23</v>
      </c>
      <c r="M1464" t="s">
        <v>2267</v>
      </c>
      <c r="N1464">
        <v>55.5</v>
      </c>
      <c r="O1464" t="s">
        <v>169</v>
      </c>
      <c r="P1464">
        <v>9.9499999999999993</v>
      </c>
      <c r="Q1464">
        <v>9.67</v>
      </c>
      <c r="R1464">
        <v>9.7799999999999994</v>
      </c>
      <c r="S1464">
        <v>9.7799999999999994</v>
      </c>
      <c r="T1464">
        <v>2.86</v>
      </c>
      <c r="U1464">
        <v>0.46</v>
      </c>
      <c r="V1464">
        <v>-47.64</v>
      </c>
      <c r="W1464">
        <v>-4497</v>
      </c>
      <c r="X1464">
        <v>9.84</v>
      </c>
      <c r="Y1464" t="s">
        <v>2480</v>
      </c>
      <c r="Z1464" t="s">
        <v>4635</v>
      </c>
      <c r="AA1464">
        <v>1.08</v>
      </c>
      <c r="AB1464">
        <v>1315</v>
      </c>
      <c r="AC1464">
        <v>2089</v>
      </c>
      <c r="AD1464">
        <v>5.12</v>
      </c>
      <c r="AE1464" t="s">
        <v>3193</v>
      </c>
      <c r="AF1464" t="s">
        <v>5611</v>
      </c>
      <c r="AG1464" t="s">
        <v>4386</v>
      </c>
      <c r="AH1464" t="s">
        <v>5613</v>
      </c>
      <c r="AI1464">
        <v>-8.43</v>
      </c>
      <c r="AJ1464">
        <v>-1.3</v>
      </c>
      <c r="AK1464">
        <v>12.43</v>
      </c>
      <c r="AL1464">
        <v>26.4</v>
      </c>
    </row>
    <row r="1465" spans="1:38" x14ac:dyDescent="0.25">
      <c r="A1465">
        <v>1464</v>
      </c>
      <c r="B1465" t="str">
        <f xml:space="preserve"> "300143"</f>
        <v>300143</v>
      </c>
      <c r="C1465" t="s">
        <v>5614</v>
      </c>
      <c r="D1465">
        <v>29.85</v>
      </c>
      <c r="E1465">
        <v>-0.5</v>
      </c>
      <c r="F1465">
        <v>-0.15</v>
      </c>
      <c r="G1465">
        <v>8993</v>
      </c>
      <c r="H1465">
        <v>153</v>
      </c>
      <c r="I1465">
        <v>29.85</v>
      </c>
      <c r="J1465">
        <v>29.9</v>
      </c>
      <c r="K1465">
        <v>-0.1</v>
      </c>
      <c r="L1465">
        <v>0.61</v>
      </c>
      <c r="M1465" t="s">
        <v>5615</v>
      </c>
      <c r="N1465">
        <v>53.07</v>
      </c>
      <c r="O1465" t="s">
        <v>1552</v>
      </c>
      <c r="P1465">
        <v>30.26</v>
      </c>
      <c r="Q1465">
        <v>29.8</v>
      </c>
      <c r="R1465">
        <v>30.26</v>
      </c>
      <c r="S1465">
        <v>30</v>
      </c>
      <c r="T1465">
        <v>1.53</v>
      </c>
      <c r="U1465">
        <v>0.69</v>
      </c>
      <c r="V1465">
        <v>11.83</v>
      </c>
      <c r="W1465">
        <v>44</v>
      </c>
      <c r="X1465">
        <v>29.98</v>
      </c>
      <c r="Y1465">
        <v>4992</v>
      </c>
      <c r="Z1465">
        <v>4001</v>
      </c>
      <c r="AA1465">
        <v>1.25</v>
      </c>
      <c r="AB1465">
        <v>89</v>
      </c>
      <c r="AC1465">
        <v>50</v>
      </c>
      <c r="AD1465">
        <v>3.78</v>
      </c>
      <c r="AE1465" t="s">
        <v>2668</v>
      </c>
      <c r="AF1465" t="s">
        <v>4202</v>
      </c>
      <c r="AG1465" t="s">
        <v>1862</v>
      </c>
      <c r="AH1465" t="s">
        <v>5616</v>
      </c>
      <c r="AI1465">
        <v>-4.3899999999999997</v>
      </c>
      <c r="AJ1465">
        <v>0.64</v>
      </c>
      <c r="AK1465">
        <v>2.74</v>
      </c>
      <c r="AL1465">
        <v>5.0599999999999996</v>
      </c>
    </row>
    <row r="1466" spans="1:38" x14ac:dyDescent="0.25">
      <c r="A1466">
        <v>1465</v>
      </c>
      <c r="B1466" t="str">
        <f xml:space="preserve"> "600495"</f>
        <v>600495</v>
      </c>
      <c r="C1466" t="s">
        <v>5617</v>
      </c>
      <c r="D1466">
        <v>7.12</v>
      </c>
      <c r="E1466">
        <v>0.71</v>
      </c>
      <c r="F1466">
        <v>0.05</v>
      </c>
      <c r="G1466" t="s">
        <v>362</v>
      </c>
      <c r="H1466">
        <v>50</v>
      </c>
      <c r="I1466">
        <v>7.11</v>
      </c>
      <c r="J1466">
        <v>7.12</v>
      </c>
      <c r="K1466">
        <v>0.14000000000000001</v>
      </c>
      <c r="L1466">
        <v>0.86</v>
      </c>
      <c r="M1466" t="s">
        <v>5618</v>
      </c>
      <c r="N1466">
        <v>323.10000000000002</v>
      </c>
      <c r="O1466" t="s">
        <v>253</v>
      </c>
      <c r="P1466">
        <v>7.13</v>
      </c>
      <c r="Q1466">
        <v>7.07</v>
      </c>
      <c r="R1466">
        <v>7.08</v>
      </c>
      <c r="S1466">
        <v>7.07</v>
      </c>
      <c r="T1466">
        <v>0.85</v>
      </c>
      <c r="U1466">
        <v>1.1599999999999999</v>
      </c>
      <c r="V1466">
        <v>-45.33</v>
      </c>
      <c r="W1466" t="s">
        <v>5619</v>
      </c>
      <c r="X1466">
        <v>7.1</v>
      </c>
      <c r="Y1466" t="s">
        <v>875</v>
      </c>
      <c r="Z1466" t="s">
        <v>3666</v>
      </c>
      <c r="AA1466">
        <v>0.87</v>
      </c>
      <c r="AB1466">
        <v>1740</v>
      </c>
      <c r="AC1466">
        <v>3430</v>
      </c>
      <c r="AD1466">
        <v>2.76</v>
      </c>
      <c r="AE1466" t="s">
        <v>2071</v>
      </c>
      <c r="AF1466" t="s">
        <v>1837</v>
      </c>
      <c r="AG1466" t="s">
        <v>2071</v>
      </c>
      <c r="AH1466" t="s">
        <v>1837</v>
      </c>
      <c r="AI1466">
        <v>-0.14000000000000001</v>
      </c>
      <c r="AJ1466">
        <v>1.42</v>
      </c>
      <c r="AK1466">
        <v>2.31</v>
      </c>
      <c r="AL1466">
        <v>4.58</v>
      </c>
    </row>
    <row r="1467" spans="1:38" x14ac:dyDescent="0.25">
      <c r="A1467">
        <v>1466</v>
      </c>
      <c r="B1467" t="str">
        <f xml:space="preserve"> "300625"</f>
        <v>300625</v>
      </c>
      <c r="C1467" t="s">
        <v>5620</v>
      </c>
      <c r="D1467">
        <v>30.72</v>
      </c>
      <c r="E1467">
        <v>1.76</v>
      </c>
      <c r="F1467">
        <v>0.53</v>
      </c>
      <c r="G1467" t="s">
        <v>4666</v>
      </c>
      <c r="H1467">
        <v>744</v>
      </c>
      <c r="I1467">
        <v>30.72</v>
      </c>
      <c r="J1467">
        <v>30.73</v>
      </c>
      <c r="K1467">
        <v>-0.1</v>
      </c>
      <c r="L1467">
        <v>5.43</v>
      </c>
      <c r="M1467" t="s">
        <v>2748</v>
      </c>
      <c r="N1467">
        <v>48.46</v>
      </c>
      <c r="O1467" t="s">
        <v>380</v>
      </c>
      <c r="P1467">
        <v>30.81</v>
      </c>
      <c r="Q1467">
        <v>30</v>
      </c>
      <c r="R1467">
        <v>30</v>
      </c>
      <c r="S1467">
        <v>30.19</v>
      </c>
      <c r="T1467">
        <v>2.68</v>
      </c>
      <c r="U1467">
        <v>1.73</v>
      </c>
      <c r="V1467">
        <v>2.1</v>
      </c>
      <c r="W1467">
        <v>38</v>
      </c>
      <c r="X1467">
        <v>30.55</v>
      </c>
      <c r="Y1467" t="s">
        <v>5621</v>
      </c>
      <c r="Z1467" t="s">
        <v>2786</v>
      </c>
      <c r="AA1467">
        <v>0.56000000000000005</v>
      </c>
      <c r="AB1467">
        <v>93</v>
      </c>
      <c r="AC1467">
        <v>13</v>
      </c>
      <c r="AD1467">
        <v>4.1100000000000003</v>
      </c>
      <c r="AE1467" t="s">
        <v>3227</v>
      </c>
      <c r="AF1467" t="s">
        <v>1837</v>
      </c>
      <c r="AG1467" t="s">
        <v>5155</v>
      </c>
      <c r="AH1467" t="s">
        <v>1335</v>
      </c>
      <c r="AI1467">
        <v>0.52</v>
      </c>
      <c r="AJ1467">
        <v>5.49</v>
      </c>
      <c r="AK1467">
        <v>12.73</v>
      </c>
      <c r="AL1467">
        <v>21.14</v>
      </c>
    </row>
    <row r="1468" spans="1:38" x14ac:dyDescent="0.25">
      <c r="A1468">
        <v>1467</v>
      </c>
      <c r="B1468" t="str">
        <f xml:space="preserve"> "600726"</f>
        <v>600726</v>
      </c>
      <c r="C1468" t="s">
        <v>5622</v>
      </c>
      <c r="D1468">
        <v>4.37</v>
      </c>
      <c r="E1468">
        <v>0.23</v>
      </c>
      <c r="F1468">
        <v>0.01</v>
      </c>
      <c r="G1468" t="s">
        <v>1090</v>
      </c>
      <c r="H1468">
        <v>2</v>
      </c>
      <c r="I1468">
        <v>4.3600000000000003</v>
      </c>
      <c r="J1468">
        <v>4.37</v>
      </c>
      <c r="K1468">
        <v>0</v>
      </c>
      <c r="L1468">
        <v>0.24</v>
      </c>
      <c r="M1468" t="s">
        <v>5623</v>
      </c>
      <c r="N1468">
        <v>41.01</v>
      </c>
      <c r="O1468" t="s">
        <v>186</v>
      </c>
      <c r="P1468">
        <v>4.3899999999999997</v>
      </c>
      <c r="Q1468">
        <v>4.34</v>
      </c>
      <c r="R1468">
        <v>4.3600000000000003</v>
      </c>
      <c r="S1468">
        <v>4.3600000000000003</v>
      </c>
      <c r="T1468">
        <v>1.1499999999999999</v>
      </c>
      <c r="U1468">
        <v>1</v>
      </c>
      <c r="V1468">
        <v>-19.91</v>
      </c>
      <c r="W1468">
        <v>-3940</v>
      </c>
      <c r="X1468">
        <v>4.37</v>
      </c>
      <c r="Y1468" t="s">
        <v>4118</v>
      </c>
      <c r="Z1468" t="s">
        <v>1578</v>
      </c>
      <c r="AA1468">
        <v>1.23</v>
      </c>
      <c r="AB1468">
        <v>921</v>
      </c>
      <c r="AC1468">
        <v>859</v>
      </c>
      <c r="AD1468">
        <v>2.4500000000000002</v>
      </c>
      <c r="AE1468" t="s">
        <v>1216</v>
      </c>
      <c r="AF1468" t="s">
        <v>2555</v>
      </c>
      <c r="AG1468" t="s">
        <v>122</v>
      </c>
      <c r="AH1468" t="s">
        <v>5179</v>
      </c>
      <c r="AI1468">
        <v>0.23</v>
      </c>
      <c r="AJ1468">
        <v>1.63</v>
      </c>
      <c r="AK1468">
        <v>0.89</v>
      </c>
      <c r="AL1468">
        <v>1.45</v>
      </c>
    </row>
    <row r="1469" spans="1:38" x14ac:dyDescent="0.25">
      <c r="A1469">
        <v>1468</v>
      </c>
      <c r="B1469" t="str">
        <f xml:space="preserve"> "000971"</f>
        <v>000971</v>
      </c>
      <c r="C1469" t="s">
        <v>5624</v>
      </c>
      <c r="D1469">
        <v>16.79</v>
      </c>
      <c r="E1469">
        <v>0.36</v>
      </c>
      <c r="F1469">
        <v>0.06</v>
      </c>
      <c r="G1469" t="s">
        <v>507</v>
      </c>
      <c r="H1469">
        <v>127</v>
      </c>
      <c r="I1469">
        <v>16.78</v>
      </c>
      <c r="J1469">
        <v>16.79</v>
      </c>
      <c r="K1469">
        <v>0.12</v>
      </c>
      <c r="L1469">
        <v>0.8</v>
      </c>
      <c r="M1469" t="s">
        <v>5625</v>
      </c>
      <c r="N1469">
        <v>52.08</v>
      </c>
      <c r="O1469" t="s">
        <v>553</v>
      </c>
      <c r="P1469">
        <v>16.97</v>
      </c>
      <c r="Q1469">
        <v>16.72</v>
      </c>
      <c r="R1469">
        <v>16.8</v>
      </c>
      <c r="S1469">
        <v>16.73</v>
      </c>
      <c r="T1469">
        <v>1.49</v>
      </c>
      <c r="U1469">
        <v>1.17</v>
      </c>
      <c r="V1469">
        <v>52.02</v>
      </c>
      <c r="W1469">
        <v>373</v>
      </c>
      <c r="X1469">
        <v>16.809999999999999</v>
      </c>
      <c r="Y1469">
        <v>9498</v>
      </c>
      <c r="Z1469" t="s">
        <v>4791</v>
      </c>
      <c r="AA1469">
        <v>0.95</v>
      </c>
      <c r="AB1469">
        <v>48</v>
      </c>
      <c r="AC1469">
        <v>2</v>
      </c>
      <c r="AD1469">
        <v>2.38</v>
      </c>
      <c r="AE1469" t="s">
        <v>5626</v>
      </c>
      <c r="AF1469" t="s">
        <v>5627</v>
      </c>
      <c r="AG1469" t="s">
        <v>1928</v>
      </c>
      <c r="AH1469" t="s">
        <v>1265</v>
      </c>
      <c r="AI1469">
        <v>-1.1200000000000001</v>
      </c>
      <c r="AJ1469">
        <v>1.08</v>
      </c>
      <c r="AK1469">
        <v>2.02</v>
      </c>
      <c r="AL1469">
        <v>4.22</v>
      </c>
    </row>
    <row r="1470" spans="1:38" x14ac:dyDescent="0.25">
      <c r="A1470">
        <v>1469</v>
      </c>
      <c r="B1470" t="str">
        <f xml:space="preserve"> "600846"</f>
        <v>600846</v>
      </c>
      <c r="C1470" t="s">
        <v>5628</v>
      </c>
      <c r="D1470">
        <v>13.74</v>
      </c>
      <c r="E1470">
        <v>1.48</v>
      </c>
      <c r="F1470">
        <v>0.2</v>
      </c>
      <c r="G1470" t="s">
        <v>423</v>
      </c>
      <c r="H1470">
        <v>2</v>
      </c>
      <c r="I1470">
        <v>13.74</v>
      </c>
      <c r="J1470">
        <v>13.75</v>
      </c>
      <c r="K1470">
        <v>0.15</v>
      </c>
      <c r="L1470">
        <v>3.39</v>
      </c>
      <c r="M1470" t="s">
        <v>4989</v>
      </c>
      <c r="N1470">
        <v>79.819999999999993</v>
      </c>
      <c r="O1470" t="s">
        <v>263</v>
      </c>
      <c r="P1470">
        <v>13.78</v>
      </c>
      <c r="Q1470">
        <v>13.46</v>
      </c>
      <c r="R1470">
        <v>13.54</v>
      </c>
      <c r="S1470">
        <v>13.54</v>
      </c>
      <c r="T1470">
        <v>2.36</v>
      </c>
      <c r="U1470">
        <v>0.47</v>
      </c>
      <c r="V1470">
        <v>-69.7</v>
      </c>
      <c r="W1470">
        <v>-5526</v>
      </c>
      <c r="X1470">
        <v>13.67</v>
      </c>
      <c r="Y1470" t="s">
        <v>2943</v>
      </c>
      <c r="Z1470" t="s">
        <v>2003</v>
      </c>
      <c r="AA1470">
        <v>0.9</v>
      </c>
      <c r="AB1470">
        <v>102</v>
      </c>
      <c r="AC1470">
        <v>887</v>
      </c>
      <c r="AD1470">
        <v>4.6900000000000004</v>
      </c>
      <c r="AE1470" t="s">
        <v>5629</v>
      </c>
      <c r="AF1470" t="s">
        <v>5627</v>
      </c>
      <c r="AG1470" t="s">
        <v>5629</v>
      </c>
      <c r="AH1470" t="s">
        <v>5627</v>
      </c>
      <c r="AI1470">
        <v>-6.15</v>
      </c>
      <c r="AJ1470">
        <v>-0.15</v>
      </c>
      <c r="AK1470">
        <v>16.13</v>
      </c>
      <c r="AL1470">
        <v>39.450000000000003</v>
      </c>
    </row>
    <row r="1471" spans="1:38" x14ac:dyDescent="0.25">
      <c r="A1471">
        <v>1470</v>
      </c>
      <c r="B1471" t="str">
        <f xml:space="preserve"> "002130"</f>
        <v>002130</v>
      </c>
      <c r="C1471" t="s">
        <v>5630</v>
      </c>
      <c r="D1471">
        <v>6.8</v>
      </c>
      <c r="E1471">
        <v>1.95</v>
      </c>
      <c r="F1471">
        <v>0.13</v>
      </c>
      <c r="G1471" t="s">
        <v>3660</v>
      </c>
      <c r="H1471">
        <v>1923</v>
      </c>
      <c r="I1471">
        <v>6.79</v>
      </c>
      <c r="J1471">
        <v>6.8</v>
      </c>
      <c r="K1471">
        <v>0</v>
      </c>
      <c r="L1471">
        <v>2.06</v>
      </c>
      <c r="M1471" t="s">
        <v>3361</v>
      </c>
      <c r="N1471">
        <v>78.75</v>
      </c>
      <c r="O1471" t="s">
        <v>859</v>
      </c>
      <c r="P1471">
        <v>6.84</v>
      </c>
      <c r="Q1471">
        <v>6.62</v>
      </c>
      <c r="R1471">
        <v>6.67</v>
      </c>
      <c r="S1471">
        <v>6.67</v>
      </c>
      <c r="T1471">
        <v>3.3</v>
      </c>
      <c r="U1471">
        <v>2.19</v>
      </c>
      <c r="V1471">
        <v>-40.78</v>
      </c>
      <c r="W1471" t="s">
        <v>2821</v>
      </c>
      <c r="X1471">
        <v>6.75</v>
      </c>
      <c r="Y1471" t="s">
        <v>5511</v>
      </c>
      <c r="Z1471" t="s">
        <v>1668</v>
      </c>
      <c r="AA1471">
        <v>0.61</v>
      </c>
      <c r="AB1471">
        <v>1978</v>
      </c>
      <c r="AC1471">
        <v>6080</v>
      </c>
      <c r="AD1471">
        <v>3.19</v>
      </c>
      <c r="AE1471" t="s">
        <v>126</v>
      </c>
      <c r="AF1471" t="s">
        <v>5627</v>
      </c>
      <c r="AG1471" t="s">
        <v>1542</v>
      </c>
      <c r="AH1471" t="s">
        <v>1693</v>
      </c>
      <c r="AI1471">
        <v>1.64</v>
      </c>
      <c r="AJ1471">
        <v>4.29</v>
      </c>
      <c r="AK1471">
        <v>4.13</v>
      </c>
      <c r="AL1471">
        <v>6.77</v>
      </c>
    </row>
    <row r="1472" spans="1:38" x14ac:dyDescent="0.25">
      <c r="A1472">
        <v>1471</v>
      </c>
      <c r="B1472" t="str">
        <f xml:space="preserve"> "601700"</f>
        <v>601700</v>
      </c>
      <c r="C1472" t="s">
        <v>5631</v>
      </c>
      <c r="D1472">
        <v>7.57</v>
      </c>
      <c r="E1472">
        <v>0.26</v>
      </c>
      <c r="F1472">
        <v>0.02</v>
      </c>
      <c r="G1472" t="s">
        <v>753</v>
      </c>
      <c r="H1472">
        <v>5</v>
      </c>
      <c r="I1472">
        <v>7.56</v>
      </c>
      <c r="J1472">
        <v>7.57</v>
      </c>
      <c r="K1472">
        <v>-0.13</v>
      </c>
      <c r="L1472">
        <v>0.38</v>
      </c>
      <c r="M1472" t="s">
        <v>5632</v>
      </c>
      <c r="N1472">
        <v>37.42</v>
      </c>
      <c r="O1472" t="s">
        <v>680</v>
      </c>
      <c r="P1472">
        <v>7.61</v>
      </c>
      <c r="Q1472">
        <v>7.45</v>
      </c>
      <c r="R1472">
        <v>7.51</v>
      </c>
      <c r="S1472">
        <v>7.55</v>
      </c>
      <c r="T1472">
        <v>2.12</v>
      </c>
      <c r="U1472">
        <v>0.52</v>
      </c>
      <c r="V1472">
        <v>-38.78</v>
      </c>
      <c r="W1472">
        <v>-1827</v>
      </c>
      <c r="X1472">
        <v>7.55</v>
      </c>
      <c r="Y1472" t="s">
        <v>4374</v>
      </c>
      <c r="Z1472" t="s">
        <v>2444</v>
      </c>
      <c r="AA1472">
        <v>0.82</v>
      </c>
      <c r="AB1472">
        <v>389</v>
      </c>
      <c r="AC1472">
        <v>49</v>
      </c>
      <c r="AD1472">
        <v>2.86</v>
      </c>
      <c r="AE1472" t="s">
        <v>2756</v>
      </c>
      <c r="AF1472" t="s">
        <v>5627</v>
      </c>
      <c r="AG1472" t="s">
        <v>2756</v>
      </c>
      <c r="AH1472" t="s">
        <v>5063</v>
      </c>
      <c r="AI1472">
        <v>2.02</v>
      </c>
      <c r="AJ1472">
        <v>3.84</v>
      </c>
      <c r="AK1472">
        <v>1.8</v>
      </c>
      <c r="AL1472">
        <v>3.96</v>
      </c>
    </row>
    <row r="1473" spans="1:38" x14ac:dyDescent="0.25">
      <c r="A1473">
        <v>1472</v>
      </c>
      <c r="B1473" t="str">
        <f xml:space="preserve"> "002496"</f>
        <v>002496</v>
      </c>
      <c r="C1473" t="s">
        <v>5633</v>
      </c>
      <c r="D1473">
        <v>5.69</v>
      </c>
      <c r="E1473">
        <v>0.18</v>
      </c>
      <c r="F1473">
        <v>0.01</v>
      </c>
      <c r="G1473" t="s">
        <v>521</v>
      </c>
      <c r="H1473">
        <v>1310</v>
      </c>
      <c r="I1473">
        <v>5.68</v>
      </c>
      <c r="J1473">
        <v>5.69</v>
      </c>
      <c r="K1473">
        <v>0.18</v>
      </c>
      <c r="L1473">
        <v>2.44</v>
      </c>
      <c r="M1473" t="s">
        <v>223</v>
      </c>
      <c r="N1473">
        <v>18.32</v>
      </c>
      <c r="O1473" t="s">
        <v>2060</v>
      </c>
      <c r="P1473">
        <v>5.73</v>
      </c>
      <c r="Q1473">
        <v>5.61</v>
      </c>
      <c r="R1473">
        <v>5.66</v>
      </c>
      <c r="S1473">
        <v>5.68</v>
      </c>
      <c r="T1473">
        <v>2.11</v>
      </c>
      <c r="U1473">
        <v>1.1499999999999999</v>
      </c>
      <c r="V1473">
        <v>-13.66</v>
      </c>
      <c r="W1473">
        <v>-3691</v>
      </c>
      <c r="X1473">
        <v>5.68</v>
      </c>
      <c r="Y1473" t="s">
        <v>3073</v>
      </c>
      <c r="Z1473" t="s">
        <v>160</v>
      </c>
      <c r="AA1473">
        <v>0.92</v>
      </c>
      <c r="AB1473">
        <v>5007</v>
      </c>
      <c r="AC1473">
        <v>2938</v>
      </c>
      <c r="AD1473">
        <v>2.38</v>
      </c>
      <c r="AE1473" t="s">
        <v>434</v>
      </c>
      <c r="AF1473" t="s">
        <v>5627</v>
      </c>
      <c r="AG1473" t="s">
        <v>1766</v>
      </c>
      <c r="AH1473" t="s">
        <v>1562</v>
      </c>
      <c r="AI1473">
        <v>4.4000000000000004</v>
      </c>
      <c r="AJ1473">
        <v>6.36</v>
      </c>
      <c r="AK1473">
        <v>10.19</v>
      </c>
      <c r="AL1473">
        <v>13</v>
      </c>
    </row>
    <row r="1474" spans="1:38" x14ac:dyDescent="0.25">
      <c r="A1474">
        <v>1473</v>
      </c>
      <c r="B1474" t="str">
        <f xml:space="preserve"> "002101"</f>
        <v>002101</v>
      </c>
      <c r="C1474" t="s">
        <v>5634</v>
      </c>
      <c r="D1474">
        <v>24.17</v>
      </c>
      <c r="E1474">
        <v>0.96</v>
      </c>
      <c r="F1474">
        <v>0.23</v>
      </c>
      <c r="G1474" t="s">
        <v>2515</v>
      </c>
      <c r="H1474">
        <v>636</v>
      </c>
      <c r="I1474">
        <v>24.16</v>
      </c>
      <c r="J1474">
        <v>24.17</v>
      </c>
      <c r="K1474">
        <v>-0.04</v>
      </c>
      <c r="L1474">
        <v>1.25</v>
      </c>
      <c r="M1474" t="s">
        <v>5635</v>
      </c>
      <c r="N1474">
        <v>28.01</v>
      </c>
      <c r="O1474" t="s">
        <v>169</v>
      </c>
      <c r="P1474">
        <v>24.27</v>
      </c>
      <c r="Q1474">
        <v>23.73</v>
      </c>
      <c r="R1474">
        <v>23.88</v>
      </c>
      <c r="S1474">
        <v>23.94</v>
      </c>
      <c r="T1474">
        <v>2.2599999999999998</v>
      </c>
      <c r="U1474">
        <v>1.28</v>
      </c>
      <c r="V1474">
        <v>-69.849999999999994</v>
      </c>
      <c r="W1474">
        <v>-1691</v>
      </c>
      <c r="X1474">
        <v>24.11</v>
      </c>
      <c r="Y1474" t="s">
        <v>2280</v>
      </c>
      <c r="Z1474" t="s">
        <v>899</v>
      </c>
      <c r="AA1474">
        <v>0.67</v>
      </c>
      <c r="AB1474">
        <v>62</v>
      </c>
      <c r="AC1474">
        <v>1290</v>
      </c>
      <c r="AD1474">
        <v>2.04</v>
      </c>
      <c r="AE1474" t="s">
        <v>2012</v>
      </c>
      <c r="AF1474" t="s">
        <v>2561</v>
      </c>
      <c r="AG1474" t="s">
        <v>1051</v>
      </c>
      <c r="AH1474" t="s">
        <v>5636</v>
      </c>
      <c r="AI1474">
        <v>0.54</v>
      </c>
      <c r="AJ1474">
        <v>5.68</v>
      </c>
      <c r="AK1474">
        <v>2.72</v>
      </c>
      <c r="AL1474">
        <v>6.13</v>
      </c>
    </row>
    <row r="1475" spans="1:38" x14ac:dyDescent="0.25">
      <c r="A1475">
        <v>1474</v>
      </c>
      <c r="B1475" t="str">
        <f xml:space="preserve"> "603165"</f>
        <v>603165</v>
      </c>
      <c r="C1475" t="s">
        <v>5637</v>
      </c>
      <c r="D1475">
        <v>67.650000000000006</v>
      </c>
      <c r="E1475">
        <v>3.11</v>
      </c>
      <c r="F1475">
        <v>2.04</v>
      </c>
      <c r="G1475" t="s">
        <v>1525</v>
      </c>
      <c r="H1475">
        <v>6</v>
      </c>
      <c r="I1475">
        <v>67.62</v>
      </c>
      <c r="J1475">
        <v>67.650000000000006</v>
      </c>
      <c r="K1475">
        <v>-0.21</v>
      </c>
      <c r="L1475">
        <v>9.98</v>
      </c>
      <c r="M1475" t="s">
        <v>1853</v>
      </c>
      <c r="N1475">
        <v>23.71</v>
      </c>
      <c r="O1475" t="s">
        <v>1874</v>
      </c>
      <c r="P1475">
        <v>68.25</v>
      </c>
      <c r="Q1475">
        <v>65.180000000000007</v>
      </c>
      <c r="R1475">
        <v>65.61</v>
      </c>
      <c r="S1475">
        <v>65.61</v>
      </c>
      <c r="T1475">
        <v>4.68</v>
      </c>
      <c r="U1475">
        <v>1.43</v>
      </c>
      <c r="V1475">
        <v>21.57</v>
      </c>
      <c r="W1475">
        <v>33</v>
      </c>
      <c r="X1475">
        <v>67.12</v>
      </c>
      <c r="Y1475" t="s">
        <v>5621</v>
      </c>
      <c r="Z1475" t="s">
        <v>2252</v>
      </c>
      <c r="AA1475">
        <v>0.76</v>
      </c>
      <c r="AB1475">
        <v>30</v>
      </c>
      <c r="AC1475">
        <v>8</v>
      </c>
      <c r="AD1475">
        <v>10.06</v>
      </c>
      <c r="AE1475" t="s">
        <v>315</v>
      </c>
      <c r="AF1475" t="s">
        <v>2561</v>
      </c>
      <c r="AG1475" t="s">
        <v>5638</v>
      </c>
      <c r="AH1475" t="s">
        <v>289</v>
      </c>
      <c r="AI1475">
        <v>-0.04</v>
      </c>
      <c r="AJ1475">
        <v>-2.31</v>
      </c>
      <c r="AK1475">
        <v>24.01</v>
      </c>
      <c r="AL1475">
        <v>40.700000000000003</v>
      </c>
    </row>
    <row r="1476" spans="1:38" x14ac:dyDescent="0.25">
      <c r="A1476">
        <v>1475</v>
      </c>
      <c r="B1476" t="str">
        <f xml:space="preserve"> "300263"</f>
        <v>300263</v>
      </c>
      <c r="C1476" t="s">
        <v>5639</v>
      </c>
      <c r="D1476">
        <v>9.7100000000000009</v>
      </c>
      <c r="E1476">
        <v>0.41</v>
      </c>
      <c r="F1476">
        <v>0.04</v>
      </c>
      <c r="G1476" t="s">
        <v>176</v>
      </c>
      <c r="H1476">
        <v>7332</v>
      </c>
      <c r="I1476">
        <v>9.7100000000000009</v>
      </c>
      <c r="J1476">
        <v>9.7200000000000006</v>
      </c>
      <c r="K1476">
        <v>0.1</v>
      </c>
      <c r="L1476">
        <v>13.06</v>
      </c>
      <c r="M1476" t="s">
        <v>5166</v>
      </c>
      <c r="N1476">
        <v>173.73</v>
      </c>
      <c r="O1476" t="s">
        <v>648</v>
      </c>
      <c r="P1476">
        <v>9.8699999999999992</v>
      </c>
      <c r="Q1476">
        <v>9.4600000000000009</v>
      </c>
      <c r="R1476">
        <v>9.6</v>
      </c>
      <c r="S1476">
        <v>9.67</v>
      </c>
      <c r="T1476">
        <v>4.24</v>
      </c>
      <c r="U1476">
        <v>1.29</v>
      </c>
      <c r="V1476">
        <v>21.5</v>
      </c>
      <c r="W1476">
        <v>3493</v>
      </c>
      <c r="X1476">
        <v>9.67</v>
      </c>
      <c r="Y1476" t="s">
        <v>5640</v>
      </c>
      <c r="Z1476" t="s">
        <v>5641</v>
      </c>
      <c r="AA1476">
        <v>1.1599999999999999</v>
      </c>
      <c r="AB1476">
        <v>4267</v>
      </c>
      <c r="AC1476">
        <v>2007</v>
      </c>
      <c r="AD1476">
        <v>3.52</v>
      </c>
      <c r="AE1476" t="s">
        <v>1987</v>
      </c>
      <c r="AF1476" t="s">
        <v>5063</v>
      </c>
      <c r="AG1476" t="s">
        <v>5642</v>
      </c>
      <c r="AH1476" t="s">
        <v>5643</v>
      </c>
      <c r="AI1476">
        <v>5.43</v>
      </c>
      <c r="AJ1476">
        <v>11.23</v>
      </c>
      <c r="AK1476">
        <v>36.869999999999997</v>
      </c>
      <c r="AL1476">
        <v>63.82</v>
      </c>
    </row>
    <row r="1477" spans="1:38" x14ac:dyDescent="0.25">
      <c r="A1477">
        <v>1476</v>
      </c>
      <c r="B1477" t="str">
        <f xml:space="preserve"> "600577"</f>
        <v>600577</v>
      </c>
      <c r="C1477" t="s">
        <v>5644</v>
      </c>
      <c r="D1477">
        <v>4.38</v>
      </c>
      <c r="E1477">
        <v>0.23</v>
      </c>
      <c r="F1477">
        <v>0.01</v>
      </c>
      <c r="G1477" t="s">
        <v>1252</v>
      </c>
      <c r="H1477">
        <v>19</v>
      </c>
      <c r="I1477">
        <v>4.37</v>
      </c>
      <c r="J1477">
        <v>4.38</v>
      </c>
      <c r="K1477">
        <v>0.46</v>
      </c>
      <c r="L1477">
        <v>0.46</v>
      </c>
      <c r="M1477" t="s">
        <v>5645</v>
      </c>
      <c r="N1477">
        <v>24.77</v>
      </c>
      <c r="O1477" t="s">
        <v>1229</v>
      </c>
      <c r="P1477">
        <v>4.38</v>
      </c>
      <c r="Q1477">
        <v>4.34</v>
      </c>
      <c r="R1477">
        <v>4.37</v>
      </c>
      <c r="S1477">
        <v>4.37</v>
      </c>
      <c r="T1477">
        <v>0.92</v>
      </c>
      <c r="U1477">
        <v>0.98</v>
      </c>
      <c r="V1477">
        <v>-10.44</v>
      </c>
      <c r="W1477">
        <v>-2343</v>
      </c>
      <c r="X1477">
        <v>4.3600000000000003</v>
      </c>
      <c r="Y1477" t="s">
        <v>3050</v>
      </c>
      <c r="Z1477" t="s">
        <v>2559</v>
      </c>
      <c r="AA1477">
        <v>1.64</v>
      </c>
      <c r="AB1477">
        <v>399</v>
      </c>
      <c r="AC1477">
        <v>2849</v>
      </c>
      <c r="AD1477">
        <v>3.02</v>
      </c>
      <c r="AE1477" t="s">
        <v>1193</v>
      </c>
      <c r="AF1477" t="s">
        <v>5063</v>
      </c>
      <c r="AG1477" t="s">
        <v>1193</v>
      </c>
      <c r="AH1477" t="s">
        <v>5063</v>
      </c>
      <c r="AI1477">
        <v>-0.45</v>
      </c>
      <c r="AJ1477">
        <v>2.34</v>
      </c>
      <c r="AK1477">
        <v>1.35</v>
      </c>
      <c r="AL1477">
        <v>2.8</v>
      </c>
    </row>
    <row r="1478" spans="1:38" x14ac:dyDescent="0.25">
      <c r="A1478">
        <v>1477</v>
      </c>
      <c r="B1478" t="str">
        <f xml:space="preserve"> "300369"</f>
        <v>300369</v>
      </c>
      <c r="C1478" t="s">
        <v>5646</v>
      </c>
      <c r="D1478">
        <v>10.74</v>
      </c>
      <c r="E1478">
        <v>-0.56000000000000005</v>
      </c>
      <c r="F1478">
        <v>-0.06</v>
      </c>
      <c r="G1478" t="s">
        <v>3606</v>
      </c>
      <c r="H1478">
        <v>785</v>
      </c>
      <c r="I1478">
        <v>10.73</v>
      </c>
      <c r="J1478">
        <v>10.74</v>
      </c>
      <c r="K1478">
        <v>0</v>
      </c>
      <c r="L1478">
        <v>0.85</v>
      </c>
      <c r="M1478" t="s">
        <v>5647</v>
      </c>
      <c r="N1478">
        <v>-92.24</v>
      </c>
      <c r="O1478" t="s">
        <v>893</v>
      </c>
      <c r="P1478">
        <v>10.79</v>
      </c>
      <c r="Q1478">
        <v>10.63</v>
      </c>
      <c r="R1478">
        <v>10.79</v>
      </c>
      <c r="S1478">
        <v>10.8</v>
      </c>
      <c r="T1478">
        <v>1.48</v>
      </c>
      <c r="U1478">
        <v>0.47</v>
      </c>
      <c r="V1478">
        <v>-2.34</v>
      </c>
      <c r="W1478">
        <v>-41</v>
      </c>
      <c r="X1478">
        <v>10.71</v>
      </c>
      <c r="Y1478" t="s">
        <v>3086</v>
      </c>
      <c r="Z1478" t="s">
        <v>1683</v>
      </c>
      <c r="AA1478">
        <v>1.71</v>
      </c>
      <c r="AB1478">
        <v>62</v>
      </c>
      <c r="AC1478">
        <v>292</v>
      </c>
      <c r="AD1478">
        <v>3.27</v>
      </c>
      <c r="AE1478" t="s">
        <v>3358</v>
      </c>
      <c r="AF1478" t="s">
        <v>5063</v>
      </c>
      <c r="AG1478" t="s">
        <v>522</v>
      </c>
      <c r="AH1478" t="s">
        <v>5648</v>
      </c>
      <c r="AI1478">
        <v>-0.28000000000000003</v>
      </c>
      <c r="AJ1478">
        <v>6.76</v>
      </c>
      <c r="AK1478">
        <v>4.5999999999999996</v>
      </c>
      <c r="AL1478">
        <v>9.82</v>
      </c>
    </row>
    <row r="1479" spans="1:38" x14ac:dyDescent="0.25">
      <c r="A1479">
        <v>1478</v>
      </c>
      <c r="B1479" t="str">
        <f xml:space="preserve"> "300607"</f>
        <v>300607</v>
      </c>
      <c r="C1479" t="s">
        <v>5649</v>
      </c>
      <c r="D1479">
        <v>65.599999999999994</v>
      </c>
      <c r="E1479">
        <v>1.36</v>
      </c>
      <c r="F1479">
        <v>0.88</v>
      </c>
      <c r="G1479" t="s">
        <v>1153</v>
      </c>
      <c r="H1479">
        <v>222</v>
      </c>
      <c r="I1479">
        <v>65.599999999999994</v>
      </c>
      <c r="J1479">
        <v>65.62</v>
      </c>
      <c r="K1479">
        <v>0.02</v>
      </c>
      <c r="L1479">
        <v>4.28</v>
      </c>
      <c r="M1479" t="s">
        <v>2297</v>
      </c>
      <c r="N1479">
        <v>78.239999999999995</v>
      </c>
      <c r="O1479" t="s">
        <v>648</v>
      </c>
      <c r="P1479">
        <v>65.989999999999995</v>
      </c>
      <c r="Q1479">
        <v>63.6</v>
      </c>
      <c r="R1479">
        <v>65.540000000000006</v>
      </c>
      <c r="S1479">
        <v>64.72</v>
      </c>
      <c r="T1479">
        <v>3.69</v>
      </c>
      <c r="U1479">
        <v>1.21</v>
      </c>
      <c r="V1479">
        <v>-14.54</v>
      </c>
      <c r="W1479">
        <v>-26</v>
      </c>
      <c r="X1479">
        <v>64.89</v>
      </c>
      <c r="Y1479">
        <v>7422</v>
      </c>
      <c r="Z1479">
        <v>6543</v>
      </c>
      <c r="AA1479">
        <v>1.1299999999999999</v>
      </c>
      <c r="AB1479">
        <v>0</v>
      </c>
      <c r="AC1479">
        <v>2</v>
      </c>
      <c r="AD1479">
        <v>12.83</v>
      </c>
      <c r="AE1479" t="s">
        <v>3398</v>
      </c>
      <c r="AF1479" t="s">
        <v>5063</v>
      </c>
      <c r="AG1479" t="s">
        <v>5650</v>
      </c>
      <c r="AH1479" t="s">
        <v>289</v>
      </c>
      <c r="AI1479">
        <v>-0.21</v>
      </c>
      <c r="AJ1479">
        <v>6.18</v>
      </c>
      <c r="AK1479">
        <v>11.23</v>
      </c>
      <c r="AL1479">
        <v>22.02</v>
      </c>
    </row>
    <row r="1480" spans="1:38" x14ac:dyDescent="0.25">
      <c r="A1480">
        <v>1479</v>
      </c>
      <c r="B1480" t="str">
        <f xml:space="preserve"> "600055"</f>
        <v>600055</v>
      </c>
      <c r="C1480" t="s">
        <v>5651</v>
      </c>
      <c r="D1480">
        <v>15.82</v>
      </c>
      <c r="E1480">
        <v>-1.62</v>
      </c>
      <c r="F1480">
        <v>-0.26</v>
      </c>
      <c r="G1480" t="s">
        <v>498</v>
      </c>
      <c r="H1480">
        <v>40</v>
      </c>
      <c r="I1480">
        <v>15.82</v>
      </c>
      <c r="J1480">
        <v>15.83</v>
      </c>
      <c r="K1480">
        <v>-0.13</v>
      </c>
      <c r="L1480">
        <v>2.2599999999999998</v>
      </c>
      <c r="M1480" t="s">
        <v>3336</v>
      </c>
      <c r="N1480">
        <v>141.22</v>
      </c>
      <c r="O1480" t="s">
        <v>1552</v>
      </c>
      <c r="P1480">
        <v>16.37</v>
      </c>
      <c r="Q1480">
        <v>15.75</v>
      </c>
      <c r="R1480">
        <v>15.95</v>
      </c>
      <c r="S1480">
        <v>16.079999999999998</v>
      </c>
      <c r="T1480">
        <v>3.86</v>
      </c>
      <c r="U1480">
        <v>0.83</v>
      </c>
      <c r="V1480">
        <v>54.28</v>
      </c>
      <c r="W1480">
        <v>1322</v>
      </c>
      <c r="X1480">
        <v>15.98</v>
      </c>
      <c r="Y1480" t="s">
        <v>1052</v>
      </c>
      <c r="Z1480" t="s">
        <v>5412</v>
      </c>
      <c r="AA1480">
        <v>1.19</v>
      </c>
      <c r="AB1480">
        <v>3</v>
      </c>
      <c r="AC1480">
        <v>88</v>
      </c>
      <c r="AD1480">
        <v>4.8499999999999996</v>
      </c>
      <c r="AE1480" t="s">
        <v>2293</v>
      </c>
      <c r="AF1480" t="s">
        <v>5063</v>
      </c>
      <c r="AG1480" t="s">
        <v>5652</v>
      </c>
      <c r="AH1480" t="s">
        <v>5653</v>
      </c>
      <c r="AI1480">
        <v>-6.39</v>
      </c>
      <c r="AJ1480">
        <v>5.33</v>
      </c>
      <c r="AK1480">
        <v>10.54</v>
      </c>
      <c r="AL1480">
        <v>15.98</v>
      </c>
    </row>
    <row r="1481" spans="1:38" x14ac:dyDescent="0.25">
      <c r="A1481">
        <v>1480</v>
      </c>
      <c r="B1481" t="str">
        <f xml:space="preserve"> "300506"</f>
        <v>300506</v>
      </c>
      <c r="C1481" t="s">
        <v>5654</v>
      </c>
      <c r="D1481">
        <v>28.51</v>
      </c>
      <c r="E1481">
        <v>-2.5299999999999998</v>
      </c>
      <c r="F1481">
        <v>-0.74</v>
      </c>
      <c r="G1481" t="s">
        <v>187</v>
      </c>
      <c r="H1481">
        <v>1934</v>
      </c>
      <c r="I1481">
        <v>28.51</v>
      </c>
      <c r="J1481">
        <v>28.52</v>
      </c>
      <c r="K1481">
        <v>0</v>
      </c>
      <c r="L1481">
        <v>6.08</v>
      </c>
      <c r="M1481" t="s">
        <v>2845</v>
      </c>
      <c r="N1481">
        <v>63.98</v>
      </c>
      <c r="O1481" t="s">
        <v>2309</v>
      </c>
      <c r="P1481">
        <v>29.09</v>
      </c>
      <c r="Q1481">
        <v>28.26</v>
      </c>
      <c r="R1481">
        <v>29.01</v>
      </c>
      <c r="S1481">
        <v>29.25</v>
      </c>
      <c r="T1481">
        <v>2.84</v>
      </c>
      <c r="U1481">
        <v>0.72</v>
      </c>
      <c r="V1481">
        <v>71.86</v>
      </c>
      <c r="W1481">
        <v>1262</v>
      </c>
      <c r="X1481">
        <v>28.62</v>
      </c>
      <c r="Y1481" t="s">
        <v>272</v>
      </c>
      <c r="Z1481" t="s">
        <v>2298</v>
      </c>
      <c r="AA1481">
        <v>1.62</v>
      </c>
      <c r="AB1481">
        <v>378</v>
      </c>
      <c r="AC1481">
        <v>135</v>
      </c>
      <c r="AD1481">
        <v>14.3</v>
      </c>
      <c r="AE1481" t="s">
        <v>950</v>
      </c>
      <c r="AF1481" t="s">
        <v>5655</v>
      </c>
      <c r="AG1481" t="s">
        <v>2646</v>
      </c>
      <c r="AH1481" t="s">
        <v>986</v>
      </c>
      <c r="AI1481">
        <v>1.03</v>
      </c>
      <c r="AJ1481">
        <v>5.67</v>
      </c>
      <c r="AK1481">
        <v>29.21</v>
      </c>
      <c r="AL1481">
        <v>48.18</v>
      </c>
    </row>
    <row r="1482" spans="1:38" x14ac:dyDescent="0.25">
      <c r="A1482">
        <v>1481</v>
      </c>
      <c r="B1482" t="str">
        <f xml:space="preserve"> "000861"</f>
        <v>000861</v>
      </c>
      <c r="C1482" t="s">
        <v>5656</v>
      </c>
      <c r="D1482">
        <v>3.8</v>
      </c>
      <c r="E1482">
        <v>0.53</v>
      </c>
      <c r="F1482">
        <v>0.02</v>
      </c>
      <c r="G1482" t="s">
        <v>2930</v>
      </c>
      <c r="H1482">
        <v>1729</v>
      </c>
      <c r="I1482">
        <v>3.79</v>
      </c>
      <c r="J1482">
        <v>3.8</v>
      </c>
      <c r="K1482">
        <v>0</v>
      </c>
      <c r="L1482">
        <v>0.27</v>
      </c>
      <c r="M1482" t="s">
        <v>5657</v>
      </c>
      <c r="N1482">
        <v>65.14</v>
      </c>
      <c r="O1482" t="s">
        <v>244</v>
      </c>
      <c r="P1482">
        <v>3.83</v>
      </c>
      <c r="Q1482">
        <v>3.76</v>
      </c>
      <c r="R1482">
        <v>3.77</v>
      </c>
      <c r="S1482">
        <v>3.78</v>
      </c>
      <c r="T1482">
        <v>1.85</v>
      </c>
      <c r="U1482">
        <v>0.56999999999999995</v>
      </c>
      <c r="V1482">
        <v>-12.25</v>
      </c>
      <c r="W1482">
        <v>-2393</v>
      </c>
      <c r="X1482">
        <v>3.8</v>
      </c>
      <c r="Y1482" t="s">
        <v>1321</v>
      </c>
      <c r="Z1482" t="s">
        <v>3387</v>
      </c>
      <c r="AA1482">
        <v>1.58</v>
      </c>
      <c r="AB1482">
        <v>614</v>
      </c>
      <c r="AC1482">
        <v>1954</v>
      </c>
      <c r="AD1482">
        <v>2.94</v>
      </c>
      <c r="AE1482" t="s">
        <v>929</v>
      </c>
      <c r="AF1482" t="s">
        <v>5655</v>
      </c>
      <c r="AG1482" t="s">
        <v>1362</v>
      </c>
      <c r="AH1482" t="s">
        <v>2867</v>
      </c>
      <c r="AI1482">
        <v>0</v>
      </c>
      <c r="AJ1482">
        <v>3.26</v>
      </c>
      <c r="AK1482">
        <v>1.44</v>
      </c>
      <c r="AL1482">
        <v>2.59</v>
      </c>
    </row>
    <row r="1483" spans="1:38" x14ac:dyDescent="0.25">
      <c r="A1483">
        <v>1482</v>
      </c>
      <c r="B1483" t="str">
        <f xml:space="preserve"> "300401"</f>
        <v>300401</v>
      </c>
      <c r="C1483" t="s">
        <v>5658</v>
      </c>
      <c r="D1483">
        <v>47.06</v>
      </c>
      <c r="E1483">
        <v>0.13</v>
      </c>
      <c r="F1483">
        <v>0.06</v>
      </c>
      <c r="G1483" t="s">
        <v>3130</v>
      </c>
      <c r="H1483">
        <v>370</v>
      </c>
      <c r="I1483">
        <v>47.06</v>
      </c>
      <c r="J1483">
        <v>47.14</v>
      </c>
      <c r="K1483">
        <v>0.13</v>
      </c>
      <c r="L1483">
        <v>0.97</v>
      </c>
      <c r="M1483" t="s">
        <v>2709</v>
      </c>
      <c r="N1483">
        <v>56.77</v>
      </c>
      <c r="O1483" t="s">
        <v>406</v>
      </c>
      <c r="P1483">
        <v>47.3</v>
      </c>
      <c r="Q1483">
        <v>46.51</v>
      </c>
      <c r="R1483">
        <v>47.2</v>
      </c>
      <c r="S1483">
        <v>47</v>
      </c>
      <c r="T1483">
        <v>1.68</v>
      </c>
      <c r="U1483">
        <v>0.5</v>
      </c>
      <c r="V1483">
        <v>30.69</v>
      </c>
      <c r="W1483">
        <v>201</v>
      </c>
      <c r="X1483">
        <v>46.92</v>
      </c>
      <c r="Y1483">
        <v>7166</v>
      </c>
      <c r="Z1483">
        <v>9700</v>
      </c>
      <c r="AA1483">
        <v>0.74</v>
      </c>
      <c r="AB1483">
        <v>324</v>
      </c>
      <c r="AC1483">
        <v>17</v>
      </c>
      <c r="AD1483">
        <v>10.42</v>
      </c>
      <c r="AE1483" t="s">
        <v>2715</v>
      </c>
      <c r="AF1483" t="s">
        <v>2814</v>
      </c>
      <c r="AG1483" t="s">
        <v>1067</v>
      </c>
      <c r="AH1483" t="s">
        <v>4982</v>
      </c>
      <c r="AI1483">
        <v>0.28000000000000003</v>
      </c>
      <c r="AJ1483">
        <v>-0.4</v>
      </c>
      <c r="AK1483">
        <v>3.75</v>
      </c>
      <c r="AL1483">
        <v>10.56</v>
      </c>
    </row>
    <row r="1484" spans="1:38" x14ac:dyDescent="0.25">
      <c r="A1484">
        <v>1483</v>
      </c>
      <c r="B1484" t="str">
        <f xml:space="preserve"> "600195"</f>
        <v>600195</v>
      </c>
      <c r="C1484" t="s">
        <v>5659</v>
      </c>
      <c r="D1484">
        <v>19.86</v>
      </c>
      <c r="E1484">
        <v>0.4</v>
      </c>
      <c r="F1484">
        <v>0.08</v>
      </c>
      <c r="G1484" t="s">
        <v>2365</v>
      </c>
      <c r="H1484">
        <v>10</v>
      </c>
      <c r="I1484">
        <v>19.86</v>
      </c>
      <c r="J1484">
        <v>19.87</v>
      </c>
      <c r="K1484">
        <v>-0.1</v>
      </c>
      <c r="L1484">
        <v>0.35</v>
      </c>
      <c r="M1484" t="s">
        <v>5660</v>
      </c>
      <c r="N1484">
        <v>37.46</v>
      </c>
      <c r="O1484" t="s">
        <v>392</v>
      </c>
      <c r="P1484">
        <v>19.920000000000002</v>
      </c>
      <c r="Q1484">
        <v>19.72</v>
      </c>
      <c r="R1484">
        <v>19.79</v>
      </c>
      <c r="S1484">
        <v>19.78</v>
      </c>
      <c r="T1484">
        <v>1.01</v>
      </c>
      <c r="U1484">
        <v>0.64</v>
      </c>
      <c r="V1484">
        <v>-0.5</v>
      </c>
      <c r="W1484">
        <v>-8</v>
      </c>
      <c r="X1484">
        <v>19.809999999999999</v>
      </c>
      <c r="Y1484">
        <v>7680</v>
      </c>
      <c r="Z1484">
        <v>7313</v>
      </c>
      <c r="AA1484">
        <v>1.05</v>
      </c>
      <c r="AB1484">
        <v>15</v>
      </c>
      <c r="AC1484">
        <v>332</v>
      </c>
      <c r="AD1484">
        <v>2.5299999999999998</v>
      </c>
      <c r="AE1484" t="s">
        <v>2233</v>
      </c>
      <c r="AF1484" t="s">
        <v>2814</v>
      </c>
      <c r="AG1484" t="s">
        <v>2233</v>
      </c>
      <c r="AH1484" t="s">
        <v>2814</v>
      </c>
      <c r="AI1484">
        <v>-1.68</v>
      </c>
      <c r="AJ1484">
        <v>0.61</v>
      </c>
      <c r="AK1484">
        <v>1.84</v>
      </c>
      <c r="AL1484">
        <v>3.06</v>
      </c>
    </row>
    <row r="1485" spans="1:38" x14ac:dyDescent="0.25">
      <c r="A1485">
        <v>1484</v>
      </c>
      <c r="B1485" t="str">
        <f xml:space="preserve"> "002194"</f>
        <v>002194</v>
      </c>
      <c r="C1485" t="s">
        <v>5661</v>
      </c>
      <c r="D1485" t="s">
        <v>616</v>
      </c>
      <c r="E1485" t="s">
        <v>616</v>
      </c>
      <c r="F1485" t="s">
        <v>616</v>
      </c>
      <c r="G1485" t="s">
        <v>616</v>
      </c>
      <c r="H1485" t="s">
        <v>616</v>
      </c>
      <c r="I1485" t="s">
        <v>616</v>
      </c>
      <c r="J1485" t="s">
        <v>616</v>
      </c>
      <c r="K1485" t="s">
        <v>616</v>
      </c>
      <c r="L1485" t="s">
        <v>616</v>
      </c>
      <c r="M1485" t="s">
        <v>616</v>
      </c>
      <c r="N1485">
        <v>-18.2</v>
      </c>
      <c r="O1485" t="s">
        <v>580</v>
      </c>
      <c r="P1485" t="s">
        <v>616</v>
      </c>
      <c r="Q1485" t="s">
        <v>616</v>
      </c>
      <c r="R1485" t="s">
        <v>616</v>
      </c>
      <c r="S1485">
        <v>15.11</v>
      </c>
      <c r="T1485" t="s">
        <v>616</v>
      </c>
      <c r="U1485" t="s">
        <v>616</v>
      </c>
      <c r="V1485" t="s">
        <v>616</v>
      </c>
      <c r="W1485" t="s">
        <v>616</v>
      </c>
      <c r="X1485" t="s">
        <v>616</v>
      </c>
      <c r="Y1485" t="s">
        <v>616</v>
      </c>
      <c r="Z1485" t="s">
        <v>616</v>
      </c>
      <c r="AA1485" t="s">
        <v>616</v>
      </c>
      <c r="AB1485" t="s">
        <v>616</v>
      </c>
      <c r="AC1485" t="s">
        <v>616</v>
      </c>
      <c r="AD1485">
        <v>4.84</v>
      </c>
      <c r="AE1485" t="s">
        <v>2117</v>
      </c>
      <c r="AF1485" t="s">
        <v>1755</v>
      </c>
      <c r="AG1485" t="s">
        <v>1212</v>
      </c>
      <c r="AH1485" t="s">
        <v>5124</v>
      </c>
      <c r="AI1485">
        <v>0</v>
      </c>
      <c r="AJ1485">
        <v>0</v>
      </c>
      <c r="AK1485">
        <v>0</v>
      </c>
      <c r="AL1485">
        <v>11.62</v>
      </c>
    </row>
    <row r="1486" spans="1:38" x14ac:dyDescent="0.25">
      <c r="A1486">
        <v>1485</v>
      </c>
      <c r="B1486" t="str">
        <f xml:space="preserve"> "001696"</f>
        <v>001696</v>
      </c>
      <c r="C1486" t="s">
        <v>5662</v>
      </c>
      <c r="D1486" t="s">
        <v>616</v>
      </c>
      <c r="E1486" t="s">
        <v>616</v>
      </c>
      <c r="F1486" t="s">
        <v>616</v>
      </c>
      <c r="G1486" t="s">
        <v>616</v>
      </c>
      <c r="H1486" t="s">
        <v>616</v>
      </c>
      <c r="I1486" t="s">
        <v>616</v>
      </c>
      <c r="J1486" t="s">
        <v>616</v>
      </c>
      <c r="K1486" t="s">
        <v>616</v>
      </c>
      <c r="L1486" t="s">
        <v>616</v>
      </c>
      <c r="M1486" t="s">
        <v>616</v>
      </c>
      <c r="N1486">
        <v>26.03</v>
      </c>
      <c r="O1486" t="s">
        <v>253</v>
      </c>
      <c r="P1486" t="s">
        <v>616</v>
      </c>
      <c r="Q1486" t="s">
        <v>616</v>
      </c>
      <c r="R1486" t="s">
        <v>616</v>
      </c>
      <c r="S1486">
        <v>7.45</v>
      </c>
      <c r="T1486" t="s">
        <v>616</v>
      </c>
      <c r="U1486" t="s">
        <v>616</v>
      </c>
      <c r="V1486" t="s">
        <v>616</v>
      </c>
      <c r="W1486" t="s">
        <v>616</v>
      </c>
      <c r="X1486" t="s">
        <v>616</v>
      </c>
      <c r="Y1486" t="s">
        <v>616</v>
      </c>
      <c r="Z1486" t="s">
        <v>616</v>
      </c>
      <c r="AA1486" t="s">
        <v>616</v>
      </c>
      <c r="AB1486" t="s">
        <v>616</v>
      </c>
      <c r="AC1486" t="s">
        <v>616</v>
      </c>
      <c r="AD1486">
        <v>2.36</v>
      </c>
      <c r="AE1486" t="s">
        <v>2388</v>
      </c>
      <c r="AF1486" t="s">
        <v>1755</v>
      </c>
      <c r="AG1486" t="s">
        <v>4710</v>
      </c>
      <c r="AH1486" t="s">
        <v>5143</v>
      </c>
      <c r="AI1486">
        <v>0</v>
      </c>
      <c r="AJ1486">
        <v>0</v>
      </c>
      <c r="AK1486">
        <v>0</v>
      </c>
      <c r="AL1486">
        <v>0</v>
      </c>
    </row>
    <row r="1487" spans="1:38" x14ac:dyDescent="0.25">
      <c r="A1487">
        <v>1486</v>
      </c>
      <c r="B1487" t="str">
        <f xml:space="preserve"> "300613"</f>
        <v>300613</v>
      </c>
      <c r="C1487" t="s">
        <v>5663</v>
      </c>
      <c r="D1487">
        <v>191.88</v>
      </c>
      <c r="E1487">
        <v>-0.06</v>
      </c>
      <c r="F1487">
        <v>-0.12</v>
      </c>
      <c r="G1487">
        <v>5226</v>
      </c>
      <c r="H1487">
        <v>69</v>
      </c>
      <c r="I1487">
        <v>191.62</v>
      </c>
      <c r="J1487">
        <v>191.88</v>
      </c>
      <c r="K1487">
        <v>0</v>
      </c>
      <c r="L1487">
        <v>4.7</v>
      </c>
      <c r="M1487" t="s">
        <v>4464</v>
      </c>
      <c r="N1487">
        <v>73.78</v>
      </c>
      <c r="O1487" t="s">
        <v>893</v>
      </c>
      <c r="P1487">
        <v>194.7</v>
      </c>
      <c r="Q1487">
        <v>188.2</v>
      </c>
      <c r="R1487">
        <v>191</v>
      </c>
      <c r="S1487">
        <v>192</v>
      </c>
      <c r="T1487">
        <v>3.39</v>
      </c>
      <c r="U1487">
        <v>0.45</v>
      </c>
      <c r="V1487">
        <v>-13.85</v>
      </c>
      <c r="W1487">
        <v>-9</v>
      </c>
      <c r="X1487">
        <v>191.65</v>
      </c>
      <c r="Y1487">
        <v>2724</v>
      </c>
      <c r="Z1487">
        <v>2502</v>
      </c>
      <c r="AA1487">
        <v>1.0900000000000001</v>
      </c>
      <c r="AB1487">
        <v>3</v>
      </c>
      <c r="AC1487">
        <v>5</v>
      </c>
      <c r="AD1487">
        <v>9.59</v>
      </c>
      <c r="AE1487" t="s">
        <v>5664</v>
      </c>
      <c r="AF1487" t="s">
        <v>1755</v>
      </c>
      <c r="AG1487" t="s">
        <v>5665</v>
      </c>
      <c r="AH1487" t="s">
        <v>3046</v>
      </c>
      <c r="AI1487">
        <v>-8.31</v>
      </c>
      <c r="AJ1487">
        <v>-3.1</v>
      </c>
      <c r="AK1487">
        <v>24.13</v>
      </c>
      <c r="AL1487">
        <v>56.82</v>
      </c>
    </row>
    <row r="1488" spans="1:38" x14ac:dyDescent="0.25">
      <c r="A1488">
        <v>1487</v>
      </c>
      <c r="B1488" t="str">
        <f xml:space="preserve"> "002481"</f>
        <v>002481</v>
      </c>
      <c r="C1488" t="s">
        <v>5666</v>
      </c>
      <c r="D1488">
        <v>6.75</v>
      </c>
      <c r="E1488">
        <v>0</v>
      </c>
      <c r="F1488">
        <v>0</v>
      </c>
      <c r="G1488" t="s">
        <v>2484</v>
      </c>
      <c r="H1488">
        <v>1120</v>
      </c>
      <c r="I1488">
        <v>6.75</v>
      </c>
      <c r="J1488">
        <v>6.76</v>
      </c>
      <c r="K1488">
        <v>0</v>
      </c>
      <c r="L1488">
        <v>0.48</v>
      </c>
      <c r="M1488" t="s">
        <v>5667</v>
      </c>
      <c r="N1488">
        <v>98.24</v>
      </c>
      <c r="O1488" t="s">
        <v>406</v>
      </c>
      <c r="P1488">
        <v>6.77</v>
      </c>
      <c r="Q1488">
        <v>6.68</v>
      </c>
      <c r="R1488">
        <v>6.74</v>
      </c>
      <c r="S1488">
        <v>6.75</v>
      </c>
      <c r="T1488">
        <v>1.33</v>
      </c>
      <c r="U1488">
        <v>0.63</v>
      </c>
      <c r="V1488">
        <v>-19.16</v>
      </c>
      <c r="W1488">
        <v>-1908</v>
      </c>
      <c r="X1488">
        <v>6.72</v>
      </c>
      <c r="Y1488" t="s">
        <v>2279</v>
      </c>
      <c r="Z1488" t="s">
        <v>3696</v>
      </c>
      <c r="AA1488">
        <v>1.61</v>
      </c>
      <c r="AB1488">
        <v>174</v>
      </c>
      <c r="AC1488">
        <v>936</v>
      </c>
      <c r="AD1488">
        <v>3.27</v>
      </c>
      <c r="AE1488" t="s">
        <v>126</v>
      </c>
      <c r="AF1488" t="s">
        <v>1755</v>
      </c>
      <c r="AG1488" t="s">
        <v>2756</v>
      </c>
      <c r="AH1488" t="s">
        <v>5668</v>
      </c>
      <c r="AI1488">
        <v>-1.03</v>
      </c>
      <c r="AJ1488">
        <v>2.12</v>
      </c>
      <c r="AK1488">
        <v>1.93</v>
      </c>
      <c r="AL1488">
        <v>4.26</v>
      </c>
    </row>
    <row r="1489" spans="1:38" x14ac:dyDescent="0.25">
      <c r="A1489">
        <v>1488</v>
      </c>
      <c r="B1489" t="str">
        <f xml:space="preserve"> "002370"</f>
        <v>002370</v>
      </c>
      <c r="C1489" t="s">
        <v>5669</v>
      </c>
      <c r="D1489">
        <v>15.89</v>
      </c>
      <c r="E1489">
        <v>4.2699999999999996</v>
      </c>
      <c r="F1489">
        <v>0.65</v>
      </c>
      <c r="G1489" t="s">
        <v>710</v>
      </c>
      <c r="H1489">
        <v>505</v>
      </c>
      <c r="I1489">
        <v>15.88</v>
      </c>
      <c r="J1489">
        <v>15.89</v>
      </c>
      <c r="K1489">
        <v>0</v>
      </c>
      <c r="L1489">
        <v>1.1100000000000001</v>
      </c>
      <c r="M1489" t="s">
        <v>5670</v>
      </c>
      <c r="N1489">
        <v>41.95</v>
      </c>
      <c r="O1489" t="s">
        <v>392</v>
      </c>
      <c r="P1489">
        <v>16.3</v>
      </c>
      <c r="Q1489">
        <v>15.26</v>
      </c>
      <c r="R1489">
        <v>15.26</v>
      </c>
      <c r="S1489">
        <v>15.24</v>
      </c>
      <c r="T1489">
        <v>6.82</v>
      </c>
      <c r="U1489">
        <v>2.15</v>
      </c>
      <c r="V1489">
        <v>13.79</v>
      </c>
      <c r="W1489">
        <v>150</v>
      </c>
      <c r="X1489">
        <v>15.9</v>
      </c>
      <c r="Y1489" t="s">
        <v>4118</v>
      </c>
      <c r="Z1489" t="s">
        <v>1285</v>
      </c>
      <c r="AA1489">
        <v>0.82</v>
      </c>
      <c r="AB1489">
        <v>307</v>
      </c>
      <c r="AC1489">
        <v>198</v>
      </c>
      <c r="AD1489">
        <v>3.77</v>
      </c>
      <c r="AE1489" t="s">
        <v>2804</v>
      </c>
      <c r="AF1489" t="s">
        <v>577</v>
      </c>
      <c r="AG1489" t="s">
        <v>2912</v>
      </c>
      <c r="AH1489" t="s">
        <v>2362</v>
      </c>
      <c r="AI1489">
        <v>-0.56000000000000005</v>
      </c>
      <c r="AJ1489">
        <v>6.22</v>
      </c>
      <c r="AK1489">
        <v>2.35</v>
      </c>
      <c r="AL1489">
        <v>3.68</v>
      </c>
    </row>
    <row r="1490" spans="1:38" x14ac:dyDescent="0.25">
      <c r="A1490">
        <v>1489</v>
      </c>
      <c r="B1490" t="str">
        <f xml:space="preserve"> "002516"</f>
        <v>002516</v>
      </c>
      <c r="C1490" t="s">
        <v>5671</v>
      </c>
      <c r="D1490">
        <v>5.67</v>
      </c>
      <c r="E1490">
        <v>-0.53</v>
      </c>
      <c r="F1490">
        <v>-0.03</v>
      </c>
      <c r="G1490" t="s">
        <v>4583</v>
      </c>
      <c r="H1490">
        <v>1533</v>
      </c>
      <c r="I1490">
        <v>5.66</v>
      </c>
      <c r="J1490">
        <v>5.67</v>
      </c>
      <c r="K1490">
        <v>0</v>
      </c>
      <c r="L1490">
        <v>0.57999999999999996</v>
      </c>
      <c r="M1490" t="s">
        <v>5672</v>
      </c>
      <c r="N1490">
        <v>24.98</v>
      </c>
      <c r="O1490" t="s">
        <v>1443</v>
      </c>
      <c r="P1490">
        <v>5.72</v>
      </c>
      <c r="Q1490">
        <v>5.62</v>
      </c>
      <c r="R1490">
        <v>5.68</v>
      </c>
      <c r="S1490">
        <v>5.7</v>
      </c>
      <c r="T1490">
        <v>1.75</v>
      </c>
      <c r="U1490">
        <v>0.68</v>
      </c>
      <c r="V1490">
        <v>10.34</v>
      </c>
      <c r="W1490">
        <v>1315</v>
      </c>
      <c r="X1490">
        <v>5.66</v>
      </c>
      <c r="Y1490" t="s">
        <v>1321</v>
      </c>
      <c r="Z1490" t="s">
        <v>999</v>
      </c>
      <c r="AA1490">
        <v>2.13</v>
      </c>
      <c r="AB1490">
        <v>721</v>
      </c>
      <c r="AC1490">
        <v>84</v>
      </c>
      <c r="AD1490">
        <v>2.2200000000000002</v>
      </c>
      <c r="AE1490" t="s">
        <v>2347</v>
      </c>
      <c r="AF1490" t="s">
        <v>577</v>
      </c>
      <c r="AG1490" t="s">
        <v>4056</v>
      </c>
      <c r="AH1490" t="s">
        <v>716</v>
      </c>
      <c r="AI1490">
        <v>0</v>
      </c>
      <c r="AJ1490">
        <v>2.72</v>
      </c>
      <c r="AK1490">
        <v>2.25</v>
      </c>
      <c r="AL1490">
        <v>4.88</v>
      </c>
    </row>
    <row r="1491" spans="1:38" x14ac:dyDescent="0.25">
      <c r="A1491">
        <v>1490</v>
      </c>
      <c r="B1491" t="str">
        <f xml:space="preserve"> "002387"</f>
        <v>002387</v>
      </c>
      <c r="C1491" t="s">
        <v>5673</v>
      </c>
      <c r="D1491">
        <v>18.149999999999999</v>
      </c>
      <c r="E1491">
        <v>2.25</v>
      </c>
      <c r="F1491">
        <v>0.4</v>
      </c>
      <c r="G1491" t="s">
        <v>2123</v>
      </c>
      <c r="H1491">
        <v>843</v>
      </c>
      <c r="I1491">
        <v>18.149999999999999</v>
      </c>
      <c r="J1491">
        <v>18.16</v>
      </c>
      <c r="K1491">
        <v>-0.06</v>
      </c>
      <c r="L1491">
        <v>1.88</v>
      </c>
      <c r="M1491" t="s">
        <v>1120</v>
      </c>
      <c r="N1491">
        <v>-43.52</v>
      </c>
      <c r="O1491" t="s">
        <v>380</v>
      </c>
      <c r="P1491">
        <v>18.25</v>
      </c>
      <c r="Q1491">
        <v>17.649999999999999</v>
      </c>
      <c r="R1491">
        <v>17.649999999999999</v>
      </c>
      <c r="S1491">
        <v>17.75</v>
      </c>
      <c r="T1491">
        <v>3.38</v>
      </c>
      <c r="U1491">
        <v>1</v>
      </c>
      <c r="V1491">
        <v>-73.88</v>
      </c>
      <c r="W1491">
        <v>-3514</v>
      </c>
      <c r="X1491">
        <v>18.010000000000002</v>
      </c>
      <c r="Y1491" t="s">
        <v>1285</v>
      </c>
      <c r="Z1491" t="s">
        <v>3077</v>
      </c>
      <c r="AA1491">
        <v>0.7</v>
      </c>
      <c r="AB1491">
        <v>297</v>
      </c>
      <c r="AC1491">
        <v>116</v>
      </c>
      <c r="AD1491">
        <v>13</v>
      </c>
      <c r="AE1491" t="s">
        <v>3421</v>
      </c>
      <c r="AF1491" t="s">
        <v>577</v>
      </c>
      <c r="AG1491" t="s">
        <v>2738</v>
      </c>
      <c r="AH1491" t="s">
        <v>3411</v>
      </c>
      <c r="AI1491">
        <v>0.55000000000000004</v>
      </c>
      <c r="AJ1491">
        <v>2.48</v>
      </c>
      <c r="AK1491">
        <v>4.6500000000000004</v>
      </c>
      <c r="AL1491">
        <v>11.31</v>
      </c>
    </row>
    <row r="1492" spans="1:38" x14ac:dyDescent="0.25">
      <c r="A1492">
        <v>1491</v>
      </c>
      <c r="B1492" t="str">
        <f xml:space="preserve"> "002342"</f>
        <v>002342</v>
      </c>
      <c r="C1492" t="s">
        <v>5674</v>
      </c>
      <c r="D1492">
        <v>8.86</v>
      </c>
      <c r="E1492">
        <v>0.68</v>
      </c>
      <c r="F1492">
        <v>0.06</v>
      </c>
      <c r="G1492" t="s">
        <v>554</v>
      </c>
      <c r="H1492">
        <v>1765</v>
      </c>
      <c r="I1492">
        <v>8.86</v>
      </c>
      <c r="J1492">
        <v>8.8699999999999992</v>
      </c>
      <c r="K1492">
        <v>0</v>
      </c>
      <c r="L1492">
        <v>2.02</v>
      </c>
      <c r="M1492" t="s">
        <v>1750</v>
      </c>
      <c r="N1492">
        <v>211.11</v>
      </c>
      <c r="O1492" t="s">
        <v>1229</v>
      </c>
      <c r="P1492">
        <v>8.9</v>
      </c>
      <c r="Q1492">
        <v>8.75</v>
      </c>
      <c r="R1492">
        <v>8.82</v>
      </c>
      <c r="S1492">
        <v>8.8000000000000007</v>
      </c>
      <c r="T1492">
        <v>1.7</v>
      </c>
      <c r="U1492">
        <v>1.24</v>
      </c>
      <c r="V1492">
        <v>-50.11</v>
      </c>
      <c r="W1492">
        <v>-7105</v>
      </c>
      <c r="X1492">
        <v>8.83</v>
      </c>
      <c r="Y1492" t="s">
        <v>1863</v>
      </c>
      <c r="Z1492" t="s">
        <v>1305</v>
      </c>
      <c r="AA1492">
        <v>0.88</v>
      </c>
      <c r="AB1492">
        <v>904</v>
      </c>
      <c r="AC1492">
        <v>2047</v>
      </c>
      <c r="AD1492">
        <v>3.49</v>
      </c>
      <c r="AE1492" t="s">
        <v>3583</v>
      </c>
      <c r="AF1492" t="s">
        <v>5675</v>
      </c>
      <c r="AG1492" t="s">
        <v>5676</v>
      </c>
      <c r="AH1492" t="s">
        <v>508</v>
      </c>
      <c r="AI1492">
        <v>-0.56000000000000005</v>
      </c>
      <c r="AJ1492">
        <v>1.61</v>
      </c>
      <c r="AK1492">
        <v>5.21</v>
      </c>
      <c r="AL1492">
        <v>10.17</v>
      </c>
    </row>
    <row r="1493" spans="1:38" x14ac:dyDescent="0.25">
      <c r="A1493">
        <v>1492</v>
      </c>
      <c r="B1493" t="str">
        <f xml:space="preserve"> "002458"</f>
        <v>002458</v>
      </c>
      <c r="C1493" t="s">
        <v>5677</v>
      </c>
      <c r="D1493">
        <v>25.21</v>
      </c>
      <c r="E1493">
        <v>-0.75</v>
      </c>
      <c r="F1493">
        <v>-0.19</v>
      </c>
      <c r="G1493" t="s">
        <v>2370</v>
      </c>
      <c r="H1493">
        <v>376</v>
      </c>
      <c r="I1493">
        <v>25.21</v>
      </c>
      <c r="J1493">
        <v>25.22</v>
      </c>
      <c r="K1493">
        <v>0</v>
      </c>
      <c r="L1493">
        <v>0.73</v>
      </c>
      <c r="M1493" t="s">
        <v>5678</v>
      </c>
      <c r="N1493">
        <v>-35.39</v>
      </c>
      <c r="O1493" t="s">
        <v>622</v>
      </c>
      <c r="P1493">
        <v>25.57</v>
      </c>
      <c r="Q1493">
        <v>25.2</v>
      </c>
      <c r="R1493">
        <v>25.42</v>
      </c>
      <c r="S1493">
        <v>25.4</v>
      </c>
      <c r="T1493">
        <v>1.46</v>
      </c>
      <c r="U1493">
        <v>0.4</v>
      </c>
      <c r="V1493">
        <v>-11.33</v>
      </c>
      <c r="W1493">
        <v>-155</v>
      </c>
      <c r="X1493">
        <v>25.3</v>
      </c>
      <c r="Y1493">
        <v>8311</v>
      </c>
      <c r="Z1493">
        <v>4515</v>
      </c>
      <c r="AA1493">
        <v>1.84</v>
      </c>
      <c r="AB1493">
        <v>121</v>
      </c>
      <c r="AC1493">
        <v>21</v>
      </c>
      <c r="AD1493">
        <v>6.09</v>
      </c>
      <c r="AE1493" t="s">
        <v>4127</v>
      </c>
      <c r="AF1493" t="s">
        <v>5675</v>
      </c>
      <c r="AG1493" t="s">
        <v>3336</v>
      </c>
      <c r="AH1493" t="s">
        <v>276</v>
      </c>
      <c r="AI1493">
        <v>-1.48</v>
      </c>
      <c r="AJ1493">
        <v>5.7</v>
      </c>
      <c r="AK1493">
        <v>4.7300000000000004</v>
      </c>
      <c r="AL1493">
        <v>9.81</v>
      </c>
    </row>
    <row r="1494" spans="1:38" x14ac:dyDescent="0.25">
      <c r="A1494">
        <v>1493</v>
      </c>
      <c r="B1494" t="str">
        <f xml:space="preserve"> "002606"</f>
        <v>002606</v>
      </c>
      <c r="C1494" t="s">
        <v>5679</v>
      </c>
      <c r="D1494" t="s">
        <v>616</v>
      </c>
      <c r="E1494" t="s">
        <v>616</v>
      </c>
      <c r="F1494" t="s">
        <v>616</v>
      </c>
      <c r="G1494" t="s">
        <v>616</v>
      </c>
      <c r="H1494" t="s">
        <v>616</v>
      </c>
      <c r="I1494" t="s">
        <v>616</v>
      </c>
      <c r="J1494" t="s">
        <v>616</v>
      </c>
      <c r="K1494" t="s">
        <v>616</v>
      </c>
      <c r="L1494" t="s">
        <v>616</v>
      </c>
      <c r="M1494" t="s">
        <v>616</v>
      </c>
      <c r="N1494">
        <v>109.41</v>
      </c>
      <c r="O1494" t="s">
        <v>680</v>
      </c>
      <c r="P1494" t="s">
        <v>616</v>
      </c>
      <c r="Q1494" t="s">
        <v>616</v>
      </c>
      <c r="R1494" t="s">
        <v>616</v>
      </c>
      <c r="S1494">
        <v>20.87</v>
      </c>
      <c r="T1494" t="s">
        <v>616</v>
      </c>
      <c r="U1494" t="s">
        <v>616</v>
      </c>
      <c r="V1494" t="s">
        <v>616</v>
      </c>
      <c r="W1494" t="s">
        <v>616</v>
      </c>
      <c r="X1494" t="s">
        <v>616</v>
      </c>
      <c r="Y1494" t="s">
        <v>616</v>
      </c>
      <c r="Z1494" t="s">
        <v>616</v>
      </c>
      <c r="AA1494" t="s">
        <v>616</v>
      </c>
      <c r="AB1494" t="s">
        <v>616</v>
      </c>
      <c r="AC1494" t="s">
        <v>616</v>
      </c>
      <c r="AD1494">
        <v>9.8800000000000008</v>
      </c>
      <c r="AE1494" t="s">
        <v>2164</v>
      </c>
      <c r="AF1494" t="s">
        <v>5680</v>
      </c>
      <c r="AG1494" t="s">
        <v>4786</v>
      </c>
      <c r="AH1494" t="s">
        <v>4485</v>
      </c>
      <c r="AI1494">
        <v>0</v>
      </c>
      <c r="AJ1494">
        <v>0</v>
      </c>
      <c r="AK1494">
        <v>0</v>
      </c>
      <c r="AL1494">
        <v>0</v>
      </c>
    </row>
    <row r="1495" spans="1:38" x14ac:dyDescent="0.25">
      <c r="A1495">
        <v>1494</v>
      </c>
      <c r="B1495" t="str">
        <f xml:space="preserve"> "002484"</f>
        <v>002484</v>
      </c>
      <c r="C1495" t="s">
        <v>5681</v>
      </c>
      <c r="D1495">
        <v>10.42</v>
      </c>
      <c r="E1495">
        <v>-4.58</v>
      </c>
      <c r="F1495">
        <v>-0.5</v>
      </c>
      <c r="G1495" t="s">
        <v>844</v>
      </c>
      <c r="H1495">
        <v>1456</v>
      </c>
      <c r="I1495">
        <v>10.42</v>
      </c>
      <c r="J1495">
        <v>10.43</v>
      </c>
      <c r="K1495">
        <v>0</v>
      </c>
      <c r="L1495">
        <v>1.82</v>
      </c>
      <c r="M1495" t="s">
        <v>3154</v>
      </c>
      <c r="N1495">
        <v>48.18</v>
      </c>
      <c r="O1495" t="s">
        <v>380</v>
      </c>
      <c r="P1495">
        <v>10.75</v>
      </c>
      <c r="Q1495">
        <v>10.39</v>
      </c>
      <c r="R1495">
        <v>10.73</v>
      </c>
      <c r="S1495">
        <v>10.92</v>
      </c>
      <c r="T1495">
        <v>3.3</v>
      </c>
      <c r="U1495">
        <v>1.53</v>
      </c>
      <c r="V1495">
        <v>60.4</v>
      </c>
      <c r="W1495">
        <v>3349</v>
      </c>
      <c r="X1495">
        <v>10.51</v>
      </c>
      <c r="Y1495" t="s">
        <v>3352</v>
      </c>
      <c r="Z1495" t="s">
        <v>4583</v>
      </c>
      <c r="AA1495">
        <v>2.0699999999999998</v>
      </c>
      <c r="AB1495">
        <v>599</v>
      </c>
      <c r="AC1495">
        <v>673</v>
      </c>
      <c r="AD1495">
        <v>2.83</v>
      </c>
      <c r="AE1495" t="s">
        <v>2245</v>
      </c>
      <c r="AF1495" t="s">
        <v>5682</v>
      </c>
      <c r="AG1495" t="s">
        <v>4350</v>
      </c>
      <c r="AH1495" t="s">
        <v>1527</v>
      </c>
      <c r="AI1495">
        <v>-6.29</v>
      </c>
      <c r="AJ1495">
        <v>1.17</v>
      </c>
      <c r="AK1495">
        <v>3.5</v>
      </c>
      <c r="AL1495">
        <v>7.75</v>
      </c>
    </row>
    <row r="1496" spans="1:38" x14ac:dyDescent="0.25">
      <c r="A1496">
        <v>1495</v>
      </c>
      <c r="B1496" t="str">
        <f xml:space="preserve"> "300307"</f>
        <v>300307</v>
      </c>
      <c r="C1496" t="s">
        <v>5683</v>
      </c>
      <c r="D1496">
        <v>10.58</v>
      </c>
      <c r="E1496">
        <v>0.28000000000000003</v>
      </c>
      <c r="F1496">
        <v>0.03</v>
      </c>
      <c r="G1496" t="s">
        <v>1308</v>
      </c>
      <c r="H1496">
        <v>891</v>
      </c>
      <c r="I1496">
        <v>10.57</v>
      </c>
      <c r="J1496">
        <v>10.58</v>
      </c>
      <c r="K1496">
        <v>0</v>
      </c>
      <c r="L1496">
        <v>0.7</v>
      </c>
      <c r="M1496" t="s">
        <v>5684</v>
      </c>
      <c r="N1496">
        <v>24.52</v>
      </c>
      <c r="O1496" t="s">
        <v>2647</v>
      </c>
      <c r="P1496">
        <v>10.61</v>
      </c>
      <c r="Q1496">
        <v>10.49</v>
      </c>
      <c r="R1496">
        <v>10.55</v>
      </c>
      <c r="S1496">
        <v>10.55</v>
      </c>
      <c r="T1496">
        <v>1.1399999999999999</v>
      </c>
      <c r="U1496">
        <v>1.02</v>
      </c>
      <c r="V1496">
        <v>-38.85</v>
      </c>
      <c r="W1496">
        <v>-2376</v>
      </c>
      <c r="X1496">
        <v>10.56</v>
      </c>
      <c r="Y1496" t="s">
        <v>1949</v>
      </c>
      <c r="Z1496" t="s">
        <v>2862</v>
      </c>
      <c r="AA1496">
        <v>1.1299999999999999</v>
      </c>
      <c r="AB1496">
        <v>579</v>
      </c>
      <c r="AC1496">
        <v>28</v>
      </c>
      <c r="AD1496">
        <v>2.12</v>
      </c>
      <c r="AE1496" t="s">
        <v>3015</v>
      </c>
      <c r="AF1496" t="s">
        <v>5682</v>
      </c>
      <c r="AG1496" t="s">
        <v>5470</v>
      </c>
      <c r="AH1496" t="s">
        <v>3345</v>
      </c>
      <c r="AI1496">
        <v>0.76</v>
      </c>
      <c r="AJ1496">
        <v>4.13</v>
      </c>
      <c r="AK1496">
        <v>2.35</v>
      </c>
      <c r="AL1496">
        <v>4.12</v>
      </c>
    </row>
    <row r="1497" spans="1:38" x14ac:dyDescent="0.25">
      <c r="A1497">
        <v>1496</v>
      </c>
      <c r="B1497" t="str">
        <f xml:space="preserve"> "002402"</f>
        <v>002402</v>
      </c>
      <c r="C1497" t="s">
        <v>5685</v>
      </c>
      <c r="D1497">
        <v>10.210000000000001</v>
      </c>
      <c r="E1497">
        <v>0.99</v>
      </c>
      <c r="F1497">
        <v>0.1</v>
      </c>
      <c r="G1497" t="s">
        <v>370</v>
      </c>
      <c r="H1497">
        <v>835</v>
      </c>
      <c r="I1497">
        <v>10.199999999999999</v>
      </c>
      <c r="J1497">
        <v>10.210000000000001</v>
      </c>
      <c r="K1497">
        <v>0</v>
      </c>
      <c r="L1497">
        <v>0.82</v>
      </c>
      <c r="M1497" t="s">
        <v>5269</v>
      </c>
      <c r="N1497">
        <v>41.58</v>
      </c>
      <c r="O1497" t="s">
        <v>380</v>
      </c>
      <c r="P1497">
        <v>10.23</v>
      </c>
      <c r="Q1497">
        <v>10.1</v>
      </c>
      <c r="R1497">
        <v>10.16</v>
      </c>
      <c r="S1497">
        <v>10.11</v>
      </c>
      <c r="T1497">
        <v>1.29</v>
      </c>
      <c r="U1497">
        <v>0.7</v>
      </c>
      <c r="V1497">
        <v>-22.29</v>
      </c>
      <c r="W1497">
        <v>-1153</v>
      </c>
      <c r="X1497">
        <v>10.17</v>
      </c>
      <c r="Y1497" t="s">
        <v>3896</v>
      </c>
      <c r="Z1497" t="s">
        <v>2515</v>
      </c>
      <c r="AA1497">
        <v>0.67</v>
      </c>
      <c r="AB1497">
        <v>642</v>
      </c>
      <c r="AC1497">
        <v>25</v>
      </c>
      <c r="AD1497">
        <v>7.25</v>
      </c>
      <c r="AE1497" t="s">
        <v>4424</v>
      </c>
      <c r="AF1497" t="s">
        <v>992</v>
      </c>
      <c r="AG1497" t="s">
        <v>4826</v>
      </c>
      <c r="AH1497" t="s">
        <v>5686</v>
      </c>
      <c r="AI1497">
        <v>-0.78</v>
      </c>
      <c r="AJ1497">
        <v>1.39</v>
      </c>
      <c r="AK1497">
        <v>3.15</v>
      </c>
      <c r="AL1497">
        <v>6.61</v>
      </c>
    </row>
    <row r="1498" spans="1:38" x14ac:dyDescent="0.25">
      <c r="A1498">
        <v>1497</v>
      </c>
      <c r="B1498" t="str">
        <f xml:space="preserve"> "000557"</f>
        <v>000557</v>
      </c>
      <c r="C1498" t="s">
        <v>5687</v>
      </c>
      <c r="D1498">
        <v>5.81</v>
      </c>
      <c r="E1498">
        <v>-0.17</v>
      </c>
      <c r="F1498">
        <v>-0.01</v>
      </c>
      <c r="G1498" t="s">
        <v>1294</v>
      </c>
      <c r="H1498">
        <v>1252</v>
      </c>
      <c r="I1498">
        <v>5.81</v>
      </c>
      <c r="J1498">
        <v>5.82</v>
      </c>
      <c r="K1498">
        <v>0</v>
      </c>
      <c r="L1498">
        <v>1.1299999999999999</v>
      </c>
      <c r="M1498" t="s">
        <v>5688</v>
      </c>
      <c r="N1498">
        <v>170.72</v>
      </c>
      <c r="O1498" t="s">
        <v>274</v>
      </c>
      <c r="P1498">
        <v>5.86</v>
      </c>
      <c r="Q1498">
        <v>5.79</v>
      </c>
      <c r="R1498">
        <v>5.8</v>
      </c>
      <c r="S1498">
        <v>5.82</v>
      </c>
      <c r="T1498">
        <v>1.2</v>
      </c>
      <c r="U1498">
        <v>0.71</v>
      </c>
      <c r="V1498">
        <v>36.700000000000003</v>
      </c>
      <c r="W1498">
        <v>5997</v>
      </c>
      <c r="X1498">
        <v>5.81</v>
      </c>
      <c r="Y1498" t="s">
        <v>2481</v>
      </c>
      <c r="Z1498" t="s">
        <v>3090</v>
      </c>
      <c r="AA1498">
        <v>1.77</v>
      </c>
      <c r="AB1498">
        <v>2157</v>
      </c>
      <c r="AC1498">
        <v>808</v>
      </c>
      <c r="AD1498">
        <v>2.14</v>
      </c>
      <c r="AE1498" t="s">
        <v>801</v>
      </c>
      <c r="AF1498" t="s">
        <v>4046</v>
      </c>
      <c r="AG1498" t="s">
        <v>5355</v>
      </c>
      <c r="AH1498" t="s">
        <v>4488</v>
      </c>
      <c r="AI1498">
        <v>-0.17</v>
      </c>
      <c r="AJ1498">
        <v>2.65</v>
      </c>
      <c r="AK1498">
        <v>5.0999999999999996</v>
      </c>
      <c r="AL1498">
        <v>9.0299999999999994</v>
      </c>
    </row>
    <row r="1499" spans="1:38" x14ac:dyDescent="0.25">
      <c r="A1499">
        <v>1498</v>
      </c>
      <c r="B1499" t="str">
        <f xml:space="preserve"> "600105"</f>
        <v>600105</v>
      </c>
      <c r="C1499" t="s">
        <v>5689</v>
      </c>
      <c r="D1499">
        <v>8.7899999999999991</v>
      </c>
      <c r="E1499">
        <v>-0.45</v>
      </c>
      <c r="F1499">
        <v>-0.04</v>
      </c>
      <c r="G1499" t="s">
        <v>3734</v>
      </c>
      <c r="H1499">
        <v>12</v>
      </c>
      <c r="I1499">
        <v>8.7899999999999991</v>
      </c>
      <c r="J1499">
        <v>8.8000000000000007</v>
      </c>
      <c r="K1499">
        <v>0</v>
      </c>
      <c r="L1499">
        <v>0.97</v>
      </c>
      <c r="M1499" t="s">
        <v>5690</v>
      </c>
      <c r="N1499">
        <v>32.01</v>
      </c>
      <c r="O1499" t="s">
        <v>580</v>
      </c>
      <c r="P1499">
        <v>8.84</v>
      </c>
      <c r="Q1499">
        <v>8.6999999999999993</v>
      </c>
      <c r="R1499">
        <v>8.7899999999999991</v>
      </c>
      <c r="S1499">
        <v>8.83</v>
      </c>
      <c r="T1499">
        <v>1.59</v>
      </c>
      <c r="U1499">
        <v>0.41</v>
      </c>
      <c r="V1499">
        <v>-26.56</v>
      </c>
      <c r="W1499">
        <v>-1054</v>
      </c>
      <c r="X1499">
        <v>8.76</v>
      </c>
      <c r="Y1499" t="s">
        <v>573</v>
      </c>
      <c r="Z1499" t="s">
        <v>1827</v>
      </c>
      <c r="AA1499">
        <v>1.6</v>
      </c>
      <c r="AB1499">
        <v>30</v>
      </c>
      <c r="AC1499">
        <v>470</v>
      </c>
      <c r="AD1499">
        <v>3.21</v>
      </c>
      <c r="AE1499" t="s">
        <v>3852</v>
      </c>
      <c r="AF1499" t="s">
        <v>4046</v>
      </c>
      <c r="AG1499" t="s">
        <v>4939</v>
      </c>
      <c r="AH1499" t="s">
        <v>524</v>
      </c>
      <c r="AI1499">
        <v>-1.35</v>
      </c>
      <c r="AJ1499">
        <v>-1.57</v>
      </c>
      <c r="AK1499">
        <v>4.8499999999999996</v>
      </c>
      <c r="AL1499">
        <v>12.97</v>
      </c>
    </row>
    <row r="1500" spans="1:38" x14ac:dyDescent="0.25">
      <c r="A1500">
        <v>1499</v>
      </c>
      <c r="B1500" t="str">
        <f xml:space="preserve"> "002364"</f>
        <v>002364</v>
      </c>
      <c r="C1500" t="s">
        <v>5691</v>
      </c>
      <c r="D1500">
        <v>15.03</v>
      </c>
      <c r="E1500">
        <v>0.27</v>
      </c>
      <c r="F1500">
        <v>0.04</v>
      </c>
      <c r="G1500" t="s">
        <v>3814</v>
      </c>
      <c r="H1500">
        <v>680</v>
      </c>
      <c r="I1500">
        <v>15.02</v>
      </c>
      <c r="J1500">
        <v>15.03</v>
      </c>
      <c r="K1500">
        <v>0.13</v>
      </c>
      <c r="L1500">
        <v>0.64</v>
      </c>
      <c r="M1500" t="s">
        <v>5692</v>
      </c>
      <c r="N1500">
        <v>70.430000000000007</v>
      </c>
      <c r="O1500" t="s">
        <v>680</v>
      </c>
      <c r="P1500">
        <v>15.09</v>
      </c>
      <c r="Q1500">
        <v>14.9</v>
      </c>
      <c r="R1500">
        <v>14.96</v>
      </c>
      <c r="S1500">
        <v>14.99</v>
      </c>
      <c r="T1500">
        <v>1.27</v>
      </c>
      <c r="U1500">
        <v>0.47</v>
      </c>
      <c r="V1500">
        <v>37.24</v>
      </c>
      <c r="W1500">
        <v>750</v>
      </c>
      <c r="X1500">
        <v>14.99</v>
      </c>
      <c r="Y1500" t="s">
        <v>2580</v>
      </c>
      <c r="Z1500" t="s">
        <v>2616</v>
      </c>
      <c r="AA1500">
        <v>1.33</v>
      </c>
      <c r="AB1500">
        <v>752</v>
      </c>
      <c r="AC1500">
        <v>118</v>
      </c>
      <c r="AD1500">
        <v>3.63</v>
      </c>
      <c r="AE1500" t="s">
        <v>2954</v>
      </c>
      <c r="AF1500" t="s">
        <v>4046</v>
      </c>
      <c r="AG1500" t="s">
        <v>4438</v>
      </c>
      <c r="AH1500" t="s">
        <v>1182</v>
      </c>
      <c r="AI1500">
        <v>-3.65</v>
      </c>
      <c r="AJ1500">
        <v>0.54</v>
      </c>
      <c r="AK1500">
        <v>2.98</v>
      </c>
      <c r="AL1500">
        <v>7.53</v>
      </c>
    </row>
    <row r="1501" spans="1:38" x14ac:dyDescent="0.25">
      <c r="A1501">
        <v>1500</v>
      </c>
      <c r="B1501" t="str">
        <f xml:space="preserve"> "600720"</f>
        <v>600720</v>
      </c>
      <c r="C1501" t="s">
        <v>5693</v>
      </c>
      <c r="D1501">
        <v>10.91</v>
      </c>
      <c r="E1501">
        <v>1.1100000000000001</v>
      </c>
      <c r="F1501">
        <v>0.12</v>
      </c>
      <c r="G1501" t="s">
        <v>2055</v>
      </c>
      <c r="H1501">
        <v>14</v>
      </c>
      <c r="I1501">
        <v>10.91</v>
      </c>
      <c r="J1501">
        <v>10.92</v>
      </c>
      <c r="K1501">
        <v>0</v>
      </c>
      <c r="L1501">
        <v>2.2000000000000002</v>
      </c>
      <c r="M1501" t="s">
        <v>2267</v>
      </c>
      <c r="N1501">
        <v>22.89</v>
      </c>
      <c r="O1501" t="s">
        <v>562</v>
      </c>
      <c r="P1501">
        <v>10.94</v>
      </c>
      <c r="Q1501">
        <v>10.63</v>
      </c>
      <c r="R1501">
        <v>10.77</v>
      </c>
      <c r="S1501">
        <v>10.79</v>
      </c>
      <c r="T1501">
        <v>2.87</v>
      </c>
      <c r="U1501">
        <v>0.75</v>
      </c>
      <c r="V1501">
        <v>38.04</v>
      </c>
      <c r="W1501">
        <v>6711</v>
      </c>
      <c r="X1501">
        <v>10.77</v>
      </c>
      <c r="Y1501" t="s">
        <v>1050</v>
      </c>
      <c r="Z1501" t="s">
        <v>2086</v>
      </c>
      <c r="AA1501">
        <v>1.39</v>
      </c>
      <c r="AB1501">
        <v>165</v>
      </c>
      <c r="AC1501">
        <v>889</v>
      </c>
      <c r="AD1501">
        <v>1.69</v>
      </c>
      <c r="AE1501" t="s">
        <v>4056</v>
      </c>
      <c r="AF1501" t="s">
        <v>4046</v>
      </c>
      <c r="AG1501" t="s">
        <v>4056</v>
      </c>
      <c r="AH1501" t="s">
        <v>4046</v>
      </c>
      <c r="AI1501">
        <v>-1.71</v>
      </c>
      <c r="AJ1501">
        <v>2.15</v>
      </c>
      <c r="AK1501">
        <v>7.45</v>
      </c>
      <c r="AL1501">
        <v>16.920000000000002</v>
      </c>
    </row>
    <row r="1502" spans="1:38" x14ac:dyDescent="0.25">
      <c r="A1502">
        <v>1501</v>
      </c>
      <c r="B1502" t="str">
        <f xml:space="preserve"> "002543"</f>
        <v>002543</v>
      </c>
      <c r="C1502" t="s">
        <v>5694</v>
      </c>
      <c r="D1502">
        <v>19.239999999999998</v>
      </c>
      <c r="E1502">
        <v>-2.93</v>
      </c>
      <c r="F1502">
        <v>-0.57999999999999996</v>
      </c>
      <c r="G1502" t="s">
        <v>1286</v>
      </c>
      <c r="H1502">
        <v>113</v>
      </c>
      <c r="I1502">
        <v>19.239999999999998</v>
      </c>
      <c r="J1502">
        <v>19.25</v>
      </c>
      <c r="K1502">
        <v>0.05</v>
      </c>
      <c r="L1502">
        <v>0.94</v>
      </c>
      <c r="M1502" t="s">
        <v>5695</v>
      </c>
      <c r="N1502">
        <v>19.8</v>
      </c>
      <c r="O1502" t="s">
        <v>215</v>
      </c>
      <c r="P1502">
        <v>19.7</v>
      </c>
      <c r="Q1502">
        <v>19.18</v>
      </c>
      <c r="R1502">
        <v>19.7</v>
      </c>
      <c r="S1502">
        <v>19.82</v>
      </c>
      <c r="T1502">
        <v>2.62</v>
      </c>
      <c r="U1502">
        <v>1.47</v>
      </c>
      <c r="V1502">
        <v>92.56</v>
      </c>
      <c r="W1502">
        <v>3361</v>
      </c>
      <c r="X1502">
        <v>19.329999999999998</v>
      </c>
      <c r="Y1502" t="s">
        <v>4023</v>
      </c>
      <c r="Z1502" t="s">
        <v>691</v>
      </c>
      <c r="AA1502">
        <v>1.96</v>
      </c>
      <c r="AB1502">
        <v>30</v>
      </c>
      <c r="AC1502">
        <v>32</v>
      </c>
      <c r="AD1502">
        <v>3.01</v>
      </c>
      <c r="AE1502" t="s">
        <v>3567</v>
      </c>
      <c r="AF1502" t="s">
        <v>4046</v>
      </c>
      <c r="AG1502" t="s">
        <v>4181</v>
      </c>
      <c r="AH1502" t="s">
        <v>5392</v>
      </c>
      <c r="AI1502">
        <v>-1.94</v>
      </c>
      <c r="AJ1502">
        <v>4</v>
      </c>
      <c r="AK1502">
        <v>2.25</v>
      </c>
      <c r="AL1502">
        <v>4.1399999999999997</v>
      </c>
    </row>
    <row r="1503" spans="1:38" x14ac:dyDescent="0.25">
      <c r="A1503">
        <v>1502</v>
      </c>
      <c r="B1503" t="str">
        <f xml:space="preserve"> "000751"</f>
        <v>000751</v>
      </c>
      <c r="C1503" t="s">
        <v>5696</v>
      </c>
      <c r="D1503">
        <v>6</v>
      </c>
      <c r="E1503">
        <v>-0.17</v>
      </c>
      <c r="F1503">
        <v>-0.01</v>
      </c>
      <c r="G1503" t="s">
        <v>308</v>
      </c>
      <c r="H1503">
        <v>3769</v>
      </c>
      <c r="I1503">
        <v>6</v>
      </c>
      <c r="J1503">
        <v>6.01</v>
      </c>
      <c r="K1503">
        <v>0</v>
      </c>
      <c r="L1503">
        <v>1.52</v>
      </c>
      <c r="M1503" t="s">
        <v>3961</v>
      </c>
      <c r="N1503">
        <v>52.46</v>
      </c>
      <c r="O1503" t="s">
        <v>449</v>
      </c>
      <c r="P1503">
        <v>6.08</v>
      </c>
      <c r="Q1503">
        <v>5.96</v>
      </c>
      <c r="R1503">
        <v>6</v>
      </c>
      <c r="S1503">
        <v>6.01</v>
      </c>
      <c r="T1503">
        <v>2</v>
      </c>
      <c r="U1503">
        <v>0.55000000000000004</v>
      </c>
      <c r="V1503">
        <v>8.24</v>
      </c>
      <c r="W1503">
        <v>2337</v>
      </c>
      <c r="X1503">
        <v>6</v>
      </c>
      <c r="Y1503" t="s">
        <v>1668</v>
      </c>
      <c r="Z1503" t="s">
        <v>523</v>
      </c>
      <c r="AA1503">
        <v>1.19</v>
      </c>
      <c r="AB1503">
        <v>380</v>
      </c>
      <c r="AC1503">
        <v>3772</v>
      </c>
      <c r="AD1503">
        <v>3.78</v>
      </c>
      <c r="AE1503" t="s">
        <v>1715</v>
      </c>
      <c r="AF1503" t="s">
        <v>4103</v>
      </c>
      <c r="AG1503" t="s">
        <v>1715</v>
      </c>
      <c r="AH1503" t="s">
        <v>4103</v>
      </c>
      <c r="AI1503">
        <v>-2.44</v>
      </c>
      <c r="AJ1503">
        <v>-0.99</v>
      </c>
      <c r="AK1503">
        <v>6.66</v>
      </c>
      <c r="AL1503">
        <v>15.33</v>
      </c>
    </row>
    <row r="1504" spans="1:38" x14ac:dyDescent="0.25">
      <c r="A1504">
        <v>1503</v>
      </c>
      <c r="B1504" t="str">
        <f xml:space="preserve"> "300194"</f>
        <v>300194</v>
      </c>
      <c r="C1504" t="s">
        <v>5697</v>
      </c>
      <c r="D1504">
        <v>7.11</v>
      </c>
      <c r="E1504">
        <v>0.99</v>
      </c>
      <c r="F1504">
        <v>7.0000000000000007E-2</v>
      </c>
      <c r="G1504" t="s">
        <v>5022</v>
      </c>
      <c r="H1504">
        <v>5961</v>
      </c>
      <c r="I1504">
        <v>7.09</v>
      </c>
      <c r="J1504">
        <v>7.11</v>
      </c>
      <c r="K1504">
        <v>0.28000000000000003</v>
      </c>
      <c r="L1504">
        <v>1.0900000000000001</v>
      </c>
      <c r="M1504" t="s">
        <v>5698</v>
      </c>
      <c r="N1504">
        <v>23.3</v>
      </c>
      <c r="O1504" t="s">
        <v>392</v>
      </c>
      <c r="P1504">
        <v>7.13</v>
      </c>
      <c r="Q1504">
        <v>6.99</v>
      </c>
      <c r="R1504">
        <v>7.02</v>
      </c>
      <c r="S1504">
        <v>7.04</v>
      </c>
      <c r="T1504">
        <v>1.99</v>
      </c>
      <c r="U1504">
        <v>0.81</v>
      </c>
      <c r="V1504">
        <v>-53.65</v>
      </c>
      <c r="W1504">
        <v>-4280</v>
      </c>
      <c r="X1504">
        <v>7.07</v>
      </c>
      <c r="Y1504" t="s">
        <v>3644</v>
      </c>
      <c r="Z1504" t="s">
        <v>1571</v>
      </c>
      <c r="AA1504">
        <v>0.9</v>
      </c>
      <c r="AB1504">
        <v>15</v>
      </c>
      <c r="AC1504">
        <v>793</v>
      </c>
      <c r="AD1504">
        <v>2.09</v>
      </c>
      <c r="AE1504" t="s">
        <v>1011</v>
      </c>
      <c r="AF1504" t="s">
        <v>4103</v>
      </c>
      <c r="AG1504" t="s">
        <v>5355</v>
      </c>
      <c r="AH1504" t="s">
        <v>3686</v>
      </c>
      <c r="AI1504">
        <v>-0.42</v>
      </c>
      <c r="AJ1504">
        <v>5.33</v>
      </c>
      <c r="AK1504">
        <v>4.01</v>
      </c>
      <c r="AL1504">
        <v>7.85</v>
      </c>
    </row>
    <row r="1505" spans="1:38" x14ac:dyDescent="0.25">
      <c r="A1505">
        <v>1504</v>
      </c>
      <c r="B1505" t="str">
        <f xml:space="preserve"> "300568"</f>
        <v>300568</v>
      </c>
      <c r="C1505" t="s">
        <v>5699</v>
      </c>
      <c r="D1505">
        <v>44.05</v>
      </c>
      <c r="E1505">
        <v>1.5</v>
      </c>
      <c r="F1505">
        <v>0.65</v>
      </c>
      <c r="G1505" t="s">
        <v>1799</v>
      </c>
      <c r="H1505">
        <v>238</v>
      </c>
      <c r="I1505">
        <v>44.05</v>
      </c>
      <c r="J1505">
        <v>44.06</v>
      </c>
      <c r="K1505">
        <v>0</v>
      </c>
      <c r="L1505">
        <v>2.64</v>
      </c>
      <c r="M1505" t="s">
        <v>3927</v>
      </c>
      <c r="N1505">
        <v>59.63</v>
      </c>
      <c r="O1505" t="s">
        <v>859</v>
      </c>
      <c r="P1505">
        <v>44.12</v>
      </c>
      <c r="Q1505">
        <v>43.35</v>
      </c>
      <c r="R1505">
        <v>43.7</v>
      </c>
      <c r="S1505">
        <v>43.4</v>
      </c>
      <c r="T1505">
        <v>1.77</v>
      </c>
      <c r="U1505">
        <v>0.66</v>
      </c>
      <c r="V1505">
        <v>-46.44</v>
      </c>
      <c r="W1505">
        <v>-163</v>
      </c>
      <c r="X1505">
        <v>43.85</v>
      </c>
      <c r="Y1505">
        <v>5690</v>
      </c>
      <c r="Z1505">
        <v>6972</v>
      </c>
      <c r="AA1505">
        <v>0.82</v>
      </c>
      <c r="AB1505">
        <v>44</v>
      </c>
      <c r="AC1505">
        <v>29</v>
      </c>
      <c r="AD1505">
        <v>6.86</v>
      </c>
      <c r="AE1505" t="s">
        <v>2662</v>
      </c>
      <c r="AF1505" t="s">
        <v>4103</v>
      </c>
      <c r="AG1505" t="s">
        <v>2913</v>
      </c>
      <c r="AH1505" t="s">
        <v>1734</v>
      </c>
      <c r="AI1505">
        <v>-0.77</v>
      </c>
      <c r="AJ1505">
        <v>-1.32</v>
      </c>
      <c r="AK1505">
        <v>9.65</v>
      </c>
      <c r="AL1505">
        <v>22.76</v>
      </c>
    </row>
    <row r="1506" spans="1:38" x14ac:dyDescent="0.25">
      <c r="A1506">
        <v>1505</v>
      </c>
      <c r="B1506" t="str">
        <f xml:space="preserve"> "002332"</f>
        <v>002332</v>
      </c>
      <c r="C1506" t="s">
        <v>5700</v>
      </c>
      <c r="D1506">
        <v>9.23</v>
      </c>
      <c r="E1506">
        <v>4.7699999999999996</v>
      </c>
      <c r="F1506">
        <v>0.42</v>
      </c>
      <c r="G1506" t="s">
        <v>3745</v>
      </c>
      <c r="H1506">
        <v>1269</v>
      </c>
      <c r="I1506">
        <v>9.23</v>
      </c>
      <c r="J1506">
        <v>9.24</v>
      </c>
      <c r="K1506">
        <v>0</v>
      </c>
      <c r="L1506">
        <v>2.54</v>
      </c>
      <c r="M1506" t="s">
        <v>5701</v>
      </c>
      <c r="N1506">
        <v>52.09</v>
      </c>
      <c r="O1506" t="s">
        <v>1552</v>
      </c>
      <c r="P1506">
        <v>9.25</v>
      </c>
      <c r="Q1506">
        <v>8.77</v>
      </c>
      <c r="R1506">
        <v>8.84</v>
      </c>
      <c r="S1506">
        <v>8.81</v>
      </c>
      <c r="T1506">
        <v>5.45</v>
      </c>
      <c r="U1506">
        <v>1.93</v>
      </c>
      <c r="V1506">
        <v>-80.8</v>
      </c>
      <c r="W1506">
        <v>-6204</v>
      </c>
      <c r="X1506">
        <v>9.1199999999999992</v>
      </c>
      <c r="Y1506" t="s">
        <v>1590</v>
      </c>
      <c r="Z1506" t="s">
        <v>442</v>
      </c>
      <c r="AA1506">
        <v>0.6</v>
      </c>
      <c r="AB1506">
        <v>312</v>
      </c>
      <c r="AC1506">
        <v>415</v>
      </c>
      <c r="AD1506">
        <v>3.77</v>
      </c>
      <c r="AE1506" t="s">
        <v>5702</v>
      </c>
      <c r="AF1506" t="s">
        <v>4103</v>
      </c>
      <c r="AG1506" t="s">
        <v>3328</v>
      </c>
      <c r="AH1506" t="s">
        <v>5267</v>
      </c>
      <c r="AI1506">
        <v>2.9</v>
      </c>
      <c r="AJ1506">
        <v>7.08</v>
      </c>
      <c r="AK1506">
        <v>5.0999999999999996</v>
      </c>
      <c r="AL1506">
        <v>9.1199999999999992</v>
      </c>
    </row>
    <row r="1507" spans="1:38" x14ac:dyDescent="0.25">
      <c r="A1507">
        <v>1506</v>
      </c>
      <c r="B1507" t="str">
        <f xml:space="preserve"> "600084"</f>
        <v>600084</v>
      </c>
      <c r="C1507" t="s">
        <v>5703</v>
      </c>
      <c r="D1507" t="s">
        <v>616</v>
      </c>
      <c r="E1507" t="s">
        <v>616</v>
      </c>
      <c r="F1507" t="s">
        <v>616</v>
      </c>
      <c r="G1507" t="s">
        <v>616</v>
      </c>
      <c r="H1507" t="s">
        <v>616</v>
      </c>
      <c r="I1507" t="s">
        <v>616</v>
      </c>
      <c r="J1507" t="s">
        <v>616</v>
      </c>
      <c r="K1507" t="s">
        <v>616</v>
      </c>
      <c r="L1507" t="s">
        <v>616</v>
      </c>
      <c r="M1507" t="s">
        <v>616</v>
      </c>
      <c r="N1507">
        <v>-88.49</v>
      </c>
      <c r="O1507" t="s">
        <v>123</v>
      </c>
      <c r="P1507" t="s">
        <v>616</v>
      </c>
      <c r="Q1507" t="s">
        <v>616</v>
      </c>
      <c r="R1507" t="s">
        <v>616</v>
      </c>
      <c r="S1507">
        <v>7.52</v>
      </c>
      <c r="T1507" t="s">
        <v>616</v>
      </c>
      <c r="U1507" t="s">
        <v>616</v>
      </c>
      <c r="V1507" t="s">
        <v>616</v>
      </c>
      <c r="W1507" t="s">
        <v>616</v>
      </c>
      <c r="X1507" t="s">
        <v>616</v>
      </c>
      <c r="Y1507" t="s">
        <v>616</v>
      </c>
      <c r="Z1507" t="s">
        <v>616</v>
      </c>
      <c r="AA1507" t="s">
        <v>616</v>
      </c>
      <c r="AB1507" t="s">
        <v>616</v>
      </c>
      <c r="AC1507" t="s">
        <v>616</v>
      </c>
      <c r="AD1507">
        <v>3.54</v>
      </c>
      <c r="AE1507" t="s">
        <v>2328</v>
      </c>
      <c r="AF1507" t="s">
        <v>5704</v>
      </c>
      <c r="AG1507" t="s">
        <v>3652</v>
      </c>
      <c r="AH1507" t="s">
        <v>5705</v>
      </c>
      <c r="AI1507">
        <v>0</v>
      </c>
      <c r="AJ1507">
        <v>0</v>
      </c>
      <c r="AK1507">
        <v>0</v>
      </c>
      <c r="AL1507">
        <v>0</v>
      </c>
    </row>
    <row r="1508" spans="1:38" x14ac:dyDescent="0.25">
      <c r="A1508">
        <v>1507</v>
      </c>
      <c r="B1508" t="str">
        <f xml:space="preserve"> "600103"</f>
        <v>600103</v>
      </c>
      <c r="C1508" t="s">
        <v>5706</v>
      </c>
      <c r="D1508">
        <v>4.76</v>
      </c>
      <c r="E1508">
        <v>-0.63</v>
      </c>
      <c r="F1508">
        <v>-0.03</v>
      </c>
      <c r="G1508" t="s">
        <v>3073</v>
      </c>
      <c r="H1508">
        <v>48</v>
      </c>
      <c r="I1508">
        <v>4.75</v>
      </c>
      <c r="J1508">
        <v>4.76</v>
      </c>
      <c r="K1508">
        <v>0</v>
      </c>
      <c r="L1508">
        <v>1.1299999999999999</v>
      </c>
      <c r="M1508" t="s">
        <v>5707</v>
      </c>
      <c r="N1508">
        <v>66.37</v>
      </c>
      <c r="O1508" t="s">
        <v>1874</v>
      </c>
      <c r="P1508">
        <v>4.79</v>
      </c>
      <c r="Q1508">
        <v>4.71</v>
      </c>
      <c r="R1508">
        <v>4.79</v>
      </c>
      <c r="S1508">
        <v>4.79</v>
      </c>
      <c r="T1508">
        <v>1.67</v>
      </c>
      <c r="U1508">
        <v>0.6</v>
      </c>
      <c r="V1508">
        <v>41.88</v>
      </c>
      <c r="W1508">
        <v>8517</v>
      </c>
      <c r="X1508">
        <v>4.74</v>
      </c>
      <c r="Y1508" t="s">
        <v>4607</v>
      </c>
      <c r="Z1508" t="s">
        <v>3264</v>
      </c>
      <c r="AA1508">
        <v>1.37</v>
      </c>
      <c r="AB1508">
        <v>1882</v>
      </c>
      <c r="AC1508">
        <v>890</v>
      </c>
      <c r="AD1508">
        <v>2.59</v>
      </c>
      <c r="AE1508" t="s">
        <v>892</v>
      </c>
      <c r="AF1508" t="s">
        <v>1636</v>
      </c>
      <c r="AG1508" t="s">
        <v>1554</v>
      </c>
      <c r="AH1508" t="s">
        <v>2919</v>
      </c>
      <c r="AI1508">
        <v>-1.65</v>
      </c>
      <c r="AJ1508">
        <v>2.59</v>
      </c>
      <c r="AK1508">
        <v>4.07</v>
      </c>
      <c r="AL1508">
        <v>10.57</v>
      </c>
    </row>
    <row r="1509" spans="1:38" x14ac:dyDescent="0.25">
      <c r="A1509">
        <v>1508</v>
      </c>
      <c r="B1509" t="str">
        <f xml:space="preserve"> "000507"</f>
        <v>000507</v>
      </c>
      <c r="C1509" t="s">
        <v>5708</v>
      </c>
      <c r="D1509">
        <v>10.69</v>
      </c>
      <c r="E1509">
        <v>-0.19</v>
      </c>
      <c r="F1509">
        <v>-0.02</v>
      </c>
      <c r="G1509" t="s">
        <v>235</v>
      </c>
      <c r="H1509">
        <v>2667</v>
      </c>
      <c r="I1509">
        <v>10.69</v>
      </c>
      <c r="J1509">
        <v>10.7</v>
      </c>
      <c r="K1509">
        <v>0.09</v>
      </c>
      <c r="L1509">
        <v>2.13</v>
      </c>
      <c r="M1509" t="s">
        <v>2861</v>
      </c>
      <c r="N1509">
        <v>42.67</v>
      </c>
      <c r="O1509" t="s">
        <v>440</v>
      </c>
      <c r="P1509">
        <v>10.83</v>
      </c>
      <c r="Q1509">
        <v>10.61</v>
      </c>
      <c r="R1509">
        <v>10.65</v>
      </c>
      <c r="S1509">
        <v>10.71</v>
      </c>
      <c r="T1509">
        <v>2.0499999999999998</v>
      </c>
      <c r="U1509">
        <v>0.66</v>
      </c>
      <c r="V1509">
        <v>30.29</v>
      </c>
      <c r="W1509">
        <v>2770</v>
      </c>
      <c r="X1509">
        <v>10.7</v>
      </c>
      <c r="Y1509" t="s">
        <v>1213</v>
      </c>
      <c r="Z1509" t="s">
        <v>5491</v>
      </c>
      <c r="AA1509">
        <v>1.37</v>
      </c>
      <c r="AB1509">
        <v>1344</v>
      </c>
      <c r="AC1509">
        <v>615</v>
      </c>
      <c r="AD1509">
        <v>3.13</v>
      </c>
      <c r="AE1509" t="s">
        <v>3429</v>
      </c>
      <c r="AF1509" t="s">
        <v>1636</v>
      </c>
      <c r="AG1509" t="s">
        <v>4244</v>
      </c>
      <c r="AH1509" t="s">
        <v>4718</v>
      </c>
      <c r="AI1509">
        <v>2.4900000000000002</v>
      </c>
      <c r="AJ1509">
        <v>6.05</v>
      </c>
      <c r="AK1509">
        <v>12.69</v>
      </c>
      <c r="AL1509">
        <v>18.34</v>
      </c>
    </row>
    <row r="1510" spans="1:38" x14ac:dyDescent="0.25">
      <c r="A1510">
        <v>1509</v>
      </c>
      <c r="B1510" t="str">
        <f xml:space="preserve"> "002726"</f>
        <v>002726</v>
      </c>
      <c r="C1510" t="s">
        <v>5709</v>
      </c>
      <c r="D1510">
        <v>11.16</v>
      </c>
      <c r="E1510">
        <v>0.09</v>
      </c>
      <c r="F1510">
        <v>0.01</v>
      </c>
      <c r="G1510" t="s">
        <v>1493</v>
      </c>
      <c r="H1510">
        <v>146</v>
      </c>
      <c r="I1510">
        <v>11.16</v>
      </c>
      <c r="J1510">
        <v>11.17</v>
      </c>
      <c r="K1510">
        <v>0</v>
      </c>
      <c r="L1510">
        <v>0.24</v>
      </c>
      <c r="M1510" t="s">
        <v>5710</v>
      </c>
      <c r="N1510">
        <v>31.67</v>
      </c>
      <c r="O1510" t="s">
        <v>622</v>
      </c>
      <c r="P1510">
        <v>11.18</v>
      </c>
      <c r="Q1510">
        <v>11.1</v>
      </c>
      <c r="R1510">
        <v>11.17</v>
      </c>
      <c r="S1510">
        <v>11.15</v>
      </c>
      <c r="T1510">
        <v>0.72</v>
      </c>
      <c r="U1510">
        <v>0.62</v>
      </c>
      <c r="V1510">
        <v>19.239999999999998</v>
      </c>
      <c r="W1510">
        <v>390</v>
      </c>
      <c r="X1510">
        <v>11.13</v>
      </c>
      <c r="Y1510">
        <v>9142</v>
      </c>
      <c r="Z1510">
        <v>8610</v>
      </c>
      <c r="AA1510">
        <v>1.06</v>
      </c>
      <c r="AB1510">
        <v>390</v>
      </c>
      <c r="AC1510">
        <v>293</v>
      </c>
      <c r="AD1510">
        <v>4.55</v>
      </c>
      <c r="AE1510" t="s">
        <v>5711</v>
      </c>
      <c r="AF1510" t="s">
        <v>1636</v>
      </c>
      <c r="AG1510" t="s">
        <v>4471</v>
      </c>
      <c r="AH1510" t="s">
        <v>3383</v>
      </c>
      <c r="AI1510">
        <v>-0.8</v>
      </c>
      <c r="AJ1510">
        <v>0.72</v>
      </c>
      <c r="AK1510">
        <v>1.07</v>
      </c>
      <c r="AL1510">
        <v>2.14</v>
      </c>
    </row>
    <row r="1511" spans="1:38" x14ac:dyDescent="0.25">
      <c r="A1511">
        <v>1510</v>
      </c>
      <c r="B1511" t="str">
        <f xml:space="preserve"> "002158"</f>
        <v>002158</v>
      </c>
      <c r="C1511" t="s">
        <v>5712</v>
      </c>
      <c r="D1511">
        <v>15.9</v>
      </c>
      <c r="E1511">
        <v>1.34</v>
      </c>
      <c r="F1511">
        <v>0.21</v>
      </c>
      <c r="G1511" t="s">
        <v>1448</v>
      </c>
      <c r="H1511">
        <v>2036</v>
      </c>
      <c r="I1511">
        <v>15.89</v>
      </c>
      <c r="J1511">
        <v>15.9</v>
      </c>
      <c r="K1511">
        <v>0.06</v>
      </c>
      <c r="L1511">
        <v>1.94</v>
      </c>
      <c r="M1511" t="s">
        <v>514</v>
      </c>
      <c r="N1511">
        <v>50.98</v>
      </c>
      <c r="O1511" t="s">
        <v>648</v>
      </c>
      <c r="P1511">
        <v>15.94</v>
      </c>
      <c r="Q1511">
        <v>15.52</v>
      </c>
      <c r="R1511">
        <v>15.73</v>
      </c>
      <c r="S1511">
        <v>15.69</v>
      </c>
      <c r="T1511">
        <v>2.68</v>
      </c>
      <c r="U1511">
        <v>1.17</v>
      </c>
      <c r="V1511">
        <v>-50.39</v>
      </c>
      <c r="W1511">
        <v>-2666</v>
      </c>
      <c r="X1511">
        <v>15.79</v>
      </c>
      <c r="Y1511" t="s">
        <v>2147</v>
      </c>
      <c r="Z1511" t="s">
        <v>781</v>
      </c>
      <c r="AA1511">
        <v>0.64</v>
      </c>
      <c r="AB1511">
        <v>648</v>
      </c>
      <c r="AC1511">
        <v>992</v>
      </c>
      <c r="AD1511">
        <v>4.41</v>
      </c>
      <c r="AE1511" t="s">
        <v>1212</v>
      </c>
      <c r="AF1511" t="s">
        <v>4545</v>
      </c>
      <c r="AG1511" t="s">
        <v>1212</v>
      </c>
      <c r="AH1511" t="s">
        <v>4545</v>
      </c>
      <c r="AI1511">
        <v>-0.44</v>
      </c>
      <c r="AJ1511">
        <v>1.21</v>
      </c>
      <c r="AK1511">
        <v>5.55</v>
      </c>
      <c r="AL1511">
        <v>10.23</v>
      </c>
    </row>
    <row r="1512" spans="1:38" x14ac:dyDescent="0.25">
      <c r="A1512">
        <v>1511</v>
      </c>
      <c r="B1512" t="str">
        <f xml:space="preserve"> "002697"</f>
        <v>002697</v>
      </c>
      <c r="C1512" t="s">
        <v>5713</v>
      </c>
      <c r="D1512">
        <v>6.2</v>
      </c>
      <c r="E1512">
        <v>-0.96</v>
      </c>
      <c r="F1512">
        <v>-0.06</v>
      </c>
      <c r="G1512" t="s">
        <v>860</v>
      </c>
      <c r="H1512">
        <v>1832</v>
      </c>
      <c r="I1512">
        <v>6.19</v>
      </c>
      <c r="J1512">
        <v>6.2</v>
      </c>
      <c r="K1512">
        <v>0.16</v>
      </c>
      <c r="L1512">
        <v>1.65</v>
      </c>
      <c r="M1512" t="s">
        <v>5308</v>
      </c>
      <c r="N1512">
        <v>42.79</v>
      </c>
      <c r="O1512" t="s">
        <v>532</v>
      </c>
      <c r="P1512">
        <v>6.24</v>
      </c>
      <c r="Q1512">
        <v>6.15</v>
      </c>
      <c r="R1512">
        <v>6.21</v>
      </c>
      <c r="S1512">
        <v>6.26</v>
      </c>
      <c r="T1512">
        <v>1.44</v>
      </c>
      <c r="U1512">
        <v>0.95</v>
      </c>
      <c r="V1512">
        <v>36.6</v>
      </c>
      <c r="W1512">
        <v>6226</v>
      </c>
      <c r="X1512">
        <v>6.19</v>
      </c>
      <c r="Y1512" t="s">
        <v>2261</v>
      </c>
      <c r="Z1512" t="s">
        <v>345</v>
      </c>
      <c r="AA1512">
        <v>1.51</v>
      </c>
      <c r="AB1512">
        <v>1754</v>
      </c>
      <c r="AC1512">
        <v>1253</v>
      </c>
      <c r="AD1512">
        <v>3.74</v>
      </c>
      <c r="AE1512" t="s">
        <v>1434</v>
      </c>
      <c r="AF1512" t="s">
        <v>4545</v>
      </c>
      <c r="AG1512" t="s">
        <v>4327</v>
      </c>
      <c r="AH1512" t="s">
        <v>5512</v>
      </c>
      <c r="AI1512">
        <v>0.81</v>
      </c>
      <c r="AJ1512">
        <v>4.03</v>
      </c>
      <c r="AK1512">
        <v>6.62</v>
      </c>
      <c r="AL1512">
        <v>10.37</v>
      </c>
    </row>
    <row r="1513" spans="1:38" x14ac:dyDescent="0.25">
      <c r="A1513">
        <v>1512</v>
      </c>
      <c r="B1513" t="str">
        <f xml:space="preserve"> "600308"</f>
        <v>600308</v>
      </c>
      <c r="C1513" t="s">
        <v>5714</v>
      </c>
      <c r="D1513">
        <v>7.22</v>
      </c>
      <c r="E1513">
        <v>0.56000000000000005</v>
      </c>
      <c r="F1513">
        <v>0.04</v>
      </c>
      <c r="G1513" t="s">
        <v>973</v>
      </c>
      <c r="H1513">
        <v>20</v>
      </c>
      <c r="I1513">
        <v>7.21</v>
      </c>
      <c r="J1513">
        <v>7.22</v>
      </c>
      <c r="K1513">
        <v>-0.14000000000000001</v>
      </c>
      <c r="L1513">
        <v>0.68</v>
      </c>
      <c r="M1513" t="s">
        <v>5715</v>
      </c>
      <c r="N1513">
        <v>14.25</v>
      </c>
      <c r="O1513" t="s">
        <v>1874</v>
      </c>
      <c r="P1513">
        <v>7.25</v>
      </c>
      <c r="Q1513">
        <v>7.14</v>
      </c>
      <c r="R1513">
        <v>7.18</v>
      </c>
      <c r="S1513">
        <v>7.18</v>
      </c>
      <c r="T1513">
        <v>1.53</v>
      </c>
      <c r="U1513">
        <v>0.52</v>
      </c>
      <c r="V1513">
        <v>-53.57</v>
      </c>
      <c r="W1513">
        <v>-1976</v>
      </c>
      <c r="X1513">
        <v>7.18</v>
      </c>
      <c r="Y1513" t="s">
        <v>1878</v>
      </c>
      <c r="Z1513" t="s">
        <v>1346</v>
      </c>
      <c r="AA1513">
        <v>0.89</v>
      </c>
      <c r="AB1513">
        <v>146</v>
      </c>
      <c r="AC1513">
        <v>160</v>
      </c>
      <c r="AD1513">
        <v>1.25</v>
      </c>
      <c r="AE1513" t="s">
        <v>1132</v>
      </c>
      <c r="AF1513" t="s">
        <v>4545</v>
      </c>
      <c r="AG1513" t="s">
        <v>1132</v>
      </c>
      <c r="AH1513" t="s">
        <v>4545</v>
      </c>
      <c r="AI1513">
        <v>-4.5</v>
      </c>
      <c r="AJ1513">
        <v>-2.04</v>
      </c>
      <c r="AK1513">
        <v>3.31</v>
      </c>
      <c r="AL1513">
        <v>7.26</v>
      </c>
    </row>
    <row r="1514" spans="1:38" x14ac:dyDescent="0.25">
      <c r="A1514">
        <v>1513</v>
      </c>
      <c r="B1514" t="str">
        <f xml:space="preserve"> "600480"</f>
        <v>600480</v>
      </c>
      <c r="C1514" t="s">
        <v>5716</v>
      </c>
      <c r="D1514">
        <v>18.670000000000002</v>
      </c>
      <c r="E1514">
        <v>0.38</v>
      </c>
      <c r="F1514">
        <v>7.0000000000000007E-2</v>
      </c>
      <c r="G1514" t="s">
        <v>3559</v>
      </c>
      <c r="H1514">
        <v>20</v>
      </c>
      <c r="I1514">
        <v>18.670000000000002</v>
      </c>
      <c r="J1514">
        <v>18.68</v>
      </c>
      <c r="K1514">
        <v>0.05</v>
      </c>
      <c r="L1514">
        <v>1.19</v>
      </c>
      <c r="M1514" t="s">
        <v>5717</v>
      </c>
      <c r="N1514">
        <v>17.940000000000001</v>
      </c>
      <c r="O1514" t="s">
        <v>2128</v>
      </c>
      <c r="P1514">
        <v>18.7</v>
      </c>
      <c r="Q1514">
        <v>18.510000000000002</v>
      </c>
      <c r="R1514">
        <v>18.59</v>
      </c>
      <c r="S1514">
        <v>18.600000000000001</v>
      </c>
      <c r="T1514">
        <v>1.02</v>
      </c>
      <c r="U1514">
        <v>0.8</v>
      </c>
      <c r="V1514">
        <v>-11.39</v>
      </c>
      <c r="W1514">
        <v>-300</v>
      </c>
      <c r="X1514">
        <v>18.600000000000001</v>
      </c>
      <c r="Y1514" t="s">
        <v>2360</v>
      </c>
      <c r="Z1514" t="s">
        <v>2653</v>
      </c>
      <c r="AA1514">
        <v>1.05</v>
      </c>
      <c r="AB1514">
        <v>3</v>
      </c>
      <c r="AC1514">
        <v>183</v>
      </c>
      <c r="AD1514">
        <v>2.29</v>
      </c>
      <c r="AE1514" t="s">
        <v>1395</v>
      </c>
      <c r="AF1514" t="s">
        <v>5718</v>
      </c>
      <c r="AG1514" t="s">
        <v>2887</v>
      </c>
      <c r="AH1514" t="s">
        <v>2411</v>
      </c>
      <c r="AI1514">
        <v>-0.64</v>
      </c>
      <c r="AJ1514">
        <v>1.41</v>
      </c>
      <c r="AK1514">
        <v>4.2</v>
      </c>
      <c r="AL1514">
        <v>8.66</v>
      </c>
    </row>
    <row r="1515" spans="1:38" x14ac:dyDescent="0.25">
      <c r="A1515">
        <v>1514</v>
      </c>
      <c r="B1515" t="str">
        <f xml:space="preserve"> "002139"</f>
        <v>002139</v>
      </c>
      <c r="C1515" t="s">
        <v>5719</v>
      </c>
      <c r="D1515">
        <v>12.37</v>
      </c>
      <c r="E1515">
        <v>-0.8</v>
      </c>
      <c r="F1515">
        <v>-0.1</v>
      </c>
      <c r="G1515" t="s">
        <v>1668</v>
      </c>
      <c r="H1515">
        <v>1912</v>
      </c>
      <c r="I1515">
        <v>12.36</v>
      </c>
      <c r="J1515">
        <v>12.37</v>
      </c>
      <c r="K1515">
        <v>0</v>
      </c>
      <c r="L1515">
        <v>2.25</v>
      </c>
      <c r="M1515" t="s">
        <v>3154</v>
      </c>
      <c r="N1515">
        <v>44.78</v>
      </c>
      <c r="O1515" t="s">
        <v>1372</v>
      </c>
      <c r="P1515">
        <v>12.54</v>
      </c>
      <c r="Q1515">
        <v>12.28</v>
      </c>
      <c r="R1515">
        <v>12.41</v>
      </c>
      <c r="S1515">
        <v>12.47</v>
      </c>
      <c r="T1515">
        <v>2.09</v>
      </c>
      <c r="U1515">
        <v>0.82</v>
      </c>
      <c r="V1515">
        <v>-1.1599999999999999</v>
      </c>
      <c r="W1515">
        <v>-28</v>
      </c>
      <c r="X1515">
        <v>12.4</v>
      </c>
      <c r="Y1515" t="s">
        <v>4917</v>
      </c>
      <c r="Z1515" t="s">
        <v>3559</v>
      </c>
      <c r="AA1515">
        <v>1.7</v>
      </c>
      <c r="AB1515">
        <v>91</v>
      </c>
      <c r="AC1515">
        <v>159</v>
      </c>
      <c r="AD1515">
        <v>4.66</v>
      </c>
      <c r="AE1515" t="s">
        <v>4102</v>
      </c>
      <c r="AF1515" t="s">
        <v>4274</v>
      </c>
      <c r="AG1515" t="s">
        <v>3397</v>
      </c>
      <c r="AH1515" t="s">
        <v>3375</v>
      </c>
      <c r="AI1515">
        <v>0.81</v>
      </c>
      <c r="AJ1515">
        <v>0.56999999999999995</v>
      </c>
      <c r="AK1515">
        <v>9.42</v>
      </c>
      <c r="AL1515">
        <v>15.99</v>
      </c>
    </row>
    <row r="1516" spans="1:38" x14ac:dyDescent="0.25">
      <c r="A1516">
        <v>1515</v>
      </c>
      <c r="B1516" t="str">
        <f xml:space="preserve"> "002333"</f>
        <v>002333</v>
      </c>
      <c r="C1516" t="s">
        <v>5720</v>
      </c>
      <c r="D1516">
        <v>16.739999999999998</v>
      </c>
      <c r="E1516">
        <v>0.42</v>
      </c>
      <c r="F1516">
        <v>7.0000000000000007E-2</v>
      </c>
      <c r="G1516" t="s">
        <v>3234</v>
      </c>
      <c r="H1516">
        <v>412</v>
      </c>
      <c r="I1516">
        <v>16.71</v>
      </c>
      <c r="J1516">
        <v>16.739999999999998</v>
      </c>
      <c r="K1516">
        <v>0.12</v>
      </c>
      <c r="L1516">
        <v>0.28999999999999998</v>
      </c>
      <c r="M1516" t="s">
        <v>5721</v>
      </c>
      <c r="N1516">
        <v>-797.8</v>
      </c>
      <c r="O1516" t="s">
        <v>562</v>
      </c>
      <c r="P1516">
        <v>16.82</v>
      </c>
      <c r="Q1516">
        <v>16.55</v>
      </c>
      <c r="R1516">
        <v>16.82</v>
      </c>
      <c r="S1516">
        <v>16.670000000000002</v>
      </c>
      <c r="T1516">
        <v>1.62</v>
      </c>
      <c r="U1516">
        <v>0.55000000000000004</v>
      </c>
      <c r="V1516">
        <v>-68.209999999999994</v>
      </c>
      <c r="W1516">
        <v>-811</v>
      </c>
      <c r="X1516">
        <v>16.68</v>
      </c>
      <c r="Y1516">
        <v>8323</v>
      </c>
      <c r="Z1516">
        <v>5764</v>
      </c>
      <c r="AA1516">
        <v>1.44</v>
      </c>
      <c r="AB1516">
        <v>100</v>
      </c>
      <c r="AC1516">
        <v>711</v>
      </c>
      <c r="AD1516">
        <v>5.59</v>
      </c>
      <c r="AE1516" t="s">
        <v>1613</v>
      </c>
      <c r="AF1516" t="s">
        <v>4274</v>
      </c>
      <c r="AG1516" t="s">
        <v>5652</v>
      </c>
      <c r="AH1516" t="s">
        <v>5722</v>
      </c>
      <c r="AI1516">
        <v>-2.11</v>
      </c>
      <c r="AJ1516">
        <v>-1.01</v>
      </c>
      <c r="AK1516">
        <v>1.28</v>
      </c>
      <c r="AL1516">
        <v>2.92</v>
      </c>
    </row>
    <row r="1517" spans="1:38" x14ac:dyDescent="0.25">
      <c r="A1517">
        <v>1516</v>
      </c>
      <c r="B1517" t="str">
        <f xml:space="preserve"> "300233"</f>
        <v>300233</v>
      </c>
      <c r="C1517" t="s">
        <v>5723</v>
      </c>
      <c r="D1517">
        <v>21.4</v>
      </c>
      <c r="E1517">
        <v>1.42</v>
      </c>
      <c r="F1517">
        <v>0.3</v>
      </c>
      <c r="G1517" t="s">
        <v>1349</v>
      </c>
      <c r="H1517">
        <v>314</v>
      </c>
      <c r="I1517">
        <v>21.39</v>
      </c>
      <c r="J1517">
        <v>21.4</v>
      </c>
      <c r="K1517">
        <v>0</v>
      </c>
      <c r="L1517">
        <v>0.74</v>
      </c>
      <c r="M1517" t="s">
        <v>5724</v>
      </c>
      <c r="N1517">
        <v>33.64</v>
      </c>
      <c r="O1517" t="s">
        <v>392</v>
      </c>
      <c r="P1517">
        <v>21.52</v>
      </c>
      <c r="Q1517">
        <v>21.02</v>
      </c>
      <c r="R1517">
        <v>21.09</v>
      </c>
      <c r="S1517">
        <v>21.1</v>
      </c>
      <c r="T1517">
        <v>2.37</v>
      </c>
      <c r="U1517">
        <v>0.79</v>
      </c>
      <c r="V1517">
        <v>-18.920000000000002</v>
      </c>
      <c r="W1517">
        <v>-180</v>
      </c>
      <c r="X1517">
        <v>21.32</v>
      </c>
      <c r="Y1517">
        <v>9939</v>
      </c>
      <c r="Z1517">
        <v>7291</v>
      </c>
      <c r="AA1517">
        <v>1.36</v>
      </c>
      <c r="AB1517">
        <v>86</v>
      </c>
      <c r="AC1517">
        <v>91</v>
      </c>
      <c r="AD1517">
        <v>2.2799999999999998</v>
      </c>
      <c r="AE1517" t="s">
        <v>3428</v>
      </c>
      <c r="AF1517" t="s">
        <v>4274</v>
      </c>
      <c r="AG1517" t="s">
        <v>1640</v>
      </c>
      <c r="AH1517" t="s">
        <v>714</v>
      </c>
      <c r="AI1517">
        <v>-1.29</v>
      </c>
      <c r="AJ1517">
        <v>6.47</v>
      </c>
      <c r="AK1517">
        <v>2.86</v>
      </c>
      <c r="AL1517">
        <v>5.44</v>
      </c>
    </row>
    <row r="1518" spans="1:38" x14ac:dyDescent="0.25">
      <c r="A1518">
        <v>1517</v>
      </c>
      <c r="B1518" t="str">
        <f xml:space="preserve"> "300477"</f>
        <v>300477</v>
      </c>
      <c r="C1518" t="s">
        <v>5725</v>
      </c>
      <c r="D1518">
        <v>26</v>
      </c>
      <c r="E1518">
        <v>-4.34</v>
      </c>
      <c r="F1518">
        <v>-1.18</v>
      </c>
      <c r="G1518" t="s">
        <v>936</v>
      </c>
      <c r="H1518">
        <v>1060</v>
      </c>
      <c r="I1518">
        <v>25.99</v>
      </c>
      <c r="J1518">
        <v>26</v>
      </c>
      <c r="K1518">
        <v>0.78</v>
      </c>
      <c r="L1518">
        <v>5.65</v>
      </c>
      <c r="M1518" t="s">
        <v>2715</v>
      </c>
      <c r="N1518">
        <v>125.26</v>
      </c>
      <c r="O1518" t="s">
        <v>680</v>
      </c>
      <c r="P1518">
        <v>27.8</v>
      </c>
      <c r="Q1518">
        <v>25.66</v>
      </c>
      <c r="R1518">
        <v>27.5</v>
      </c>
      <c r="S1518">
        <v>27.18</v>
      </c>
      <c r="T1518">
        <v>7.87</v>
      </c>
      <c r="U1518">
        <v>1.1399999999999999</v>
      </c>
      <c r="V1518">
        <v>-74.48</v>
      </c>
      <c r="W1518">
        <v>-444</v>
      </c>
      <c r="X1518">
        <v>26.44</v>
      </c>
      <c r="Y1518" t="s">
        <v>1601</v>
      </c>
      <c r="Z1518" t="s">
        <v>2731</v>
      </c>
      <c r="AA1518">
        <v>1.88</v>
      </c>
      <c r="AB1518">
        <v>4</v>
      </c>
      <c r="AC1518">
        <v>129</v>
      </c>
      <c r="AD1518">
        <v>4.6100000000000003</v>
      </c>
      <c r="AE1518" t="s">
        <v>3150</v>
      </c>
      <c r="AF1518" t="s">
        <v>4274</v>
      </c>
      <c r="AG1518" t="s">
        <v>3574</v>
      </c>
      <c r="AH1518" t="s">
        <v>937</v>
      </c>
      <c r="AI1518">
        <v>-7.87</v>
      </c>
      <c r="AJ1518">
        <v>-13.13</v>
      </c>
      <c r="AK1518">
        <v>14.03</v>
      </c>
      <c r="AL1518">
        <v>30.31</v>
      </c>
    </row>
    <row r="1519" spans="1:38" x14ac:dyDescent="0.25">
      <c r="A1519">
        <v>1518</v>
      </c>
      <c r="B1519" t="str">
        <f xml:space="preserve"> "603133"</f>
        <v>603133</v>
      </c>
      <c r="C1519" t="s">
        <v>5726</v>
      </c>
      <c r="D1519">
        <v>40.409999999999997</v>
      </c>
      <c r="E1519">
        <v>1.58</v>
      </c>
      <c r="F1519">
        <v>0.63</v>
      </c>
      <c r="G1519" t="s">
        <v>2741</v>
      </c>
      <c r="H1519">
        <v>18</v>
      </c>
      <c r="I1519">
        <v>40.42</v>
      </c>
      <c r="J1519">
        <v>40.43</v>
      </c>
      <c r="K1519">
        <v>0.15</v>
      </c>
      <c r="L1519">
        <v>5.27</v>
      </c>
      <c r="M1519" t="s">
        <v>679</v>
      </c>
      <c r="N1519">
        <v>156.91999999999999</v>
      </c>
      <c r="O1519" t="s">
        <v>380</v>
      </c>
      <c r="P1519">
        <v>40.78</v>
      </c>
      <c r="Q1519">
        <v>39.520000000000003</v>
      </c>
      <c r="R1519">
        <v>39.79</v>
      </c>
      <c r="S1519">
        <v>39.78</v>
      </c>
      <c r="T1519">
        <v>3.17</v>
      </c>
      <c r="U1519">
        <v>0.6</v>
      </c>
      <c r="V1519">
        <v>-63.05</v>
      </c>
      <c r="W1519">
        <v>-157</v>
      </c>
      <c r="X1519">
        <v>40.32</v>
      </c>
      <c r="Y1519" t="s">
        <v>2370</v>
      </c>
      <c r="Z1519" t="s">
        <v>3798</v>
      </c>
      <c r="AA1519">
        <v>0.88</v>
      </c>
      <c r="AB1519">
        <v>15</v>
      </c>
      <c r="AC1519">
        <v>2</v>
      </c>
      <c r="AD1519">
        <v>9.7100000000000009</v>
      </c>
      <c r="AE1519" t="s">
        <v>2964</v>
      </c>
      <c r="AF1519" t="s">
        <v>4274</v>
      </c>
      <c r="AG1519" t="s">
        <v>5727</v>
      </c>
      <c r="AH1519" t="s">
        <v>2380</v>
      </c>
      <c r="AI1519">
        <v>-3.76</v>
      </c>
      <c r="AJ1519">
        <v>1.25</v>
      </c>
      <c r="AK1519">
        <v>23.01</v>
      </c>
      <c r="AL1519">
        <v>48.9</v>
      </c>
    </row>
    <row r="1520" spans="1:38" x14ac:dyDescent="0.25">
      <c r="A1520">
        <v>1519</v>
      </c>
      <c r="B1520" t="str">
        <f xml:space="preserve"> "000795"</f>
        <v>000795</v>
      </c>
      <c r="C1520" t="s">
        <v>5728</v>
      </c>
      <c r="D1520">
        <v>7.41</v>
      </c>
      <c r="E1520">
        <v>0.14000000000000001</v>
      </c>
      <c r="F1520">
        <v>0.01</v>
      </c>
      <c r="G1520" t="s">
        <v>678</v>
      </c>
      <c r="H1520">
        <v>2275</v>
      </c>
      <c r="I1520">
        <v>7.41</v>
      </c>
      <c r="J1520">
        <v>7.42</v>
      </c>
      <c r="K1520">
        <v>0</v>
      </c>
      <c r="L1520">
        <v>2.02</v>
      </c>
      <c r="M1520" t="s">
        <v>2611</v>
      </c>
      <c r="N1520">
        <v>80.569999999999993</v>
      </c>
      <c r="O1520" t="s">
        <v>859</v>
      </c>
      <c r="P1520">
        <v>7.46</v>
      </c>
      <c r="Q1520">
        <v>7.33</v>
      </c>
      <c r="R1520">
        <v>7.35</v>
      </c>
      <c r="S1520">
        <v>7.4</v>
      </c>
      <c r="T1520">
        <v>1.76</v>
      </c>
      <c r="U1520">
        <v>0.61</v>
      </c>
      <c r="V1520">
        <v>-25.48</v>
      </c>
      <c r="W1520">
        <v>-2528</v>
      </c>
      <c r="X1520">
        <v>7.4</v>
      </c>
      <c r="Y1520" t="s">
        <v>1006</v>
      </c>
      <c r="Z1520" t="s">
        <v>3725</v>
      </c>
      <c r="AA1520">
        <v>1.1100000000000001</v>
      </c>
      <c r="AB1520">
        <v>413</v>
      </c>
      <c r="AC1520">
        <v>940</v>
      </c>
      <c r="AD1520">
        <v>4.1500000000000004</v>
      </c>
      <c r="AE1520" t="s">
        <v>2756</v>
      </c>
      <c r="AF1520" t="s">
        <v>5332</v>
      </c>
      <c r="AG1520" t="s">
        <v>3304</v>
      </c>
      <c r="AH1520" t="s">
        <v>4539</v>
      </c>
      <c r="AI1520">
        <v>-5.12</v>
      </c>
      <c r="AJ1520">
        <v>-3.52</v>
      </c>
      <c r="AK1520">
        <v>9.59</v>
      </c>
      <c r="AL1520">
        <v>18.489999999999998</v>
      </c>
    </row>
    <row r="1521" spans="1:38" x14ac:dyDescent="0.25">
      <c r="A1521">
        <v>1520</v>
      </c>
      <c r="B1521" t="str">
        <f xml:space="preserve"> "300221"</f>
        <v>300221</v>
      </c>
      <c r="C1521" t="s">
        <v>5729</v>
      </c>
      <c r="D1521">
        <v>16.61</v>
      </c>
      <c r="E1521">
        <v>-2.75</v>
      </c>
      <c r="F1521">
        <v>-0.47</v>
      </c>
      <c r="G1521" t="s">
        <v>4153</v>
      </c>
      <c r="H1521">
        <v>2677</v>
      </c>
      <c r="I1521">
        <v>16.61</v>
      </c>
      <c r="J1521">
        <v>16.62</v>
      </c>
      <c r="K1521">
        <v>0.24</v>
      </c>
      <c r="L1521">
        <v>1.93</v>
      </c>
      <c r="M1521" t="s">
        <v>3398</v>
      </c>
      <c r="N1521">
        <v>41.28</v>
      </c>
      <c r="O1521" t="s">
        <v>2128</v>
      </c>
      <c r="P1521">
        <v>17.12</v>
      </c>
      <c r="Q1521">
        <v>16.45</v>
      </c>
      <c r="R1521">
        <v>17</v>
      </c>
      <c r="S1521">
        <v>17.079999999999998</v>
      </c>
      <c r="T1521">
        <v>3.92</v>
      </c>
      <c r="U1521">
        <v>0.86</v>
      </c>
      <c r="V1521">
        <v>92.47</v>
      </c>
      <c r="W1521">
        <v>1597</v>
      </c>
      <c r="X1521">
        <v>16.77</v>
      </c>
      <c r="Y1521" t="s">
        <v>1437</v>
      </c>
      <c r="Z1521" t="s">
        <v>1111</v>
      </c>
      <c r="AA1521">
        <v>1.4</v>
      </c>
      <c r="AB1521">
        <v>909</v>
      </c>
      <c r="AC1521">
        <v>5</v>
      </c>
      <c r="AD1521">
        <v>3.98</v>
      </c>
      <c r="AE1521" t="s">
        <v>5730</v>
      </c>
      <c r="AF1521" t="s">
        <v>5332</v>
      </c>
      <c r="AG1521" t="s">
        <v>4660</v>
      </c>
      <c r="AH1521" t="s">
        <v>524</v>
      </c>
      <c r="AI1521">
        <v>0.12</v>
      </c>
      <c r="AJ1521">
        <v>6.68</v>
      </c>
      <c r="AK1521">
        <v>7.11</v>
      </c>
      <c r="AL1521">
        <v>13.14</v>
      </c>
    </row>
    <row r="1522" spans="1:38" x14ac:dyDescent="0.25">
      <c r="A1522">
        <v>1521</v>
      </c>
      <c r="B1522" t="str">
        <f xml:space="preserve"> "600481"</f>
        <v>600481</v>
      </c>
      <c r="C1522" t="s">
        <v>5731</v>
      </c>
      <c r="D1522">
        <v>5.18</v>
      </c>
      <c r="E1522">
        <v>3.81</v>
      </c>
      <c r="F1522">
        <v>0.19</v>
      </c>
      <c r="G1522" t="s">
        <v>222</v>
      </c>
      <c r="H1522">
        <v>204</v>
      </c>
      <c r="I1522">
        <v>5.17</v>
      </c>
      <c r="J1522">
        <v>5.18</v>
      </c>
      <c r="K1522">
        <v>0</v>
      </c>
      <c r="L1522">
        <v>1.38</v>
      </c>
      <c r="M1522" t="s">
        <v>485</v>
      </c>
      <c r="N1522">
        <v>308.73</v>
      </c>
      <c r="O1522" t="s">
        <v>667</v>
      </c>
      <c r="P1522">
        <v>5.21</v>
      </c>
      <c r="Q1522">
        <v>4.97</v>
      </c>
      <c r="R1522">
        <v>4.99</v>
      </c>
      <c r="S1522">
        <v>4.99</v>
      </c>
      <c r="T1522">
        <v>4.8099999999999996</v>
      </c>
      <c r="U1522">
        <v>3.65</v>
      </c>
      <c r="V1522">
        <v>-71.459999999999994</v>
      </c>
      <c r="W1522" t="s">
        <v>5732</v>
      </c>
      <c r="X1522">
        <v>5.12</v>
      </c>
      <c r="Y1522" t="s">
        <v>3396</v>
      </c>
      <c r="Z1522" t="s">
        <v>860</v>
      </c>
      <c r="AA1522">
        <v>0.56999999999999995</v>
      </c>
      <c r="AB1522">
        <v>152</v>
      </c>
      <c r="AC1522">
        <v>4742</v>
      </c>
      <c r="AD1522">
        <v>4.2300000000000004</v>
      </c>
      <c r="AE1522" t="s">
        <v>2648</v>
      </c>
      <c r="AF1522" t="s">
        <v>3345</v>
      </c>
      <c r="AG1522" t="s">
        <v>2648</v>
      </c>
      <c r="AH1522" t="s">
        <v>3345</v>
      </c>
      <c r="AI1522">
        <v>4.0199999999999996</v>
      </c>
      <c r="AJ1522">
        <v>6.37</v>
      </c>
      <c r="AK1522">
        <v>2.13</v>
      </c>
      <c r="AL1522">
        <v>3.27</v>
      </c>
    </row>
    <row r="1523" spans="1:38" x14ac:dyDescent="0.25">
      <c r="A1523">
        <v>1522</v>
      </c>
      <c r="B1523" t="str">
        <f xml:space="preserve"> "600239"</f>
        <v>600239</v>
      </c>
      <c r="C1523" t="s">
        <v>5733</v>
      </c>
      <c r="D1523" t="s">
        <v>616</v>
      </c>
      <c r="E1523" t="s">
        <v>616</v>
      </c>
      <c r="F1523" t="s">
        <v>616</v>
      </c>
      <c r="G1523" t="s">
        <v>616</v>
      </c>
      <c r="H1523" t="s">
        <v>616</v>
      </c>
      <c r="I1523" t="s">
        <v>616</v>
      </c>
      <c r="J1523" t="s">
        <v>616</v>
      </c>
      <c r="K1523" t="s">
        <v>616</v>
      </c>
      <c r="L1523" t="s">
        <v>616</v>
      </c>
      <c r="M1523" t="s">
        <v>616</v>
      </c>
      <c r="N1523">
        <v>-14.79</v>
      </c>
      <c r="O1523" t="s">
        <v>244</v>
      </c>
      <c r="P1523" t="s">
        <v>616</v>
      </c>
      <c r="Q1523" t="s">
        <v>616</v>
      </c>
      <c r="R1523" t="s">
        <v>616</v>
      </c>
      <c r="S1523">
        <v>5.22</v>
      </c>
      <c r="T1523" t="s">
        <v>616</v>
      </c>
      <c r="U1523" t="s">
        <v>616</v>
      </c>
      <c r="V1523" t="s">
        <v>616</v>
      </c>
      <c r="W1523" t="s">
        <v>616</v>
      </c>
      <c r="X1523" t="s">
        <v>616</v>
      </c>
      <c r="Y1523" t="s">
        <v>616</v>
      </c>
      <c r="Z1523" t="s">
        <v>616</v>
      </c>
      <c r="AA1523" t="s">
        <v>616</v>
      </c>
      <c r="AB1523" t="s">
        <v>616</v>
      </c>
      <c r="AC1523" t="s">
        <v>616</v>
      </c>
      <c r="AD1523">
        <v>1.98</v>
      </c>
      <c r="AE1523" t="s">
        <v>3071</v>
      </c>
      <c r="AF1523" t="s">
        <v>3268</v>
      </c>
      <c r="AG1523" t="s">
        <v>3071</v>
      </c>
      <c r="AH1523" t="s">
        <v>3268</v>
      </c>
      <c r="AI1523">
        <v>0</v>
      </c>
      <c r="AJ1523">
        <v>0</v>
      </c>
      <c r="AK1523">
        <v>0</v>
      </c>
      <c r="AL1523">
        <v>0</v>
      </c>
    </row>
    <row r="1524" spans="1:38" x14ac:dyDescent="0.25">
      <c r="A1524">
        <v>1523</v>
      </c>
      <c r="B1524" t="str">
        <f xml:space="preserve"> "600596"</f>
        <v>600596</v>
      </c>
      <c r="C1524" t="s">
        <v>5734</v>
      </c>
      <c r="D1524">
        <v>11.87</v>
      </c>
      <c r="E1524">
        <v>0.59</v>
      </c>
      <c r="F1524">
        <v>7.0000000000000007E-2</v>
      </c>
      <c r="G1524" t="s">
        <v>609</v>
      </c>
      <c r="H1524">
        <v>15</v>
      </c>
      <c r="I1524">
        <v>11.86</v>
      </c>
      <c r="J1524">
        <v>11.87</v>
      </c>
      <c r="K1524">
        <v>0.17</v>
      </c>
      <c r="L1524">
        <v>1.87</v>
      </c>
      <c r="M1524" t="s">
        <v>598</v>
      </c>
      <c r="N1524">
        <v>19.84</v>
      </c>
      <c r="O1524" t="s">
        <v>2060</v>
      </c>
      <c r="P1524">
        <v>11.96</v>
      </c>
      <c r="Q1524">
        <v>11.67</v>
      </c>
      <c r="R1524">
        <v>11.8</v>
      </c>
      <c r="S1524">
        <v>11.8</v>
      </c>
      <c r="T1524">
        <v>2.46</v>
      </c>
      <c r="U1524">
        <v>0.52</v>
      </c>
      <c r="V1524">
        <v>-39.35</v>
      </c>
      <c r="W1524">
        <v>-1487</v>
      </c>
      <c r="X1524">
        <v>11.81</v>
      </c>
      <c r="Y1524" t="s">
        <v>2113</v>
      </c>
      <c r="Z1524" t="s">
        <v>318</v>
      </c>
      <c r="AA1524">
        <v>1</v>
      </c>
      <c r="AB1524">
        <v>359</v>
      </c>
      <c r="AC1524">
        <v>352</v>
      </c>
      <c r="AD1524">
        <v>1.94</v>
      </c>
      <c r="AE1524" t="s">
        <v>1722</v>
      </c>
      <c r="AF1524" t="s">
        <v>4207</v>
      </c>
      <c r="AG1524" t="s">
        <v>5735</v>
      </c>
      <c r="AH1524" t="s">
        <v>5736</v>
      </c>
      <c r="AI1524">
        <v>-1.49</v>
      </c>
      <c r="AJ1524">
        <v>-1.41</v>
      </c>
      <c r="AK1524">
        <v>9.5299999999999994</v>
      </c>
      <c r="AL1524">
        <v>19.8</v>
      </c>
    </row>
    <row r="1525" spans="1:38" x14ac:dyDescent="0.25">
      <c r="A1525">
        <v>1524</v>
      </c>
      <c r="B1525" t="str">
        <f xml:space="preserve"> "002161"</f>
        <v>002161</v>
      </c>
      <c r="C1525" t="s">
        <v>5737</v>
      </c>
      <c r="D1525">
        <v>11.31</v>
      </c>
      <c r="E1525">
        <v>-0.18</v>
      </c>
      <c r="F1525">
        <v>-0.02</v>
      </c>
      <c r="G1525" t="s">
        <v>3351</v>
      </c>
      <c r="H1525">
        <v>1725</v>
      </c>
      <c r="I1525">
        <v>11.3</v>
      </c>
      <c r="J1525">
        <v>11.31</v>
      </c>
      <c r="K1525">
        <v>-0.09</v>
      </c>
      <c r="L1525">
        <v>1.4</v>
      </c>
      <c r="M1525" t="s">
        <v>4533</v>
      </c>
      <c r="N1525">
        <v>-193.31</v>
      </c>
      <c r="O1525" t="s">
        <v>553</v>
      </c>
      <c r="P1525">
        <v>11.39</v>
      </c>
      <c r="Q1525">
        <v>11.22</v>
      </c>
      <c r="R1525">
        <v>11.33</v>
      </c>
      <c r="S1525">
        <v>11.33</v>
      </c>
      <c r="T1525">
        <v>1.5</v>
      </c>
      <c r="U1525">
        <v>0.5</v>
      </c>
      <c r="V1525">
        <v>15.97</v>
      </c>
      <c r="W1525">
        <v>1314</v>
      </c>
      <c r="X1525">
        <v>11.32</v>
      </c>
      <c r="Y1525" t="s">
        <v>2752</v>
      </c>
      <c r="Z1525" t="s">
        <v>1271</v>
      </c>
      <c r="AA1525">
        <v>1.41</v>
      </c>
      <c r="AB1525">
        <v>673</v>
      </c>
      <c r="AC1525">
        <v>1065</v>
      </c>
      <c r="AD1525">
        <v>5.31</v>
      </c>
      <c r="AE1525" t="s">
        <v>415</v>
      </c>
      <c r="AF1525" t="s">
        <v>4207</v>
      </c>
      <c r="AG1525" t="s">
        <v>1177</v>
      </c>
      <c r="AH1525" t="s">
        <v>491</v>
      </c>
      <c r="AI1525">
        <v>-4.3099999999999996</v>
      </c>
      <c r="AJ1525">
        <v>-1.65</v>
      </c>
      <c r="AK1525">
        <v>6.55</v>
      </c>
      <c r="AL1525">
        <v>15.55</v>
      </c>
    </row>
    <row r="1526" spans="1:38" x14ac:dyDescent="0.25">
      <c r="A1526">
        <v>1525</v>
      </c>
      <c r="B1526" t="str">
        <f xml:space="preserve"> "603508"</f>
        <v>603508</v>
      </c>
      <c r="C1526" t="s">
        <v>5738</v>
      </c>
      <c r="D1526">
        <v>52.29</v>
      </c>
      <c r="E1526">
        <v>1.93</v>
      </c>
      <c r="F1526">
        <v>0.99</v>
      </c>
      <c r="G1526" t="s">
        <v>480</v>
      </c>
      <c r="H1526">
        <v>16</v>
      </c>
      <c r="I1526">
        <v>52.28</v>
      </c>
      <c r="J1526">
        <v>52.3</v>
      </c>
      <c r="K1526">
        <v>0.02</v>
      </c>
      <c r="L1526">
        <v>2.04</v>
      </c>
      <c r="M1526" t="s">
        <v>5739</v>
      </c>
      <c r="N1526">
        <v>55.09</v>
      </c>
      <c r="O1526" t="s">
        <v>553</v>
      </c>
      <c r="P1526">
        <v>52.78</v>
      </c>
      <c r="Q1526">
        <v>51.4</v>
      </c>
      <c r="R1526">
        <v>51.4</v>
      </c>
      <c r="S1526">
        <v>51.3</v>
      </c>
      <c r="T1526">
        <v>2.69</v>
      </c>
      <c r="U1526">
        <v>1.81</v>
      </c>
      <c r="V1526">
        <v>65.84</v>
      </c>
      <c r="W1526">
        <v>212</v>
      </c>
      <c r="X1526">
        <v>52.28</v>
      </c>
      <c r="Y1526">
        <v>5988</v>
      </c>
      <c r="Z1526">
        <v>7339</v>
      </c>
      <c r="AA1526">
        <v>0.82</v>
      </c>
      <c r="AB1526">
        <v>13</v>
      </c>
      <c r="AC1526">
        <v>10</v>
      </c>
      <c r="AD1526">
        <v>3.36</v>
      </c>
      <c r="AE1526" t="s">
        <v>4326</v>
      </c>
      <c r="AF1526" t="s">
        <v>4207</v>
      </c>
      <c r="AG1526" t="s">
        <v>5740</v>
      </c>
      <c r="AH1526" t="s">
        <v>4131</v>
      </c>
      <c r="AI1526">
        <v>0.65</v>
      </c>
      <c r="AJ1526">
        <v>4.6399999999999997</v>
      </c>
      <c r="AK1526">
        <v>4.1100000000000003</v>
      </c>
      <c r="AL1526">
        <v>7.7</v>
      </c>
    </row>
    <row r="1527" spans="1:38" x14ac:dyDescent="0.25">
      <c r="A1527">
        <v>1526</v>
      </c>
      <c r="B1527" t="str">
        <f xml:space="preserve"> "603303"</f>
        <v>603303</v>
      </c>
      <c r="C1527" t="s">
        <v>5741</v>
      </c>
      <c r="D1527">
        <v>34.840000000000003</v>
      </c>
      <c r="E1527">
        <v>3.94</v>
      </c>
      <c r="F1527">
        <v>1.32</v>
      </c>
      <c r="G1527" t="s">
        <v>5742</v>
      </c>
      <c r="H1527">
        <v>11</v>
      </c>
      <c r="I1527">
        <v>34.83</v>
      </c>
      <c r="J1527">
        <v>34.840000000000003</v>
      </c>
      <c r="K1527">
        <v>0.09</v>
      </c>
      <c r="L1527">
        <v>10.02</v>
      </c>
      <c r="M1527" t="s">
        <v>2964</v>
      </c>
      <c r="N1527">
        <v>32.36</v>
      </c>
      <c r="O1527" t="s">
        <v>380</v>
      </c>
      <c r="P1527">
        <v>35.44</v>
      </c>
      <c r="Q1527">
        <v>33.24</v>
      </c>
      <c r="R1527">
        <v>33.25</v>
      </c>
      <c r="S1527">
        <v>33.520000000000003</v>
      </c>
      <c r="T1527">
        <v>6.56</v>
      </c>
      <c r="U1527">
        <v>3.2</v>
      </c>
      <c r="V1527">
        <v>-22.87</v>
      </c>
      <c r="W1527">
        <v>-149</v>
      </c>
      <c r="X1527">
        <v>34.64</v>
      </c>
      <c r="Y1527" t="s">
        <v>2022</v>
      </c>
      <c r="Z1527" t="s">
        <v>2559</v>
      </c>
      <c r="AA1527">
        <v>0.77</v>
      </c>
      <c r="AB1527">
        <v>60</v>
      </c>
      <c r="AC1527">
        <v>2</v>
      </c>
      <c r="AD1527">
        <v>3.53</v>
      </c>
      <c r="AE1527" t="s">
        <v>2521</v>
      </c>
      <c r="AF1527" t="s">
        <v>5743</v>
      </c>
      <c r="AG1527" t="s">
        <v>5162</v>
      </c>
      <c r="AH1527" t="s">
        <v>366</v>
      </c>
      <c r="AI1527">
        <v>1.57</v>
      </c>
      <c r="AJ1527">
        <v>6.51</v>
      </c>
      <c r="AK1527">
        <v>17.86</v>
      </c>
      <c r="AL1527">
        <v>25.68</v>
      </c>
    </row>
    <row r="1528" spans="1:38" x14ac:dyDescent="0.25">
      <c r="A1528">
        <v>1527</v>
      </c>
      <c r="B1528" t="str">
        <f xml:space="preserve"> "002646"</f>
        <v>002646</v>
      </c>
      <c r="C1528" t="s">
        <v>5744</v>
      </c>
      <c r="D1528">
        <v>18.57</v>
      </c>
      <c r="E1528">
        <v>0.11</v>
      </c>
      <c r="F1528">
        <v>0.02</v>
      </c>
      <c r="G1528" t="s">
        <v>3825</v>
      </c>
      <c r="H1528">
        <v>605</v>
      </c>
      <c r="I1528">
        <v>18.559999999999999</v>
      </c>
      <c r="J1528">
        <v>18.57</v>
      </c>
      <c r="K1528">
        <v>0</v>
      </c>
      <c r="L1528">
        <v>0.5</v>
      </c>
      <c r="M1528" t="s">
        <v>2536</v>
      </c>
      <c r="N1528">
        <v>39.5</v>
      </c>
      <c r="O1528" t="s">
        <v>123</v>
      </c>
      <c r="P1528">
        <v>18.82</v>
      </c>
      <c r="Q1528">
        <v>18.47</v>
      </c>
      <c r="R1528">
        <v>18.559999999999999</v>
      </c>
      <c r="S1528">
        <v>18.55</v>
      </c>
      <c r="T1528">
        <v>1.89</v>
      </c>
      <c r="U1528">
        <v>0.54</v>
      </c>
      <c r="V1528">
        <v>1.1499999999999999</v>
      </c>
      <c r="W1528">
        <v>9</v>
      </c>
      <c r="X1528">
        <v>18.62</v>
      </c>
      <c r="Y1528" t="s">
        <v>480</v>
      </c>
      <c r="Z1528">
        <v>9180</v>
      </c>
      <c r="AA1528">
        <v>1.45</v>
      </c>
      <c r="AB1528">
        <v>58</v>
      </c>
      <c r="AC1528">
        <v>103</v>
      </c>
      <c r="AD1528">
        <v>3.33</v>
      </c>
      <c r="AE1528" t="s">
        <v>3370</v>
      </c>
      <c r="AF1528" t="s">
        <v>5743</v>
      </c>
      <c r="AG1528" t="s">
        <v>3370</v>
      </c>
      <c r="AH1528" t="s">
        <v>5743</v>
      </c>
      <c r="AI1528">
        <v>1.1399999999999999</v>
      </c>
      <c r="AJ1528">
        <v>2.54</v>
      </c>
      <c r="AK1528">
        <v>3.44</v>
      </c>
      <c r="AL1528">
        <v>5.17</v>
      </c>
    </row>
    <row r="1529" spans="1:38" x14ac:dyDescent="0.25">
      <c r="A1529">
        <v>1528</v>
      </c>
      <c r="B1529" t="str">
        <f xml:space="preserve"> "300393"</f>
        <v>300393</v>
      </c>
      <c r="C1529" t="s">
        <v>5745</v>
      </c>
      <c r="D1529">
        <v>45.49</v>
      </c>
      <c r="E1529">
        <v>0.02</v>
      </c>
      <c r="F1529">
        <v>0.01</v>
      </c>
      <c r="G1529" t="s">
        <v>1685</v>
      </c>
      <c r="H1529">
        <v>455</v>
      </c>
      <c r="I1529">
        <v>45.4</v>
      </c>
      <c r="J1529">
        <v>45.49</v>
      </c>
      <c r="K1529">
        <v>0.22</v>
      </c>
      <c r="L1529">
        <v>0.94</v>
      </c>
      <c r="M1529" t="s">
        <v>5746</v>
      </c>
      <c r="N1529">
        <v>27.14</v>
      </c>
      <c r="O1529" t="s">
        <v>859</v>
      </c>
      <c r="P1529">
        <v>45.54</v>
      </c>
      <c r="Q1529">
        <v>45.04</v>
      </c>
      <c r="R1529">
        <v>45.52</v>
      </c>
      <c r="S1529">
        <v>45.48</v>
      </c>
      <c r="T1529">
        <v>1.1000000000000001</v>
      </c>
      <c r="U1529">
        <v>0.79</v>
      </c>
      <c r="V1529">
        <v>-36.96</v>
      </c>
      <c r="W1529">
        <v>-204</v>
      </c>
      <c r="X1529">
        <v>45.25</v>
      </c>
      <c r="Y1529">
        <v>6765</v>
      </c>
      <c r="Z1529">
        <v>3328</v>
      </c>
      <c r="AA1529">
        <v>2.0299999999999998</v>
      </c>
      <c r="AB1529">
        <v>2</v>
      </c>
      <c r="AC1529">
        <v>84</v>
      </c>
      <c r="AD1529">
        <v>7.56</v>
      </c>
      <c r="AE1529" t="s">
        <v>2267</v>
      </c>
      <c r="AF1529" t="s">
        <v>5747</v>
      </c>
      <c r="AG1529" t="s">
        <v>1314</v>
      </c>
      <c r="AH1529" t="s">
        <v>4877</v>
      </c>
      <c r="AI1529">
        <v>0.53</v>
      </c>
      <c r="AJ1529">
        <v>1</v>
      </c>
      <c r="AK1529">
        <v>3.06</v>
      </c>
      <c r="AL1529">
        <v>6.92</v>
      </c>
    </row>
    <row r="1530" spans="1:38" x14ac:dyDescent="0.25">
      <c r="A1530">
        <v>1529</v>
      </c>
      <c r="B1530" t="str">
        <f xml:space="preserve"> "002488"</f>
        <v>002488</v>
      </c>
      <c r="C1530" t="s">
        <v>5748</v>
      </c>
      <c r="D1530">
        <v>12.43</v>
      </c>
      <c r="E1530">
        <v>-0.96</v>
      </c>
      <c r="F1530">
        <v>-0.12</v>
      </c>
      <c r="G1530" t="s">
        <v>2116</v>
      </c>
      <c r="H1530">
        <v>861</v>
      </c>
      <c r="I1530">
        <v>12.42</v>
      </c>
      <c r="J1530">
        <v>12.43</v>
      </c>
      <c r="K1530">
        <v>-0.08</v>
      </c>
      <c r="L1530">
        <v>0.89</v>
      </c>
      <c r="M1530" t="s">
        <v>5174</v>
      </c>
      <c r="N1530">
        <v>-64.19</v>
      </c>
      <c r="O1530" t="s">
        <v>169</v>
      </c>
      <c r="P1530">
        <v>12.54</v>
      </c>
      <c r="Q1530">
        <v>12.38</v>
      </c>
      <c r="R1530">
        <v>12.5</v>
      </c>
      <c r="S1530">
        <v>12.55</v>
      </c>
      <c r="T1530">
        <v>1.27</v>
      </c>
      <c r="U1530">
        <v>0.4</v>
      </c>
      <c r="V1530">
        <v>27.84</v>
      </c>
      <c r="W1530">
        <v>519</v>
      </c>
      <c r="X1530">
        <v>12.44</v>
      </c>
      <c r="Y1530" t="s">
        <v>3825</v>
      </c>
      <c r="Z1530" t="s">
        <v>2991</v>
      </c>
      <c r="AA1530">
        <v>1.91</v>
      </c>
      <c r="AB1530">
        <v>196</v>
      </c>
      <c r="AC1530">
        <v>22</v>
      </c>
      <c r="AD1530">
        <v>2.09</v>
      </c>
      <c r="AE1530" t="s">
        <v>1490</v>
      </c>
      <c r="AF1530" t="s">
        <v>5747</v>
      </c>
      <c r="AG1530" t="s">
        <v>5104</v>
      </c>
      <c r="AH1530" t="s">
        <v>4066</v>
      </c>
      <c r="AI1530">
        <v>-1.58</v>
      </c>
      <c r="AJ1530">
        <v>3.41</v>
      </c>
      <c r="AK1530">
        <v>7.05</v>
      </c>
      <c r="AL1530">
        <v>11.93</v>
      </c>
    </row>
    <row r="1531" spans="1:38" x14ac:dyDescent="0.25">
      <c r="A1531">
        <v>1530</v>
      </c>
      <c r="B1531" t="str">
        <f xml:space="preserve"> "000607"</f>
        <v>000607</v>
      </c>
      <c r="C1531" t="s">
        <v>5749</v>
      </c>
      <c r="D1531">
        <v>8.1999999999999993</v>
      </c>
      <c r="E1531">
        <v>-0.24</v>
      </c>
      <c r="F1531">
        <v>-0.02</v>
      </c>
      <c r="G1531" t="s">
        <v>1399</v>
      </c>
      <c r="H1531">
        <v>1418</v>
      </c>
      <c r="I1531">
        <v>8.19</v>
      </c>
      <c r="J1531">
        <v>8.1999999999999993</v>
      </c>
      <c r="K1531">
        <v>0.12</v>
      </c>
      <c r="L1531">
        <v>1.1599999999999999</v>
      </c>
      <c r="M1531" t="s">
        <v>5750</v>
      </c>
      <c r="N1531">
        <v>133.84</v>
      </c>
      <c r="O1531" t="s">
        <v>1126</v>
      </c>
      <c r="P1531">
        <v>8.27</v>
      </c>
      <c r="Q1531">
        <v>8.16</v>
      </c>
      <c r="R1531">
        <v>8.1999999999999993</v>
      </c>
      <c r="S1531">
        <v>8.2200000000000006</v>
      </c>
      <c r="T1531">
        <v>1.34</v>
      </c>
      <c r="U1531">
        <v>0.56000000000000005</v>
      </c>
      <c r="V1531">
        <v>43.34</v>
      </c>
      <c r="W1531">
        <v>2429</v>
      </c>
      <c r="X1531">
        <v>8.1999999999999993</v>
      </c>
      <c r="Y1531" t="s">
        <v>2621</v>
      </c>
      <c r="Z1531" t="s">
        <v>1565</v>
      </c>
      <c r="AA1531">
        <v>1.53</v>
      </c>
      <c r="AB1531">
        <v>593</v>
      </c>
      <c r="AC1531">
        <v>531</v>
      </c>
      <c r="AD1531">
        <v>4.7</v>
      </c>
      <c r="AE1531" t="s">
        <v>1766</v>
      </c>
      <c r="AF1531" t="s">
        <v>5747</v>
      </c>
      <c r="AG1531" t="s">
        <v>2119</v>
      </c>
      <c r="AH1531" t="s">
        <v>567</v>
      </c>
      <c r="AI1531">
        <v>-0.85</v>
      </c>
      <c r="AJ1531">
        <v>-0.85</v>
      </c>
      <c r="AK1531">
        <v>4.71</v>
      </c>
      <c r="AL1531">
        <v>11.52</v>
      </c>
    </row>
    <row r="1532" spans="1:38" x14ac:dyDescent="0.25">
      <c r="A1532">
        <v>1531</v>
      </c>
      <c r="B1532" t="str">
        <f xml:space="preserve"> "300044"</f>
        <v>300044</v>
      </c>
      <c r="C1532" t="s">
        <v>5751</v>
      </c>
      <c r="D1532">
        <v>20.84</v>
      </c>
      <c r="E1532">
        <v>-2.11</v>
      </c>
      <c r="F1532">
        <v>-0.45</v>
      </c>
      <c r="G1532" t="s">
        <v>225</v>
      </c>
      <c r="H1532">
        <v>1467</v>
      </c>
      <c r="I1532">
        <v>20.83</v>
      </c>
      <c r="J1532">
        <v>20.84</v>
      </c>
      <c r="K1532">
        <v>-0.1</v>
      </c>
      <c r="L1532">
        <v>6.23</v>
      </c>
      <c r="M1532" t="s">
        <v>4602</v>
      </c>
      <c r="N1532">
        <v>83.51</v>
      </c>
      <c r="O1532" t="s">
        <v>893</v>
      </c>
      <c r="P1532">
        <v>21.16</v>
      </c>
      <c r="Q1532">
        <v>20.39</v>
      </c>
      <c r="R1532">
        <v>21.15</v>
      </c>
      <c r="S1532">
        <v>21.29</v>
      </c>
      <c r="T1532">
        <v>3.62</v>
      </c>
      <c r="U1532">
        <v>1.04</v>
      </c>
      <c r="V1532">
        <v>-22.94</v>
      </c>
      <c r="W1532">
        <v>-381</v>
      </c>
      <c r="X1532">
        <v>20.69</v>
      </c>
      <c r="Y1532" t="s">
        <v>5391</v>
      </c>
      <c r="Z1532" t="s">
        <v>1691</v>
      </c>
      <c r="AA1532">
        <v>1.52</v>
      </c>
      <c r="AB1532">
        <v>68</v>
      </c>
      <c r="AC1532">
        <v>147</v>
      </c>
      <c r="AD1532">
        <v>5.08</v>
      </c>
      <c r="AE1532" t="s">
        <v>1000</v>
      </c>
      <c r="AF1532" t="s">
        <v>5462</v>
      </c>
      <c r="AG1532" t="s">
        <v>233</v>
      </c>
      <c r="AH1532" t="s">
        <v>5218</v>
      </c>
      <c r="AI1532">
        <v>-3.47</v>
      </c>
      <c r="AJ1532">
        <v>2.21</v>
      </c>
      <c r="AK1532">
        <v>19.86</v>
      </c>
      <c r="AL1532">
        <v>36.090000000000003</v>
      </c>
    </row>
    <row r="1533" spans="1:38" x14ac:dyDescent="0.25">
      <c r="A1533">
        <v>1532</v>
      </c>
      <c r="B1533" t="str">
        <f xml:space="preserve"> "601137"</f>
        <v>601137</v>
      </c>
      <c r="C1533" t="s">
        <v>5752</v>
      </c>
      <c r="D1533">
        <v>13.3</v>
      </c>
      <c r="E1533">
        <v>4.1500000000000004</v>
      </c>
      <c r="F1533">
        <v>0.53</v>
      </c>
      <c r="G1533" t="s">
        <v>132</v>
      </c>
      <c r="H1533">
        <v>34</v>
      </c>
      <c r="I1533">
        <v>13.29</v>
      </c>
      <c r="J1533">
        <v>13.3</v>
      </c>
      <c r="K1533">
        <v>-0.37</v>
      </c>
      <c r="L1533">
        <v>2.1</v>
      </c>
      <c r="M1533" t="s">
        <v>2049</v>
      </c>
      <c r="N1533">
        <v>28.48</v>
      </c>
      <c r="O1533" t="s">
        <v>449</v>
      </c>
      <c r="P1533">
        <v>13.35</v>
      </c>
      <c r="Q1533">
        <v>12.72</v>
      </c>
      <c r="R1533">
        <v>12.73</v>
      </c>
      <c r="S1533">
        <v>12.77</v>
      </c>
      <c r="T1533">
        <v>4.93</v>
      </c>
      <c r="U1533">
        <v>1.95</v>
      </c>
      <c r="V1533">
        <v>-51.74</v>
      </c>
      <c r="W1533">
        <v>-654</v>
      </c>
      <c r="X1533">
        <v>13.15</v>
      </c>
      <c r="Y1533" t="s">
        <v>3297</v>
      </c>
      <c r="Z1533" t="s">
        <v>2745</v>
      </c>
      <c r="AA1533">
        <v>0.54</v>
      </c>
      <c r="AB1533">
        <v>42</v>
      </c>
      <c r="AC1533">
        <v>160</v>
      </c>
      <c r="AD1533">
        <v>2.61</v>
      </c>
      <c r="AE1533" t="s">
        <v>5753</v>
      </c>
      <c r="AF1533" t="s">
        <v>5462</v>
      </c>
      <c r="AG1533" t="s">
        <v>2954</v>
      </c>
      <c r="AH1533" t="s">
        <v>5754</v>
      </c>
      <c r="AI1533">
        <v>4.8099999999999996</v>
      </c>
      <c r="AJ1533">
        <v>2.7</v>
      </c>
      <c r="AK1533">
        <v>4.12</v>
      </c>
      <c r="AL1533">
        <v>7.48</v>
      </c>
    </row>
    <row r="1534" spans="1:38" x14ac:dyDescent="0.25">
      <c r="A1534">
        <v>1533</v>
      </c>
      <c r="B1534" t="str">
        <f xml:space="preserve"> "600136"</f>
        <v>600136</v>
      </c>
      <c r="C1534" t="s">
        <v>5755</v>
      </c>
      <c r="D1534">
        <v>17.09</v>
      </c>
      <c r="E1534">
        <v>-2.29</v>
      </c>
      <c r="F1534">
        <v>-0.4</v>
      </c>
      <c r="G1534" t="s">
        <v>1242</v>
      </c>
      <c r="H1534">
        <v>72</v>
      </c>
      <c r="I1534">
        <v>17.07</v>
      </c>
      <c r="J1534">
        <v>17.09</v>
      </c>
      <c r="K1534">
        <v>0.12</v>
      </c>
      <c r="L1534">
        <v>4.22</v>
      </c>
      <c r="M1534" t="s">
        <v>1965</v>
      </c>
      <c r="N1534">
        <v>202.48</v>
      </c>
      <c r="O1534" t="s">
        <v>1126</v>
      </c>
      <c r="P1534">
        <v>17.64</v>
      </c>
      <c r="Q1534">
        <v>16.920000000000002</v>
      </c>
      <c r="R1534">
        <v>17.510000000000002</v>
      </c>
      <c r="S1534">
        <v>17.489999999999998</v>
      </c>
      <c r="T1534">
        <v>4.12</v>
      </c>
      <c r="U1534">
        <v>1.26</v>
      </c>
      <c r="V1534">
        <v>-42.33</v>
      </c>
      <c r="W1534">
        <v>-788</v>
      </c>
      <c r="X1534">
        <v>17.11</v>
      </c>
      <c r="Y1534" t="s">
        <v>4481</v>
      </c>
      <c r="Z1534" t="s">
        <v>1494</v>
      </c>
      <c r="AA1534">
        <v>1.67</v>
      </c>
      <c r="AB1534">
        <v>95</v>
      </c>
      <c r="AC1534">
        <v>105</v>
      </c>
      <c r="AD1534">
        <v>3.44</v>
      </c>
      <c r="AE1534" t="s">
        <v>2119</v>
      </c>
      <c r="AF1534" t="s">
        <v>3383</v>
      </c>
      <c r="AG1534" t="s">
        <v>5381</v>
      </c>
      <c r="AH1534" t="s">
        <v>5010</v>
      </c>
      <c r="AI1534">
        <v>10.61</v>
      </c>
      <c r="AJ1534">
        <v>9.34</v>
      </c>
      <c r="AK1534">
        <v>15.92</v>
      </c>
      <c r="AL1534">
        <v>20.92</v>
      </c>
    </row>
    <row r="1535" spans="1:38" x14ac:dyDescent="0.25">
      <c r="A1535">
        <v>1534</v>
      </c>
      <c r="B1535" t="str">
        <f xml:space="preserve"> "300065"</f>
        <v>300065</v>
      </c>
      <c r="C1535" t="s">
        <v>5756</v>
      </c>
      <c r="D1535">
        <v>22.96</v>
      </c>
      <c r="E1535">
        <v>0.7</v>
      </c>
      <c r="F1535">
        <v>0.16</v>
      </c>
      <c r="G1535" t="s">
        <v>5757</v>
      </c>
      <c r="H1535">
        <v>1534</v>
      </c>
      <c r="I1535">
        <v>22.96</v>
      </c>
      <c r="J1535">
        <v>22.97</v>
      </c>
      <c r="K1535">
        <v>-0.09</v>
      </c>
      <c r="L1535">
        <v>2.0499999999999998</v>
      </c>
      <c r="M1535" t="s">
        <v>315</v>
      </c>
      <c r="N1535">
        <v>86.29</v>
      </c>
      <c r="O1535" t="s">
        <v>553</v>
      </c>
      <c r="P1535">
        <v>23.03</v>
      </c>
      <c r="Q1535">
        <v>22.45</v>
      </c>
      <c r="R1535">
        <v>22.76</v>
      </c>
      <c r="S1535">
        <v>22.8</v>
      </c>
      <c r="T1535">
        <v>2.54</v>
      </c>
      <c r="U1535">
        <v>0.63</v>
      </c>
      <c r="V1535">
        <v>-77.22</v>
      </c>
      <c r="W1535">
        <v>-1365</v>
      </c>
      <c r="X1535">
        <v>22.71</v>
      </c>
      <c r="Y1535" t="s">
        <v>1973</v>
      </c>
      <c r="Z1535" t="s">
        <v>3695</v>
      </c>
      <c r="AA1535">
        <v>1.29</v>
      </c>
      <c r="AB1535">
        <v>75</v>
      </c>
      <c r="AC1535">
        <v>68</v>
      </c>
      <c r="AD1535">
        <v>6.12</v>
      </c>
      <c r="AE1535" t="s">
        <v>2887</v>
      </c>
      <c r="AF1535" t="s">
        <v>5758</v>
      </c>
      <c r="AG1535" t="s">
        <v>5381</v>
      </c>
      <c r="AH1535" t="s">
        <v>200</v>
      </c>
      <c r="AI1535">
        <v>4.6500000000000004</v>
      </c>
      <c r="AJ1535">
        <v>5.56</v>
      </c>
      <c r="AK1535">
        <v>10.11</v>
      </c>
      <c r="AL1535">
        <v>18.149999999999999</v>
      </c>
    </row>
    <row r="1536" spans="1:38" x14ac:dyDescent="0.25">
      <c r="A1536">
        <v>1535</v>
      </c>
      <c r="B1536" t="str">
        <f xml:space="preserve"> "002327"</f>
        <v>002327</v>
      </c>
      <c r="C1536" t="s">
        <v>5759</v>
      </c>
      <c r="D1536">
        <v>9.5500000000000007</v>
      </c>
      <c r="E1536">
        <v>0.32</v>
      </c>
      <c r="F1536">
        <v>0.03</v>
      </c>
      <c r="G1536" t="s">
        <v>4224</v>
      </c>
      <c r="H1536">
        <v>232</v>
      </c>
      <c r="I1536">
        <v>9.5399999999999991</v>
      </c>
      <c r="J1536">
        <v>9.5500000000000007</v>
      </c>
      <c r="K1536">
        <v>0.1</v>
      </c>
      <c r="L1536">
        <v>0.63</v>
      </c>
      <c r="M1536" t="s">
        <v>5760</v>
      </c>
      <c r="N1536">
        <v>26.23</v>
      </c>
      <c r="O1536" t="s">
        <v>1443</v>
      </c>
      <c r="P1536">
        <v>9.5500000000000007</v>
      </c>
      <c r="Q1536">
        <v>9.39</v>
      </c>
      <c r="R1536">
        <v>9.52</v>
      </c>
      <c r="S1536">
        <v>9.52</v>
      </c>
      <c r="T1536">
        <v>1.68</v>
      </c>
      <c r="U1536">
        <v>0.38</v>
      </c>
      <c r="V1536">
        <v>-53.53</v>
      </c>
      <c r="W1536">
        <v>-1785</v>
      </c>
      <c r="X1536">
        <v>9.4700000000000006</v>
      </c>
      <c r="Y1536" t="s">
        <v>1683</v>
      </c>
      <c r="Z1536" t="s">
        <v>999</v>
      </c>
      <c r="AA1536">
        <v>1.1100000000000001</v>
      </c>
      <c r="AB1536">
        <v>102</v>
      </c>
      <c r="AC1536">
        <v>526</v>
      </c>
      <c r="AD1536">
        <v>2.94</v>
      </c>
      <c r="AE1536" t="s">
        <v>5761</v>
      </c>
      <c r="AF1536" t="s">
        <v>5758</v>
      </c>
      <c r="AG1536" t="s">
        <v>4285</v>
      </c>
      <c r="AH1536" t="s">
        <v>4633</v>
      </c>
      <c r="AI1536">
        <v>3.13</v>
      </c>
      <c r="AJ1536">
        <v>8.4</v>
      </c>
      <c r="AK1536">
        <v>4.33</v>
      </c>
      <c r="AL1536">
        <v>8.9700000000000006</v>
      </c>
    </row>
    <row r="1537" spans="1:38" x14ac:dyDescent="0.25">
      <c r="A1537">
        <v>1536</v>
      </c>
      <c r="B1537" t="str">
        <f xml:space="preserve"> "002782"</f>
        <v>002782</v>
      </c>
      <c r="C1537" t="s">
        <v>5762</v>
      </c>
      <c r="D1537">
        <v>19.510000000000002</v>
      </c>
      <c r="E1537">
        <v>-1.46</v>
      </c>
      <c r="F1537">
        <v>-0.28999999999999998</v>
      </c>
      <c r="G1537" t="s">
        <v>1984</v>
      </c>
      <c r="H1537">
        <v>1012</v>
      </c>
      <c r="I1537">
        <v>19.5</v>
      </c>
      <c r="J1537">
        <v>19.510000000000002</v>
      </c>
      <c r="K1537">
        <v>-0.05</v>
      </c>
      <c r="L1537">
        <v>3.15</v>
      </c>
      <c r="M1537" t="s">
        <v>5763</v>
      </c>
      <c r="N1537">
        <v>142.28</v>
      </c>
      <c r="O1537" t="s">
        <v>380</v>
      </c>
      <c r="P1537">
        <v>19.88</v>
      </c>
      <c r="Q1537">
        <v>19.45</v>
      </c>
      <c r="R1537">
        <v>19.71</v>
      </c>
      <c r="S1537">
        <v>19.8</v>
      </c>
      <c r="T1537">
        <v>2.17</v>
      </c>
      <c r="U1537">
        <v>0.71</v>
      </c>
      <c r="V1537">
        <v>-18.53</v>
      </c>
      <c r="W1537">
        <v>-212</v>
      </c>
      <c r="X1537">
        <v>19.62</v>
      </c>
      <c r="Y1537" t="s">
        <v>2240</v>
      </c>
      <c r="Z1537" t="s">
        <v>5764</v>
      </c>
      <c r="AA1537">
        <v>1.73</v>
      </c>
      <c r="AB1537">
        <v>132</v>
      </c>
      <c r="AC1537">
        <v>201</v>
      </c>
      <c r="AD1537">
        <v>10.34</v>
      </c>
      <c r="AE1537" t="s">
        <v>5765</v>
      </c>
      <c r="AF1537" t="s">
        <v>5182</v>
      </c>
      <c r="AG1537" t="s">
        <v>1635</v>
      </c>
      <c r="AH1537" t="s">
        <v>1085</v>
      </c>
      <c r="AI1537">
        <v>0.62</v>
      </c>
      <c r="AJ1537">
        <v>4.33</v>
      </c>
      <c r="AK1537">
        <v>14.52</v>
      </c>
      <c r="AL1537">
        <v>25.28</v>
      </c>
    </row>
    <row r="1538" spans="1:38" x14ac:dyDescent="0.25">
      <c r="A1538">
        <v>1537</v>
      </c>
      <c r="B1538" t="str">
        <f xml:space="preserve"> "002504"</f>
        <v>002504</v>
      </c>
      <c r="C1538" t="s">
        <v>5766</v>
      </c>
      <c r="D1538" t="s">
        <v>616</v>
      </c>
      <c r="E1538" t="s">
        <v>616</v>
      </c>
      <c r="F1538" t="s">
        <v>616</v>
      </c>
      <c r="G1538" t="s">
        <v>616</v>
      </c>
      <c r="H1538" t="s">
        <v>616</v>
      </c>
      <c r="I1538" t="s">
        <v>616</v>
      </c>
      <c r="J1538" t="s">
        <v>616</v>
      </c>
      <c r="K1538" t="s">
        <v>616</v>
      </c>
      <c r="L1538" t="s">
        <v>616</v>
      </c>
      <c r="M1538" t="s">
        <v>616</v>
      </c>
      <c r="N1538">
        <v>50.95</v>
      </c>
      <c r="O1538" t="s">
        <v>2309</v>
      </c>
      <c r="P1538" t="s">
        <v>616</v>
      </c>
      <c r="Q1538" t="s">
        <v>616</v>
      </c>
      <c r="R1538" t="s">
        <v>616</v>
      </c>
      <c r="S1538">
        <v>8.1</v>
      </c>
      <c r="T1538" t="s">
        <v>616</v>
      </c>
      <c r="U1538" t="s">
        <v>616</v>
      </c>
      <c r="V1538" t="s">
        <v>616</v>
      </c>
      <c r="W1538" t="s">
        <v>616</v>
      </c>
      <c r="X1538" t="s">
        <v>616</v>
      </c>
      <c r="Y1538" t="s">
        <v>616</v>
      </c>
      <c r="Z1538" t="s">
        <v>616</v>
      </c>
      <c r="AA1538" t="s">
        <v>616</v>
      </c>
      <c r="AB1538" t="s">
        <v>616</v>
      </c>
      <c r="AC1538" t="s">
        <v>616</v>
      </c>
      <c r="AD1538">
        <v>7.12</v>
      </c>
      <c r="AE1538" t="s">
        <v>707</v>
      </c>
      <c r="AF1538" t="s">
        <v>5182</v>
      </c>
      <c r="AG1538" t="s">
        <v>5767</v>
      </c>
      <c r="AH1538" t="s">
        <v>901</v>
      </c>
      <c r="AI1538">
        <v>0</v>
      </c>
      <c r="AJ1538">
        <v>0</v>
      </c>
      <c r="AK1538">
        <v>0</v>
      </c>
      <c r="AL1538">
        <v>0</v>
      </c>
    </row>
    <row r="1539" spans="1:38" x14ac:dyDescent="0.25">
      <c r="A1539">
        <v>1538</v>
      </c>
      <c r="B1539" t="str">
        <f xml:space="preserve"> "300359"</f>
        <v>300359</v>
      </c>
      <c r="C1539" t="s">
        <v>5768</v>
      </c>
      <c r="D1539">
        <v>13.11</v>
      </c>
      <c r="E1539">
        <v>-0.76</v>
      </c>
      <c r="F1539">
        <v>-0.1</v>
      </c>
      <c r="G1539" t="s">
        <v>132</v>
      </c>
      <c r="H1539">
        <v>1798</v>
      </c>
      <c r="I1539">
        <v>13.11</v>
      </c>
      <c r="J1539">
        <v>13.12</v>
      </c>
      <c r="K1539">
        <v>0</v>
      </c>
      <c r="L1539">
        <v>3.04</v>
      </c>
      <c r="M1539" t="s">
        <v>3053</v>
      </c>
      <c r="N1539">
        <v>-232.63</v>
      </c>
      <c r="O1539" t="s">
        <v>807</v>
      </c>
      <c r="P1539">
        <v>13.35</v>
      </c>
      <c r="Q1539">
        <v>13.06</v>
      </c>
      <c r="R1539">
        <v>13.28</v>
      </c>
      <c r="S1539">
        <v>13.21</v>
      </c>
      <c r="T1539">
        <v>2.2000000000000002</v>
      </c>
      <c r="U1539">
        <v>0.48</v>
      </c>
      <c r="V1539">
        <v>20.02</v>
      </c>
      <c r="W1539">
        <v>970</v>
      </c>
      <c r="X1539">
        <v>13.2</v>
      </c>
      <c r="Y1539" t="s">
        <v>3725</v>
      </c>
      <c r="Z1539" t="s">
        <v>1059</v>
      </c>
      <c r="AA1539">
        <v>1.24</v>
      </c>
      <c r="AB1539">
        <v>444</v>
      </c>
      <c r="AC1539">
        <v>1149</v>
      </c>
      <c r="AD1539">
        <v>4.1900000000000004</v>
      </c>
      <c r="AE1539" t="s">
        <v>5769</v>
      </c>
      <c r="AF1539" t="s">
        <v>5182</v>
      </c>
      <c r="AG1539" t="s">
        <v>431</v>
      </c>
      <c r="AH1539" t="s">
        <v>5770</v>
      </c>
      <c r="AI1539">
        <v>-3.74</v>
      </c>
      <c r="AJ1539">
        <v>11.96</v>
      </c>
      <c r="AK1539">
        <v>13.7</v>
      </c>
      <c r="AL1539">
        <v>34.700000000000003</v>
      </c>
    </row>
    <row r="1540" spans="1:38" x14ac:dyDescent="0.25">
      <c r="A1540">
        <v>1539</v>
      </c>
      <c r="B1540" t="str">
        <f xml:space="preserve"> "002206"</f>
        <v>002206</v>
      </c>
      <c r="C1540" t="s">
        <v>5771</v>
      </c>
      <c r="D1540">
        <v>6.79</v>
      </c>
      <c r="E1540">
        <v>-0.28999999999999998</v>
      </c>
      <c r="F1540">
        <v>-0.02</v>
      </c>
      <c r="G1540" t="s">
        <v>2346</v>
      </c>
      <c r="H1540">
        <v>501</v>
      </c>
      <c r="I1540">
        <v>6.79</v>
      </c>
      <c r="J1540">
        <v>6.8</v>
      </c>
      <c r="K1540">
        <v>-0.15</v>
      </c>
      <c r="L1540">
        <v>0.5</v>
      </c>
      <c r="M1540" t="s">
        <v>5772</v>
      </c>
      <c r="N1540">
        <v>24.57</v>
      </c>
      <c r="O1540" t="s">
        <v>1798</v>
      </c>
      <c r="P1540">
        <v>6.82</v>
      </c>
      <c r="Q1540">
        <v>6.78</v>
      </c>
      <c r="R1540">
        <v>6.81</v>
      </c>
      <c r="S1540">
        <v>6.81</v>
      </c>
      <c r="T1540">
        <v>0.59</v>
      </c>
      <c r="U1540">
        <v>0.89</v>
      </c>
      <c r="V1540">
        <v>24.97</v>
      </c>
      <c r="W1540">
        <v>1552</v>
      </c>
      <c r="X1540">
        <v>6.79</v>
      </c>
      <c r="Y1540" t="s">
        <v>2116</v>
      </c>
      <c r="Z1540" t="s">
        <v>1077</v>
      </c>
      <c r="AA1540">
        <v>2.59</v>
      </c>
      <c r="AB1540">
        <v>268</v>
      </c>
      <c r="AC1540">
        <v>129</v>
      </c>
      <c r="AD1540">
        <v>3.04</v>
      </c>
      <c r="AE1540" t="s">
        <v>1115</v>
      </c>
      <c r="AF1540" t="s">
        <v>5436</v>
      </c>
      <c r="AG1540" t="s">
        <v>3406</v>
      </c>
      <c r="AH1540" t="s">
        <v>4595</v>
      </c>
      <c r="AI1540">
        <v>-0.88</v>
      </c>
      <c r="AJ1540">
        <v>-0.28999999999999998</v>
      </c>
      <c r="AK1540">
        <v>1.91</v>
      </c>
      <c r="AL1540">
        <v>3.31</v>
      </c>
    </row>
    <row r="1541" spans="1:38" x14ac:dyDescent="0.25">
      <c r="A1541">
        <v>1540</v>
      </c>
      <c r="B1541" t="str">
        <f xml:space="preserve"> "002117"</f>
        <v>002117</v>
      </c>
      <c r="C1541" t="s">
        <v>5773</v>
      </c>
      <c r="D1541">
        <v>22.8</v>
      </c>
      <c r="E1541">
        <v>-0.09</v>
      </c>
      <c r="F1541">
        <v>-0.02</v>
      </c>
      <c r="G1541" t="s">
        <v>3168</v>
      </c>
      <c r="H1541">
        <v>576</v>
      </c>
      <c r="I1541">
        <v>22.71</v>
      </c>
      <c r="J1541">
        <v>22.8</v>
      </c>
      <c r="K1541">
        <v>-0.13</v>
      </c>
      <c r="L1541">
        <v>1.17</v>
      </c>
      <c r="M1541" t="s">
        <v>5774</v>
      </c>
      <c r="N1541">
        <v>41.53</v>
      </c>
      <c r="O1541" t="s">
        <v>1874</v>
      </c>
      <c r="P1541">
        <v>22.97</v>
      </c>
      <c r="Q1541">
        <v>22.51</v>
      </c>
      <c r="R1541">
        <v>22.97</v>
      </c>
      <c r="S1541">
        <v>22.82</v>
      </c>
      <c r="T1541">
        <v>2.02</v>
      </c>
      <c r="U1541">
        <v>1.1499999999999999</v>
      </c>
      <c r="V1541">
        <v>-55.77</v>
      </c>
      <c r="W1541">
        <v>-1334</v>
      </c>
      <c r="X1541">
        <v>22.77</v>
      </c>
      <c r="Y1541" t="s">
        <v>3825</v>
      </c>
      <c r="Z1541" t="s">
        <v>1381</v>
      </c>
      <c r="AA1541">
        <v>1.1200000000000001</v>
      </c>
      <c r="AB1541">
        <v>22</v>
      </c>
      <c r="AC1541">
        <v>442</v>
      </c>
      <c r="AD1541">
        <v>5.48</v>
      </c>
      <c r="AE1541" t="s">
        <v>2063</v>
      </c>
      <c r="AF1541" t="s">
        <v>5613</v>
      </c>
      <c r="AG1541" t="s">
        <v>2063</v>
      </c>
      <c r="AH1541" t="s">
        <v>5613</v>
      </c>
      <c r="AI1541">
        <v>1.97</v>
      </c>
      <c r="AJ1541">
        <v>4.92</v>
      </c>
      <c r="AK1541">
        <v>4.01</v>
      </c>
      <c r="AL1541">
        <v>6.26</v>
      </c>
    </row>
    <row r="1542" spans="1:38" x14ac:dyDescent="0.25">
      <c r="A1542">
        <v>1541</v>
      </c>
      <c r="B1542" t="str">
        <f xml:space="preserve"> "002307"</f>
        <v>002307</v>
      </c>
      <c r="C1542" t="s">
        <v>5775</v>
      </c>
      <c r="D1542">
        <v>14.87</v>
      </c>
      <c r="E1542">
        <v>0.75</v>
      </c>
      <c r="F1542">
        <v>0.11</v>
      </c>
      <c r="G1542" t="s">
        <v>1427</v>
      </c>
      <c r="H1542">
        <v>2625</v>
      </c>
      <c r="I1542">
        <v>14.86</v>
      </c>
      <c r="J1542">
        <v>14.87</v>
      </c>
      <c r="K1542">
        <v>0</v>
      </c>
      <c r="L1542">
        <v>1.47</v>
      </c>
      <c r="M1542" t="s">
        <v>943</v>
      </c>
      <c r="N1542">
        <v>231.8</v>
      </c>
      <c r="O1542" t="s">
        <v>263</v>
      </c>
      <c r="P1542">
        <v>14.95</v>
      </c>
      <c r="Q1542">
        <v>14.73</v>
      </c>
      <c r="R1542">
        <v>14.8</v>
      </c>
      <c r="S1542">
        <v>14.76</v>
      </c>
      <c r="T1542">
        <v>1.49</v>
      </c>
      <c r="U1542">
        <v>0.74</v>
      </c>
      <c r="V1542">
        <v>-0.15</v>
      </c>
      <c r="W1542">
        <v>-10</v>
      </c>
      <c r="X1542">
        <v>14.84</v>
      </c>
      <c r="Y1542" t="s">
        <v>2226</v>
      </c>
      <c r="Z1542" t="s">
        <v>3297</v>
      </c>
      <c r="AA1542">
        <v>0.97</v>
      </c>
      <c r="AB1542">
        <v>1018</v>
      </c>
      <c r="AC1542">
        <v>107</v>
      </c>
      <c r="AD1542">
        <v>4.5</v>
      </c>
      <c r="AE1542" t="s">
        <v>1941</v>
      </c>
      <c r="AF1542" t="s">
        <v>5613</v>
      </c>
      <c r="AG1542" t="s">
        <v>1941</v>
      </c>
      <c r="AH1542" t="s">
        <v>5613</v>
      </c>
      <c r="AI1542">
        <v>0.34</v>
      </c>
      <c r="AJ1542">
        <v>5.46</v>
      </c>
      <c r="AK1542">
        <v>5.75</v>
      </c>
      <c r="AL1542">
        <v>11.45</v>
      </c>
    </row>
    <row r="1543" spans="1:38" x14ac:dyDescent="0.25">
      <c r="A1543">
        <v>1542</v>
      </c>
      <c r="B1543" t="str">
        <f xml:space="preserve"> "300456"</f>
        <v>300456</v>
      </c>
      <c r="C1543" t="s">
        <v>5776</v>
      </c>
      <c r="D1543">
        <v>44.08</v>
      </c>
      <c r="E1543">
        <v>-1.5</v>
      </c>
      <c r="F1543">
        <v>-0.67</v>
      </c>
      <c r="G1543" t="s">
        <v>4112</v>
      </c>
      <c r="H1543">
        <v>62</v>
      </c>
      <c r="I1543">
        <v>44.04</v>
      </c>
      <c r="J1543">
        <v>44.08</v>
      </c>
      <c r="K1543">
        <v>-0.05</v>
      </c>
      <c r="L1543">
        <v>1.92</v>
      </c>
      <c r="M1543" t="s">
        <v>3851</v>
      </c>
      <c r="N1543">
        <v>171.85</v>
      </c>
      <c r="O1543" t="s">
        <v>926</v>
      </c>
      <c r="P1543">
        <v>44.7</v>
      </c>
      <c r="Q1543">
        <v>43.82</v>
      </c>
      <c r="R1543">
        <v>44.69</v>
      </c>
      <c r="S1543">
        <v>44.75</v>
      </c>
      <c r="T1543">
        <v>1.97</v>
      </c>
      <c r="U1543">
        <v>0.59</v>
      </c>
      <c r="V1543">
        <v>-38.659999999999997</v>
      </c>
      <c r="W1543">
        <v>-146</v>
      </c>
      <c r="X1543">
        <v>44.12</v>
      </c>
      <c r="Y1543">
        <v>8460</v>
      </c>
      <c r="Z1543">
        <v>5415</v>
      </c>
      <c r="AA1543">
        <v>1.56</v>
      </c>
      <c r="AB1543">
        <v>1</v>
      </c>
      <c r="AC1543">
        <v>23</v>
      </c>
      <c r="AD1543">
        <v>5.68</v>
      </c>
      <c r="AE1543" t="s">
        <v>1371</v>
      </c>
      <c r="AF1543" t="s">
        <v>5777</v>
      </c>
      <c r="AG1543" t="s">
        <v>5778</v>
      </c>
      <c r="AH1543" t="s">
        <v>1172</v>
      </c>
      <c r="AI1543">
        <v>0.48</v>
      </c>
      <c r="AJ1543">
        <v>3.79</v>
      </c>
      <c r="AK1543">
        <v>8.4</v>
      </c>
      <c r="AL1543">
        <v>18.27</v>
      </c>
    </row>
    <row r="1544" spans="1:38" x14ac:dyDescent="0.25">
      <c r="A1544">
        <v>1543</v>
      </c>
      <c r="B1544" t="str">
        <f xml:space="preserve"> "000958"</f>
        <v>000958</v>
      </c>
      <c r="C1544" t="s">
        <v>5779</v>
      </c>
      <c r="D1544">
        <v>7.51</v>
      </c>
      <c r="E1544">
        <v>0.4</v>
      </c>
      <c r="F1544">
        <v>0.03</v>
      </c>
      <c r="G1544" t="s">
        <v>132</v>
      </c>
      <c r="H1544">
        <v>2359</v>
      </c>
      <c r="I1544">
        <v>7.5</v>
      </c>
      <c r="J1544">
        <v>7.51</v>
      </c>
      <c r="K1544">
        <v>0</v>
      </c>
      <c r="L1544">
        <v>1.78</v>
      </c>
      <c r="M1544" t="s">
        <v>5780</v>
      </c>
      <c r="N1544">
        <v>88.88</v>
      </c>
      <c r="O1544" t="s">
        <v>186</v>
      </c>
      <c r="P1544">
        <v>7.53</v>
      </c>
      <c r="Q1544">
        <v>7.46</v>
      </c>
      <c r="R1544">
        <v>7.51</v>
      </c>
      <c r="S1544">
        <v>7.48</v>
      </c>
      <c r="T1544">
        <v>0.94</v>
      </c>
      <c r="U1544">
        <v>0.88</v>
      </c>
      <c r="V1544">
        <v>-20.149999999999999</v>
      </c>
      <c r="W1544">
        <v>-3716</v>
      </c>
      <c r="X1544">
        <v>7.5</v>
      </c>
      <c r="Y1544" t="s">
        <v>2599</v>
      </c>
      <c r="Z1544" t="s">
        <v>3666</v>
      </c>
      <c r="AA1544">
        <v>1.1200000000000001</v>
      </c>
      <c r="AB1544">
        <v>2604</v>
      </c>
      <c r="AC1544">
        <v>856</v>
      </c>
      <c r="AD1544">
        <v>3.16</v>
      </c>
      <c r="AE1544" t="s">
        <v>2501</v>
      </c>
      <c r="AF1544" t="s">
        <v>5777</v>
      </c>
      <c r="AG1544" t="s">
        <v>5781</v>
      </c>
      <c r="AH1544" t="s">
        <v>5782</v>
      </c>
      <c r="AI1544">
        <v>-1.57</v>
      </c>
      <c r="AJ1544">
        <v>0.67</v>
      </c>
      <c r="AK1544">
        <v>6.49</v>
      </c>
      <c r="AL1544">
        <v>11.84</v>
      </c>
    </row>
    <row r="1545" spans="1:38" x14ac:dyDescent="0.25">
      <c r="A1545">
        <v>1544</v>
      </c>
      <c r="B1545" t="str">
        <f xml:space="preserve"> "600652"</f>
        <v>600652</v>
      </c>
      <c r="C1545" t="s">
        <v>5783</v>
      </c>
      <c r="D1545">
        <v>9.93</v>
      </c>
      <c r="E1545">
        <v>-0.3</v>
      </c>
      <c r="F1545">
        <v>-0.03</v>
      </c>
      <c r="G1545" t="s">
        <v>5784</v>
      </c>
      <c r="H1545">
        <v>24</v>
      </c>
      <c r="I1545">
        <v>9.92</v>
      </c>
      <c r="J1545">
        <v>9.93</v>
      </c>
      <c r="K1545">
        <v>0.1</v>
      </c>
      <c r="L1545">
        <v>1.02</v>
      </c>
      <c r="M1545" t="s">
        <v>5785</v>
      </c>
      <c r="N1545">
        <v>98.06</v>
      </c>
      <c r="O1545" t="s">
        <v>553</v>
      </c>
      <c r="P1545">
        <v>9.9700000000000006</v>
      </c>
      <c r="Q1545">
        <v>9.84</v>
      </c>
      <c r="R1545">
        <v>9.9700000000000006</v>
      </c>
      <c r="S1545">
        <v>9.9600000000000009</v>
      </c>
      <c r="T1545">
        <v>1.31</v>
      </c>
      <c r="U1545">
        <v>0.66</v>
      </c>
      <c r="V1545">
        <v>-33.89</v>
      </c>
      <c r="W1545">
        <v>-2339</v>
      </c>
      <c r="X1545">
        <v>9.9</v>
      </c>
      <c r="Y1545" t="s">
        <v>2226</v>
      </c>
      <c r="Z1545" t="s">
        <v>1189</v>
      </c>
      <c r="AA1545">
        <v>1.42</v>
      </c>
      <c r="AB1545">
        <v>741</v>
      </c>
      <c r="AC1545">
        <v>153</v>
      </c>
      <c r="AD1545">
        <v>3.85</v>
      </c>
      <c r="AE1545" t="s">
        <v>4255</v>
      </c>
      <c r="AF1545" t="s">
        <v>5127</v>
      </c>
      <c r="AG1545" t="s">
        <v>1792</v>
      </c>
      <c r="AH1545" t="s">
        <v>524</v>
      </c>
      <c r="AI1545">
        <v>-1</v>
      </c>
      <c r="AJ1545">
        <v>3.55</v>
      </c>
      <c r="AK1545">
        <v>4.6100000000000003</v>
      </c>
      <c r="AL1545">
        <v>8.8000000000000007</v>
      </c>
    </row>
    <row r="1546" spans="1:38" x14ac:dyDescent="0.25">
      <c r="A1546">
        <v>1545</v>
      </c>
      <c r="B1546" t="str">
        <f xml:space="preserve"> "603399"</f>
        <v>603399</v>
      </c>
      <c r="C1546" t="s">
        <v>5786</v>
      </c>
      <c r="D1546">
        <v>15.22</v>
      </c>
      <c r="E1546">
        <v>-0.2</v>
      </c>
      <c r="F1546">
        <v>-0.03</v>
      </c>
      <c r="G1546" t="s">
        <v>1805</v>
      </c>
      <c r="H1546">
        <v>1</v>
      </c>
      <c r="I1546">
        <v>15.22</v>
      </c>
      <c r="J1546">
        <v>15.23</v>
      </c>
      <c r="K1546">
        <v>-0.13</v>
      </c>
      <c r="L1546">
        <v>0.44</v>
      </c>
      <c r="M1546" t="s">
        <v>5787</v>
      </c>
      <c r="N1546">
        <v>67.91</v>
      </c>
      <c r="O1546" t="s">
        <v>449</v>
      </c>
      <c r="P1546">
        <v>15.35</v>
      </c>
      <c r="Q1546">
        <v>15.13</v>
      </c>
      <c r="R1546">
        <v>15.15</v>
      </c>
      <c r="S1546">
        <v>15.25</v>
      </c>
      <c r="T1546">
        <v>1.44</v>
      </c>
      <c r="U1546">
        <v>0.69</v>
      </c>
      <c r="V1546">
        <v>-1.75</v>
      </c>
      <c r="W1546">
        <v>-44</v>
      </c>
      <c r="X1546">
        <v>15.22</v>
      </c>
      <c r="Y1546" t="s">
        <v>1095</v>
      </c>
      <c r="Z1546">
        <v>9348</v>
      </c>
      <c r="AA1546">
        <v>1.34</v>
      </c>
      <c r="AB1546">
        <v>87</v>
      </c>
      <c r="AC1546">
        <v>28</v>
      </c>
      <c r="AD1546">
        <v>4.3099999999999996</v>
      </c>
      <c r="AE1546" t="s">
        <v>5788</v>
      </c>
      <c r="AF1546" t="s">
        <v>5127</v>
      </c>
      <c r="AG1546" t="s">
        <v>1161</v>
      </c>
      <c r="AH1546" t="s">
        <v>5789</v>
      </c>
      <c r="AI1546">
        <v>1.06</v>
      </c>
      <c r="AJ1546">
        <v>3.19</v>
      </c>
      <c r="AK1546">
        <v>1.91</v>
      </c>
      <c r="AL1546">
        <v>3.61</v>
      </c>
    </row>
    <row r="1547" spans="1:38" x14ac:dyDescent="0.25">
      <c r="A1547">
        <v>1546</v>
      </c>
      <c r="B1547" t="str">
        <f xml:space="preserve"> "002766"</f>
        <v>002766</v>
      </c>
      <c r="C1547" t="s">
        <v>5790</v>
      </c>
      <c r="D1547">
        <v>19.600000000000001</v>
      </c>
      <c r="E1547">
        <v>-1.51</v>
      </c>
      <c r="F1547">
        <v>-0.3</v>
      </c>
      <c r="G1547" t="s">
        <v>1599</v>
      </c>
      <c r="H1547">
        <v>966</v>
      </c>
      <c r="I1547">
        <v>19.59</v>
      </c>
      <c r="J1547">
        <v>19.600000000000001</v>
      </c>
      <c r="K1547">
        <v>0</v>
      </c>
      <c r="L1547">
        <v>4.3499999999999996</v>
      </c>
      <c r="M1547" t="s">
        <v>2523</v>
      </c>
      <c r="N1547">
        <v>72.3</v>
      </c>
      <c r="O1547" t="s">
        <v>580</v>
      </c>
      <c r="P1547">
        <v>19.84</v>
      </c>
      <c r="Q1547">
        <v>19.329999999999998</v>
      </c>
      <c r="R1547">
        <v>19.84</v>
      </c>
      <c r="S1547">
        <v>19.899999999999999</v>
      </c>
      <c r="T1547">
        <v>2.56</v>
      </c>
      <c r="U1547">
        <v>0.57999999999999996</v>
      </c>
      <c r="V1547">
        <v>-54.24</v>
      </c>
      <c r="W1547">
        <v>-818</v>
      </c>
      <c r="X1547">
        <v>19.53</v>
      </c>
      <c r="Y1547" t="s">
        <v>868</v>
      </c>
      <c r="Z1547" t="s">
        <v>5016</v>
      </c>
      <c r="AA1547">
        <v>1.95</v>
      </c>
      <c r="AB1547">
        <v>65</v>
      </c>
      <c r="AC1547">
        <v>260</v>
      </c>
      <c r="AD1547">
        <v>4.67</v>
      </c>
      <c r="AE1547" t="s">
        <v>5070</v>
      </c>
      <c r="AF1547" t="s">
        <v>5127</v>
      </c>
      <c r="AG1547" t="s">
        <v>4916</v>
      </c>
      <c r="AH1547" t="s">
        <v>4488</v>
      </c>
      <c r="AI1547">
        <v>-4.53</v>
      </c>
      <c r="AJ1547">
        <v>4.03</v>
      </c>
      <c r="AK1547">
        <v>21.05</v>
      </c>
      <c r="AL1547">
        <v>41.66</v>
      </c>
    </row>
    <row r="1548" spans="1:38" x14ac:dyDescent="0.25">
      <c r="A1548">
        <v>1547</v>
      </c>
      <c r="B1548" t="str">
        <f xml:space="preserve"> "002256"</f>
        <v>002256</v>
      </c>
      <c r="C1548" t="s">
        <v>5791</v>
      </c>
      <c r="D1548" t="s">
        <v>616</v>
      </c>
      <c r="E1548" t="s">
        <v>616</v>
      </c>
      <c r="F1548" t="s">
        <v>616</v>
      </c>
      <c r="G1548" t="s">
        <v>616</v>
      </c>
      <c r="H1548" t="s">
        <v>616</v>
      </c>
      <c r="I1548" t="s">
        <v>616</v>
      </c>
      <c r="J1548" t="s">
        <v>616</v>
      </c>
      <c r="K1548" t="s">
        <v>616</v>
      </c>
      <c r="L1548" t="s">
        <v>616</v>
      </c>
      <c r="M1548" t="s">
        <v>616</v>
      </c>
      <c r="N1548">
        <v>65.42</v>
      </c>
      <c r="O1548" t="s">
        <v>680</v>
      </c>
      <c r="P1548" t="s">
        <v>616</v>
      </c>
      <c r="Q1548" t="s">
        <v>616</v>
      </c>
      <c r="R1548" t="s">
        <v>616</v>
      </c>
      <c r="S1548">
        <v>4.3899999999999997</v>
      </c>
      <c r="T1548" t="s">
        <v>616</v>
      </c>
      <c r="U1548" t="s">
        <v>616</v>
      </c>
      <c r="V1548" t="s">
        <v>616</v>
      </c>
      <c r="W1548" t="s">
        <v>616</v>
      </c>
      <c r="X1548" t="s">
        <v>616</v>
      </c>
      <c r="Y1548" t="s">
        <v>616</v>
      </c>
      <c r="Z1548" t="s">
        <v>616</v>
      </c>
      <c r="AA1548" t="s">
        <v>616</v>
      </c>
      <c r="AB1548" t="s">
        <v>616</v>
      </c>
      <c r="AC1548" t="s">
        <v>616</v>
      </c>
      <c r="AD1548">
        <v>3.78</v>
      </c>
      <c r="AE1548" t="s">
        <v>4029</v>
      </c>
      <c r="AF1548" t="s">
        <v>5792</v>
      </c>
      <c r="AG1548" t="s">
        <v>2674</v>
      </c>
      <c r="AH1548" t="s">
        <v>5793</v>
      </c>
      <c r="AI1548">
        <v>0</v>
      </c>
      <c r="AJ1548">
        <v>0</v>
      </c>
      <c r="AK1548">
        <v>0</v>
      </c>
      <c r="AL1548">
        <v>0</v>
      </c>
    </row>
    <row r="1549" spans="1:38" x14ac:dyDescent="0.25">
      <c r="A1549">
        <v>1548</v>
      </c>
      <c r="B1549" t="str">
        <f xml:space="preserve"> "002698"</f>
        <v>002698</v>
      </c>
      <c r="C1549" t="s">
        <v>5794</v>
      </c>
      <c r="D1549">
        <v>12.12</v>
      </c>
      <c r="E1549">
        <v>-0.33</v>
      </c>
      <c r="F1549">
        <v>-0.04</v>
      </c>
      <c r="G1549" t="s">
        <v>1532</v>
      </c>
      <c r="H1549">
        <v>950</v>
      </c>
      <c r="I1549">
        <v>12.1</v>
      </c>
      <c r="J1549">
        <v>12.12</v>
      </c>
      <c r="K1549">
        <v>-0.08</v>
      </c>
      <c r="L1549">
        <v>0.63</v>
      </c>
      <c r="M1549" t="s">
        <v>5795</v>
      </c>
      <c r="N1549">
        <v>95.35</v>
      </c>
      <c r="O1549" t="s">
        <v>2647</v>
      </c>
      <c r="P1549">
        <v>12.32</v>
      </c>
      <c r="Q1549">
        <v>12.02</v>
      </c>
      <c r="R1549">
        <v>12.2</v>
      </c>
      <c r="S1549">
        <v>12.16</v>
      </c>
      <c r="T1549">
        <v>2.4700000000000002</v>
      </c>
      <c r="U1549">
        <v>0.87</v>
      </c>
      <c r="V1549">
        <v>-14.71</v>
      </c>
      <c r="W1549">
        <v>-275</v>
      </c>
      <c r="X1549">
        <v>12.14</v>
      </c>
      <c r="Y1549" t="s">
        <v>3158</v>
      </c>
      <c r="Z1549" t="s">
        <v>530</v>
      </c>
      <c r="AA1549">
        <v>1.24</v>
      </c>
      <c r="AB1549">
        <v>173</v>
      </c>
      <c r="AC1549">
        <v>457</v>
      </c>
      <c r="AD1549">
        <v>4.54</v>
      </c>
      <c r="AE1549" t="s">
        <v>1412</v>
      </c>
      <c r="AF1549" t="s">
        <v>5792</v>
      </c>
      <c r="AG1549" t="s">
        <v>1220</v>
      </c>
      <c r="AH1549" t="s">
        <v>5796</v>
      </c>
      <c r="AI1549">
        <v>0.83</v>
      </c>
      <c r="AJ1549">
        <v>6.6</v>
      </c>
      <c r="AK1549">
        <v>2.78</v>
      </c>
      <c r="AL1549">
        <v>4.22</v>
      </c>
    </row>
    <row r="1550" spans="1:38" x14ac:dyDescent="0.25">
      <c r="A1550">
        <v>1549</v>
      </c>
      <c r="B1550" t="str">
        <f xml:space="preserve"> "002616"</f>
        <v>002616</v>
      </c>
      <c r="C1550" t="s">
        <v>5797</v>
      </c>
      <c r="D1550">
        <v>11.1</v>
      </c>
      <c r="E1550">
        <v>3.16</v>
      </c>
      <c r="F1550">
        <v>0.34</v>
      </c>
      <c r="G1550" t="s">
        <v>158</v>
      </c>
      <c r="H1550">
        <v>2943</v>
      </c>
      <c r="I1550">
        <v>11.1</v>
      </c>
      <c r="J1550">
        <v>11.11</v>
      </c>
      <c r="K1550">
        <v>-0.09</v>
      </c>
      <c r="L1550">
        <v>4.55</v>
      </c>
      <c r="M1550" t="s">
        <v>1812</v>
      </c>
      <c r="N1550">
        <v>82.41</v>
      </c>
      <c r="O1550" t="s">
        <v>215</v>
      </c>
      <c r="P1550">
        <v>11.18</v>
      </c>
      <c r="Q1550">
        <v>10.58</v>
      </c>
      <c r="R1550">
        <v>10.77</v>
      </c>
      <c r="S1550">
        <v>10.76</v>
      </c>
      <c r="T1550">
        <v>5.58</v>
      </c>
      <c r="U1550">
        <v>2.57</v>
      </c>
      <c r="V1550">
        <v>-70.31</v>
      </c>
      <c r="W1550">
        <v>-8875</v>
      </c>
      <c r="X1550">
        <v>10.93</v>
      </c>
      <c r="Y1550" t="s">
        <v>3605</v>
      </c>
      <c r="Z1550" t="s">
        <v>767</v>
      </c>
      <c r="AA1550">
        <v>0.71</v>
      </c>
      <c r="AB1550">
        <v>639</v>
      </c>
      <c r="AC1550">
        <v>1471</v>
      </c>
      <c r="AD1550">
        <v>4.04</v>
      </c>
      <c r="AE1550" t="s">
        <v>4763</v>
      </c>
      <c r="AF1550" t="s">
        <v>4718</v>
      </c>
      <c r="AG1550" t="s">
        <v>5798</v>
      </c>
      <c r="AH1550" t="s">
        <v>5218</v>
      </c>
      <c r="AI1550">
        <v>2.02</v>
      </c>
      <c r="AJ1550">
        <v>8.2899999999999991</v>
      </c>
      <c r="AK1550">
        <v>7.82</v>
      </c>
      <c r="AL1550">
        <v>13.4</v>
      </c>
    </row>
    <row r="1551" spans="1:38" x14ac:dyDescent="0.25">
      <c r="A1551">
        <v>1550</v>
      </c>
      <c r="B1551" t="str">
        <f xml:space="preserve"> "000915"</f>
        <v>000915</v>
      </c>
      <c r="C1551" t="s">
        <v>5799</v>
      </c>
      <c r="D1551">
        <v>35.1</v>
      </c>
      <c r="E1551">
        <v>-0.71</v>
      </c>
      <c r="F1551">
        <v>-0.25</v>
      </c>
      <c r="G1551" t="s">
        <v>2808</v>
      </c>
      <c r="H1551">
        <v>454</v>
      </c>
      <c r="I1551">
        <v>35.1</v>
      </c>
      <c r="J1551">
        <v>35.11</v>
      </c>
      <c r="K1551">
        <v>0</v>
      </c>
      <c r="L1551">
        <v>1.55</v>
      </c>
      <c r="M1551" t="s">
        <v>315</v>
      </c>
      <c r="N1551">
        <v>28.03</v>
      </c>
      <c r="O1551" t="s">
        <v>392</v>
      </c>
      <c r="P1551">
        <v>35.65</v>
      </c>
      <c r="Q1551">
        <v>34.92</v>
      </c>
      <c r="R1551">
        <v>35.49</v>
      </c>
      <c r="S1551">
        <v>35.35</v>
      </c>
      <c r="T1551">
        <v>2.0699999999999998</v>
      </c>
      <c r="U1551">
        <v>0.72</v>
      </c>
      <c r="V1551">
        <v>39.06</v>
      </c>
      <c r="W1551">
        <v>277</v>
      </c>
      <c r="X1551">
        <v>35.17</v>
      </c>
      <c r="Y1551" t="s">
        <v>1724</v>
      </c>
      <c r="Z1551" t="s">
        <v>433</v>
      </c>
      <c r="AA1551">
        <v>1.38</v>
      </c>
      <c r="AB1551">
        <v>377</v>
      </c>
      <c r="AC1551">
        <v>11</v>
      </c>
      <c r="AD1551">
        <v>5.86</v>
      </c>
      <c r="AE1551" t="s">
        <v>1354</v>
      </c>
      <c r="AF1551" t="s">
        <v>921</v>
      </c>
      <c r="AG1551" t="s">
        <v>4430</v>
      </c>
      <c r="AH1551" t="s">
        <v>4982</v>
      </c>
      <c r="AI1551">
        <v>0.72</v>
      </c>
      <c r="AJ1551">
        <v>4.22</v>
      </c>
      <c r="AK1551">
        <v>6.67</v>
      </c>
      <c r="AL1551">
        <v>12.26</v>
      </c>
    </row>
    <row r="1552" spans="1:38" x14ac:dyDescent="0.25">
      <c r="A1552">
        <v>1551</v>
      </c>
      <c r="B1552" t="str">
        <f xml:space="preserve"> "603728"</f>
        <v>603728</v>
      </c>
      <c r="C1552" t="s">
        <v>5800</v>
      </c>
      <c r="D1552">
        <v>25.7</v>
      </c>
      <c r="E1552">
        <v>-0.16</v>
      </c>
      <c r="F1552">
        <v>-0.04</v>
      </c>
      <c r="G1552" t="s">
        <v>2279</v>
      </c>
      <c r="H1552">
        <v>5</v>
      </c>
      <c r="I1552">
        <v>25.72</v>
      </c>
      <c r="J1552">
        <v>25.73</v>
      </c>
      <c r="K1552">
        <v>-0.12</v>
      </c>
      <c r="L1552">
        <v>4.1500000000000004</v>
      </c>
      <c r="M1552" t="s">
        <v>5801</v>
      </c>
      <c r="N1552">
        <v>54.12</v>
      </c>
      <c r="O1552" t="s">
        <v>648</v>
      </c>
      <c r="P1552">
        <v>25.96</v>
      </c>
      <c r="Q1552">
        <v>25.41</v>
      </c>
      <c r="R1552">
        <v>25.77</v>
      </c>
      <c r="S1552">
        <v>25.74</v>
      </c>
      <c r="T1552">
        <v>2.14</v>
      </c>
      <c r="U1552">
        <v>0.62</v>
      </c>
      <c r="V1552">
        <v>6.21</v>
      </c>
      <c r="W1552">
        <v>38</v>
      </c>
      <c r="X1552">
        <v>25.71</v>
      </c>
      <c r="Y1552" t="s">
        <v>1653</v>
      </c>
      <c r="Z1552" t="s">
        <v>2518</v>
      </c>
      <c r="AA1552">
        <v>1.48</v>
      </c>
      <c r="AB1552">
        <v>12</v>
      </c>
      <c r="AC1552">
        <v>31</v>
      </c>
      <c r="AD1552">
        <v>5.13</v>
      </c>
      <c r="AE1552" t="s">
        <v>2738</v>
      </c>
      <c r="AF1552" t="s">
        <v>2079</v>
      </c>
      <c r="AG1552" t="s">
        <v>5802</v>
      </c>
      <c r="AH1552" t="s">
        <v>2797</v>
      </c>
      <c r="AI1552">
        <v>-2.2400000000000002</v>
      </c>
      <c r="AJ1552">
        <v>1.1399999999999999</v>
      </c>
      <c r="AK1552">
        <v>17.47</v>
      </c>
      <c r="AL1552">
        <v>37.450000000000003</v>
      </c>
    </row>
    <row r="1553" spans="1:38" x14ac:dyDescent="0.25">
      <c r="A1553">
        <v>1552</v>
      </c>
      <c r="B1553" t="str">
        <f xml:space="preserve"> "600510"</f>
        <v>600510</v>
      </c>
      <c r="C1553" t="s">
        <v>5803</v>
      </c>
      <c r="D1553">
        <v>7.85</v>
      </c>
      <c r="E1553">
        <v>-0.25</v>
      </c>
      <c r="F1553">
        <v>-0.02</v>
      </c>
      <c r="G1553" t="s">
        <v>5016</v>
      </c>
      <c r="H1553">
        <v>33</v>
      </c>
      <c r="I1553">
        <v>7.83</v>
      </c>
      <c r="J1553">
        <v>7.84</v>
      </c>
      <c r="K1553">
        <v>0</v>
      </c>
      <c r="L1553">
        <v>0.32</v>
      </c>
      <c r="M1553" t="s">
        <v>5804</v>
      </c>
      <c r="N1553">
        <v>29.5</v>
      </c>
      <c r="O1553" t="s">
        <v>263</v>
      </c>
      <c r="P1553">
        <v>7.85</v>
      </c>
      <c r="Q1553">
        <v>7.77</v>
      </c>
      <c r="R1553">
        <v>7.83</v>
      </c>
      <c r="S1553">
        <v>7.87</v>
      </c>
      <c r="T1553">
        <v>1.02</v>
      </c>
      <c r="U1553">
        <v>0.91</v>
      </c>
      <c r="V1553">
        <v>-4.72</v>
      </c>
      <c r="W1553">
        <v>-94</v>
      </c>
      <c r="X1553">
        <v>7.81</v>
      </c>
      <c r="Y1553" t="s">
        <v>3950</v>
      </c>
      <c r="Z1553" t="s">
        <v>75</v>
      </c>
      <c r="AA1553">
        <v>1.51</v>
      </c>
      <c r="AB1553">
        <v>198</v>
      </c>
      <c r="AC1553">
        <v>89</v>
      </c>
      <c r="AD1553">
        <v>1.1299999999999999</v>
      </c>
      <c r="AE1553" t="s">
        <v>2066</v>
      </c>
      <c r="AF1553" t="s">
        <v>2079</v>
      </c>
      <c r="AG1553" t="s">
        <v>3916</v>
      </c>
      <c r="AH1553" t="s">
        <v>4069</v>
      </c>
      <c r="AI1553">
        <v>1.1599999999999999</v>
      </c>
      <c r="AJ1553">
        <v>3.7</v>
      </c>
      <c r="AK1553">
        <v>1.42</v>
      </c>
      <c r="AL1553">
        <v>2.09</v>
      </c>
    </row>
    <row r="1554" spans="1:38" x14ac:dyDescent="0.25">
      <c r="A1554">
        <v>1553</v>
      </c>
      <c r="B1554" t="str">
        <f xml:space="preserve"> "000672"</f>
        <v>000672</v>
      </c>
      <c r="C1554" t="s">
        <v>5805</v>
      </c>
      <c r="D1554">
        <v>10.1</v>
      </c>
      <c r="E1554">
        <v>1</v>
      </c>
      <c r="F1554">
        <v>0.1</v>
      </c>
      <c r="G1554" t="s">
        <v>102</v>
      </c>
      <c r="H1554">
        <v>3610</v>
      </c>
      <c r="I1554">
        <v>10.09</v>
      </c>
      <c r="J1554">
        <v>10.1</v>
      </c>
      <c r="K1554">
        <v>0</v>
      </c>
      <c r="L1554">
        <v>1.4</v>
      </c>
      <c r="M1554" t="s">
        <v>485</v>
      </c>
      <c r="N1554">
        <v>15.69</v>
      </c>
      <c r="O1554" t="s">
        <v>562</v>
      </c>
      <c r="P1554">
        <v>10.15</v>
      </c>
      <c r="Q1554">
        <v>9.9499999999999993</v>
      </c>
      <c r="R1554">
        <v>9.99</v>
      </c>
      <c r="S1554">
        <v>10</v>
      </c>
      <c r="T1554">
        <v>2</v>
      </c>
      <c r="U1554">
        <v>0.88</v>
      </c>
      <c r="V1554">
        <v>-22.51</v>
      </c>
      <c r="W1554">
        <v>-1841</v>
      </c>
      <c r="X1554">
        <v>10.06</v>
      </c>
      <c r="Y1554" t="s">
        <v>1355</v>
      </c>
      <c r="Z1554" t="s">
        <v>489</v>
      </c>
      <c r="AA1554">
        <v>0.71</v>
      </c>
      <c r="AB1554">
        <v>373</v>
      </c>
      <c r="AC1554">
        <v>674</v>
      </c>
      <c r="AD1554">
        <v>4.83</v>
      </c>
      <c r="AE1554" t="s">
        <v>4981</v>
      </c>
      <c r="AF1554" t="s">
        <v>2079</v>
      </c>
      <c r="AG1554" t="s">
        <v>4981</v>
      </c>
      <c r="AH1554" t="s">
        <v>2079</v>
      </c>
      <c r="AI1554">
        <v>-0.88</v>
      </c>
      <c r="AJ1554">
        <v>1.41</v>
      </c>
      <c r="AK1554">
        <v>4.21</v>
      </c>
      <c r="AL1554">
        <v>9.4</v>
      </c>
    </row>
    <row r="1555" spans="1:38" x14ac:dyDescent="0.25">
      <c r="A1555">
        <v>1554</v>
      </c>
      <c r="B1555" t="str">
        <f xml:space="preserve"> "600496"</f>
        <v>600496</v>
      </c>
      <c r="C1555" t="s">
        <v>5806</v>
      </c>
      <c r="D1555">
        <v>5.44</v>
      </c>
      <c r="E1555">
        <v>0.93</v>
      </c>
      <c r="F1555">
        <v>0.05</v>
      </c>
      <c r="G1555" t="s">
        <v>5807</v>
      </c>
      <c r="H1555">
        <v>46</v>
      </c>
      <c r="I1555">
        <v>5.44</v>
      </c>
      <c r="J1555">
        <v>5.45</v>
      </c>
      <c r="K1555">
        <v>0</v>
      </c>
      <c r="L1555">
        <v>2.4</v>
      </c>
      <c r="M1555" t="s">
        <v>4935</v>
      </c>
      <c r="N1555">
        <v>73.989999999999995</v>
      </c>
      <c r="O1555" t="s">
        <v>562</v>
      </c>
      <c r="P1555">
        <v>5.48</v>
      </c>
      <c r="Q1555">
        <v>5.38</v>
      </c>
      <c r="R1555">
        <v>5.45</v>
      </c>
      <c r="S1555">
        <v>5.39</v>
      </c>
      <c r="T1555">
        <v>1.86</v>
      </c>
      <c r="U1555">
        <v>0.62</v>
      </c>
      <c r="V1555">
        <v>-34.79</v>
      </c>
      <c r="W1555" t="s">
        <v>5808</v>
      </c>
      <c r="X1555">
        <v>5.44</v>
      </c>
      <c r="Y1555" t="s">
        <v>2292</v>
      </c>
      <c r="Z1555" t="s">
        <v>1852</v>
      </c>
      <c r="AA1555">
        <v>0.82</v>
      </c>
      <c r="AB1555">
        <v>693</v>
      </c>
      <c r="AC1555">
        <v>3092</v>
      </c>
      <c r="AD1555">
        <v>2.16</v>
      </c>
      <c r="AE1555" t="s">
        <v>434</v>
      </c>
      <c r="AF1555" t="s">
        <v>2079</v>
      </c>
      <c r="AG1555" t="s">
        <v>434</v>
      </c>
      <c r="AH1555" t="s">
        <v>2079</v>
      </c>
      <c r="AI1555">
        <v>-2.33</v>
      </c>
      <c r="AJ1555">
        <v>-4.0599999999999996</v>
      </c>
      <c r="AK1555">
        <v>9.2100000000000009</v>
      </c>
      <c r="AL1555">
        <v>21.75</v>
      </c>
    </row>
    <row r="1556" spans="1:38" x14ac:dyDescent="0.25">
      <c r="A1556">
        <v>1555</v>
      </c>
      <c r="B1556" t="str">
        <f xml:space="preserve"> "300502"</f>
        <v>300502</v>
      </c>
      <c r="C1556" t="s">
        <v>5809</v>
      </c>
      <c r="D1556">
        <v>35.29</v>
      </c>
      <c r="E1556">
        <v>-2.27</v>
      </c>
      <c r="F1556">
        <v>-0.82</v>
      </c>
      <c r="G1556" t="s">
        <v>5284</v>
      </c>
      <c r="H1556">
        <v>722</v>
      </c>
      <c r="I1556">
        <v>35.28</v>
      </c>
      <c r="J1556">
        <v>35.29</v>
      </c>
      <c r="K1556">
        <v>0</v>
      </c>
      <c r="L1556">
        <v>4.96</v>
      </c>
      <c r="M1556" t="s">
        <v>3184</v>
      </c>
      <c r="N1556">
        <v>65.56</v>
      </c>
      <c r="O1556" t="s">
        <v>580</v>
      </c>
      <c r="P1556">
        <v>36</v>
      </c>
      <c r="Q1556">
        <v>34.74</v>
      </c>
      <c r="R1556">
        <v>36</v>
      </c>
      <c r="S1556">
        <v>36.11</v>
      </c>
      <c r="T1556">
        <v>3.49</v>
      </c>
      <c r="U1556">
        <v>0.73</v>
      </c>
      <c r="V1556">
        <v>36.47</v>
      </c>
      <c r="W1556">
        <v>163</v>
      </c>
      <c r="X1556">
        <v>35.29</v>
      </c>
      <c r="Y1556" t="s">
        <v>3180</v>
      </c>
      <c r="Z1556" t="s">
        <v>4023</v>
      </c>
      <c r="AA1556">
        <v>1.65</v>
      </c>
      <c r="AB1556">
        <v>178</v>
      </c>
      <c r="AC1556">
        <v>48</v>
      </c>
      <c r="AD1556">
        <v>7.97</v>
      </c>
      <c r="AE1556" t="s">
        <v>4430</v>
      </c>
      <c r="AF1556" t="s">
        <v>2079</v>
      </c>
      <c r="AG1556" t="s">
        <v>734</v>
      </c>
      <c r="AH1556" t="s">
        <v>5247</v>
      </c>
      <c r="AI1556">
        <v>1.79</v>
      </c>
      <c r="AJ1556">
        <v>6.62</v>
      </c>
      <c r="AK1556">
        <v>17.87</v>
      </c>
      <c r="AL1556">
        <v>39.090000000000003</v>
      </c>
    </row>
    <row r="1557" spans="1:38" x14ac:dyDescent="0.25">
      <c r="A1557">
        <v>1556</v>
      </c>
      <c r="B1557" t="str">
        <f xml:space="preserve"> "002126"</f>
        <v>002126</v>
      </c>
      <c r="C1557" t="s">
        <v>5810</v>
      </c>
      <c r="D1557">
        <v>10.25</v>
      </c>
      <c r="E1557">
        <v>0.89</v>
      </c>
      <c r="F1557">
        <v>0.09</v>
      </c>
      <c r="G1557" t="s">
        <v>1370</v>
      </c>
      <c r="H1557">
        <v>1288</v>
      </c>
      <c r="I1557">
        <v>10.24</v>
      </c>
      <c r="J1557">
        <v>10.25</v>
      </c>
      <c r="K1557">
        <v>0.1</v>
      </c>
      <c r="L1557">
        <v>1.03</v>
      </c>
      <c r="M1557" t="s">
        <v>5811</v>
      </c>
      <c r="N1557">
        <v>24.6</v>
      </c>
      <c r="O1557" t="s">
        <v>169</v>
      </c>
      <c r="P1557">
        <v>10.29</v>
      </c>
      <c r="Q1557">
        <v>10.09</v>
      </c>
      <c r="R1557">
        <v>10.18</v>
      </c>
      <c r="S1557">
        <v>10.16</v>
      </c>
      <c r="T1557">
        <v>1.97</v>
      </c>
      <c r="U1557">
        <v>0.88</v>
      </c>
      <c r="V1557">
        <v>-48.57</v>
      </c>
      <c r="W1557">
        <v>-2989</v>
      </c>
      <c r="X1557">
        <v>10.210000000000001</v>
      </c>
      <c r="Y1557" t="s">
        <v>1827</v>
      </c>
      <c r="Z1557" t="s">
        <v>4003</v>
      </c>
      <c r="AA1557">
        <v>0.83</v>
      </c>
      <c r="AB1557">
        <v>566</v>
      </c>
      <c r="AC1557">
        <v>1413</v>
      </c>
      <c r="AD1557">
        <v>2.63</v>
      </c>
      <c r="AE1557" t="s">
        <v>2385</v>
      </c>
      <c r="AF1557" t="s">
        <v>967</v>
      </c>
      <c r="AG1557" t="s">
        <v>5062</v>
      </c>
      <c r="AH1557" t="s">
        <v>1209</v>
      </c>
      <c r="AI1557">
        <v>-0.77</v>
      </c>
      <c r="AJ1557">
        <v>2.09</v>
      </c>
      <c r="AK1557">
        <v>3.34</v>
      </c>
      <c r="AL1557">
        <v>6.93</v>
      </c>
    </row>
    <row r="1558" spans="1:38" x14ac:dyDescent="0.25">
      <c r="A1558">
        <v>1557</v>
      </c>
      <c r="B1558" t="str">
        <f xml:space="preserve"> "000913"</f>
        <v>000913</v>
      </c>
      <c r="C1558" t="s">
        <v>5812</v>
      </c>
      <c r="D1558">
        <v>18.09</v>
      </c>
      <c r="E1558">
        <v>0</v>
      </c>
      <c r="F1558">
        <v>0</v>
      </c>
      <c r="G1558">
        <v>9652</v>
      </c>
      <c r="H1558">
        <v>152</v>
      </c>
      <c r="I1558">
        <v>18.09</v>
      </c>
      <c r="J1558">
        <v>18.12</v>
      </c>
      <c r="K1558">
        <v>-0.17</v>
      </c>
      <c r="L1558">
        <v>0.21</v>
      </c>
      <c r="M1558" t="s">
        <v>5813</v>
      </c>
      <c r="N1558">
        <v>80.989999999999995</v>
      </c>
      <c r="O1558" t="s">
        <v>253</v>
      </c>
      <c r="P1558">
        <v>18.27</v>
      </c>
      <c r="Q1558">
        <v>17.98</v>
      </c>
      <c r="R1558">
        <v>17.98</v>
      </c>
      <c r="S1558">
        <v>18.09</v>
      </c>
      <c r="T1558">
        <v>1.6</v>
      </c>
      <c r="U1558">
        <v>0.68</v>
      </c>
      <c r="V1558">
        <v>37.299999999999997</v>
      </c>
      <c r="W1558">
        <v>230</v>
      </c>
      <c r="X1558">
        <v>18.170000000000002</v>
      </c>
      <c r="Y1558">
        <v>4993</v>
      </c>
      <c r="Z1558">
        <v>4659</v>
      </c>
      <c r="AA1558">
        <v>1.07</v>
      </c>
      <c r="AB1558">
        <v>114</v>
      </c>
      <c r="AC1558">
        <v>40</v>
      </c>
      <c r="AD1558">
        <v>3.34</v>
      </c>
      <c r="AE1558" t="s">
        <v>1607</v>
      </c>
      <c r="AF1558" t="s">
        <v>660</v>
      </c>
      <c r="AG1558" t="s">
        <v>1607</v>
      </c>
      <c r="AH1558" t="s">
        <v>660</v>
      </c>
      <c r="AI1558">
        <v>0.89</v>
      </c>
      <c r="AJ1558">
        <v>3.91</v>
      </c>
      <c r="AK1558">
        <v>0.8</v>
      </c>
      <c r="AL1558">
        <v>1.77</v>
      </c>
    </row>
    <row r="1559" spans="1:38" x14ac:dyDescent="0.25">
      <c r="A1559">
        <v>1558</v>
      </c>
      <c r="B1559" t="str">
        <f xml:space="preserve"> "002845"</f>
        <v>002845</v>
      </c>
      <c r="C1559" t="s">
        <v>5814</v>
      </c>
      <c r="D1559">
        <v>40.74</v>
      </c>
      <c r="E1559">
        <v>5.46</v>
      </c>
      <c r="F1559">
        <v>2.11</v>
      </c>
      <c r="G1559" t="s">
        <v>1895</v>
      </c>
      <c r="H1559">
        <v>3117</v>
      </c>
      <c r="I1559">
        <v>40.72</v>
      </c>
      <c r="J1559">
        <v>40.74</v>
      </c>
      <c r="K1559">
        <v>-0.15</v>
      </c>
      <c r="L1559">
        <v>33.21</v>
      </c>
      <c r="M1559" t="s">
        <v>3899</v>
      </c>
      <c r="N1559">
        <v>56.85</v>
      </c>
      <c r="O1559" t="s">
        <v>380</v>
      </c>
      <c r="P1559">
        <v>42.49</v>
      </c>
      <c r="Q1559">
        <v>38.700000000000003</v>
      </c>
      <c r="R1559">
        <v>38.880000000000003</v>
      </c>
      <c r="S1559">
        <v>38.630000000000003</v>
      </c>
      <c r="T1559">
        <v>9.81</v>
      </c>
      <c r="U1559">
        <v>2.17</v>
      </c>
      <c r="V1559">
        <v>-76.03</v>
      </c>
      <c r="W1559">
        <v>-3070</v>
      </c>
      <c r="X1559">
        <v>41.4</v>
      </c>
      <c r="Y1559" t="s">
        <v>5815</v>
      </c>
      <c r="Z1559" t="s">
        <v>2401</v>
      </c>
      <c r="AA1559">
        <v>1.52</v>
      </c>
      <c r="AB1559">
        <v>33</v>
      </c>
      <c r="AC1559">
        <v>2134</v>
      </c>
      <c r="AD1559">
        <v>7.91</v>
      </c>
      <c r="AE1559" t="s">
        <v>3229</v>
      </c>
      <c r="AF1559" t="s">
        <v>660</v>
      </c>
      <c r="AG1559" t="s">
        <v>2913</v>
      </c>
      <c r="AH1559" t="s">
        <v>1193</v>
      </c>
      <c r="AI1559">
        <v>-0.15</v>
      </c>
      <c r="AJ1559">
        <v>5.31</v>
      </c>
      <c r="AK1559">
        <v>62.02</v>
      </c>
      <c r="AL1559">
        <v>109.67</v>
      </c>
    </row>
    <row r="1560" spans="1:38" x14ac:dyDescent="0.25">
      <c r="A1560">
        <v>1559</v>
      </c>
      <c r="B1560" t="str">
        <f xml:space="preserve"> "600381"</f>
        <v>600381</v>
      </c>
      <c r="C1560" t="s">
        <v>5816</v>
      </c>
      <c r="D1560">
        <v>13</v>
      </c>
      <c r="E1560">
        <v>0.15</v>
      </c>
      <c r="F1560">
        <v>0.02</v>
      </c>
      <c r="G1560" t="s">
        <v>2515</v>
      </c>
      <c r="H1560">
        <v>50</v>
      </c>
      <c r="I1560">
        <v>12.99</v>
      </c>
      <c r="J1560">
        <v>13</v>
      </c>
      <c r="K1560">
        <v>0.15</v>
      </c>
      <c r="L1560">
        <v>1.47</v>
      </c>
      <c r="M1560" t="s">
        <v>5817</v>
      </c>
      <c r="N1560">
        <v>48.47</v>
      </c>
      <c r="O1560" t="s">
        <v>392</v>
      </c>
      <c r="P1560">
        <v>13.05</v>
      </c>
      <c r="Q1560">
        <v>12.9</v>
      </c>
      <c r="R1560">
        <v>12.96</v>
      </c>
      <c r="S1560">
        <v>12.98</v>
      </c>
      <c r="T1560">
        <v>1.1599999999999999</v>
      </c>
      <c r="U1560">
        <v>0.6</v>
      </c>
      <c r="V1560">
        <v>18.28</v>
      </c>
      <c r="W1560">
        <v>239</v>
      </c>
      <c r="X1560">
        <v>12.99</v>
      </c>
      <c r="Y1560" t="s">
        <v>2968</v>
      </c>
      <c r="Z1560" t="s">
        <v>1114</v>
      </c>
      <c r="AA1560">
        <v>1.1100000000000001</v>
      </c>
      <c r="AB1560">
        <v>3</v>
      </c>
      <c r="AC1560">
        <v>139</v>
      </c>
      <c r="AD1560">
        <v>3.93</v>
      </c>
      <c r="AE1560" t="s">
        <v>3792</v>
      </c>
      <c r="AF1560" t="s">
        <v>660</v>
      </c>
      <c r="AG1560" t="s">
        <v>1853</v>
      </c>
      <c r="AH1560" t="s">
        <v>1480</v>
      </c>
      <c r="AI1560">
        <v>-2.48</v>
      </c>
      <c r="AJ1560">
        <v>1.96</v>
      </c>
      <c r="AK1560">
        <v>6.65</v>
      </c>
      <c r="AL1560">
        <v>13.72</v>
      </c>
    </row>
    <row r="1561" spans="1:38" x14ac:dyDescent="0.25">
      <c r="A1561">
        <v>1560</v>
      </c>
      <c r="B1561" t="str">
        <f xml:space="preserve"> "600763"</f>
        <v>600763</v>
      </c>
      <c r="C1561" t="s">
        <v>5818</v>
      </c>
      <c r="D1561">
        <v>25.55</v>
      </c>
      <c r="E1561">
        <v>-0.78</v>
      </c>
      <c r="F1561">
        <v>-0.2</v>
      </c>
      <c r="G1561" t="s">
        <v>4377</v>
      </c>
      <c r="H1561">
        <v>3</v>
      </c>
      <c r="I1561">
        <v>25.58</v>
      </c>
      <c r="J1561">
        <v>25.59</v>
      </c>
      <c r="K1561">
        <v>0</v>
      </c>
      <c r="L1561">
        <v>2.52</v>
      </c>
      <c r="M1561" t="s">
        <v>2964</v>
      </c>
      <c r="N1561">
        <v>46.37</v>
      </c>
      <c r="O1561" t="s">
        <v>1552</v>
      </c>
      <c r="P1561">
        <v>26.27</v>
      </c>
      <c r="Q1561">
        <v>25.42</v>
      </c>
      <c r="R1561">
        <v>25.79</v>
      </c>
      <c r="S1561">
        <v>25.75</v>
      </c>
      <c r="T1561">
        <v>3.3</v>
      </c>
      <c r="U1561">
        <v>0.87</v>
      </c>
      <c r="V1561">
        <v>38.67</v>
      </c>
      <c r="W1561">
        <v>58</v>
      </c>
      <c r="X1561">
        <v>25.76</v>
      </c>
      <c r="Y1561" t="s">
        <v>2058</v>
      </c>
      <c r="Z1561" t="s">
        <v>2781</v>
      </c>
      <c r="AA1561">
        <v>1.05</v>
      </c>
      <c r="AB1561">
        <v>3</v>
      </c>
      <c r="AC1561">
        <v>6</v>
      </c>
      <c r="AD1561">
        <v>9.9600000000000009</v>
      </c>
      <c r="AE1561" t="s">
        <v>5819</v>
      </c>
      <c r="AF1561" t="s">
        <v>4982</v>
      </c>
      <c r="AG1561" t="s">
        <v>5819</v>
      </c>
      <c r="AH1561" t="s">
        <v>4982</v>
      </c>
      <c r="AI1561">
        <v>-2.78</v>
      </c>
      <c r="AJ1561">
        <v>8.6300000000000008</v>
      </c>
      <c r="AK1561">
        <v>10.59</v>
      </c>
      <c r="AL1561">
        <v>17.02</v>
      </c>
    </row>
    <row r="1562" spans="1:38" x14ac:dyDescent="0.25">
      <c r="A1562">
        <v>1561</v>
      </c>
      <c r="B1562" t="str">
        <f xml:space="preserve"> "603900"</f>
        <v>603900</v>
      </c>
      <c r="C1562" t="s">
        <v>5820</v>
      </c>
      <c r="D1562">
        <v>24.01</v>
      </c>
      <c r="E1562">
        <v>1.01</v>
      </c>
      <c r="F1562">
        <v>0.24</v>
      </c>
      <c r="G1562" t="s">
        <v>623</v>
      </c>
      <c r="H1562">
        <v>13</v>
      </c>
      <c r="I1562">
        <v>24</v>
      </c>
      <c r="J1562">
        <v>24.01</v>
      </c>
      <c r="K1562">
        <v>0.04</v>
      </c>
      <c r="L1562">
        <v>3.16</v>
      </c>
      <c r="M1562" t="s">
        <v>5821</v>
      </c>
      <c r="N1562">
        <v>21.43</v>
      </c>
      <c r="O1562" t="s">
        <v>2984</v>
      </c>
      <c r="P1562">
        <v>24.09</v>
      </c>
      <c r="Q1562">
        <v>23.62</v>
      </c>
      <c r="R1562">
        <v>23.78</v>
      </c>
      <c r="S1562">
        <v>23.77</v>
      </c>
      <c r="T1562">
        <v>1.98</v>
      </c>
      <c r="U1562">
        <v>1.27</v>
      </c>
      <c r="V1562">
        <v>56.11</v>
      </c>
      <c r="W1562">
        <v>1511</v>
      </c>
      <c r="X1562">
        <v>23.88</v>
      </c>
      <c r="Y1562" t="s">
        <v>2002</v>
      </c>
      <c r="Z1562" t="s">
        <v>2313</v>
      </c>
      <c r="AA1562">
        <v>0.72</v>
      </c>
      <c r="AB1562">
        <v>906</v>
      </c>
      <c r="AC1562">
        <v>249</v>
      </c>
      <c r="AD1562">
        <v>3.77</v>
      </c>
      <c r="AE1562" t="s">
        <v>2603</v>
      </c>
      <c r="AF1562" t="s">
        <v>5121</v>
      </c>
      <c r="AG1562" t="s">
        <v>5822</v>
      </c>
      <c r="AH1562" t="s">
        <v>740</v>
      </c>
      <c r="AI1562">
        <v>1.35</v>
      </c>
      <c r="AJ1562">
        <v>-0.49</v>
      </c>
      <c r="AK1562">
        <v>7.99</v>
      </c>
      <c r="AL1562">
        <v>15.61</v>
      </c>
    </row>
    <row r="1563" spans="1:38" x14ac:dyDescent="0.25">
      <c r="A1563">
        <v>1562</v>
      </c>
      <c r="B1563" t="str">
        <f xml:space="preserve"> "000403"</f>
        <v>000403</v>
      </c>
      <c r="C1563" t="s">
        <v>5823</v>
      </c>
      <c r="D1563">
        <v>29.99</v>
      </c>
      <c r="E1563">
        <v>0.2</v>
      </c>
      <c r="F1563">
        <v>0.06</v>
      </c>
      <c r="G1563" t="s">
        <v>1153</v>
      </c>
      <c r="H1563">
        <v>25</v>
      </c>
      <c r="I1563">
        <v>29.98</v>
      </c>
      <c r="J1563">
        <v>29.99</v>
      </c>
      <c r="K1563">
        <v>0.03</v>
      </c>
      <c r="L1563">
        <v>0.7</v>
      </c>
      <c r="M1563" t="s">
        <v>5824</v>
      </c>
      <c r="N1563">
        <v>91.67</v>
      </c>
      <c r="O1563" t="s">
        <v>392</v>
      </c>
      <c r="P1563">
        <v>30.25</v>
      </c>
      <c r="Q1563">
        <v>29.7</v>
      </c>
      <c r="R1563">
        <v>29.93</v>
      </c>
      <c r="S1563">
        <v>29.93</v>
      </c>
      <c r="T1563">
        <v>1.84</v>
      </c>
      <c r="U1563">
        <v>0.78</v>
      </c>
      <c r="V1563">
        <v>-82.38</v>
      </c>
      <c r="W1563">
        <v>-1066</v>
      </c>
      <c r="X1563">
        <v>29.94</v>
      </c>
      <c r="Y1563">
        <v>8048</v>
      </c>
      <c r="Z1563">
        <v>5953</v>
      </c>
      <c r="AA1563">
        <v>1.35</v>
      </c>
      <c r="AB1563">
        <v>42</v>
      </c>
      <c r="AC1563">
        <v>4</v>
      </c>
      <c r="AD1563">
        <v>13.65</v>
      </c>
      <c r="AE1563" t="s">
        <v>1463</v>
      </c>
      <c r="AF1563" t="s">
        <v>5121</v>
      </c>
      <c r="AG1563" t="s">
        <v>3229</v>
      </c>
      <c r="AH1563" t="s">
        <v>411</v>
      </c>
      <c r="AI1563">
        <v>0.37</v>
      </c>
      <c r="AJ1563">
        <v>0</v>
      </c>
      <c r="AK1563">
        <v>2.04</v>
      </c>
      <c r="AL1563">
        <v>5.15</v>
      </c>
    </row>
    <row r="1564" spans="1:38" x14ac:dyDescent="0.25">
      <c r="A1564">
        <v>1563</v>
      </c>
      <c r="B1564" t="str">
        <f xml:space="preserve"> "002590"</f>
        <v>002590</v>
      </c>
      <c r="C1564" t="s">
        <v>5825</v>
      </c>
      <c r="D1564">
        <v>17.03</v>
      </c>
      <c r="E1564">
        <v>-2.41</v>
      </c>
      <c r="F1564">
        <v>-0.42</v>
      </c>
      <c r="G1564" t="s">
        <v>669</v>
      </c>
      <c r="H1564">
        <v>4048</v>
      </c>
      <c r="I1564">
        <v>17.03</v>
      </c>
      <c r="J1564">
        <v>17.04</v>
      </c>
      <c r="K1564">
        <v>0</v>
      </c>
      <c r="L1564">
        <v>4.32</v>
      </c>
      <c r="M1564" t="s">
        <v>3150</v>
      </c>
      <c r="N1564">
        <v>57.42</v>
      </c>
      <c r="O1564" t="s">
        <v>253</v>
      </c>
      <c r="P1564">
        <v>17.59</v>
      </c>
      <c r="Q1564">
        <v>16.95</v>
      </c>
      <c r="R1564">
        <v>17.23</v>
      </c>
      <c r="S1564">
        <v>17.45</v>
      </c>
      <c r="T1564">
        <v>3.67</v>
      </c>
      <c r="U1564">
        <v>1.22</v>
      </c>
      <c r="V1564">
        <v>54.35</v>
      </c>
      <c r="W1564">
        <v>2222</v>
      </c>
      <c r="X1564">
        <v>17.18</v>
      </c>
      <c r="Y1564" t="s">
        <v>371</v>
      </c>
      <c r="Z1564" t="s">
        <v>104</v>
      </c>
      <c r="AA1564">
        <v>1.51</v>
      </c>
      <c r="AB1564">
        <v>707</v>
      </c>
      <c r="AC1564">
        <v>226</v>
      </c>
      <c r="AD1564">
        <v>4.5999999999999996</v>
      </c>
      <c r="AE1564" t="s">
        <v>4754</v>
      </c>
      <c r="AF1564" t="s">
        <v>5121</v>
      </c>
      <c r="AG1564" t="s">
        <v>5826</v>
      </c>
      <c r="AH1564" t="s">
        <v>644</v>
      </c>
      <c r="AI1564">
        <v>4.22</v>
      </c>
      <c r="AJ1564">
        <v>8.1300000000000008</v>
      </c>
      <c r="AK1564">
        <v>16.079999999999998</v>
      </c>
      <c r="AL1564">
        <v>22</v>
      </c>
    </row>
    <row r="1565" spans="1:38" x14ac:dyDescent="0.25">
      <c r="A1565">
        <v>1564</v>
      </c>
      <c r="B1565" t="str">
        <f xml:space="preserve"> "601890"</f>
        <v>601890</v>
      </c>
      <c r="C1565" t="s">
        <v>5827</v>
      </c>
      <c r="D1565">
        <v>8.51</v>
      </c>
      <c r="E1565">
        <v>-0.57999999999999996</v>
      </c>
      <c r="F1565">
        <v>-0.05</v>
      </c>
      <c r="G1565" t="s">
        <v>641</v>
      </c>
      <c r="H1565">
        <v>40</v>
      </c>
      <c r="I1565">
        <v>8.5</v>
      </c>
      <c r="J1565">
        <v>8.51</v>
      </c>
      <c r="K1565">
        <v>0.12</v>
      </c>
      <c r="L1565">
        <v>1.03</v>
      </c>
      <c r="M1565" t="s">
        <v>5828</v>
      </c>
      <c r="N1565">
        <v>154.13999999999999</v>
      </c>
      <c r="O1565" t="s">
        <v>635</v>
      </c>
      <c r="P1565">
        <v>8.5399999999999991</v>
      </c>
      <c r="Q1565">
        <v>8.4600000000000009</v>
      </c>
      <c r="R1565">
        <v>8.5399999999999991</v>
      </c>
      <c r="S1565">
        <v>8.56</v>
      </c>
      <c r="T1565">
        <v>0.93</v>
      </c>
      <c r="U1565">
        <v>0.93</v>
      </c>
      <c r="V1565">
        <v>34.58</v>
      </c>
      <c r="W1565">
        <v>3428</v>
      </c>
      <c r="X1565">
        <v>8.48</v>
      </c>
      <c r="Y1565" t="s">
        <v>1738</v>
      </c>
      <c r="Z1565" t="s">
        <v>3822</v>
      </c>
      <c r="AA1565">
        <v>1.92</v>
      </c>
      <c r="AB1565">
        <v>1056</v>
      </c>
      <c r="AC1565">
        <v>677</v>
      </c>
      <c r="AD1565">
        <v>2.78</v>
      </c>
      <c r="AE1565" t="s">
        <v>4738</v>
      </c>
      <c r="AF1565" t="s">
        <v>4216</v>
      </c>
      <c r="AG1565" t="s">
        <v>4738</v>
      </c>
      <c r="AH1565" t="s">
        <v>4216</v>
      </c>
      <c r="AI1565">
        <v>0.35</v>
      </c>
      <c r="AJ1565">
        <v>1.07</v>
      </c>
      <c r="AK1565">
        <v>4.0599999999999996</v>
      </c>
      <c r="AL1565">
        <v>6.55</v>
      </c>
    </row>
    <row r="1566" spans="1:38" x14ac:dyDescent="0.25">
      <c r="A1566">
        <v>1565</v>
      </c>
      <c r="B1566" t="str">
        <f xml:space="preserve"> "000818"</f>
        <v>000818</v>
      </c>
      <c r="C1566" t="s">
        <v>5829</v>
      </c>
      <c r="D1566">
        <v>11.8</v>
      </c>
      <c r="E1566">
        <v>-0.42</v>
      </c>
      <c r="F1566">
        <v>-0.05</v>
      </c>
      <c r="G1566" t="s">
        <v>4449</v>
      </c>
      <c r="H1566">
        <v>1471</v>
      </c>
      <c r="I1566">
        <v>11.8</v>
      </c>
      <c r="J1566">
        <v>11.81</v>
      </c>
      <c r="K1566">
        <v>-0.08</v>
      </c>
      <c r="L1566">
        <v>1.32</v>
      </c>
      <c r="M1566" t="s">
        <v>1314</v>
      </c>
      <c r="N1566">
        <v>51.23</v>
      </c>
      <c r="O1566" t="s">
        <v>667</v>
      </c>
      <c r="P1566">
        <v>12.04</v>
      </c>
      <c r="Q1566">
        <v>11.76</v>
      </c>
      <c r="R1566">
        <v>11.84</v>
      </c>
      <c r="S1566">
        <v>11.85</v>
      </c>
      <c r="T1566">
        <v>2.36</v>
      </c>
      <c r="U1566">
        <v>0.49</v>
      </c>
      <c r="V1566">
        <v>20.32</v>
      </c>
      <c r="W1566">
        <v>1000</v>
      </c>
      <c r="X1566">
        <v>11.86</v>
      </c>
      <c r="Y1566" t="s">
        <v>2987</v>
      </c>
      <c r="Z1566" t="s">
        <v>2781</v>
      </c>
      <c r="AA1566">
        <v>1.31</v>
      </c>
      <c r="AB1566">
        <v>1698</v>
      </c>
      <c r="AC1566">
        <v>543</v>
      </c>
      <c r="AD1566">
        <v>3.46</v>
      </c>
      <c r="AE1566" t="s">
        <v>4328</v>
      </c>
      <c r="AF1566" t="s">
        <v>4216</v>
      </c>
      <c r="AG1566" t="s">
        <v>1997</v>
      </c>
      <c r="AH1566" t="s">
        <v>5722</v>
      </c>
      <c r="AI1566">
        <v>-0.84</v>
      </c>
      <c r="AJ1566">
        <v>5.55</v>
      </c>
      <c r="AK1566">
        <v>5.51</v>
      </c>
      <c r="AL1566">
        <v>14.85</v>
      </c>
    </row>
    <row r="1567" spans="1:38" x14ac:dyDescent="0.25">
      <c r="A1567">
        <v>1566</v>
      </c>
      <c r="B1567" t="str">
        <f xml:space="preserve"> "000601"</f>
        <v>000601</v>
      </c>
      <c r="C1567" t="s">
        <v>5830</v>
      </c>
      <c r="D1567">
        <v>7.54</v>
      </c>
      <c r="E1567">
        <v>0.8</v>
      </c>
      <c r="F1567">
        <v>0.06</v>
      </c>
      <c r="G1567" t="s">
        <v>4189</v>
      </c>
      <c r="H1567">
        <v>677</v>
      </c>
      <c r="I1567">
        <v>7.53</v>
      </c>
      <c r="J1567">
        <v>7.54</v>
      </c>
      <c r="K1567">
        <v>0</v>
      </c>
      <c r="L1567">
        <v>0.38</v>
      </c>
      <c r="M1567" t="s">
        <v>5831</v>
      </c>
      <c r="N1567">
        <v>12.65</v>
      </c>
      <c r="O1567" t="s">
        <v>186</v>
      </c>
      <c r="P1567">
        <v>7.56</v>
      </c>
      <c r="Q1567">
        <v>7.44</v>
      </c>
      <c r="R1567">
        <v>7.45</v>
      </c>
      <c r="S1567">
        <v>7.48</v>
      </c>
      <c r="T1567">
        <v>1.6</v>
      </c>
      <c r="U1567">
        <v>0.99</v>
      </c>
      <c r="V1567">
        <v>-28.06</v>
      </c>
      <c r="W1567">
        <v>-1579</v>
      </c>
      <c r="X1567">
        <v>7.5</v>
      </c>
      <c r="Y1567" t="s">
        <v>2773</v>
      </c>
      <c r="Z1567" t="s">
        <v>3695</v>
      </c>
      <c r="AA1567">
        <v>0.66</v>
      </c>
      <c r="AB1567">
        <v>594</v>
      </c>
      <c r="AC1567">
        <v>309</v>
      </c>
      <c r="AD1567">
        <v>1.98</v>
      </c>
      <c r="AE1567" t="s">
        <v>352</v>
      </c>
      <c r="AF1567" t="s">
        <v>1039</v>
      </c>
      <c r="AG1567" t="s">
        <v>352</v>
      </c>
      <c r="AH1567" t="s">
        <v>5374</v>
      </c>
      <c r="AI1567">
        <v>0.13</v>
      </c>
      <c r="AJ1567">
        <v>1.21</v>
      </c>
      <c r="AK1567">
        <v>1.21</v>
      </c>
      <c r="AL1567">
        <v>2.2799999999999998</v>
      </c>
    </row>
    <row r="1568" spans="1:38" x14ac:dyDescent="0.25">
      <c r="A1568">
        <v>1567</v>
      </c>
      <c r="B1568" t="str">
        <f xml:space="preserve"> "600059"</f>
        <v>600059</v>
      </c>
      <c r="C1568" t="s">
        <v>5832</v>
      </c>
      <c r="D1568">
        <v>10.07</v>
      </c>
      <c r="E1568">
        <v>0.5</v>
      </c>
      <c r="F1568">
        <v>0.05</v>
      </c>
      <c r="G1568" t="s">
        <v>649</v>
      </c>
      <c r="H1568">
        <v>6</v>
      </c>
      <c r="I1568">
        <v>10.07</v>
      </c>
      <c r="J1568">
        <v>10.08</v>
      </c>
      <c r="K1568">
        <v>-0.1</v>
      </c>
      <c r="L1568">
        <v>0.87</v>
      </c>
      <c r="M1568" t="s">
        <v>5833</v>
      </c>
      <c r="N1568">
        <v>43.21</v>
      </c>
      <c r="O1568" t="s">
        <v>123</v>
      </c>
      <c r="P1568">
        <v>10.18</v>
      </c>
      <c r="Q1568">
        <v>9.9700000000000006</v>
      </c>
      <c r="R1568">
        <v>10.02</v>
      </c>
      <c r="S1568">
        <v>10.02</v>
      </c>
      <c r="T1568">
        <v>2.1</v>
      </c>
      <c r="U1568">
        <v>0.7</v>
      </c>
      <c r="V1568">
        <v>-41.05</v>
      </c>
      <c r="W1568">
        <v>-1571</v>
      </c>
      <c r="X1568">
        <v>10.09</v>
      </c>
      <c r="Y1568" t="s">
        <v>2515</v>
      </c>
      <c r="Z1568" t="s">
        <v>1307</v>
      </c>
      <c r="AA1568">
        <v>0.8</v>
      </c>
      <c r="AB1568">
        <v>60</v>
      </c>
      <c r="AC1568">
        <v>831</v>
      </c>
      <c r="AD1568">
        <v>2.08</v>
      </c>
      <c r="AE1568" t="s">
        <v>1246</v>
      </c>
      <c r="AF1568" t="s">
        <v>5374</v>
      </c>
      <c r="AG1568" t="s">
        <v>1246</v>
      </c>
      <c r="AH1568" t="s">
        <v>5374</v>
      </c>
      <c r="AI1568">
        <v>2.0299999999999998</v>
      </c>
      <c r="AJ1568">
        <v>4.1399999999999997</v>
      </c>
      <c r="AK1568">
        <v>4.74</v>
      </c>
      <c r="AL1568">
        <v>7.03</v>
      </c>
    </row>
    <row r="1569" spans="1:38" x14ac:dyDescent="0.25">
      <c r="A1569">
        <v>1568</v>
      </c>
      <c r="B1569" t="str">
        <f xml:space="preserve"> "002630"</f>
        <v>002630</v>
      </c>
      <c r="C1569" t="s">
        <v>5834</v>
      </c>
      <c r="D1569">
        <v>11.03</v>
      </c>
      <c r="E1569">
        <v>0.18</v>
      </c>
      <c r="F1569">
        <v>0.02</v>
      </c>
      <c r="G1569" t="s">
        <v>3273</v>
      </c>
      <c r="H1569">
        <v>226</v>
      </c>
      <c r="I1569">
        <v>11.02</v>
      </c>
      <c r="J1569">
        <v>11.03</v>
      </c>
      <c r="K1569">
        <v>0</v>
      </c>
      <c r="L1569">
        <v>0.6</v>
      </c>
      <c r="M1569" t="s">
        <v>5835</v>
      </c>
      <c r="N1569">
        <v>48.6</v>
      </c>
      <c r="O1569" t="s">
        <v>648</v>
      </c>
      <c r="P1569">
        <v>11.09</v>
      </c>
      <c r="Q1569">
        <v>10.86</v>
      </c>
      <c r="R1569">
        <v>10.99</v>
      </c>
      <c r="S1569">
        <v>11.01</v>
      </c>
      <c r="T1569">
        <v>2.09</v>
      </c>
      <c r="U1569">
        <v>0.7</v>
      </c>
      <c r="V1569">
        <v>21.12</v>
      </c>
      <c r="W1569">
        <v>924</v>
      </c>
      <c r="X1569">
        <v>10.95</v>
      </c>
      <c r="Y1569" t="s">
        <v>1076</v>
      </c>
      <c r="Z1569" t="s">
        <v>4303</v>
      </c>
      <c r="AA1569">
        <v>1.1499999999999999</v>
      </c>
      <c r="AB1569">
        <v>1075</v>
      </c>
      <c r="AC1569">
        <v>84</v>
      </c>
      <c r="AD1569">
        <v>2.59</v>
      </c>
      <c r="AE1569" t="s">
        <v>4206</v>
      </c>
      <c r="AF1569" t="s">
        <v>5374</v>
      </c>
      <c r="AG1569" t="s">
        <v>1951</v>
      </c>
      <c r="AH1569" t="s">
        <v>5143</v>
      </c>
      <c r="AI1569">
        <v>2.04</v>
      </c>
      <c r="AJ1569">
        <v>2.04</v>
      </c>
      <c r="AK1569">
        <v>3.61</v>
      </c>
      <c r="AL1569">
        <v>4.87</v>
      </c>
    </row>
    <row r="1570" spans="1:38" x14ac:dyDescent="0.25">
      <c r="A1570">
        <v>1569</v>
      </c>
      <c r="B1570" t="str">
        <f xml:space="preserve"> "300386"</f>
        <v>300386</v>
      </c>
      <c r="C1570" t="s">
        <v>5836</v>
      </c>
      <c r="D1570">
        <v>19.46</v>
      </c>
      <c r="E1570">
        <v>-0.05</v>
      </c>
      <c r="F1570">
        <v>-0.01</v>
      </c>
      <c r="G1570" t="s">
        <v>5837</v>
      </c>
      <c r="H1570">
        <v>733</v>
      </c>
      <c r="I1570">
        <v>19.45</v>
      </c>
      <c r="J1570">
        <v>19.46</v>
      </c>
      <c r="K1570">
        <v>0</v>
      </c>
      <c r="L1570">
        <v>3.74</v>
      </c>
      <c r="M1570" t="s">
        <v>3154</v>
      </c>
      <c r="N1570">
        <v>158.38</v>
      </c>
      <c r="O1570" t="s">
        <v>893</v>
      </c>
      <c r="P1570">
        <v>19.989999999999998</v>
      </c>
      <c r="Q1570">
        <v>19.3</v>
      </c>
      <c r="R1570">
        <v>19.8</v>
      </c>
      <c r="S1570">
        <v>19.47</v>
      </c>
      <c r="T1570">
        <v>3.54</v>
      </c>
      <c r="U1570">
        <v>1.05</v>
      </c>
      <c r="V1570">
        <v>-37.25</v>
      </c>
      <c r="W1570">
        <v>-596</v>
      </c>
      <c r="X1570">
        <v>19.62</v>
      </c>
      <c r="Y1570" t="s">
        <v>1539</v>
      </c>
      <c r="Z1570" t="s">
        <v>3077</v>
      </c>
      <c r="AA1570">
        <v>1.0900000000000001</v>
      </c>
      <c r="AB1570">
        <v>102</v>
      </c>
      <c r="AC1570">
        <v>636</v>
      </c>
      <c r="AD1570">
        <v>5.23</v>
      </c>
      <c r="AE1570" t="s">
        <v>3320</v>
      </c>
      <c r="AF1570" t="s">
        <v>5374</v>
      </c>
      <c r="AG1570" t="s">
        <v>1965</v>
      </c>
      <c r="AH1570" t="s">
        <v>5838</v>
      </c>
      <c r="AI1570">
        <v>-0.92</v>
      </c>
      <c r="AJ1570">
        <v>4.79</v>
      </c>
      <c r="AK1570">
        <v>11.42</v>
      </c>
      <c r="AL1570">
        <v>21.52</v>
      </c>
    </row>
    <row r="1571" spans="1:38" x14ac:dyDescent="0.25">
      <c r="A1571">
        <v>1570</v>
      </c>
      <c r="B1571" t="str">
        <f xml:space="preserve"> "300299"</f>
        <v>300299</v>
      </c>
      <c r="C1571" t="s">
        <v>5839</v>
      </c>
      <c r="D1571">
        <v>14.27</v>
      </c>
      <c r="E1571">
        <v>0.85</v>
      </c>
      <c r="F1571">
        <v>0.12</v>
      </c>
      <c r="G1571" t="s">
        <v>1895</v>
      </c>
      <c r="H1571">
        <v>4019</v>
      </c>
      <c r="I1571">
        <v>14.27</v>
      </c>
      <c r="J1571">
        <v>14.28</v>
      </c>
      <c r="K1571">
        <v>7.0000000000000007E-2</v>
      </c>
      <c r="L1571">
        <v>5.24</v>
      </c>
      <c r="M1571" t="s">
        <v>5840</v>
      </c>
      <c r="N1571">
        <v>49.98</v>
      </c>
      <c r="O1571" t="s">
        <v>580</v>
      </c>
      <c r="P1571">
        <v>14.28</v>
      </c>
      <c r="Q1571">
        <v>13.83</v>
      </c>
      <c r="R1571">
        <v>14.03</v>
      </c>
      <c r="S1571">
        <v>14.15</v>
      </c>
      <c r="T1571">
        <v>3.18</v>
      </c>
      <c r="U1571">
        <v>0.56999999999999995</v>
      </c>
      <c r="V1571">
        <v>-45.15</v>
      </c>
      <c r="W1571">
        <v>-2280</v>
      </c>
      <c r="X1571">
        <v>14.1</v>
      </c>
      <c r="Y1571" t="s">
        <v>1876</v>
      </c>
      <c r="Z1571" t="s">
        <v>949</v>
      </c>
      <c r="AA1571">
        <v>0.94</v>
      </c>
      <c r="AB1571">
        <v>223</v>
      </c>
      <c r="AC1571">
        <v>1044</v>
      </c>
      <c r="AD1571">
        <v>5.55</v>
      </c>
      <c r="AE1571" t="s">
        <v>1988</v>
      </c>
      <c r="AF1571" t="s">
        <v>4734</v>
      </c>
      <c r="AG1571" t="s">
        <v>1857</v>
      </c>
      <c r="AH1571" t="s">
        <v>2004</v>
      </c>
      <c r="AI1571">
        <v>-0.7</v>
      </c>
      <c r="AJ1571">
        <v>-2.2599999999999998</v>
      </c>
      <c r="AK1571">
        <v>20.05</v>
      </c>
      <c r="AL1571">
        <v>51.53</v>
      </c>
    </row>
    <row r="1572" spans="1:38" x14ac:dyDescent="0.25">
      <c r="A1572">
        <v>1571</v>
      </c>
      <c r="B1572" t="str">
        <f xml:space="preserve"> "000506"</f>
        <v>000506</v>
      </c>
      <c r="C1572" t="s">
        <v>5841</v>
      </c>
      <c r="D1572" t="s">
        <v>616</v>
      </c>
      <c r="E1572" t="s">
        <v>616</v>
      </c>
      <c r="F1572" t="s">
        <v>616</v>
      </c>
      <c r="G1572" t="s">
        <v>616</v>
      </c>
      <c r="H1572" t="s">
        <v>616</v>
      </c>
      <c r="I1572" t="s">
        <v>616</v>
      </c>
      <c r="J1572" t="s">
        <v>616</v>
      </c>
      <c r="K1572" t="s">
        <v>616</v>
      </c>
      <c r="L1572" t="s">
        <v>616</v>
      </c>
      <c r="M1572" t="s">
        <v>616</v>
      </c>
      <c r="N1572">
        <v>-30.21</v>
      </c>
      <c r="O1572" t="s">
        <v>788</v>
      </c>
      <c r="P1572" t="s">
        <v>616</v>
      </c>
      <c r="Q1572" t="s">
        <v>616</v>
      </c>
      <c r="R1572" t="s">
        <v>616</v>
      </c>
      <c r="S1572">
        <v>8.75</v>
      </c>
      <c r="T1572" t="s">
        <v>616</v>
      </c>
      <c r="U1572" t="s">
        <v>616</v>
      </c>
      <c r="V1572" t="s">
        <v>616</v>
      </c>
      <c r="W1572" t="s">
        <v>616</v>
      </c>
      <c r="X1572" t="s">
        <v>616</v>
      </c>
      <c r="Y1572" t="s">
        <v>616</v>
      </c>
      <c r="Z1572" t="s">
        <v>616</v>
      </c>
      <c r="AA1572" t="s">
        <v>616</v>
      </c>
      <c r="AB1572" t="s">
        <v>616</v>
      </c>
      <c r="AC1572" t="s">
        <v>616</v>
      </c>
      <c r="AD1572">
        <v>6.08</v>
      </c>
      <c r="AE1572" t="s">
        <v>4771</v>
      </c>
      <c r="AF1572" t="s">
        <v>4734</v>
      </c>
      <c r="AG1572" t="s">
        <v>4771</v>
      </c>
      <c r="AH1572" t="s">
        <v>4734</v>
      </c>
      <c r="AI1572">
        <v>0</v>
      </c>
      <c r="AJ1572">
        <v>0</v>
      </c>
      <c r="AK1572">
        <v>0</v>
      </c>
      <c r="AL1572">
        <v>0</v>
      </c>
    </row>
    <row r="1573" spans="1:38" x14ac:dyDescent="0.25">
      <c r="A1573">
        <v>1572</v>
      </c>
      <c r="B1573" t="str">
        <f xml:space="preserve"> "603919"</f>
        <v>603919</v>
      </c>
      <c r="C1573" t="s">
        <v>5842</v>
      </c>
      <c r="D1573">
        <v>22.31</v>
      </c>
      <c r="E1573">
        <v>0.04</v>
      </c>
      <c r="F1573">
        <v>0.01</v>
      </c>
      <c r="G1573" t="s">
        <v>4368</v>
      </c>
      <c r="H1573">
        <v>10</v>
      </c>
      <c r="I1573">
        <v>22.29</v>
      </c>
      <c r="J1573">
        <v>22.3</v>
      </c>
      <c r="K1573">
        <v>0</v>
      </c>
      <c r="L1573">
        <v>4.24</v>
      </c>
      <c r="M1573" t="s">
        <v>679</v>
      </c>
      <c r="N1573">
        <v>28.63</v>
      </c>
      <c r="O1573" t="s">
        <v>123</v>
      </c>
      <c r="P1573">
        <v>22.49</v>
      </c>
      <c r="Q1573">
        <v>22.18</v>
      </c>
      <c r="R1573">
        <v>22.2</v>
      </c>
      <c r="S1573">
        <v>22.3</v>
      </c>
      <c r="T1573">
        <v>1.39</v>
      </c>
      <c r="U1573">
        <v>0.6</v>
      </c>
      <c r="V1573">
        <v>-74.92</v>
      </c>
      <c r="W1573">
        <v>-1592</v>
      </c>
      <c r="X1573">
        <v>22.31</v>
      </c>
      <c r="Y1573" t="s">
        <v>2777</v>
      </c>
      <c r="Z1573" t="s">
        <v>3825</v>
      </c>
      <c r="AA1573">
        <v>1.19</v>
      </c>
      <c r="AB1573">
        <v>47</v>
      </c>
      <c r="AC1573">
        <v>221</v>
      </c>
      <c r="AD1573">
        <v>4.7300000000000004</v>
      </c>
      <c r="AE1573" t="s">
        <v>2063</v>
      </c>
      <c r="AF1573" t="s">
        <v>5722</v>
      </c>
      <c r="AG1573" t="s">
        <v>2748</v>
      </c>
      <c r="AH1573" t="s">
        <v>705</v>
      </c>
      <c r="AI1573">
        <v>4.25</v>
      </c>
      <c r="AJ1573">
        <v>5.24</v>
      </c>
      <c r="AK1573">
        <v>31.03</v>
      </c>
      <c r="AL1573">
        <v>39.53</v>
      </c>
    </row>
    <row r="1574" spans="1:38" x14ac:dyDescent="0.25">
      <c r="A1574">
        <v>1573</v>
      </c>
      <c r="B1574" t="str">
        <f xml:space="preserve"> "603777"</f>
        <v>603777</v>
      </c>
      <c r="C1574" t="s">
        <v>5843</v>
      </c>
      <c r="D1574">
        <v>33.32</v>
      </c>
      <c r="E1574">
        <v>2.02</v>
      </c>
      <c r="F1574">
        <v>0.66</v>
      </c>
      <c r="G1574" t="s">
        <v>3832</v>
      </c>
      <c r="H1574">
        <v>21</v>
      </c>
      <c r="I1574">
        <v>33.32</v>
      </c>
      <c r="J1574">
        <v>33.33</v>
      </c>
      <c r="K1574">
        <v>0.03</v>
      </c>
      <c r="L1574">
        <v>10.73</v>
      </c>
      <c r="M1574" t="s">
        <v>4728</v>
      </c>
      <c r="N1574">
        <v>46.88</v>
      </c>
      <c r="O1574" t="s">
        <v>532</v>
      </c>
      <c r="P1574">
        <v>33.5</v>
      </c>
      <c r="Q1574">
        <v>32.159999999999997</v>
      </c>
      <c r="R1574">
        <v>32.25</v>
      </c>
      <c r="S1574">
        <v>32.659999999999997</v>
      </c>
      <c r="T1574">
        <v>4.0999999999999996</v>
      </c>
      <c r="U1574">
        <v>2.38</v>
      </c>
      <c r="V1574">
        <v>3.75</v>
      </c>
      <c r="W1574">
        <v>39</v>
      </c>
      <c r="X1574">
        <v>33.020000000000003</v>
      </c>
      <c r="Y1574" t="s">
        <v>3190</v>
      </c>
      <c r="Z1574" t="s">
        <v>4003</v>
      </c>
      <c r="AA1574">
        <v>0.87</v>
      </c>
      <c r="AB1574">
        <v>52</v>
      </c>
      <c r="AC1574">
        <v>171</v>
      </c>
      <c r="AD1574">
        <v>4.18</v>
      </c>
      <c r="AE1574" t="s">
        <v>1928</v>
      </c>
      <c r="AF1574" t="s">
        <v>5722</v>
      </c>
      <c r="AG1574" t="s">
        <v>5162</v>
      </c>
      <c r="AH1574" t="s">
        <v>1063</v>
      </c>
      <c r="AI1574">
        <v>4.88</v>
      </c>
      <c r="AJ1574">
        <v>7.8</v>
      </c>
      <c r="AK1574">
        <v>25</v>
      </c>
      <c r="AL1574">
        <v>33.29</v>
      </c>
    </row>
    <row r="1575" spans="1:38" x14ac:dyDescent="0.25">
      <c r="A1575">
        <v>1574</v>
      </c>
      <c r="B1575" t="str">
        <f xml:space="preserve"> "603997"</f>
        <v>603997</v>
      </c>
      <c r="C1575" t="s">
        <v>5844</v>
      </c>
      <c r="D1575">
        <v>12.89</v>
      </c>
      <c r="E1575">
        <v>-1.1499999999999999</v>
      </c>
      <c r="F1575">
        <v>-0.15</v>
      </c>
      <c r="G1575" t="s">
        <v>699</v>
      </c>
      <c r="H1575">
        <v>7</v>
      </c>
      <c r="I1575">
        <v>12.88</v>
      </c>
      <c r="J1575">
        <v>12.89</v>
      </c>
      <c r="K1575">
        <v>0.23</v>
      </c>
      <c r="L1575">
        <v>2.57</v>
      </c>
      <c r="M1575" t="s">
        <v>5845</v>
      </c>
      <c r="N1575">
        <v>29.09</v>
      </c>
      <c r="O1575" t="s">
        <v>169</v>
      </c>
      <c r="P1575">
        <v>13.02</v>
      </c>
      <c r="Q1575">
        <v>12.75</v>
      </c>
      <c r="R1575">
        <v>13.01</v>
      </c>
      <c r="S1575">
        <v>13.04</v>
      </c>
      <c r="T1575">
        <v>2.0699999999999998</v>
      </c>
      <c r="U1575">
        <v>0.71</v>
      </c>
      <c r="V1575">
        <v>-83.06</v>
      </c>
      <c r="W1575">
        <v>-1294</v>
      </c>
      <c r="X1575">
        <v>12.86</v>
      </c>
      <c r="Y1575" t="s">
        <v>1199</v>
      </c>
      <c r="Z1575" t="s">
        <v>999</v>
      </c>
      <c r="AA1575">
        <v>2.06</v>
      </c>
      <c r="AB1575">
        <v>15</v>
      </c>
      <c r="AC1575">
        <v>13</v>
      </c>
      <c r="AD1575">
        <v>5.17</v>
      </c>
      <c r="AE1575" t="s">
        <v>4640</v>
      </c>
      <c r="AF1575" t="s">
        <v>5722</v>
      </c>
      <c r="AG1575" t="s">
        <v>1228</v>
      </c>
      <c r="AH1575" t="s">
        <v>662</v>
      </c>
      <c r="AI1575">
        <v>-4.45</v>
      </c>
      <c r="AJ1575">
        <v>4.2</v>
      </c>
      <c r="AK1575">
        <v>8.59</v>
      </c>
      <c r="AL1575">
        <v>20.71</v>
      </c>
    </row>
    <row r="1576" spans="1:38" x14ac:dyDescent="0.25">
      <c r="A1576">
        <v>1575</v>
      </c>
      <c r="B1576" t="str">
        <f xml:space="preserve"> "300413"</f>
        <v>300413</v>
      </c>
      <c r="C1576" t="s">
        <v>5846</v>
      </c>
      <c r="D1576" t="s">
        <v>616</v>
      </c>
      <c r="E1576" t="s">
        <v>616</v>
      </c>
      <c r="F1576" t="s">
        <v>616</v>
      </c>
      <c r="G1576" t="s">
        <v>616</v>
      </c>
      <c r="H1576" t="s">
        <v>616</v>
      </c>
      <c r="I1576" t="s">
        <v>616</v>
      </c>
      <c r="J1576" t="s">
        <v>616</v>
      </c>
      <c r="K1576" t="s">
        <v>616</v>
      </c>
      <c r="L1576" t="s">
        <v>616</v>
      </c>
      <c r="M1576" t="s">
        <v>616</v>
      </c>
      <c r="N1576">
        <v>204.54</v>
      </c>
      <c r="O1576" t="s">
        <v>532</v>
      </c>
      <c r="P1576" t="s">
        <v>616</v>
      </c>
      <c r="Q1576" t="s">
        <v>616</v>
      </c>
      <c r="R1576" t="s">
        <v>616</v>
      </c>
      <c r="S1576">
        <v>20.25</v>
      </c>
      <c r="T1576" t="s">
        <v>616</v>
      </c>
      <c r="U1576" t="s">
        <v>616</v>
      </c>
      <c r="V1576" t="s">
        <v>616</v>
      </c>
      <c r="W1576" t="s">
        <v>616</v>
      </c>
      <c r="X1576" t="s">
        <v>616</v>
      </c>
      <c r="Y1576" t="s">
        <v>616</v>
      </c>
      <c r="Z1576" t="s">
        <v>616</v>
      </c>
      <c r="AA1576" t="s">
        <v>616</v>
      </c>
      <c r="AB1576" t="s">
        <v>616</v>
      </c>
      <c r="AC1576" t="s">
        <v>616</v>
      </c>
      <c r="AD1576">
        <v>5.01</v>
      </c>
      <c r="AE1576" t="s">
        <v>1922</v>
      </c>
      <c r="AF1576" t="s">
        <v>5722</v>
      </c>
      <c r="AG1576" t="s">
        <v>3339</v>
      </c>
      <c r="AH1576" t="s">
        <v>2833</v>
      </c>
      <c r="AI1576">
        <v>0</v>
      </c>
      <c r="AJ1576">
        <v>0</v>
      </c>
      <c r="AK1576">
        <v>0</v>
      </c>
      <c r="AL1576">
        <v>0</v>
      </c>
    </row>
    <row r="1577" spans="1:38" x14ac:dyDescent="0.25">
      <c r="A1577">
        <v>1576</v>
      </c>
      <c r="B1577" t="str">
        <f xml:space="preserve"> "000733"</f>
        <v>000733</v>
      </c>
      <c r="C1577" t="s">
        <v>5847</v>
      </c>
      <c r="D1577">
        <v>17.29</v>
      </c>
      <c r="E1577">
        <v>1.41</v>
      </c>
      <c r="F1577">
        <v>0.24</v>
      </c>
      <c r="G1577" t="s">
        <v>132</v>
      </c>
      <c r="H1577">
        <v>3534</v>
      </c>
      <c r="I1577">
        <v>17.28</v>
      </c>
      <c r="J1577">
        <v>17.29</v>
      </c>
      <c r="K1577">
        <v>0</v>
      </c>
      <c r="L1577">
        <v>2.52</v>
      </c>
      <c r="M1577" t="s">
        <v>1404</v>
      </c>
      <c r="N1577">
        <v>28.32</v>
      </c>
      <c r="O1577" t="s">
        <v>380</v>
      </c>
      <c r="P1577">
        <v>17.309999999999999</v>
      </c>
      <c r="Q1577">
        <v>16.829999999999998</v>
      </c>
      <c r="R1577">
        <v>17.059999999999999</v>
      </c>
      <c r="S1577">
        <v>17.05</v>
      </c>
      <c r="T1577">
        <v>2.82</v>
      </c>
      <c r="U1577">
        <v>1.82</v>
      </c>
      <c r="V1577">
        <v>-80.95</v>
      </c>
      <c r="W1577">
        <v>-5182</v>
      </c>
      <c r="X1577">
        <v>17.09</v>
      </c>
      <c r="Y1577" t="s">
        <v>1698</v>
      </c>
      <c r="Z1577" t="s">
        <v>1283</v>
      </c>
      <c r="AA1577">
        <v>0.98</v>
      </c>
      <c r="AB1577">
        <v>97</v>
      </c>
      <c r="AC1577">
        <v>638</v>
      </c>
      <c r="AD1577">
        <v>1.97</v>
      </c>
      <c r="AE1577" t="s">
        <v>3421</v>
      </c>
      <c r="AF1577" t="s">
        <v>3711</v>
      </c>
      <c r="AG1577" t="s">
        <v>3421</v>
      </c>
      <c r="AH1577" t="s">
        <v>3711</v>
      </c>
      <c r="AI1577">
        <v>0.99</v>
      </c>
      <c r="AJ1577">
        <v>5.1100000000000003</v>
      </c>
      <c r="AK1577">
        <v>5.28</v>
      </c>
      <c r="AL1577">
        <v>9.4600000000000009</v>
      </c>
    </row>
    <row r="1578" spans="1:38" x14ac:dyDescent="0.25">
      <c r="A1578">
        <v>1577</v>
      </c>
      <c r="B1578" t="str">
        <f xml:space="preserve"> "002141"</f>
        <v>002141</v>
      </c>
      <c r="C1578" t="s">
        <v>5848</v>
      </c>
      <c r="D1578" t="s">
        <v>616</v>
      </c>
      <c r="E1578" t="s">
        <v>616</v>
      </c>
      <c r="F1578" t="s">
        <v>616</v>
      </c>
      <c r="G1578" t="s">
        <v>616</v>
      </c>
      <c r="H1578" t="s">
        <v>616</v>
      </c>
      <c r="I1578" t="s">
        <v>616</v>
      </c>
      <c r="J1578" t="s">
        <v>616</v>
      </c>
      <c r="K1578" t="s">
        <v>616</v>
      </c>
      <c r="L1578" t="s">
        <v>616</v>
      </c>
      <c r="M1578" t="s">
        <v>616</v>
      </c>
      <c r="N1578">
        <v>756.15</v>
      </c>
      <c r="O1578" t="s">
        <v>1229</v>
      </c>
      <c r="P1578" t="s">
        <v>616</v>
      </c>
      <c r="Q1578" t="s">
        <v>616</v>
      </c>
      <c r="R1578" t="s">
        <v>616</v>
      </c>
      <c r="S1578">
        <v>7.15</v>
      </c>
      <c r="T1578" t="s">
        <v>616</v>
      </c>
      <c r="U1578" t="s">
        <v>616</v>
      </c>
      <c r="V1578" t="s">
        <v>616</v>
      </c>
      <c r="W1578" t="s">
        <v>616</v>
      </c>
      <c r="X1578" t="s">
        <v>616</v>
      </c>
      <c r="Y1578" t="s">
        <v>616</v>
      </c>
      <c r="Z1578" t="s">
        <v>616</v>
      </c>
      <c r="AA1578" t="s">
        <v>616</v>
      </c>
      <c r="AB1578" t="s">
        <v>616</v>
      </c>
      <c r="AC1578" t="s">
        <v>616</v>
      </c>
      <c r="AD1578">
        <v>6.23</v>
      </c>
      <c r="AE1578" t="s">
        <v>2756</v>
      </c>
      <c r="AF1578" t="s">
        <v>3711</v>
      </c>
      <c r="AG1578" t="s">
        <v>3382</v>
      </c>
      <c r="AH1578" t="s">
        <v>2460</v>
      </c>
      <c r="AI1578">
        <v>0</v>
      </c>
      <c r="AJ1578">
        <v>0</v>
      </c>
      <c r="AK1578">
        <v>0</v>
      </c>
      <c r="AL1578">
        <v>0</v>
      </c>
    </row>
    <row r="1579" spans="1:38" x14ac:dyDescent="0.25">
      <c r="A1579">
        <v>1578</v>
      </c>
      <c r="B1579" t="str">
        <f xml:space="preserve"> "000892"</f>
        <v>000892</v>
      </c>
      <c r="C1579" t="s">
        <v>5849</v>
      </c>
      <c r="D1579">
        <v>8.26</v>
      </c>
      <c r="E1579">
        <v>-0.6</v>
      </c>
      <c r="F1579">
        <v>-0.05</v>
      </c>
      <c r="G1579" t="s">
        <v>2273</v>
      </c>
      <c r="H1579">
        <v>610</v>
      </c>
      <c r="I1579">
        <v>8.26</v>
      </c>
      <c r="J1579">
        <v>8.27</v>
      </c>
      <c r="K1579">
        <v>-0.24</v>
      </c>
      <c r="L1579">
        <v>0.89</v>
      </c>
      <c r="M1579" t="s">
        <v>5850</v>
      </c>
      <c r="N1579">
        <v>-102.22</v>
      </c>
      <c r="O1579" t="s">
        <v>1126</v>
      </c>
      <c r="P1579">
        <v>8.35</v>
      </c>
      <c r="Q1579">
        <v>8.24</v>
      </c>
      <c r="R1579">
        <v>8.31</v>
      </c>
      <c r="S1579">
        <v>8.31</v>
      </c>
      <c r="T1579">
        <v>1.32</v>
      </c>
      <c r="U1579">
        <v>0.83</v>
      </c>
      <c r="V1579">
        <v>-16.329999999999998</v>
      </c>
      <c r="W1579">
        <v>-432</v>
      </c>
      <c r="X1579">
        <v>8.2899999999999991</v>
      </c>
      <c r="Y1579" t="s">
        <v>1986</v>
      </c>
      <c r="Z1579" t="s">
        <v>3095</v>
      </c>
      <c r="AA1579">
        <v>1.74</v>
      </c>
      <c r="AB1579">
        <v>229</v>
      </c>
      <c r="AC1579">
        <v>131</v>
      </c>
      <c r="AD1579">
        <v>3.05</v>
      </c>
      <c r="AE1579" t="s">
        <v>4026</v>
      </c>
      <c r="AF1579" t="s">
        <v>5851</v>
      </c>
      <c r="AG1579" t="s">
        <v>5852</v>
      </c>
      <c r="AH1579" t="s">
        <v>2588</v>
      </c>
      <c r="AI1579">
        <v>-0.72</v>
      </c>
      <c r="AJ1579">
        <v>1.85</v>
      </c>
      <c r="AK1579">
        <v>3.34</v>
      </c>
      <c r="AL1579">
        <v>6.25</v>
      </c>
    </row>
    <row r="1580" spans="1:38" x14ac:dyDescent="0.25">
      <c r="A1580">
        <v>1579</v>
      </c>
      <c r="B1580" t="str">
        <f xml:space="preserve"> "300255"</f>
        <v>300255</v>
      </c>
      <c r="C1580" t="s">
        <v>5853</v>
      </c>
      <c r="D1580">
        <v>8.66</v>
      </c>
      <c r="E1580">
        <v>-0.92</v>
      </c>
      <c r="F1580">
        <v>-0.08</v>
      </c>
      <c r="G1580" t="s">
        <v>1028</v>
      </c>
      <c r="H1580">
        <v>1355</v>
      </c>
      <c r="I1580">
        <v>8.65</v>
      </c>
      <c r="J1580">
        <v>8.66</v>
      </c>
      <c r="K1580">
        <v>-0.12</v>
      </c>
      <c r="L1580">
        <v>2.72</v>
      </c>
      <c r="M1580" t="s">
        <v>223</v>
      </c>
      <c r="N1580">
        <v>48.44</v>
      </c>
      <c r="O1580" t="s">
        <v>392</v>
      </c>
      <c r="P1580">
        <v>8.69</v>
      </c>
      <c r="Q1580">
        <v>8.4600000000000009</v>
      </c>
      <c r="R1580">
        <v>8.59</v>
      </c>
      <c r="S1580">
        <v>8.74</v>
      </c>
      <c r="T1580">
        <v>2.63</v>
      </c>
      <c r="U1580">
        <v>1.04</v>
      </c>
      <c r="V1580">
        <v>3.74</v>
      </c>
      <c r="W1580">
        <v>149</v>
      </c>
      <c r="X1580">
        <v>8.58</v>
      </c>
      <c r="Y1580" t="s">
        <v>1814</v>
      </c>
      <c r="Z1580" t="s">
        <v>3343</v>
      </c>
      <c r="AA1580">
        <v>1.54</v>
      </c>
      <c r="AB1580">
        <v>280</v>
      </c>
      <c r="AC1580">
        <v>121</v>
      </c>
      <c r="AD1580">
        <v>3.52</v>
      </c>
      <c r="AE1580" t="s">
        <v>3132</v>
      </c>
      <c r="AF1580" t="s">
        <v>5851</v>
      </c>
      <c r="AG1580" t="s">
        <v>5062</v>
      </c>
      <c r="AH1580" t="s">
        <v>5854</v>
      </c>
      <c r="AI1580">
        <v>-4.42</v>
      </c>
      <c r="AJ1580">
        <v>0.35</v>
      </c>
      <c r="AK1580">
        <v>7.82</v>
      </c>
      <c r="AL1580">
        <v>15.81</v>
      </c>
    </row>
    <row r="1581" spans="1:38" x14ac:dyDescent="0.25">
      <c r="A1581">
        <v>1580</v>
      </c>
      <c r="B1581" t="str">
        <f xml:space="preserve"> "300292"</f>
        <v>300292</v>
      </c>
      <c r="C1581" t="s">
        <v>5855</v>
      </c>
      <c r="D1581">
        <v>6.34</v>
      </c>
      <c r="E1581">
        <v>-1.55</v>
      </c>
      <c r="F1581">
        <v>-0.1</v>
      </c>
      <c r="G1581" t="s">
        <v>3739</v>
      </c>
      <c r="H1581">
        <v>2200</v>
      </c>
      <c r="I1581">
        <v>6.34</v>
      </c>
      <c r="J1581">
        <v>6.35</v>
      </c>
      <c r="K1581">
        <v>-0.16</v>
      </c>
      <c r="L1581">
        <v>2.68</v>
      </c>
      <c r="M1581" t="s">
        <v>2065</v>
      </c>
      <c r="N1581">
        <v>45.88</v>
      </c>
      <c r="O1581" t="s">
        <v>580</v>
      </c>
      <c r="P1581">
        <v>6.44</v>
      </c>
      <c r="Q1581">
        <v>6.28</v>
      </c>
      <c r="R1581">
        <v>6.43</v>
      </c>
      <c r="S1581">
        <v>6.44</v>
      </c>
      <c r="T1581">
        <v>2.48</v>
      </c>
      <c r="U1581">
        <v>0.54</v>
      </c>
      <c r="V1581">
        <v>9.6300000000000008</v>
      </c>
      <c r="W1581">
        <v>1527</v>
      </c>
      <c r="X1581">
        <v>6.35</v>
      </c>
      <c r="Y1581" t="s">
        <v>982</v>
      </c>
      <c r="Z1581" t="s">
        <v>1783</v>
      </c>
      <c r="AA1581">
        <v>2.17</v>
      </c>
      <c r="AB1581">
        <v>2703</v>
      </c>
      <c r="AC1581">
        <v>1343</v>
      </c>
      <c r="AD1581">
        <v>3.21</v>
      </c>
      <c r="AE1581" t="s">
        <v>1483</v>
      </c>
      <c r="AF1581" t="s">
        <v>5856</v>
      </c>
      <c r="AG1581" t="s">
        <v>3988</v>
      </c>
      <c r="AH1581" t="s">
        <v>5857</v>
      </c>
      <c r="AI1581">
        <v>-5.23</v>
      </c>
      <c r="AJ1581">
        <v>-2.61</v>
      </c>
      <c r="AK1581">
        <v>9.48</v>
      </c>
      <c r="AL1581">
        <v>27.51</v>
      </c>
    </row>
    <row r="1582" spans="1:38" x14ac:dyDescent="0.25">
      <c r="A1582">
        <v>1581</v>
      </c>
      <c r="B1582" t="str">
        <f xml:space="preserve"> "600555"</f>
        <v>600555</v>
      </c>
      <c r="C1582" t="s">
        <v>5858</v>
      </c>
      <c r="D1582">
        <v>6.2</v>
      </c>
      <c r="E1582">
        <v>2.82</v>
      </c>
      <c r="F1582">
        <v>0.17</v>
      </c>
      <c r="G1582" t="s">
        <v>131</v>
      </c>
      <c r="H1582">
        <v>487</v>
      </c>
      <c r="I1582">
        <v>6.19</v>
      </c>
      <c r="J1582">
        <v>6.21</v>
      </c>
      <c r="K1582">
        <v>0</v>
      </c>
      <c r="L1582">
        <v>2.16</v>
      </c>
      <c r="M1582" t="s">
        <v>2065</v>
      </c>
      <c r="N1582">
        <v>-39.83</v>
      </c>
      <c r="O1582" t="s">
        <v>951</v>
      </c>
      <c r="P1582">
        <v>6.35</v>
      </c>
      <c r="Q1582">
        <v>6.01</v>
      </c>
      <c r="R1582">
        <v>6.02</v>
      </c>
      <c r="S1582">
        <v>6.03</v>
      </c>
      <c r="T1582">
        <v>5.64</v>
      </c>
      <c r="U1582">
        <v>0.94</v>
      </c>
      <c r="V1582">
        <v>-54.74</v>
      </c>
      <c r="W1582">
        <v>-3481</v>
      </c>
      <c r="X1582">
        <v>6.22</v>
      </c>
      <c r="Y1582" t="s">
        <v>4016</v>
      </c>
      <c r="Z1582" t="s">
        <v>2003</v>
      </c>
      <c r="AA1582">
        <v>0.9</v>
      </c>
      <c r="AB1582">
        <v>119</v>
      </c>
      <c r="AC1582">
        <v>661</v>
      </c>
      <c r="AD1582">
        <v>5.58</v>
      </c>
      <c r="AE1582" t="s">
        <v>2828</v>
      </c>
      <c r="AF1582" t="s">
        <v>5856</v>
      </c>
      <c r="AG1582" t="s">
        <v>3028</v>
      </c>
      <c r="AH1582" t="s">
        <v>5859</v>
      </c>
      <c r="AI1582">
        <v>4.38</v>
      </c>
      <c r="AJ1582">
        <v>8.1999999999999993</v>
      </c>
      <c r="AK1582">
        <v>10.42</v>
      </c>
      <c r="AL1582">
        <v>13.65</v>
      </c>
    </row>
    <row r="1583" spans="1:38" x14ac:dyDescent="0.25">
      <c r="A1583">
        <v>1582</v>
      </c>
      <c r="B1583" t="str">
        <f xml:space="preserve"> "002539"</f>
        <v>002539</v>
      </c>
      <c r="C1583" t="s">
        <v>5860</v>
      </c>
      <c r="D1583">
        <v>8</v>
      </c>
      <c r="E1583">
        <v>0.13</v>
      </c>
      <c r="F1583">
        <v>0.01</v>
      </c>
      <c r="G1583" t="s">
        <v>1276</v>
      </c>
      <c r="H1583">
        <v>525</v>
      </c>
      <c r="I1583">
        <v>8</v>
      </c>
      <c r="J1583">
        <v>8.01</v>
      </c>
      <c r="K1583">
        <v>0</v>
      </c>
      <c r="L1583">
        <v>0.62</v>
      </c>
      <c r="M1583" t="s">
        <v>5861</v>
      </c>
      <c r="N1583">
        <v>55.07</v>
      </c>
      <c r="O1583" t="s">
        <v>1936</v>
      </c>
      <c r="P1583">
        <v>8.0299999999999994</v>
      </c>
      <c r="Q1583">
        <v>7.91</v>
      </c>
      <c r="R1583">
        <v>7.97</v>
      </c>
      <c r="S1583">
        <v>7.99</v>
      </c>
      <c r="T1583">
        <v>1.5</v>
      </c>
      <c r="U1583">
        <v>0.81</v>
      </c>
      <c r="V1583">
        <v>-61.32</v>
      </c>
      <c r="W1583">
        <v>-4335</v>
      </c>
      <c r="X1583">
        <v>7.99</v>
      </c>
      <c r="Y1583" t="s">
        <v>1726</v>
      </c>
      <c r="Z1583" t="s">
        <v>125</v>
      </c>
      <c r="AA1583">
        <v>0.85</v>
      </c>
      <c r="AB1583">
        <v>5</v>
      </c>
      <c r="AC1583">
        <v>453</v>
      </c>
      <c r="AD1583">
        <v>2.74</v>
      </c>
      <c r="AE1583" t="s">
        <v>262</v>
      </c>
      <c r="AF1583" t="s">
        <v>5856</v>
      </c>
      <c r="AG1583" t="s">
        <v>5798</v>
      </c>
      <c r="AH1583" t="s">
        <v>5862</v>
      </c>
      <c r="AI1583">
        <v>-0.37</v>
      </c>
      <c r="AJ1583">
        <v>3.36</v>
      </c>
      <c r="AK1583">
        <v>2.2999999999999998</v>
      </c>
      <c r="AL1583">
        <v>4.43</v>
      </c>
    </row>
    <row r="1584" spans="1:38" x14ac:dyDescent="0.25">
      <c r="A1584">
        <v>1583</v>
      </c>
      <c r="B1584" t="str">
        <f xml:space="preserve"> "300300"</f>
        <v>300300</v>
      </c>
      <c r="C1584" t="s">
        <v>5863</v>
      </c>
      <c r="D1584">
        <v>17.59</v>
      </c>
      <c r="E1584">
        <v>-0.85</v>
      </c>
      <c r="F1584">
        <v>-0.15</v>
      </c>
      <c r="G1584" t="s">
        <v>3238</v>
      </c>
      <c r="H1584">
        <v>520</v>
      </c>
      <c r="I1584">
        <v>17.579999999999998</v>
      </c>
      <c r="J1584">
        <v>17.59</v>
      </c>
      <c r="K1584">
        <v>0</v>
      </c>
      <c r="L1584">
        <v>0.67</v>
      </c>
      <c r="M1584" t="s">
        <v>5864</v>
      </c>
      <c r="N1584">
        <v>88.05</v>
      </c>
      <c r="O1584" t="s">
        <v>893</v>
      </c>
      <c r="P1584">
        <v>17.739999999999998</v>
      </c>
      <c r="Q1584">
        <v>17.47</v>
      </c>
      <c r="R1584">
        <v>17.739999999999998</v>
      </c>
      <c r="S1584">
        <v>17.739999999999998</v>
      </c>
      <c r="T1584">
        <v>1.52</v>
      </c>
      <c r="U1584">
        <v>0.54</v>
      </c>
      <c r="V1584">
        <v>-10.5</v>
      </c>
      <c r="W1584">
        <v>-138</v>
      </c>
      <c r="X1584">
        <v>17.559999999999999</v>
      </c>
      <c r="Y1584">
        <v>8630</v>
      </c>
      <c r="Z1584">
        <v>9571</v>
      </c>
      <c r="AA1584">
        <v>0.9</v>
      </c>
      <c r="AB1584">
        <v>156</v>
      </c>
      <c r="AC1584">
        <v>18</v>
      </c>
      <c r="AD1584">
        <v>3.64</v>
      </c>
      <c r="AE1584" t="s">
        <v>5798</v>
      </c>
      <c r="AF1584" t="s">
        <v>5856</v>
      </c>
      <c r="AG1584" t="s">
        <v>1463</v>
      </c>
      <c r="AH1584" t="s">
        <v>984</v>
      </c>
      <c r="AI1584">
        <v>-2.82</v>
      </c>
      <c r="AJ1584">
        <v>-1.73</v>
      </c>
      <c r="AK1584">
        <v>3.55</v>
      </c>
      <c r="AL1584">
        <v>6.84</v>
      </c>
    </row>
    <row r="1585" spans="1:38" x14ac:dyDescent="0.25">
      <c r="A1585">
        <v>1584</v>
      </c>
      <c r="B1585" t="str">
        <f xml:space="preserve"> "002175"</f>
        <v>002175</v>
      </c>
      <c r="C1585" t="s">
        <v>5865</v>
      </c>
      <c r="D1585">
        <v>10.72</v>
      </c>
      <c r="E1585">
        <v>0.94</v>
      </c>
      <c r="F1585">
        <v>0.1</v>
      </c>
      <c r="G1585" t="s">
        <v>912</v>
      </c>
      <c r="H1585">
        <v>1822</v>
      </c>
      <c r="I1585">
        <v>10.72</v>
      </c>
      <c r="J1585">
        <v>10.73</v>
      </c>
      <c r="K1585">
        <v>0</v>
      </c>
      <c r="L1585">
        <v>2.0099999999999998</v>
      </c>
      <c r="M1585" t="s">
        <v>2706</v>
      </c>
      <c r="N1585">
        <v>79.22</v>
      </c>
      <c r="O1585" t="s">
        <v>1126</v>
      </c>
      <c r="P1585">
        <v>10.75</v>
      </c>
      <c r="Q1585">
        <v>10.6</v>
      </c>
      <c r="R1585">
        <v>10.6</v>
      </c>
      <c r="S1585">
        <v>10.62</v>
      </c>
      <c r="T1585">
        <v>1.41</v>
      </c>
      <c r="U1585">
        <v>0.67</v>
      </c>
      <c r="V1585">
        <v>49.09</v>
      </c>
      <c r="W1585">
        <v>4166</v>
      </c>
      <c r="X1585">
        <v>10.67</v>
      </c>
      <c r="Y1585" t="s">
        <v>1444</v>
      </c>
      <c r="Z1585" t="s">
        <v>2987</v>
      </c>
      <c r="AA1585">
        <v>1.08</v>
      </c>
      <c r="AB1585">
        <v>1433</v>
      </c>
      <c r="AC1585">
        <v>606</v>
      </c>
      <c r="AD1585">
        <v>6</v>
      </c>
      <c r="AE1585" t="s">
        <v>4158</v>
      </c>
      <c r="AF1585" t="s">
        <v>5856</v>
      </c>
      <c r="AG1585" t="s">
        <v>1212</v>
      </c>
      <c r="AH1585" t="s">
        <v>5866</v>
      </c>
      <c r="AI1585">
        <v>-3.16</v>
      </c>
      <c r="AJ1585">
        <v>2.68</v>
      </c>
      <c r="AK1585">
        <v>7.89</v>
      </c>
      <c r="AL1585">
        <v>17.03</v>
      </c>
    </row>
    <row r="1586" spans="1:38" x14ac:dyDescent="0.25">
      <c r="A1586">
        <v>1585</v>
      </c>
      <c r="B1586" t="str">
        <f xml:space="preserve"> "300036"</f>
        <v>300036</v>
      </c>
      <c r="C1586" t="s">
        <v>5867</v>
      </c>
      <c r="D1586">
        <v>17.97</v>
      </c>
      <c r="E1586">
        <v>0.79</v>
      </c>
      <c r="F1586">
        <v>0.14000000000000001</v>
      </c>
      <c r="G1586" t="s">
        <v>3297</v>
      </c>
      <c r="H1586">
        <v>752</v>
      </c>
      <c r="I1586">
        <v>17.97</v>
      </c>
      <c r="J1586">
        <v>17.98</v>
      </c>
      <c r="K1586">
        <v>0</v>
      </c>
      <c r="L1586">
        <v>1.26</v>
      </c>
      <c r="M1586" t="s">
        <v>5868</v>
      </c>
      <c r="N1586">
        <v>155.24</v>
      </c>
      <c r="O1586" t="s">
        <v>893</v>
      </c>
      <c r="P1586">
        <v>17.989999999999998</v>
      </c>
      <c r="Q1586">
        <v>17.66</v>
      </c>
      <c r="R1586">
        <v>17.96</v>
      </c>
      <c r="S1586">
        <v>17.829999999999998</v>
      </c>
      <c r="T1586">
        <v>1.85</v>
      </c>
      <c r="U1586">
        <v>0.47</v>
      </c>
      <c r="V1586">
        <v>-15</v>
      </c>
      <c r="W1586">
        <v>-430</v>
      </c>
      <c r="X1586">
        <v>17.89</v>
      </c>
      <c r="Y1586" t="s">
        <v>432</v>
      </c>
      <c r="Z1586" t="s">
        <v>3062</v>
      </c>
      <c r="AA1586">
        <v>1.1000000000000001</v>
      </c>
      <c r="AB1586">
        <v>341</v>
      </c>
      <c r="AC1586">
        <v>526</v>
      </c>
      <c r="AD1586">
        <v>4.99</v>
      </c>
      <c r="AE1586" t="s">
        <v>3370</v>
      </c>
      <c r="AF1586" t="s">
        <v>5856</v>
      </c>
      <c r="AG1586" t="s">
        <v>4642</v>
      </c>
      <c r="AH1586" t="s">
        <v>1396</v>
      </c>
      <c r="AI1586">
        <v>-1.96</v>
      </c>
      <c r="AJ1586">
        <v>4.2300000000000004</v>
      </c>
      <c r="AK1586">
        <v>5.89</v>
      </c>
      <c r="AL1586">
        <v>14.81</v>
      </c>
    </row>
    <row r="1587" spans="1:38" x14ac:dyDescent="0.25">
      <c r="A1587">
        <v>1586</v>
      </c>
      <c r="B1587" t="str">
        <f xml:space="preserve"> "002204"</f>
        <v>002204</v>
      </c>
      <c r="C1587" t="s">
        <v>5869</v>
      </c>
      <c r="D1587">
        <v>4.18</v>
      </c>
      <c r="E1587">
        <v>-0.48</v>
      </c>
      <c r="F1587">
        <v>-0.02</v>
      </c>
      <c r="G1587" t="s">
        <v>2334</v>
      </c>
      <c r="H1587">
        <v>60</v>
      </c>
      <c r="I1587">
        <v>4.18</v>
      </c>
      <c r="J1587">
        <v>4.1900000000000004</v>
      </c>
      <c r="K1587">
        <v>-0.24</v>
      </c>
      <c r="L1587">
        <v>0.27</v>
      </c>
      <c r="M1587" t="s">
        <v>5870</v>
      </c>
      <c r="N1587">
        <v>287.7</v>
      </c>
      <c r="O1587" t="s">
        <v>2647</v>
      </c>
      <c r="P1587">
        <v>4.21</v>
      </c>
      <c r="Q1587">
        <v>4.16</v>
      </c>
      <c r="R1587">
        <v>4.2</v>
      </c>
      <c r="S1587">
        <v>4.2</v>
      </c>
      <c r="T1587">
        <v>1.19</v>
      </c>
      <c r="U1587">
        <v>0.47</v>
      </c>
      <c r="V1587">
        <v>-19.96</v>
      </c>
      <c r="W1587">
        <v>-3676</v>
      </c>
      <c r="X1587">
        <v>4.18</v>
      </c>
      <c r="Y1587" t="s">
        <v>1121</v>
      </c>
      <c r="Z1587" t="s">
        <v>3158</v>
      </c>
      <c r="AA1587">
        <v>1.88</v>
      </c>
      <c r="AB1587">
        <v>622</v>
      </c>
      <c r="AC1587">
        <v>654</v>
      </c>
      <c r="AD1587">
        <v>1.23</v>
      </c>
      <c r="AE1587" t="s">
        <v>886</v>
      </c>
      <c r="AF1587" t="s">
        <v>994</v>
      </c>
      <c r="AG1587" t="s">
        <v>886</v>
      </c>
      <c r="AH1587" t="s">
        <v>994</v>
      </c>
      <c r="AI1587">
        <v>-0.48</v>
      </c>
      <c r="AJ1587">
        <v>1.95</v>
      </c>
      <c r="AK1587">
        <v>1.53</v>
      </c>
      <c r="AL1587">
        <v>3.17</v>
      </c>
    </row>
    <row r="1588" spans="1:38" x14ac:dyDescent="0.25">
      <c r="A1588">
        <v>1587</v>
      </c>
      <c r="B1588" t="str">
        <f xml:space="preserve"> "002376"</f>
        <v>002376</v>
      </c>
      <c r="C1588" t="s">
        <v>5871</v>
      </c>
      <c r="D1588">
        <v>12.78</v>
      </c>
      <c r="E1588">
        <v>0</v>
      </c>
      <c r="F1588">
        <v>0</v>
      </c>
      <c r="G1588" t="s">
        <v>1739</v>
      </c>
      <c r="H1588">
        <v>661</v>
      </c>
      <c r="I1588">
        <v>12.77</v>
      </c>
      <c r="J1588">
        <v>12.78</v>
      </c>
      <c r="K1588">
        <v>-0.08</v>
      </c>
      <c r="L1588">
        <v>0.72</v>
      </c>
      <c r="M1588" t="s">
        <v>5872</v>
      </c>
      <c r="N1588">
        <v>30.06</v>
      </c>
      <c r="O1588" t="s">
        <v>553</v>
      </c>
      <c r="P1588">
        <v>12.83</v>
      </c>
      <c r="Q1588">
        <v>12.67</v>
      </c>
      <c r="R1588">
        <v>12.76</v>
      </c>
      <c r="S1588">
        <v>12.78</v>
      </c>
      <c r="T1588">
        <v>1.25</v>
      </c>
      <c r="U1588">
        <v>0.93</v>
      </c>
      <c r="V1588">
        <v>-42.39</v>
      </c>
      <c r="W1588">
        <v>-731</v>
      </c>
      <c r="X1588">
        <v>12.73</v>
      </c>
      <c r="Y1588" t="s">
        <v>1420</v>
      </c>
      <c r="Z1588" t="s">
        <v>1381</v>
      </c>
      <c r="AA1588">
        <v>1.06</v>
      </c>
      <c r="AB1588">
        <v>223</v>
      </c>
      <c r="AC1588">
        <v>141</v>
      </c>
      <c r="AD1588">
        <v>3.33</v>
      </c>
      <c r="AE1588" t="s">
        <v>3792</v>
      </c>
      <c r="AF1588" t="s">
        <v>994</v>
      </c>
      <c r="AG1588" t="s">
        <v>5873</v>
      </c>
      <c r="AH1588" t="s">
        <v>3576</v>
      </c>
      <c r="AI1588">
        <v>-1.08</v>
      </c>
      <c r="AJ1588">
        <v>2.16</v>
      </c>
      <c r="AK1588">
        <v>2.13</v>
      </c>
      <c r="AL1588">
        <v>4.63</v>
      </c>
    </row>
    <row r="1589" spans="1:38" x14ac:dyDescent="0.25">
      <c r="A1589">
        <v>1588</v>
      </c>
      <c r="B1589" t="str">
        <f xml:space="preserve"> "300406"</f>
        <v>300406</v>
      </c>
      <c r="C1589" t="s">
        <v>5874</v>
      </c>
      <c r="D1589">
        <v>16.11</v>
      </c>
      <c r="E1589">
        <v>0.81</v>
      </c>
      <c r="F1589">
        <v>0.13</v>
      </c>
      <c r="G1589" t="s">
        <v>927</v>
      </c>
      <c r="H1589">
        <v>158</v>
      </c>
      <c r="I1589">
        <v>16.11</v>
      </c>
      <c r="J1589">
        <v>16.12</v>
      </c>
      <c r="K1589">
        <v>-0.06</v>
      </c>
      <c r="L1589">
        <v>2.3199999999999998</v>
      </c>
      <c r="M1589" t="s">
        <v>5875</v>
      </c>
      <c r="N1589">
        <v>37.11</v>
      </c>
      <c r="O1589" t="s">
        <v>392</v>
      </c>
      <c r="P1589">
        <v>16.36</v>
      </c>
      <c r="Q1589">
        <v>15.83</v>
      </c>
      <c r="R1589">
        <v>15.98</v>
      </c>
      <c r="S1589">
        <v>15.98</v>
      </c>
      <c r="T1589">
        <v>3.32</v>
      </c>
      <c r="U1589">
        <v>0.98</v>
      </c>
      <c r="V1589">
        <v>65.16</v>
      </c>
      <c r="W1589">
        <v>1066</v>
      </c>
      <c r="X1589">
        <v>16.18</v>
      </c>
      <c r="Y1589" t="s">
        <v>2950</v>
      </c>
      <c r="Z1589" t="s">
        <v>507</v>
      </c>
      <c r="AA1589">
        <v>1.48</v>
      </c>
      <c r="AB1589">
        <v>20</v>
      </c>
      <c r="AC1589">
        <v>101</v>
      </c>
      <c r="AD1589">
        <v>5.98</v>
      </c>
      <c r="AE1589" t="s">
        <v>2700</v>
      </c>
      <c r="AF1589" t="s">
        <v>994</v>
      </c>
      <c r="AG1589" t="s">
        <v>2519</v>
      </c>
      <c r="AH1589" t="s">
        <v>901</v>
      </c>
      <c r="AI1589">
        <v>-2.13</v>
      </c>
      <c r="AJ1589">
        <v>9.07</v>
      </c>
      <c r="AK1589">
        <v>8.69</v>
      </c>
      <c r="AL1589">
        <v>14.18</v>
      </c>
    </row>
    <row r="1590" spans="1:38" x14ac:dyDescent="0.25">
      <c r="A1590">
        <v>1589</v>
      </c>
      <c r="B1590" t="str">
        <f xml:space="preserve"> "002100"</f>
        <v>002100</v>
      </c>
      <c r="C1590" t="s">
        <v>5876</v>
      </c>
      <c r="D1590">
        <v>8.3699999999999992</v>
      </c>
      <c r="E1590">
        <v>-0.12</v>
      </c>
      <c r="F1590">
        <v>-0.01</v>
      </c>
      <c r="G1590" t="s">
        <v>2220</v>
      </c>
      <c r="H1590">
        <v>424</v>
      </c>
      <c r="I1590">
        <v>8.36</v>
      </c>
      <c r="J1590">
        <v>8.3699999999999992</v>
      </c>
      <c r="K1590">
        <v>0</v>
      </c>
      <c r="L1590">
        <v>0.72</v>
      </c>
      <c r="M1590" t="s">
        <v>5877</v>
      </c>
      <c r="N1590">
        <v>21.25</v>
      </c>
      <c r="O1590" t="s">
        <v>622</v>
      </c>
      <c r="P1590">
        <v>8.41</v>
      </c>
      <c r="Q1590">
        <v>8.35</v>
      </c>
      <c r="R1590">
        <v>8.3800000000000008</v>
      </c>
      <c r="S1590">
        <v>8.3800000000000008</v>
      </c>
      <c r="T1590">
        <v>0.72</v>
      </c>
      <c r="U1590">
        <v>1.97</v>
      </c>
      <c r="V1590">
        <v>-42.81</v>
      </c>
      <c r="W1590">
        <v>-1403</v>
      </c>
      <c r="X1590">
        <v>8.3800000000000008</v>
      </c>
      <c r="Y1590" t="s">
        <v>2088</v>
      </c>
      <c r="Z1590" t="s">
        <v>2099</v>
      </c>
      <c r="AA1590">
        <v>0.83</v>
      </c>
      <c r="AB1590">
        <v>385</v>
      </c>
      <c r="AC1590">
        <v>569</v>
      </c>
      <c r="AD1590">
        <v>2.96</v>
      </c>
      <c r="AE1590" t="s">
        <v>3715</v>
      </c>
      <c r="AF1590" t="s">
        <v>5736</v>
      </c>
      <c r="AG1590" t="s">
        <v>2746</v>
      </c>
      <c r="AH1590" t="s">
        <v>5878</v>
      </c>
      <c r="AI1590">
        <v>0.12</v>
      </c>
      <c r="AJ1590">
        <v>2.2000000000000002</v>
      </c>
      <c r="AK1590">
        <v>1.53</v>
      </c>
      <c r="AL1590">
        <v>2.5299999999999998</v>
      </c>
    </row>
    <row r="1591" spans="1:38" x14ac:dyDescent="0.25">
      <c r="A1591">
        <v>1590</v>
      </c>
      <c r="B1591" t="str">
        <f xml:space="preserve"> "300336"</f>
        <v>300336</v>
      </c>
      <c r="C1591" t="s">
        <v>5879</v>
      </c>
      <c r="D1591">
        <v>15</v>
      </c>
      <c r="E1591">
        <v>0.47</v>
      </c>
      <c r="F1591">
        <v>7.0000000000000007E-2</v>
      </c>
      <c r="G1591" t="s">
        <v>3111</v>
      </c>
      <c r="H1591">
        <v>344</v>
      </c>
      <c r="I1591">
        <v>15</v>
      </c>
      <c r="J1591">
        <v>15.01</v>
      </c>
      <c r="K1591">
        <v>0</v>
      </c>
      <c r="L1591">
        <v>1.1299999999999999</v>
      </c>
      <c r="M1591" t="s">
        <v>5880</v>
      </c>
      <c r="N1591">
        <v>27.44</v>
      </c>
      <c r="O1591" t="s">
        <v>1126</v>
      </c>
      <c r="P1591">
        <v>15.12</v>
      </c>
      <c r="Q1591">
        <v>14.79</v>
      </c>
      <c r="R1591">
        <v>14.93</v>
      </c>
      <c r="S1591">
        <v>14.93</v>
      </c>
      <c r="T1591">
        <v>2.21</v>
      </c>
      <c r="U1591">
        <v>1.07</v>
      </c>
      <c r="V1591">
        <v>-53.16</v>
      </c>
      <c r="W1591">
        <v>-1369</v>
      </c>
      <c r="X1591">
        <v>14.99</v>
      </c>
      <c r="Y1591" t="s">
        <v>3272</v>
      </c>
      <c r="Z1591" t="s">
        <v>2777</v>
      </c>
      <c r="AA1591">
        <v>0.91</v>
      </c>
      <c r="AB1591">
        <v>94</v>
      </c>
      <c r="AC1591">
        <v>222</v>
      </c>
      <c r="AD1591">
        <v>2.84</v>
      </c>
      <c r="AE1591" t="s">
        <v>2024</v>
      </c>
      <c r="AF1591" t="s">
        <v>5736</v>
      </c>
      <c r="AG1591" t="s">
        <v>112</v>
      </c>
      <c r="AH1591" t="s">
        <v>2418</v>
      </c>
      <c r="AI1591">
        <v>-0.13</v>
      </c>
      <c r="AJ1591">
        <v>2.95</v>
      </c>
      <c r="AK1591">
        <v>2.94</v>
      </c>
      <c r="AL1591">
        <v>6.41</v>
      </c>
    </row>
    <row r="1592" spans="1:38" x14ac:dyDescent="0.25">
      <c r="A1592">
        <v>1591</v>
      </c>
      <c r="B1592" t="str">
        <f xml:space="preserve"> "603808"</f>
        <v>603808</v>
      </c>
      <c r="C1592" t="s">
        <v>5881</v>
      </c>
      <c r="D1592">
        <v>23.9</v>
      </c>
      <c r="E1592">
        <v>1.31</v>
      </c>
      <c r="F1592">
        <v>0.31</v>
      </c>
      <c r="G1592" t="s">
        <v>316</v>
      </c>
      <c r="H1592">
        <v>2</v>
      </c>
      <c r="I1592">
        <v>23.9</v>
      </c>
      <c r="J1592">
        <v>23.91</v>
      </c>
      <c r="K1592">
        <v>0.13</v>
      </c>
      <c r="L1592">
        <v>1.03</v>
      </c>
      <c r="M1592" t="s">
        <v>5882</v>
      </c>
      <c r="N1592">
        <v>33.020000000000003</v>
      </c>
      <c r="O1592" t="s">
        <v>1443</v>
      </c>
      <c r="P1592">
        <v>24</v>
      </c>
      <c r="Q1592">
        <v>23.63</v>
      </c>
      <c r="R1592">
        <v>23.75</v>
      </c>
      <c r="S1592">
        <v>23.59</v>
      </c>
      <c r="T1592">
        <v>1.57</v>
      </c>
      <c r="U1592">
        <v>0.6</v>
      </c>
      <c r="V1592">
        <v>4.8</v>
      </c>
      <c r="W1592">
        <v>24</v>
      </c>
      <c r="X1592">
        <v>23.84</v>
      </c>
      <c r="Y1592">
        <v>4769</v>
      </c>
      <c r="Z1592">
        <v>6890</v>
      </c>
      <c r="AA1592">
        <v>0.69</v>
      </c>
      <c r="AB1592">
        <v>6</v>
      </c>
      <c r="AC1592">
        <v>45</v>
      </c>
      <c r="AD1592">
        <v>4.4800000000000004</v>
      </c>
      <c r="AE1592" t="s">
        <v>4127</v>
      </c>
      <c r="AF1592" t="s">
        <v>5736</v>
      </c>
      <c r="AG1592" t="s">
        <v>2869</v>
      </c>
      <c r="AH1592" t="s">
        <v>547</v>
      </c>
      <c r="AI1592">
        <v>-1.2</v>
      </c>
      <c r="AJ1592">
        <v>2.27</v>
      </c>
      <c r="AK1592">
        <v>4.59</v>
      </c>
      <c r="AL1592">
        <v>9.67</v>
      </c>
    </row>
    <row r="1593" spans="1:38" x14ac:dyDescent="0.25">
      <c r="A1593">
        <v>1592</v>
      </c>
      <c r="B1593" t="str">
        <f xml:space="preserve"> "002293"</f>
        <v>002293</v>
      </c>
      <c r="C1593" t="s">
        <v>5883</v>
      </c>
      <c r="D1593">
        <v>11.43</v>
      </c>
      <c r="E1593">
        <v>-0.52</v>
      </c>
      <c r="F1593">
        <v>-0.06</v>
      </c>
      <c r="G1593" t="s">
        <v>2558</v>
      </c>
      <c r="H1593">
        <v>264</v>
      </c>
      <c r="I1593">
        <v>11.42</v>
      </c>
      <c r="J1593">
        <v>11.43</v>
      </c>
      <c r="K1593">
        <v>0</v>
      </c>
      <c r="L1593">
        <v>0.23</v>
      </c>
      <c r="M1593" t="s">
        <v>5884</v>
      </c>
      <c r="N1593">
        <v>24.92</v>
      </c>
      <c r="O1593" t="s">
        <v>1443</v>
      </c>
      <c r="P1593">
        <v>11.53</v>
      </c>
      <c r="Q1593">
        <v>11.39</v>
      </c>
      <c r="R1593">
        <v>11.5</v>
      </c>
      <c r="S1593">
        <v>11.49</v>
      </c>
      <c r="T1593">
        <v>1.22</v>
      </c>
      <c r="U1593">
        <v>0.47</v>
      </c>
      <c r="V1593">
        <v>19.71</v>
      </c>
      <c r="W1593">
        <v>413</v>
      </c>
      <c r="X1593">
        <v>11.43</v>
      </c>
      <c r="Y1593" t="s">
        <v>2522</v>
      </c>
      <c r="Z1593">
        <v>5528</v>
      </c>
      <c r="AA1593">
        <v>1.87</v>
      </c>
      <c r="AB1593">
        <v>174</v>
      </c>
      <c r="AC1593">
        <v>15</v>
      </c>
      <c r="AD1593">
        <v>2.93</v>
      </c>
      <c r="AE1593" t="s">
        <v>1722</v>
      </c>
      <c r="AF1593" t="s">
        <v>5736</v>
      </c>
      <c r="AG1593" t="s">
        <v>1632</v>
      </c>
      <c r="AH1593" t="s">
        <v>5500</v>
      </c>
      <c r="AI1593">
        <v>0.53</v>
      </c>
      <c r="AJ1593">
        <v>4.1900000000000004</v>
      </c>
      <c r="AK1593">
        <v>1.49</v>
      </c>
      <c r="AL1593">
        <v>2.65</v>
      </c>
    </row>
    <row r="1594" spans="1:38" x14ac:dyDescent="0.25">
      <c r="A1594">
        <v>1593</v>
      </c>
      <c r="B1594" t="str">
        <f xml:space="preserve"> "603708"</f>
        <v>603708</v>
      </c>
      <c r="C1594" t="s">
        <v>5885</v>
      </c>
      <c r="D1594">
        <v>17.21</v>
      </c>
      <c r="E1594">
        <v>0.47</v>
      </c>
      <c r="F1594">
        <v>0.08</v>
      </c>
      <c r="G1594" t="s">
        <v>3781</v>
      </c>
      <c r="H1594">
        <v>10</v>
      </c>
      <c r="I1594">
        <v>17.21</v>
      </c>
      <c r="J1594">
        <v>17.22</v>
      </c>
      <c r="K1594">
        <v>-0.06</v>
      </c>
      <c r="L1594">
        <v>3.26</v>
      </c>
      <c r="M1594" t="s">
        <v>5886</v>
      </c>
      <c r="N1594">
        <v>28.2</v>
      </c>
      <c r="O1594" t="s">
        <v>532</v>
      </c>
      <c r="P1594">
        <v>17.38</v>
      </c>
      <c r="Q1594">
        <v>17.04</v>
      </c>
      <c r="R1594">
        <v>17.11</v>
      </c>
      <c r="S1594">
        <v>17.13</v>
      </c>
      <c r="T1594">
        <v>1.98</v>
      </c>
      <c r="U1594">
        <v>0.54</v>
      </c>
      <c r="V1594">
        <v>-2.77</v>
      </c>
      <c r="W1594">
        <v>-38</v>
      </c>
      <c r="X1594">
        <v>17.22</v>
      </c>
      <c r="Y1594" t="s">
        <v>507</v>
      </c>
      <c r="Z1594" t="s">
        <v>899</v>
      </c>
      <c r="AA1594">
        <v>1.05</v>
      </c>
      <c r="AB1594">
        <v>224</v>
      </c>
      <c r="AC1594">
        <v>69</v>
      </c>
      <c r="AD1594">
        <v>3.49</v>
      </c>
      <c r="AE1594" t="s">
        <v>2820</v>
      </c>
      <c r="AF1594" t="s">
        <v>5258</v>
      </c>
      <c r="AG1594" t="s">
        <v>2827</v>
      </c>
      <c r="AH1594" t="s">
        <v>5887</v>
      </c>
      <c r="AI1594">
        <v>-1.04</v>
      </c>
      <c r="AJ1594">
        <v>2.5</v>
      </c>
      <c r="AK1594">
        <v>12.33</v>
      </c>
      <c r="AL1594">
        <v>33.29</v>
      </c>
    </row>
    <row r="1595" spans="1:38" x14ac:dyDescent="0.25">
      <c r="A1595">
        <v>1594</v>
      </c>
      <c r="B1595" t="str">
        <f xml:space="preserve"> "000957"</f>
        <v>000957</v>
      </c>
      <c r="C1595" t="s">
        <v>5888</v>
      </c>
      <c r="D1595">
        <v>13.57</v>
      </c>
      <c r="E1595">
        <v>-2.2999999999999998</v>
      </c>
      <c r="F1595">
        <v>-0.32</v>
      </c>
      <c r="G1595" t="s">
        <v>280</v>
      </c>
      <c r="H1595">
        <v>2797</v>
      </c>
      <c r="I1595">
        <v>13.57</v>
      </c>
      <c r="J1595">
        <v>13.58</v>
      </c>
      <c r="K1595">
        <v>0</v>
      </c>
      <c r="L1595">
        <v>3.2</v>
      </c>
      <c r="M1595" t="s">
        <v>2964</v>
      </c>
      <c r="N1595">
        <v>65.34</v>
      </c>
      <c r="O1595" t="s">
        <v>169</v>
      </c>
      <c r="P1595">
        <v>13.76</v>
      </c>
      <c r="Q1595">
        <v>13.43</v>
      </c>
      <c r="R1595">
        <v>13.76</v>
      </c>
      <c r="S1595">
        <v>13.89</v>
      </c>
      <c r="T1595">
        <v>2.38</v>
      </c>
      <c r="U1595">
        <v>0.38</v>
      </c>
      <c r="V1595">
        <v>49.71</v>
      </c>
      <c r="W1595">
        <v>2643</v>
      </c>
      <c r="X1595">
        <v>13.6</v>
      </c>
      <c r="Y1595" t="s">
        <v>2496</v>
      </c>
      <c r="Z1595" t="s">
        <v>1717</v>
      </c>
      <c r="AA1595">
        <v>1.59</v>
      </c>
      <c r="AB1595">
        <v>29</v>
      </c>
      <c r="AC1595">
        <v>187</v>
      </c>
      <c r="AD1595">
        <v>3.03</v>
      </c>
      <c r="AE1595" t="s">
        <v>1400</v>
      </c>
      <c r="AF1595" t="s">
        <v>5258</v>
      </c>
      <c r="AG1595" t="s">
        <v>1994</v>
      </c>
      <c r="AH1595" t="s">
        <v>2933</v>
      </c>
      <c r="AI1595">
        <v>-8.43</v>
      </c>
      <c r="AJ1595">
        <v>-8.68</v>
      </c>
      <c r="AK1595">
        <v>15.13</v>
      </c>
      <c r="AL1595">
        <v>45.04</v>
      </c>
    </row>
    <row r="1596" spans="1:38" x14ac:dyDescent="0.25">
      <c r="A1596">
        <v>1595</v>
      </c>
      <c r="B1596" t="str">
        <f xml:space="preserve"> "300630"</f>
        <v>300630</v>
      </c>
      <c r="C1596" t="s">
        <v>5889</v>
      </c>
      <c r="D1596">
        <v>65.849999999999994</v>
      </c>
      <c r="E1596">
        <v>2.19</v>
      </c>
      <c r="F1596">
        <v>1.41</v>
      </c>
      <c r="G1596">
        <v>7173</v>
      </c>
      <c r="H1596">
        <v>69</v>
      </c>
      <c r="I1596">
        <v>65.84</v>
      </c>
      <c r="J1596">
        <v>65.849999999999994</v>
      </c>
      <c r="K1596">
        <v>0.02</v>
      </c>
      <c r="L1596">
        <v>2.35</v>
      </c>
      <c r="M1596" t="s">
        <v>5890</v>
      </c>
      <c r="N1596">
        <v>128.78</v>
      </c>
      <c r="O1596" t="s">
        <v>392</v>
      </c>
      <c r="P1596">
        <v>67.16</v>
      </c>
      <c r="Q1596">
        <v>63</v>
      </c>
      <c r="R1596">
        <v>64.319999999999993</v>
      </c>
      <c r="S1596">
        <v>64.44</v>
      </c>
      <c r="T1596">
        <v>6.46</v>
      </c>
      <c r="U1596">
        <v>0.99</v>
      </c>
      <c r="V1596">
        <v>-82.66</v>
      </c>
      <c r="W1596">
        <v>-164</v>
      </c>
      <c r="X1596">
        <v>65.11</v>
      </c>
      <c r="Y1596">
        <v>3642</v>
      </c>
      <c r="Z1596">
        <v>3532</v>
      </c>
      <c r="AA1596">
        <v>1.03</v>
      </c>
      <c r="AB1596">
        <v>5</v>
      </c>
      <c r="AC1596">
        <v>23</v>
      </c>
      <c r="AD1596">
        <v>12.28</v>
      </c>
      <c r="AE1596" t="s">
        <v>943</v>
      </c>
      <c r="AF1596" t="s">
        <v>5891</v>
      </c>
      <c r="AG1596" t="s">
        <v>5892</v>
      </c>
      <c r="AH1596" t="s">
        <v>5887</v>
      </c>
      <c r="AI1596">
        <v>12.01</v>
      </c>
      <c r="AJ1596">
        <v>12.53</v>
      </c>
      <c r="AK1596">
        <v>9.0500000000000007</v>
      </c>
      <c r="AL1596">
        <v>14.26</v>
      </c>
    </row>
    <row r="1597" spans="1:38" x14ac:dyDescent="0.25">
      <c r="A1597">
        <v>1596</v>
      </c>
      <c r="B1597" t="str">
        <f xml:space="preserve"> "300101"</f>
        <v>300101</v>
      </c>
      <c r="C1597" t="s">
        <v>5893</v>
      </c>
      <c r="D1597">
        <v>14.45</v>
      </c>
      <c r="E1597">
        <v>0</v>
      </c>
      <c r="F1597">
        <v>0</v>
      </c>
      <c r="G1597" t="s">
        <v>3680</v>
      </c>
      <c r="H1597">
        <v>651</v>
      </c>
      <c r="I1597">
        <v>14.45</v>
      </c>
      <c r="J1597">
        <v>14.46</v>
      </c>
      <c r="K1597">
        <v>-7.0000000000000007E-2</v>
      </c>
      <c r="L1597">
        <v>0.96</v>
      </c>
      <c r="M1597" t="s">
        <v>5894</v>
      </c>
      <c r="N1597">
        <v>163.57</v>
      </c>
      <c r="O1597" t="s">
        <v>580</v>
      </c>
      <c r="P1597">
        <v>14.58</v>
      </c>
      <c r="Q1597">
        <v>14.38</v>
      </c>
      <c r="R1597">
        <v>14.41</v>
      </c>
      <c r="S1597">
        <v>14.45</v>
      </c>
      <c r="T1597">
        <v>1.38</v>
      </c>
      <c r="U1597">
        <v>0.46</v>
      </c>
      <c r="V1597">
        <v>58.4</v>
      </c>
      <c r="W1597">
        <v>2387</v>
      </c>
      <c r="X1597">
        <v>14.47</v>
      </c>
      <c r="Y1597" t="s">
        <v>2755</v>
      </c>
      <c r="Z1597" t="s">
        <v>2932</v>
      </c>
      <c r="AA1597">
        <v>1.3</v>
      </c>
      <c r="AB1597">
        <v>683</v>
      </c>
      <c r="AC1597">
        <v>248</v>
      </c>
      <c r="AD1597">
        <v>9.35</v>
      </c>
      <c r="AE1597" t="s">
        <v>5228</v>
      </c>
      <c r="AF1597" t="s">
        <v>278</v>
      </c>
      <c r="AG1597" t="s">
        <v>1809</v>
      </c>
      <c r="AH1597" t="s">
        <v>4968</v>
      </c>
      <c r="AI1597">
        <v>-6.41</v>
      </c>
      <c r="AJ1597">
        <v>-3.34</v>
      </c>
      <c r="AK1597">
        <v>5.36</v>
      </c>
      <c r="AL1597">
        <v>11.41</v>
      </c>
    </row>
    <row r="1598" spans="1:38" x14ac:dyDescent="0.25">
      <c r="A1598">
        <v>1597</v>
      </c>
      <c r="B1598" t="str">
        <f xml:space="preserve"> "300467"</f>
        <v>300467</v>
      </c>
      <c r="C1598" t="s">
        <v>5895</v>
      </c>
      <c r="D1598">
        <v>48.1</v>
      </c>
      <c r="E1598">
        <v>-0.1</v>
      </c>
      <c r="F1598">
        <v>-0.05</v>
      </c>
      <c r="G1598" t="s">
        <v>2755</v>
      </c>
      <c r="H1598">
        <v>800</v>
      </c>
      <c r="I1598">
        <v>48.1</v>
      </c>
      <c r="J1598">
        <v>48.18</v>
      </c>
      <c r="K1598">
        <v>-0.31</v>
      </c>
      <c r="L1598">
        <v>3</v>
      </c>
      <c r="M1598" t="s">
        <v>3154</v>
      </c>
      <c r="N1598">
        <v>130.31</v>
      </c>
      <c r="O1598" t="s">
        <v>893</v>
      </c>
      <c r="P1598">
        <v>49.19</v>
      </c>
      <c r="Q1598">
        <v>47.88</v>
      </c>
      <c r="R1598">
        <v>48</v>
      </c>
      <c r="S1598">
        <v>48.15</v>
      </c>
      <c r="T1598">
        <v>2.72</v>
      </c>
      <c r="U1598">
        <v>0.56999999999999995</v>
      </c>
      <c r="V1598">
        <v>-0.97</v>
      </c>
      <c r="W1598">
        <v>-2</v>
      </c>
      <c r="X1598">
        <v>48.51</v>
      </c>
      <c r="Y1598" t="s">
        <v>1578</v>
      </c>
      <c r="Z1598" t="s">
        <v>480</v>
      </c>
      <c r="AA1598">
        <v>1.25</v>
      </c>
      <c r="AB1598">
        <v>36</v>
      </c>
      <c r="AC1598">
        <v>10</v>
      </c>
      <c r="AD1598">
        <v>14.2</v>
      </c>
      <c r="AE1598" t="s">
        <v>5701</v>
      </c>
      <c r="AF1598" t="s">
        <v>4780</v>
      </c>
      <c r="AG1598" t="s">
        <v>5157</v>
      </c>
      <c r="AH1598" t="s">
        <v>5896</v>
      </c>
      <c r="AI1598">
        <v>-2.85</v>
      </c>
      <c r="AJ1598">
        <v>5.25</v>
      </c>
      <c r="AK1598">
        <v>11.49</v>
      </c>
      <c r="AL1598">
        <v>29.35</v>
      </c>
    </row>
    <row r="1599" spans="1:38" x14ac:dyDescent="0.25">
      <c r="A1599">
        <v>1598</v>
      </c>
      <c r="B1599" t="str">
        <f xml:space="preserve"> "601010"</f>
        <v>601010</v>
      </c>
      <c r="C1599" t="s">
        <v>5897</v>
      </c>
      <c r="D1599">
        <v>4.34</v>
      </c>
      <c r="E1599">
        <v>-0.23</v>
      </c>
      <c r="F1599">
        <v>-0.01</v>
      </c>
      <c r="G1599" t="s">
        <v>2749</v>
      </c>
      <c r="H1599">
        <v>30</v>
      </c>
      <c r="I1599">
        <v>4.34</v>
      </c>
      <c r="J1599">
        <v>4.3499999999999996</v>
      </c>
      <c r="K1599">
        <v>0</v>
      </c>
      <c r="L1599">
        <v>0.31</v>
      </c>
      <c r="M1599" t="s">
        <v>5898</v>
      </c>
      <c r="N1599">
        <v>23.38</v>
      </c>
      <c r="O1599" t="s">
        <v>532</v>
      </c>
      <c r="P1599">
        <v>4.3600000000000003</v>
      </c>
      <c r="Q1599">
        <v>4.33</v>
      </c>
      <c r="R1599">
        <v>4.3600000000000003</v>
      </c>
      <c r="S1599">
        <v>4.3499999999999996</v>
      </c>
      <c r="T1599">
        <v>0.69</v>
      </c>
      <c r="U1599">
        <v>0.79</v>
      </c>
      <c r="V1599">
        <v>-37.24</v>
      </c>
      <c r="W1599" t="s">
        <v>1648</v>
      </c>
      <c r="X1599">
        <v>4.34</v>
      </c>
      <c r="Y1599" t="s">
        <v>2459</v>
      </c>
      <c r="Z1599" t="s">
        <v>1374</v>
      </c>
      <c r="AA1599">
        <v>1.19</v>
      </c>
      <c r="AB1599">
        <v>3028</v>
      </c>
      <c r="AC1599">
        <v>4368</v>
      </c>
      <c r="AD1599">
        <v>1.9</v>
      </c>
      <c r="AE1599" t="s">
        <v>1674</v>
      </c>
      <c r="AF1599" t="s">
        <v>4780</v>
      </c>
      <c r="AG1599" t="s">
        <v>1674</v>
      </c>
      <c r="AH1599" t="s">
        <v>4780</v>
      </c>
      <c r="AI1599">
        <v>0</v>
      </c>
      <c r="AJ1599">
        <v>2.84</v>
      </c>
      <c r="AK1599">
        <v>1.1200000000000001</v>
      </c>
      <c r="AL1599">
        <v>2.2599999999999998</v>
      </c>
    </row>
    <row r="1600" spans="1:38" x14ac:dyDescent="0.25">
      <c r="A1600">
        <v>1599</v>
      </c>
      <c r="B1600" t="str">
        <f xml:space="preserve"> "000982"</f>
        <v>000982</v>
      </c>
      <c r="C1600" t="s">
        <v>5899</v>
      </c>
      <c r="D1600">
        <v>4.4400000000000004</v>
      </c>
      <c r="E1600">
        <v>1.1399999999999999</v>
      </c>
      <c r="F1600">
        <v>0.05</v>
      </c>
      <c r="G1600" t="s">
        <v>371</v>
      </c>
      <c r="H1600">
        <v>611</v>
      </c>
      <c r="I1600">
        <v>4.4400000000000004</v>
      </c>
      <c r="J1600">
        <v>4.45</v>
      </c>
      <c r="K1600">
        <v>-0.22</v>
      </c>
      <c r="L1600">
        <v>0.63</v>
      </c>
      <c r="M1600" t="s">
        <v>5900</v>
      </c>
      <c r="N1600">
        <v>-12.92</v>
      </c>
      <c r="O1600" t="s">
        <v>1443</v>
      </c>
      <c r="P1600">
        <v>4.4800000000000004</v>
      </c>
      <c r="Q1600">
        <v>4.3600000000000003</v>
      </c>
      <c r="R1600">
        <v>4.41</v>
      </c>
      <c r="S1600">
        <v>4.3899999999999997</v>
      </c>
      <c r="T1600">
        <v>2.73</v>
      </c>
      <c r="U1600">
        <v>0.77</v>
      </c>
      <c r="V1600">
        <v>-30.1</v>
      </c>
      <c r="W1600">
        <v>-4181</v>
      </c>
      <c r="X1600">
        <v>4.42</v>
      </c>
      <c r="Y1600" t="s">
        <v>5742</v>
      </c>
      <c r="Z1600" t="s">
        <v>1059</v>
      </c>
      <c r="AA1600">
        <v>1.1399999999999999</v>
      </c>
      <c r="AB1600">
        <v>1405</v>
      </c>
      <c r="AC1600">
        <v>546</v>
      </c>
      <c r="AD1600">
        <v>5.15</v>
      </c>
      <c r="AE1600" t="s">
        <v>1046</v>
      </c>
      <c r="AF1600" t="s">
        <v>5124</v>
      </c>
      <c r="AG1600" t="s">
        <v>1046</v>
      </c>
      <c r="AH1600" t="s">
        <v>5124</v>
      </c>
      <c r="AI1600">
        <v>3.26</v>
      </c>
      <c r="AJ1600">
        <v>-0.67</v>
      </c>
      <c r="AK1600">
        <v>2.36</v>
      </c>
      <c r="AL1600">
        <v>4.67</v>
      </c>
    </row>
    <row r="1601" spans="1:38" x14ac:dyDescent="0.25">
      <c r="A1601">
        <v>1600</v>
      </c>
      <c r="B1601" t="str">
        <f xml:space="preserve"> "002550"</f>
        <v>002550</v>
      </c>
      <c r="C1601" t="s">
        <v>5901</v>
      </c>
      <c r="D1601">
        <v>6.26</v>
      </c>
      <c r="E1601">
        <v>0.32</v>
      </c>
      <c r="F1601">
        <v>0.02</v>
      </c>
      <c r="G1601" t="s">
        <v>3524</v>
      </c>
      <c r="H1601">
        <v>556</v>
      </c>
      <c r="I1601">
        <v>6.26</v>
      </c>
      <c r="J1601">
        <v>6.27</v>
      </c>
      <c r="K1601">
        <v>0.16</v>
      </c>
      <c r="L1601">
        <v>0.44</v>
      </c>
      <c r="M1601" t="s">
        <v>5902</v>
      </c>
      <c r="N1601">
        <v>27.82</v>
      </c>
      <c r="O1601" t="s">
        <v>1552</v>
      </c>
      <c r="P1601">
        <v>6.26</v>
      </c>
      <c r="Q1601">
        <v>6.22</v>
      </c>
      <c r="R1601">
        <v>6.24</v>
      </c>
      <c r="S1601">
        <v>6.24</v>
      </c>
      <c r="T1601">
        <v>0.64</v>
      </c>
      <c r="U1601">
        <v>0.5</v>
      </c>
      <c r="V1601">
        <v>-1.95</v>
      </c>
      <c r="W1601">
        <v>-312</v>
      </c>
      <c r="X1601">
        <v>6.25</v>
      </c>
      <c r="Y1601" t="s">
        <v>4118</v>
      </c>
      <c r="Z1601" t="s">
        <v>1576</v>
      </c>
      <c r="AA1601">
        <v>1.18</v>
      </c>
      <c r="AB1601">
        <v>201</v>
      </c>
      <c r="AC1601">
        <v>983</v>
      </c>
      <c r="AD1601">
        <v>3.34</v>
      </c>
      <c r="AE1601" t="s">
        <v>1376</v>
      </c>
      <c r="AF1601" t="s">
        <v>5124</v>
      </c>
      <c r="AG1601" t="s">
        <v>5903</v>
      </c>
      <c r="AH1601" t="s">
        <v>2512</v>
      </c>
      <c r="AI1601">
        <v>-0.79</v>
      </c>
      <c r="AJ1601">
        <v>2.96</v>
      </c>
      <c r="AK1601">
        <v>2.09</v>
      </c>
      <c r="AL1601">
        <v>4.91</v>
      </c>
    </row>
    <row r="1602" spans="1:38" x14ac:dyDescent="0.25">
      <c r="A1602">
        <v>1601</v>
      </c>
      <c r="B1602" t="str">
        <f xml:space="preserve"> "002104"</f>
        <v>002104</v>
      </c>
      <c r="C1602" t="s">
        <v>5904</v>
      </c>
      <c r="D1602">
        <v>11.22</v>
      </c>
      <c r="E1602">
        <v>-1.41</v>
      </c>
      <c r="F1602">
        <v>-0.16</v>
      </c>
      <c r="G1602" t="s">
        <v>5905</v>
      </c>
      <c r="H1602">
        <v>4809</v>
      </c>
      <c r="I1602">
        <v>11.21</v>
      </c>
      <c r="J1602">
        <v>11.22</v>
      </c>
      <c r="K1602">
        <v>0.09</v>
      </c>
      <c r="L1602">
        <v>8.9499999999999993</v>
      </c>
      <c r="M1602" t="s">
        <v>1573</v>
      </c>
      <c r="N1602">
        <v>43.43</v>
      </c>
      <c r="O1602" t="s">
        <v>553</v>
      </c>
      <c r="P1602">
        <v>11.27</v>
      </c>
      <c r="Q1602">
        <v>11.08</v>
      </c>
      <c r="R1602">
        <v>11.2</v>
      </c>
      <c r="S1602">
        <v>11.38</v>
      </c>
      <c r="T1602">
        <v>1.67</v>
      </c>
      <c r="U1602">
        <v>1.17</v>
      </c>
      <c r="V1602">
        <v>59.81</v>
      </c>
      <c r="W1602">
        <v>8101</v>
      </c>
      <c r="X1602">
        <v>11.18</v>
      </c>
      <c r="Y1602" t="s">
        <v>3456</v>
      </c>
      <c r="Z1602" t="s">
        <v>142</v>
      </c>
      <c r="AA1602">
        <v>1.22</v>
      </c>
      <c r="AB1602">
        <v>7298</v>
      </c>
      <c r="AC1602">
        <v>500</v>
      </c>
      <c r="AD1602">
        <v>4.63</v>
      </c>
      <c r="AE1602" t="s">
        <v>4052</v>
      </c>
      <c r="AF1602" t="s">
        <v>5124</v>
      </c>
      <c r="AG1602" t="s">
        <v>1573</v>
      </c>
      <c r="AH1602" t="s">
        <v>2411</v>
      </c>
      <c r="AI1602">
        <v>1.81</v>
      </c>
      <c r="AJ1602">
        <v>6.25</v>
      </c>
      <c r="AK1602">
        <v>31.45</v>
      </c>
      <c r="AL1602">
        <v>47.07</v>
      </c>
    </row>
    <row r="1603" spans="1:38" x14ac:dyDescent="0.25">
      <c r="A1603">
        <v>1602</v>
      </c>
      <c r="B1603" t="str">
        <f xml:space="preserve"> "600676"</f>
        <v>600676</v>
      </c>
      <c r="C1603" t="s">
        <v>5906</v>
      </c>
      <c r="D1603">
        <v>7.78</v>
      </c>
      <c r="E1603">
        <v>0.39</v>
      </c>
      <c r="F1603">
        <v>0.03</v>
      </c>
      <c r="G1603" t="s">
        <v>1355</v>
      </c>
      <c r="H1603">
        <v>8</v>
      </c>
      <c r="I1603">
        <v>7.77</v>
      </c>
      <c r="J1603">
        <v>7.78</v>
      </c>
      <c r="K1603">
        <v>0.26</v>
      </c>
      <c r="L1603">
        <v>0.55000000000000004</v>
      </c>
      <c r="M1603" t="s">
        <v>5907</v>
      </c>
      <c r="N1603">
        <v>23.98</v>
      </c>
      <c r="O1603" t="s">
        <v>169</v>
      </c>
      <c r="P1603">
        <v>7.85</v>
      </c>
      <c r="Q1603">
        <v>7.73</v>
      </c>
      <c r="R1603">
        <v>7.75</v>
      </c>
      <c r="S1603">
        <v>7.75</v>
      </c>
      <c r="T1603">
        <v>1.55</v>
      </c>
      <c r="U1603">
        <v>1.26</v>
      </c>
      <c r="V1603">
        <v>-47.28</v>
      </c>
      <c r="W1603">
        <v>-2029</v>
      </c>
      <c r="X1603">
        <v>7.8</v>
      </c>
      <c r="Y1603" t="s">
        <v>658</v>
      </c>
      <c r="Z1603" t="s">
        <v>121</v>
      </c>
      <c r="AA1603">
        <v>0.71</v>
      </c>
      <c r="AB1603">
        <v>61</v>
      </c>
      <c r="AC1603">
        <v>297</v>
      </c>
      <c r="AD1603">
        <v>1.49</v>
      </c>
      <c r="AE1603" t="s">
        <v>707</v>
      </c>
      <c r="AF1603" t="s">
        <v>1099</v>
      </c>
      <c r="AG1603" t="s">
        <v>3879</v>
      </c>
      <c r="AH1603" t="s">
        <v>5179</v>
      </c>
      <c r="AI1603">
        <v>1.3</v>
      </c>
      <c r="AJ1603">
        <v>4.01</v>
      </c>
      <c r="AK1603">
        <v>1.65</v>
      </c>
      <c r="AL1603">
        <v>2.74</v>
      </c>
    </row>
    <row r="1604" spans="1:38" x14ac:dyDescent="0.25">
      <c r="A1604">
        <v>1603</v>
      </c>
      <c r="B1604" t="str">
        <f xml:space="preserve"> "300349"</f>
        <v>300349</v>
      </c>
      <c r="C1604" t="s">
        <v>5908</v>
      </c>
      <c r="D1604">
        <v>33.6</v>
      </c>
      <c r="E1604">
        <v>5.13</v>
      </c>
      <c r="F1604">
        <v>1.64</v>
      </c>
      <c r="G1604" t="s">
        <v>3960</v>
      </c>
      <c r="H1604">
        <v>583</v>
      </c>
      <c r="I1604">
        <v>33.6</v>
      </c>
      <c r="J1604">
        <v>33.61</v>
      </c>
      <c r="K1604">
        <v>0.27</v>
      </c>
      <c r="L1604">
        <v>6.14</v>
      </c>
      <c r="M1604" t="s">
        <v>3548</v>
      </c>
      <c r="N1604">
        <v>42.27</v>
      </c>
      <c r="O1604" t="s">
        <v>1372</v>
      </c>
      <c r="P1604">
        <v>34.5</v>
      </c>
      <c r="Q1604">
        <v>32.659999999999997</v>
      </c>
      <c r="R1604">
        <v>33.01</v>
      </c>
      <c r="S1604">
        <v>31.96</v>
      </c>
      <c r="T1604">
        <v>5.76</v>
      </c>
      <c r="U1604">
        <v>3.95</v>
      </c>
      <c r="V1604">
        <v>90.79</v>
      </c>
      <c r="W1604">
        <v>651</v>
      </c>
      <c r="X1604">
        <v>33.4</v>
      </c>
      <c r="Y1604" t="s">
        <v>1884</v>
      </c>
      <c r="Z1604" t="s">
        <v>2417</v>
      </c>
      <c r="AA1604">
        <v>0.8</v>
      </c>
      <c r="AB1604">
        <v>378</v>
      </c>
      <c r="AC1604">
        <v>5</v>
      </c>
      <c r="AD1604">
        <v>2.85</v>
      </c>
      <c r="AE1604" t="s">
        <v>1197</v>
      </c>
      <c r="AF1604" t="s">
        <v>5500</v>
      </c>
      <c r="AG1604" t="s">
        <v>1306</v>
      </c>
      <c r="AH1604" t="s">
        <v>5643</v>
      </c>
      <c r="AI1604">
        <v>4.1900000000000004</v>
      </c>
      <c r="AJ1604">
        <v>9.34</v>
      </c>
      <c r="AK1604">
        <v>9.49</v>
      </c>
      <c r="AL1604">
        <v>13.92</v>
      </c>
    </row>
    <row r="1605" spans="1:38" x14ac:dyDescent="0.25">
      <c r="A1605">
        <v>1604</v>
      </c>
      <c r="B1605" t="str">
        <f xml:space="preserve"> "002254"</f>
        <v>002254</v>
      </c>
      <c r="C1605" t="s">
        <v>5909</v>
      </c>
      <c r="D1605">
        <v>13.07</v>
      </c>
      <c r="E1605">
        <v>-0.23</v>
      </c>
      <c r="F1605">
        <v>-0.03</v>
      </c>
      <c r="G1605" t="s">
        <v>2407</v>
      </c>
      <c r="H1605">
        <v>1087</v>
      </c>
      <c r="I1605">
        <v>13.07</v>
      </c>
      <c r="J1605">
        <v>13.08</v>
      </c>
      <c r="K1605">
        <v>-0.08</v>
      </c>
      <c r="L1605">
        <v>0.8</v>
      </c>
      <c r="M1605" t="s">
        <v>5910</v>
      </c>
      <c r="N1605">
        <v>64.790000000000006</v>
      </c>
      <c r="O1605" t="s">
        <v>1798</v>
      </c>
      <c r="P1605">
        <v>13.23</v>
      </c>
      <c r="Q1605">
        <v>13.07</v>
      </c>
      <c r="R1605">
        <v>13.15</v>
      </c>
      <c r="S1605">
        <v>13.1</v>
      </c>
      <c r="T1605">
        <v>1.22</v>
      </c>
      <c r="U1605">
        <v>0.64</v>
      </c>
      <c r="V1605">
        <v>-28.05</v>
      </c>
      <c r="W1605">
        <v>-701</v>
      </c>
      <c r="X1605">
        <v>13.13</v>
      </c>
      <c r="Y1605" t="s">
        <v>5033</v>
      </c>
      <c r="Z1605" t="s">
        <v>2444</v>
      </c>
      <c r="AA1605">
        <v>1.0900000000000001</v>
      </c>
      <c r="AB1605">
        <v>99</v>
      </c>
      <c r="AC1605">
        <v>356</v>
      </c>
      <c r="AD1605">
        <v>4</v>
      </c>
      <c r="AE1605" t="s">
        <v>5240</v>
      </c>
      <c r="AF1605" t="s">
        <v>5911</v>
      </c>
      <c r="AG1605" t="s">
        <v>5240</v>
      </c>
      <c r="AH1605" t="s">
        <v>5911</v>
      </c>
      <c r="AI1605">
        <v>-0.83</v>
      </c>
      <c r="AJ1605">
        <v>1.71</v>
      </c>
      <c r="AK1605">
        <v>2.88</v>
      </c>
      <c r="AL1605">
        <v>7.09</v>
      </c>
    </row>
    <row r="1606" spans="1:38" x14ac:dyDescent="0.25">
      <c r="A1606">
        <v>1605</v>
      </c>
      <c r="B1606" t="str">
        <f xml:space="preserve"> "002392"</f>
        <v>002392</v>
      </c>
      <c r="C1606" t="s">
        <v>5912</v>
      </c>
      <c r="D1606">
        <v>6.7</v>
      </c>
      <c r="E1606">
        <v>0.15</v>
      </c>
      <c r="F1606">
        <v>0.01</v>
      </c>
      <c r="G1606" t="s">
        <v>763</v>
      </c>
      <c r="H1606">
        <v>3036</v>
      </c>
      <c r="I1606">
        <v>6.69</v>
      </c>
      <c r="J1606">
        <v>6.7</v>
      </c>
      <c r="K1606">
        <v>0</v>
      </c>
      <c r="L1606">
        <v>4.0599999999999996</v>
      </c>
      <c r="M1606" t="s">
        <v>1965</v>
      </c>
      <c r="N1606">
        <v>47.23</v>
      </c>
      <c r="O1606" t="s">
        <v>859</v>
      </c>
      <c r="P1606">
        <v>6.77</v>
      </c>
      <c r="Q1606">
        <v>6.56</v>
      </c>
      <c r="R1606">
        <v>6.65</v>
      </c>
      <c r="S1606">
        <v>6.69</v>
      </c>
      <c r="T1606">
        <v>3.14</v>
      </c>
      <c r="U1606">
        <v>0.4</v>
      </c>
      <c r="V1606">
        <v>4.41</v>
      </c>
      <c r="W1606">
        <v>791</v>
      </c>
      <c r="X1606">
        <v>6.67</v>
      </c>
      <c r="Y1606" t="s">
        <v>2470</v>
      </c>
      <c r="Z1606" t="s">
        <v>160</v>
      </c>
      <c r="AA1606">
        <v>1.28</v>
      </c>
      <c r="AB1606">
        <v>1456</v>
      </c>
      <c r="AC1606">
        <v>1848</v>
      </c>
      <c r="AD1606">
        <v>2.6</v>
      </c>
      <c r="AE1606" t="s">
        <v>1011</v>
      </c>
      <c r="AF1606" t="s">
        <v>5911</v>
      </c>
      <c r="AG1606" t="s">
        <v>4534</v>
      </c>
      <c r="AH1606" t="s">
        <v>1122</v>
      </c>
      <c r="AI1606">
        <v>-7.33</v>
      </c>
      <c r="AJ1606">
        <v>-7.33</v>
      </c>
      <c r="AK1606">
        <v>12.89</v>
      </c>
      <c r="AL1606">
        <v>12.89</v>
      </c>
    </row>
    <row r="1607" spans="1:38" x14ac:dyDescent="0.25">
      <c r="A1607">
        <v>1606</v>
      </c>
      <c r="B1607" t="str">
        <f xml:space="preserve"> "300039"</f>
        <v>300039</v>
      </c>
      <c r="C1607" t="s">
        <v>5913</v>
      </c>
      <c r="D1607">
        <v>7.44</v>
      </c>
      <c r="E1607">
        <v>1.22</v>
      </c>
      <c r="F1607">
        <v>0.09</v>
      </c>
      <c r="G1607" t="s">
        <v>689</v>
      </c>
      <c r="H1607">
        <v>1031</v>
      </c>
      <c r="I1607">
        <v>7.43</v>
      </c>
      <c r="J1607">
        <v>7.44</v>
      </c>
      <c r="K1607">
        <v>0</v>
      </c>
      <c r="L1607">
        <v>1.77</v>
      </c>
      <c r="M1607" t="s">
        <v>1907</v>
      </c>
      <c r="N1607">
        <v>20.49</v>
      </c>
      <c r="O1607" t="s">
        <v>392</v>
      </c>
      <c r="P1607">
        <v>7.48</v>
      </c>
      <c r="Q1607">
        <v>7.31</v>
      </c>
      <c r="R1607">
        <v>7.35</v>
      </c>
      <c r="S1607">
        <v>7.35</v>
      </c>
      <c r="T1607">
        <v>2.31</v>
      </c>
      <c r="U1607">
        <v>1.93</v>
      </c>
      <c r="V1607">
        <v>-38.92</v>
      </c>
      <c r="W1607">
        <v>-6728</v>
      </c>
      <c r="X1607">
        <v>7.39</v>
      </c>
      <c r="Y1607" t="s">
        <v>2401</v>
      </c>
      <c r="Z1607" t="s">
        <v>1825</v>
      </c>
      <c r="AA1607">
        <v>0.81</v>
      </c>
      <c r="AB1607">
        <v>1067</v>
      </c>
      <c r="AC1607">
        <v>3296</v>
      </c>
      <c r="AD1607">
        <v>3.48</v>
      </c>
      <c r="AE1607" t="s">
        <v>1429</v>
      </c>
      <c r="AF1607" t="s">
        <v>5329</v>
      </c>
      <c r="AG1607" t="s">
        <v>2385</v>
      </c>
      <c r="AH1607" t="s">
        <v>5914</v>
      </c>
      <c r="AI1607">
        <v>0.54</v>
      </c>
      <c r="AJ1607">
        <v>4.3499999999999996</v>
      </c>
      <c r="AK1607">
        <v>3.62</v>
      </c>
      <c r="AL1607">
        <v>6.33</v>
      </c>
    </row>
    <row r="1608" spans="1:38" x14ac:dyDescent="0.25">
      <c r="A1608">
        <v>1607</v>
      </c>
      <c r="B1608" t="str">
        <f xml:space="preserve"> "002485"</f>
        <v>002485</v>
      </c>
      <c r="C1608" t="s">
        <v>5915</v>
      </c>
      <c r="D1608">
        <v>24.91</v>
      </c>
      <c r="E1608">
        <v>0.04</v>
      </c>
      <c r="F1608">
        <v>0.01</v>
      </c>
      <c r="G1608">
        <v>7426</v>
      </c>
      <c r="H1608">
        <v>5</v>
      </c>
      <c r="I1608">
        <v>24.9</v>
      </c>
      <c r="J1608">
        <v>24.94</v>
      </c>
      <c r="K1608">
        <v>0.08</v>
      </c>
      <c r="L1608">
        <v>0.23</v>
      </c>
      <c r="M1608" t="s">
        <v>5916</v>
      </c>
      <c r="N1608">
        <v>-171.77</v>
      </c>
      <c r="O1608" t="s">
        <v>1443</v>
      </c>
      <c r="P1608">
        <v>25</v>
      </c>
      <c r="Q1608">
        <v>24.68</v>
      </c>
      <c r="R1608">
        <v>24.68</v>
      </c>
      <c r="S1608">
        <v>24.9</v>
      </c>
      <c r="T1608">
        <v>1.29</v>
      </c>
      <c r="U1608">
        <v>0.89</v>
      </c>
      <c r="V1608">
        <v>-3.38</v>
      </c>
      <c r="W1608">
        <v>-10</v>
      </c>
      <c r="X1608">
        <v>24.93</v>
      </c>
      <c r="Y1608">
        <v>4672</v>
      </c>
      <c r="Z1608">
        <v>2754</v>
      </c>
      <c r="AA1608">
        <v>1.7</v>
      </c>
      <c r="AB1608">
        <v>26</v>
      </c>
      <c r="AC1608">
        <v>63</v>
      </c>
      <c r="AD1608">
        <v>4.08</v>
      </c>
      <c r="AE1608" t="s">
        <v>2738</v>
      </c>
      <c r="AF1608" t="s">
        <v>5329</v>
      </c>
      <c r="AG1608" t="s">
        <v>2738</v>
      </c>
      <c r="AH1608" t="s">
        <v>5329</v>
      </c>
      <c r="AI1608">
        <v>0.4</v>
      </c>
      <c r="AJ1608">
        <v>0.2</v>
      </c>
      <c r="AK1608">
        <v>0.71</v>
      </c>
      <c r="AL1608">
        <v>1.53</v>
      </c>
    </row>
    <row r="1609" spans="1:38" x14ac:dyDescent="0.25">
      <c r="A1609">
        <v>1608</v>
      </c>
      <c r="B1609" t="str">
        <f xml:space="preserve"> "600662"</f>
        <v>600662</v>
      </c>
      <c r="C1609" t="s">
        <v>5917</v>
      </c>
      <c r="D1609">
        <v>7.54</v>
      </c>
      <c r="E1609">
        <v>-0.53</v>
      </c>
      <c r="F1609">
        <v>-0.04</v>
      </c>
      <c r="G1609" t="s">
        <v>4583</v>
      </c>
      <c r="H1609">
        <v>10</v>
      </c>
      <c r="I1609">
        <v>7.53</v>
      </c>
      <c r="J1609">
        <v>7.54</v>
      </c>
      <c r="K1609">
        <v>0.13</v>
      </c>
      <c r="L1609">
        <v>0.43</v>
      </c>
      <c r="M1609" t="s">
        <v>5918</v>
      </c>
      <c r="N1609">
        <v>132.37</v>
      </c>
      <c r="O1609" t="s">
        <v>274</v>
      </c>
      <c r="P1609">
        <v>7.6</v>
      </c>
      <c r="Q1609">
        <v>7.51</v>
      </c>
      <c r="R1609">
        <v>7.6</v>
      </c>
      <c r="S1609">
        <v>7.58</v>
      </c>
      <c r="T1609">
        <v>1.19</v>
      </c>
      <c r="U1609">
        <v>0.88</v>
      </c>
      <c r="V1609">
        <v>-0.36</v>
      </c>
      <c r="W1609">
        <v>-26</v>
      </c>
      <c r="X1609">
        <v>7.53</v>
      </c>
      <c r="Y1609" t="s">
        <v>3357</v>
      </c>
      <c r="Z1609" t="s">
        <v>1986</v>
      </c>
      <c r="AA1609">
        <v>1.24</v>
      </c>
      <c r="AB1609">
        <v>680</v>
      </c>
      <c r="AC1609">
        <v>688</v>
      </c>
      <c r="AD1609">
        <v>2.5</v>
      </c>
      <c r="AE1609" t="s">
        <v>2066</v>
      </c>
      <c r="AF1609" t="s">
        <v>4968</v>
      </c>
      <c r="AG1609" t="s">
        <v>2066</v>
      </c>
      <c r="AH1609" t="s">
        <v>4968</v>
      </c>
      <c r="AI1609">
        <v>0</v>
      </c>
      <c r="AJ1609">
        <v>2.72</v>
      </c>
      <c r="AK1609">
        <v>1.38</v>
      </c>
      <c r="AL1609">
        <v>2.85</v>
      </c>
    </row>
    <row r="1610" spans="1:38" x14ac:dyDescent="0.25">
      <c r="A1610">
        <v>1609</v>
      </c>
      <c r="B1610" t="str">
        <f xml:space="preserve"> "002061"</f>
        <v>002061</v>
      </c>
      <c r="C1610" t="s">
        <v>5919</v>
      </c>
      <c r="D1610">
        <v>11.99</v>
      </c>
      <c r="E1610">
        <v>2.04</v>
      </c>
      <c r="F1610">
        <v>0.24</v>
      </c>
      <c r="G1610" t="s">
        <v>3124</v>
      </c>
      <c r="H1610">
        <v>1246</v>
      </c>
      <c r="I1610">
        <v>11.98</v>
      </c>
      <c r="J1610">
        <v>11.99</v>
      </c>
      <c r="K1610">
        <v>0</v>
      </c>
      <c r="L1610">
        <v>1.86</v>
      </c>
      <c r="M1610" t="s">
        <v>1442</v>
      </c>
      <c r="N1610">
        <v>20.350000000000001</v>
      </c>
      <c r="O1610" t="s">
        <v>667</v>
      </c>
      <c r="P1610">
        <v>12.06</v>
      </c>
      <c r="Q1610">
        <v>11.45</v>
      </c>
      <c r="R1610">
        <v>11.78</v>
      </c>
      <c r="S1610">
        <v>11.75</v>
      </c>
      <c r="T1610">
        <v>5.19</v>
      </c>
      <c r="U1610">
        <v>0.86</v>
      </c>
      <c r="V1610">
        <v>-56.79</v>
      </c>
      <c r="W1610">
        <v>-1483</v>
      </c>
      <c r="X1610">
        <v>11.91</v>
      </c>
      <c r="Y1610" t="s">
        <v>1525</v>
      </c>
      <c r="Z1610" t="s">
        <v>1059</v>
      </c>
      <c r="AA1610">
        <v>0.6</v>
      </c>
      <c r="AB1610">
        <v>89</v>
      </c>
      <c r="AC1610">
        <v>164</v>
      </c>
      <c r="AD1610">
        <v>2.88</v>
      </c>
      <c r="AE1610" t="s">
        <v>5274</v>
      </c>
      <c r="AF1610" t="s">
        <v>1527</v>
      </c>
      <c r="AG1610" t="s">
        <v>112</v>
      </c>
      <c r="AH1610" t="s">
        <v>5920</v>
      </c>
      <c r="AI1610">
        <v>-1.96</v>
      </c>
      <c r="AJ1610">
        <v>0.76</v>
      </c>
      <c r="AK1610">
        <v>6.28</v>
      </c>
      <c r="AL1610">
        <v>12.66</v>
      </c>
    </row>
    <row r="1611" spans="1:38" x14ac:dyDescent="0.25">
      <c r="A1611">
        <v>1610</v>
      </c>
      <c r="B1611" t="str">
        <f xml:space="preserve"> "300410"</f>
        <v>300410</v>
      </c>
      <c r="C1611" t="s">
        <v>5921</v>
      </c>
      <c r="D1611" t="s">
        <v>616</v>
      </c>
      <c r="E1611" t="s">
        <v>616</v>
      </c>
      <c r="F1611" t="s">
        <v>616</v>
      </c>
      <c r="G1611" t="s">
        <v>616</v>
      </c>
      <c r="H1611" t="s">
        <v>616</v>
      </c>
      <c r="I1611" t="s">
        <v>616</v>
      </c>
      <c r="J1611" t="s">
        <v>616</v>
      </c>
      <c r="K1611" t="s">
        <v>616</v>
      </c>
      <c r="L1611" t="s">
        <v>616</v>
      </c>
      <c r="M1611" t="s">
        <v>616</v>
      </c>
      <c r="N1611">
        <v>48.55</v>
      </c>
      <c r="O1611" t="s">
        <v>380</v>
      </c>
      <c r="P1611" t="s">
        <v>616</v>
      </c>
      <c r="Q1611" t="s">
        <v>616</v>
      </c>
      <c r="R1611" t="s">
        <v>616</v>
      </c>
      <c r="S1611">
        <v>40.25</v>
      </c>
      <c r="T1611" t="s">
        <v>616</v>
      </c>
      <c r="U1611" t="s">
        <v>616</v>
      </c>
      <c r="V1611" t="s">
        <v>616</v>
      </c>
      <c r="W1611" t="s">
        <v>616</v>
      </c>
      <c r="X1611" t="s">
        <v>616</v>
      </c>
      <c r="Y1611" t="s">
        <v>616</v>
      </c>
      <c r="Z1611" t="s">
        <v>616</v>
      </c>
      <c r="AA1611" t="s">
        <v>616</v>
      </c>
      <c r="AB1611" t="s">
        <v>616</v>
      </c>
      <c r="AC1611" t="s">
        <v>616</v>
      </c>
      <c r="AD1611">
        <v>4.2300000000000004</v>
      </c>
      <c r="AE1611" t="s">
        <v>4935</v>
      </c>
      <c r="AF1611" t="s">
        <v>1527</v>
      </c>
      <c r="AG1611" t="s">
        <v>5922</v>
      </c>
      <c r="AH1611" t="s">
        <v>395</v>
      </c>
      <c r="AI1611">
        <v>0</v>
      </c>
      <c r="AJ1611">
        <v>0</v>
      </c>
      <c r="AK1611">
        <v>0</v>
      </c>
      <c r="AL1611">
        <v>1.92</v>
      </c>
    </row>
    <row r="1612" spans="1:38" x14ac:dyDescent="0.25">
      <c r="A1612">
        <v>1611</v>
      </c>
      <c r="B1612" t="str">
        <f xml:space="preserve"> "002067"</f>
        <v>002067</v>
      </c>
      <c r="C1612" t="s">
        <v>5923</v>
      </c>
      <c r="D1612">
        <v>7.03</v>
      </c>
      <c r="E1612">
        <v>-0.56999999999999995</v>
      </c>
      <c r="F1612">
        <v>-0.04</v>
      </c>
      <c r="G1612" t="s">
        <v>840</v>
      </c>
      <c r="H1612">
        <v>1389</v>
      </c>
      <c r="I1612">
        <v>7.02</v>
      </c>
      <c r="J1612">
        <v>7.03</v>
      </c>
      <c r="K1612">
        <v>0.14000000000000001</v>
      </c>
      <c r="L1612">
        <v>2.06</v>
      </c>
      <c r="M1612" t="s">
        <v>3923</v>
      </c>
      <c r="N1612">
        <v>16.8</v>
      </c>
      <c r="O1612" t="s">
        <v>1874</v>
      </c>
      <c r="P1612">
        <v>7.08</v>
      </c>
      <c r="Q1612">
        <v>6.99</v>
      </c>
      <c r="R1612">
        <v>7.06</v>
      </c>
      <c r="S1612">
        <v>7.07</v>
      </c>
      <c r="T1612">
        <v>1.27</v>
      </c>
      <c r="U1612">
        <v>0.42</v>
      </c>
      <c r="V1612">
        <v>-1.73</v>
      </c>
      <c r="W1612">
        <v>-615</v>
      </c>
      <c r="X1612">
        <v>7.02</v>
      </c>
      <c r="Y1612" t="s">
        <v>3073</v>
      </c>
      <c r="Z1612" t="s">
        <v>3828</v>
      </c>
      <c r="AA1612">
        <v>1.51</v>
      </c>
      <c r="AB1612">
        <v>3449</v>
      </c>
      <c r="AC1612">
        <v>701</v>
      </c>
      <c r="AD1612">
        <v>2.23</v>
      </c>
      <c r="AE1612" t="s">
        <v>2756</v>
      </c>
      <c r="AF1612" t="s">
        <v>1527</v>
      </c>
      <c r="AG1612" t="s">
        <v>3583</v>
      </c>
      <c r="AH1612" t="s">
        <v>2411</v>
      </c>
      <c r="AI1612">
        <v>-0.99</v>
      </c>
      <c r="AJ1612">
        <v>1.01</v>
      </c>
      <c r="AK1612">
        <v>11.28</v>
      </c>
      <c r="AL1612">
        <v>26.81</v>
      </c>
    </row>
    <row r="1613" spans="1:38" x14ac:dyDescent="0.25">
      <c r="A1613">
        <v>1612</v>
      </c>
      <c r="B1613" t="str">
        <f xml:space="preserve"> "300516"</f>
        <v>300516</v>
      </c>
      <c r="C1613" t="s">
        <v>5924</v>
      </c>
      <c r="D1613">
        <v>66.09</v>
      </c>
      <c r="E1613">
        <v>-0.14000000000000001</v>
      </c>
      <c r="F1613">
        <v>-0.09</v>
      </c>
      <c r="G1613">
        <v>4542</v>
      </c>
      <c r="H1613">
        <v>57</v>
      </c>
      <c r="I1613">
        <v>66.09</v>
      </c>
      <c r="J1613">
        <v>66.099999999999994</v>
      </c>
      <c r="K1613">
        <v>0.03</v>
      </c>
      <c r="L1613">
        <v>0.96</v>
      </c>
      <c r="M1613" t="s">
        <v>5925</v>
      </c>
      <c r="N1613">
        <v>102.03</v>
      </c>
      <c r="O1613" t="s">
        <v>380</v>
      </c>
      <c r="P1613">
        <v>66.3</v>
      </c>
      <c r="Q1613">
        <v>65.680000000000007</v>
      </c>
      <c r="R1613">
        <v>66</v>
      </c>
      <c r="S1613">
        <v>66.180000000000007</v>
      </c>
      <c r="T1613">
        <v>0.94</v>
      </c>
      <c r="U1613">
        <v>0.56999999999999995</v>
      </c>
      <c r="V1613">
        <v>14.29</v>
      </c>
      <c r="W1613">
        <v>14</v>
      </c>
      <c r="X1613">
        <v>65.989999999999995</v>
      </c>
      <c r="Y1613">
        <v>2497</v>
      </c>
      <c r="Z1613">
        <v>2045</v>
      </c>
      <c r="AA1613">
        <v>1.22</v>
      </c>
      <c r="AB1613">
        <v>1</v>
      </c>
      <c r="AC1613">
        <v>14</v>
      </c>
      <c r="AD1613">
        <v>6.82</v>
      </c>
      <c r="AE1613" t="s">
        <v>918</v>
      </c>
      <c r="AF1613" t="s">
        <v>1527</v>
      </c>
      <c r="AG1613" t="s">
        <v>5926</v>
      </c>
      <c r="AH1613" t="s">
        <v>2205</v>
      </c>
      <c r="AI1613">
        <v>-2.1</v>
      </c>
      <c r="AJ1613">
        <v>-2.2200000000000002</v>
      </c>
      <c r="AK1613">
        <v>4.62</v>
      </c>
      <c r="AL1613">
        <v>9.43</v>
      </c>
    </row>
    <row r="1614" spans="1:38" x14ac:dyDescent="0.25">
      <c r="A1614">
        <v>1613</v>
      </c>
      <c r="B1614" t="str">
        <f xml:space="preserve"> "300109"</f>
        <v>300109</v>
      </c>
      <c r="C1614" t="s">
        <v>5927</v>
      </c>
      <c r="D1614" t="s">
        <v>616</v>
      </c>
      <c r="E1614" t="s">
        <v>616</v>
      </c>
      <c r="F1614" t="s">
        <v>616</v>
      </c>
      <c r="G1614" t="s">
        <v>616</v>
      </c>
      <c r="H1614" t="s">
        <v>616</v>
      </c>
      <c r="I1614" t="s">
        <v>616</v>
      </c>
      <c r="J1614" t="s">
        <v>616</v>
      </c>
      <c r="K1614" t="s">
        <v>616</v>
      </c>
      <c r="L1614" t="s">
        <v>616</v>
      </c>
      <c r="M1614" t="s">
        <v>616</v>
      </c>
      <c r="N1614">
        <v>77.27</v>
      </c>
      <c r="O1614" t="s">
        <v>667</v>
      </c>
      <c r="P1614" t="s">
        <v>616</v>
      </c>
      <c r="Q1614" t="s">
        <v>616</v>
      </c>
      <c r="R1614" t="s">
        <v>616</v>
      </c>
      <c r="S1614">
        <v>46.46</v>
      </c>
      <c r="T1614" t="s">
        <v>616</v>
      </c>
      <c r="U1614" t="s">
        <v>616</v>
      </c>
      <c r="V1614" t="s">
        <v>616</v>
      </c>
      <c r="W1614" t="s">
        <v>616</v>
      </c>
      <c r="X1614" t="s">
        <v>616</v>
      </c>
      <c r="Y1614" t="s">
        <v>616</v>
      </c>
      <c r="Z1614" t="s">
        <v>616</v>
      </c>
      <c r="AA1614" t="s">
        <v>616</v>
      </c>
      <c r="AB1614" t="s">
        <v>616</v>
      </c>
      <c r="AC1614" t="s">
        <v>616</v>
      </c>
      <c r="AD1614">
        <v>6.28</v>
      </c>
      <c r="AE1614" t="s">
        <v>2345</v>
      </c>
      <c r="AF1614" t="s">
        <v>3796</v>
      </c>
      <c r="AG1614" t="s">
        <v>4681</v>
      </c>
      <c r="AH1614" t="s">
        <v>5928</v>
      </c>
      <c r="AI1614">
        <v>0</v>
      </c>
      <c r="AJ1614">
        <v>0</v>
      </c>
      <c r="AK1614">
        <v>0</v>
      </c>
      <c r="AL1614">
        <v>0</v>
      </c>
    </row>
    <row r="1615" spans="1:38" x14ac:dyDescent="0.25">
      <c r="A1615">
        <v>1614</v>
      </c>
      <c r="B1615" t="str">
        <f xml:space="preserve"> "002852"</f>
        <v>002852</v>
      </c>
      <c r="C1615" t="s">
        <v>5929</v>
      </c>
      <c r="D1615">
        <v>79.11</v>
      </c>
      <c r="E1615">
        <v>0.19</v>
      </c>
      <c r="F1615">
        <v>0.15</v>
      </c>
      <c r="G1615" t="s">
        <v>2202</v>
      </c>
      <c r="H1615">
        <v>425</v>
      </c>
      <c r="I1615">
        <v>79.099999999999994</v>
      </c>
      <c r="J1615">
        <v>79.11</v>
      </c>
      <c r="K1615">
        <v>0.01</v>
      </c>
      <c r="L1615">
        <v>9.3800000000000008</v>
      </c>
      <c r="M1615" t="s">
        <v>823</v>
      </c>
      <c r="N1615">
        <v>41.83</v>
      </c>
      <c r="O1615" t="s">
        <v>406</v>
      </c>
      <c r="P1615">
        <v>80.52</v>
      </c>
      <c r="Q1615">
        <v>77.38</v>
      </c>
      <c r="R1615">
        <v>79.2</v>
      </c>
      <c r="S1615">
        <v>78.959999999999994</v>
      </c>
      <c r="T1615">
        <v>3.98</v>
      </c>
      <c r="U1615">
        <v>1.9</v>
      </c>
      <c r="V1615">
        <v>39.61</v>
      </c>
      <c r="W1615">
        <v>164</v>
      </c>
      <c r="X1615">
        <v>79.22</v>
      </c>
      <c r="Y1615" t="s">
        <v>2089</v>
      </c>
      <c r="Z1615" t="s">
        <v>3941</v>
      </c>
      <c r="AA1615">
        <v>1.04</v>
      </c>
      <c r="AB1615">
        <v>111</v>
      </c>
      <c r="AC1615">
        <v>66</v>
      </c>
      <c r="AD1615">
        <v>7.44</v>
      </c>
      <c r="AE1615" t="s">
        <v>4464</v>
      </c>
      <c r="AF1615" t="s">
        <v>5930</v>
      </c>
      <c r="AG1615" t="s">
        <v>5931</v>
      </c>
      <c r="AH1615" t="s">
        <v>4818</v>
      </c>
      <c r="AI1615">
        <v>2.61</v>
      </c>
      <c r="AJ1615">
        <v>7.31</v>
      </c>
      <c r="AK1615">
        <v>21.95</v>
      </c>
      <c r="AL1615">
        <v>34.08</v>
      </c>
    </row>
    <row r="1616" spans="1:38" x14ac:dyDescent="0.25">
      <c r="A1616">
        <v>1615</v>
      </c>
      <c r="B1616" t="str">
        <f xml:space="preserve"> "002298"</f>
        <v>002298</v>
      </c>
      <c r="C1616" t="s">
        <v>5932</v>
      </c>
      <c r="D1616">
        <v>11.23</v>
      </c>
      <c r="E1616">
        <v>0.81</v>
      </c>
      <c r="F1616">
        <v>0.09</v>
      </c>
      <c r="G1616" t="s">
        <v>2755</v>
      </c>
      <c r="H1616">
        <v>262</v>
      </c>
      <c r="I1616">
        <v>11.22</v>
      </c>
      <c r="J1616">
        <v>11.23</v>
      </c>
      <c r="K1616">
        <v>0.09</v>
      </c>
      <c r="L1616">
        <v>0.64</v>
      </c>
      <c r="M1616" t="s">
        <v>5933</v>
      </c>
      <c r="N1616">
        <v>48.57</v>
      </c>
      <c r="O1616" t="s">
        <v>205</v>
      </c>
      <c r="P1616">
        <v>11.27</v>
      </c>
      <c r="Q1616">
        <v>11.14</v>
      </c>
      <c r="R1616">
        <v>11.14</v>
      </c>
      <c r="S1616">
        <v>11.14</v>
      </c>
      <c r="T1616">
        <v>1.17</v>
      </c>
      <c r="U1616">
        <v>0.81</v>
      </c>
      <c r="V1616">
        <v>-11.66</v>
      </c>
      <c r="W1616">
        <v>-488</v>
      </c>
      <c r="X1616">
        <v>11.22</v>
      </c>
      <c r="Y1616" t="s">
        <v>1579</v>
      </c>
      <c r="Z1616" t="s">
        <v>3519</v>
      </c>
      <c r="AA1616">
        <v>0.85</v>
      </c>
      <c r="AB1616">
        <v>678</v>
      </c>
      <c r="AC1616">
        <v>438</v>
      </c>
      <c r="AD1616">
        <v>1.88</v>
      </c>
      <c r="AE1616" t="s">
        <v>3364</v>
      </c>
      <c r="AF1616" t="s">
        <v>5930</v>
      </c>
      <c r="AG1616" t="s">
        <v>2820</v>
      </c>
      <c r="AH1616" t="s">
        <v>2454</v>
      </c>
      <c r="AI1616">
        <v>-0.62</v>
      </c>
      <c r="AJ1616">
        <v>3.22</v>
      </c>
      <c r="AK1616">
        <v>2.25</v>
      </c>
      <c r="AL1616">
        <v>4.57</v>
      </c>
    </row>
    <row r="1617" spans="1:38" x14ac:dyDescent="0.25">
      <c r="A1617">
        <v>1616</v>
      </c>
      <c r="B1617" t="str">
        <f xml:space="preserve"> "000669"</f>
        <v>000669</v>
      </c>
      <c r="C1617" t="s">
        <v>5934</v>
      </c>
      <c r="D1617">
        <v>16.239999999999998</v>
      </c>
      <c r="E1617">
        <v>0.81</v>
      </c>
      <c r="F1617">
        <v>0.13</v>
      </c>
      <c r="G1617" t="s">
        <v>2180</v>
      </c>
      <c r="H1617">
        <v>642</v>
      </c>
      <c r="I1617">
        <v>16.239999999999998</v>
      </c>
      <c r="J1617">
        <v>16.25</v>
      </c>
      <c r="K1617">
        <v>0</v>
      </c>
      <c r="L1617">
        <v>0.82</v>
      </c>
      <c r="M1617" t="s">
        <v>5935</v>
      </c>
      <c r="N1617">
        <v>22.85</v>
      </c>
      <c r="O1617" t="s">
        <v>2085</v>
      </c>
      <c r="P1617">
        <v>16.420000000000002</v>
      </c>
      <c r="Q1617">
        <v>16.16</v>
      </c>
      <c r="R1617">
        <v>16.21</v>
      </c>
      <c r="S1617">
        <v>16.11</v>
      </c>
      <c r="T1617">
        <v>1.61</v>
      </c>
      <c r="U1617">
        <v>1.24</v>
      </c>
      <c r="V1617">
        <v>-38.25</v>
      </c>
      <c r="W1617">
        <v>-978</v>
      </c>
      <c r="X1617">
        <v>16.260000000000002</v>
      </c>
      <c r="Y1617" t="s">
        <v>507</v>
      </c>
      <c r="Z1617" t="s">
        <v>3062</v>
      </c>
      <c r="AA1617">
        <v>0.98</v>
      </c>
      <c r="AB1617">
        <v>167</v>
      </c>
      <c r="AC1617">
        <v>493</v>
      </c>
      <c r="AD1617">
        <v>1.94</v>
      </c>
      <c r="AE1617" t="s">
        <v>1455</v>
      </c>
      <c r="AF1617" t="s">
        <v>5117</v>
      </c>
      <c r="AG1617" t="s">
        <v>4285</v>
      </c>
      <c r="AH1617" t="s">
        <v>5936</v>
      </c>
      <c r="AI1617">
        <v>0.81</v>
      </c>
      <c r="AJ1617">
        <v>1.82</v>
      </c>
      <c r="AK1617">
        <v>2.15</v>
      </c>
      <c r="AL1617">
        <v>4.1399999999999997</v>
      </c>
    </row>
    <row r="1618" spans="1:38" x14ac:dyDescent="0.25">
      <c r="A1618">
        <v>1617</v>
      </c>
      <c r="B1618" t="str">
        <f xml:space="preserve"> "000852"</f>
        <v>000852</v>
      </c>
      <c r="C1618" t="s">
        <v>5937</v>
      </c>
      <c r="D1618">
        <v>13.19</v>
      </c>
      <c r="E1618">
        <v>-0.08</v>
      </c>
      <c r="F1618">
        <v>-0.01</v>
      </c>
      <c r="G1618" t="s">
        <v>630</v>
      </c>
      <c r="H1618">
        <v>1361</v>
      </c>
      <c r="I1618">
        <v>13.19</v>
      </c>
      <c r="J1618">
        <v>13.2</v>
      </c>
      <c r="K1618">
        <v>0</v>
      </c>
      <c r="L1618">
        <v>2.16</v>
      </c>
      <c r="M1618" t="s">
        <v>989</v>
      </c>
      <c r="N1618">
        <v>-24.82</v>
      </c>
      <c r="O1618" t="s">
        <v>648</v>
      </c>
      <c r="P1618">
        <v>13.24</v>
      </c>
      <c r="Q1618">
        <v>12.97</v>
      </c>
      <c r="R1618">
        <v>13.19</v>
      </c>
      <c r="S1618">
        <v>13.2</v>
      </c>
      <c r="T1618">
        <v>2.0499999999999998</v>
      </c>
      <c r="U1618">
        <v>1.19</v>
      </c>
      <c r="V1618">
        <v>30.02</v>
      </c>
      <c r="W1618">
        <v>1841</v>
      </c>
      <c r="X1618">
        <v>13.1</v>
      </c>
      <c r="Y1618" t="s">
        <v>3812</v>
      </c>
      <c r="Z1618" t="s">
        <v>4012</v>
      </c>
      <c r="AA1618">
        <v>1.1599999999999999</v>
      </c>
      <c r="AB1618">
        <v>65</v>
      </c>
      <c r="AC1618">
        <v>728</v>
      </c>
      <c r="AD1618">
        <v>4.9400000000000004</v>
      </c>
      <c r="AE1618" t="s">
        <v>4099</v>
      </c>
      <c r="AF1618" t="s">
        <v>5117</v>
      </c>
      <c r="AG1618" t="s">
        <v>4099</v>
      </c>
      <c r="AH1618" t="s">
        <v>5117</v>
      </c>
      <c r="AI1618">
        <v>-3.09</v>
      </c>
      <c r="AJ1618">
        <v>-1.49</v>
      </c>
      <c r="AK1618">
        <v>6.32</v>
      </c>
      <c r="AL1618">
        <v>11.19</v>
      </c>
    </row>
    <row r="1619" spans="1:38" x14ac:dyDescent="0.25">
      <c r="A1619">
        <v>1618</v>
      </c>
      <c r="B1619" t="str">
        <f xml:space="preserve"> "002425"</f>
        <v>002425</v>
      </c>
      <c r="C1619" t="s">
        <v>5938</v>
      </c>
      <c r="D1619">
        <v>9.69</v>
      </c>
      <c r="E1619">
        <v>-1.22</v>
      </c>
      <c r="F1619">
        <v>-0.12</v>
      </c>
      <c r="G1619" t="s">
        <v>1539</v>
      </c>
      <c r="H1619">
        <v>590</v>
      </c>
      <c r="I1619">
        <v>9.68</v>
      </c>
      <c r="J1619">
        <v>9.69</v>
      </c>
      <c r="K1619">
        <v>0</v>
      </c>
      <c r="L1619">
        <v>0.52</v>
      </c>
      <c r="M1619" t="s">
        <v>5939</v>
      </c>
      <c r="N1619">
        <v>40.020000000000003</v>
      </c>
      <c r="O1619" t="s">
        <v>1126</v>
      </c>
      <c r="P1619">
        <v>9.8000000000000007</v>
      </c>
      <c r="Q1619">
        <v>9.67</v>
      </c>
      <c r="R1619">
        <v>9.8000000000000007</v>
      </c>
      <c r="S1619">
        <v>9.81</v>
      </c>
      <c r="T1619">
        <v>1.33</v>
      </c>
      <c r="U1619">
        <v>0.75</v>
      </c>
      <c r="V1619">
        <v>26.92</v>
      </c>
      <c r="W1619">
        <v>1245</v>
      </c>
      <c r="X1619">
        <v>9.7100000000000009</v>
      </c>
      <c r="Y1619" t="s">
        <v>623</v>
      </c>
      <c r="Z1619" t="s">
        <v>2089</v>
      </c>
      <c r="AA1619">
        <v>2.25</v>
      </c>
      <c r="AB1619">
        <v>960</v>
      </c>
      <c r="AC1619">
        <v>254</v>
      </c>
      <c r="AD1619">
        <v>2.2599999999999998</v>
      </c>
      <c r="AE1619" t="s">
        <v>4981</v>
      </c>
      <c r="AF1619" t="s">
        <v>5117</v>
      </c>
      <c r="AG1619" t="s">
        <v>2262</v>
      </c>
      <c r="AH1619" t="s">
        <v>5940</v>
      </c>
      <c r="AI1619">
        <v>-0.1</v>
      </c>
      <c r="AJ1619">
        <v>2.65</v>
      </c>
      <c r="AK1619">
        <v>2.44</v>
      </c>
      <c r="AL1619">
        <v>3.98</v>
      </c>
    </row>
    <row r="1620" spans="1:38" x14ac:dyDescent="0.25">
      <c r="A1620">
        <v>1619</v>
      </c>
      <c r="B1620" t="str">
        <f xml:space="preserve"> "000652"</f>
        <v>000652</v>
      </c>
      <c r="C1620" t="s">
        <v>5941</v>
      </c>
      <c r="D1620">
        <v>5.34</v>
      </c>
      <c r="E1620">
        <v>3.09</v>
      </c>
      <c r="F1620">
        <v>0.16</v>
      </c>
      <c r="G1620" t="s">
        <v>965</v>
      </c>
      <c r="H1620">
        <v>3575</v>
      </c>
      <c r="I1620">
        <v>5.33</v>
      </c>
      <c r="J1620">
        <v>5.34</v>
      </c>
      <c r="K1620">
        <v>0</v>
      </c>
      <c r="L1620">
        <v>1.2</v>
      </c>
      <c r="M1620" t="s">
        <v>5942</v>
      </c>
      <c r="N1620">
        <v>112.6</v>
      </c>
      <c r="O1620" t="s">
        <v>3277</v>
      </c>
      <c r="P1620">
        <v>5.36</v>
      </c>
      <c r="Q1620">
        <v>5.17</v>
      </c>
      <c r="R1620">
        <v>5.18</v>
      </c>
      <c r="S1620">
        <v>5.18</v>
      </c>
      <c r="T1620">
        <v>3.67</v>
      </c>
      <c r="U1620">
        <v>2.48</v>
      </c>
      <c r="V1620">
        <v>-5.87</v>
      </c>
      <c r="W1620">
        <v>-1786</v>
      </c>
      <c r="X1620">
        <v>5.28</v>
      </c>
      <c r="Y1620" t="s">
        <v>1294</v>
      </c>
      <c r="Z1620" t="s">
        <v>2003</v>
      </c>
      <c r="AA1620">
        <v>0.6</v>
      </c>
      <c r="AB1620">
        <v>1849</v>
      </c>
      <c r="AC1620">
        <v>2267</v>
      </c>
      <c r="AD1620">
        <v>2.25</v>
      </c>
      <c r="AE1620" t="s">
        <v>2033</v>
      </c>
      <c r="AF1620" t="s">
        <v>4958</v>
      </c>
      <c r="AG1620" t="s">
        <v>3009</v>
      </c>
      <c r="AH1620" t="s">
        <v>5943</v>
      </c>
      <c r="AI1620">
        <v>2.69</v>
      </c>
      <c r="AJ1620">
        <v>5.95</v>
      </c>
      <c r="AK1620">
        <v>2.14</v>
      </c>
      <c r="AL1620">
        <v>3.63</v>
      </c>
    </row>
    <row r="1621" spans="1:38" x14ac:dyDescent="0.25">
      <c r="A1621">
        <v>1620</v>
      </c>
      <c r="B1621" t="str">
        <f xml:space="preserve"> "002045"</f>
        <v>002045</v>
      </c>
      <c r="C1621" t="s">
        <v>5944</v>
      </c>
      <c r="D1621">
        <v>18.899999999999999</v>
      </c>
      <c r="E1621">
        <v>0.59</v>
      </c>
      <c r="F1621">
        <v>0.11</v>
      </c>
      <c r="G1621" t="s">
        <v>148</v>
      </c>
      <c r="H1621">
        <v>907</v>
      </c>
      <c r="I1621">
        <v>18.89</v>
      </c>
      <c r="J1621">
        <v>18.899999999999999</v>
      </c>
      <c r="K1621">
        <v>0.27</v>
      </c>
      <c r="L1621">
        <v>3.04</v>
      </c>
      <c r="M1621" t="s">
        <v>1197</v>
      </c>
      <c r="N1621">
        <v>114.42</v>
      </c>
      <c r="O1621" t="s">
        <v>380</v>
      </c>
      <c r="P1621">
        <v>19.21</v>
      </c>
      <c r="Q1621">
        <v>18.36</v>
      </c>
      <c r="R1621">
        <v>18.64</v>
      </c>
      <c r="S1621">
        <v>18.79</v>
      </c>
      <c r="T1621">
        <v>4.5199999999999996</v>
      </c>
      <c r="U1621">
        <v>1.43</v>
      </c>
      <c r="V1621">
        <v>-54.01</v>
      </c>
      <c r="W1621">
        <v>-900</v>
      </c>
      <c r="X1621">
        <v>18.84</v>
      </c>
      <c r="Y1621" t="s">
        <v>1187</v>
      </c>
      <c r="Z1621" t="s">
        <v>5478</v>
      </c>
      <c r="AA1621">
        <v>0.84</v>
      </c>
      <c r="AB1621">
        <v>157</v>
      </c>
      <c r="AC1621">
        <v>730</v>
      </c>
      <c r="AD1621">
        <v>5.87</v>
      </c>
      <c r="AE1621" t="s">
        <v>3932</v>
      </c>
      <c r="AF1621" t="s">
        <v>4958</v>
      </c>
      <c r="AG1621" t="s">
        <v>4149</v>
      </c>
      <c r="AH1621" t="s">
        <v>2644</v>
      </c>
      <c r="AI1621">
        <v>7.08</v>
      </c>
      <c r="AJ1621">
        <v>9.9499999999999993</v>
      </c>
      <c r="AK1621">
        <v>10.029999999999999</v>
      </c>
      <c r="AL1621">
        <v>13.7</v>
      </c>
    </row>
    <row r="1622" spans="1:38" x14ac:dyDescent="0.25">
      <c r="A1622">
        <v>1621</v>
      </c>
      <c r="B1622" t="str">
        <f xml:space="preserve"> "300332"</f>
        <v>300332</v>
      </c>
      <c r="C1622" t="s">
        <v>5945</v>
      </c>
      <c r="D1622">
        <v>8.7200000000000006</v>
      </c>
      <c r="E1622">
        <v>3.44</v>
      </c>
      <c r="F1622">
        <v>0.28999999999999998</v>
      </c>
      <c r="G1622" t="s">
        <v>1977</v>
      </c>
      <c r="H1622">
        <v>2911</v>
      </c>
      <c r="I1622">
        <v>8.7100000000000009</v>
      </c>
      <c r="J1622">
        <v>8.7200000000000006</v>
      </c>
      <c r="K1622">
        <v>0</v>
      </c>
      <c r="L1622">
        <v>4.83</v>
      </c>
      <c r="M1622" t="s">
        <v>2025</v>
      </c>
      <c r="N1622">
        <v>238.12</v>
      </c>
      <c r="O1622" t="s">
        <v>1155</v>
      </c>
      <c r="P1622">
        <v>8.86</v>
      </c>
      <c r="Q1622">
        <v>8.32</v>
      </c>
      <c r="R1622">
        <v>8.4</v>
      </c>
      <c r="S1622">
        <v>8.43</v>
      </c>
      <c r="T1622">
        <v>6.41</v>
      </c>
      <c r="U1622">
        <v>3.66</v>
      </c>
      <c r="V1622">
        <v>-47.16</v>
      </c>
      <c r="W1622">
        <v>-5183</v>
      </c>
      <c r="X1622">
        <v>8.64</v>
      </c>
      <c r="Y1622" t="s">
        <v>1780</v>
      </c>
      <c r="Z1622" t="s">
        <v>1010</v>
      </c>
      <c r="AA1622">
        <v>0.75</v>
      </c>
      <c r="AB1622">
        <v>608</v>
      </c>
      <c r="AC1622">
        <v>3359</v>
      </c>
      <c r="AD1622">
        <v>2.36</v>
      </c>
      <c r="AE1622" t="s">
        <v>2295</v>
      </c>
      <c r="AF1622" t="s">
        <v>2644</v>
      </c>
      <c r="AG1622" t="s">
        <v>5946</v>
      </c>
      <c r="AH1622" t="s">
        <v>5947</v>
      </c>
      <c r="AI1622">
        <v>4.3099999999999996</v>
      </c>
      <c r="AJ1622">
        <v>7.13</v>
      </c>
      <c r="AK1622">
        <v>7.61</v>
      </c>
      <c r="AL1622">
        <v>11.42</v>
      </c>
    </row>
    <row r="1623" spans="1:38" x14ac:dyDescent="0.25">
      <c r="A1623">
        <v>1622</v>
      </c>
      <c r="B1623" t="str">
        <f xml:space="preserve"> "002356"</f>
        <v>002356</v>
      </c>
      <c r="C1623" t="s">
        <v>5948</v>
      </c>
      <c r="D1623" t="s">
        <v>616</v>
      </c>
      <c r="E1623" t="s">
        <v>616</v>
      </c>
      <c r="F1623" t="s">
        <v>616</v>
      </c>
      <c r="G1623" t="s">
        <v>616</v>
      </c>
      <c r="H1623" t="s">
        <v>616</v>
      </c>
      <c r="I1623" t="s">
        <v>616</v>
      </c>
      <c r="J1623" t="s">
        <v>616</v>
      </c>
      <c r="K1623" t="s">
        <v>616</v>
      </c>
      <c r="L1623" t="s">
        <v>616</v>
      </c>
      <c r="M1623" t="s">
        <v>616</v>
      </c>
      <c r="N1623">
        <v>46.13</v>
      </c>
      <c r="O1623" t="s">
        <v>1372</v>
      </c>
      <c r="P1623" t="s">
        <v>616</v>
      </c>
      <c r="Q1623" t="s">
        <v>616</v>
      </c>
      <c r="R1623" t="s">
        <v>616</v>
      </c>
      <c r="S1623">
        <v>25.31</v>
      </c>
      <c r="T1623" t="s">
        <v>616</v>
      </c>
      <c r="U1623" t="s">
        <v>616</v>
      </c>
      <c r="V1623" t="s">
        <v>616</v>
      </c>
      <c r="W1623" t="s">
        <v>616</v>
      </c>
      <c r="X1623" t="s">
        <v>616</v>
      </c>
      <c r="Y1623" t="s">
        <v>616</v>
      </c>
      <c r="Z1623" t="s">
        <v>616</v>
      </c>
      <c r="AA1623" t="s">
        <v>616</v>
      </c>
      <c r="AB1623" t="s">
        <v>616</v>
      </c>
      <c r="AC1623" t="s">
        <v>616</v>
      </c>
      <c r="AD1623">
        <v>4.63</v>
      </c>
      <c r="AE1623" t="s">
        <v>4168</v>
      </c>
      <c r="AF1623" t="s">
        <v>2644</v>
      </c>
      <c r="AG1623" t="s">
        <v>4870</v>
      </c>
      <c r="AH1623" t="s">
        <v>5392</v>
      </c>
      <c r="AI1623">
        <v>0</v>
      </c>
      <c r="AJ1623">
        <v>0</v>
      </c>
      <c r="AK1623">
        <v>0</v>
      </c>
      <c r="AL1623">
        <v>0</v>
      </c>
    </row>
    <row r="1624" spans="1:38" x14ac:dyDescent="0.25">
      <c r="A1624">
        <v>1623</v>
      </c>
      <c r="B1624" t="str">
        <f xml:space="preserve"> "603528"</f>
        <v>603528</v>
      </c>
      <c r="C1624" t="s">
        <v>5949</v>
      </c>
      <c r="D1624">
        <v>12.67</v>
      </c>
      <c r="E1624">
        <v>-0.24</v>
      </c>
      <c r="F1624">
        <v>-0.03</v>
      </c>
      <c r="G1624" t="s">
        <v>1489</v>
      </c>
      <c r="H1624">
        <v>1</v>
      </c>
      <c r="I1624">
        <v>12.67</v>
      </c>
      <c r="J1624">
        <v>12.68</v>
      </c>
      <c r="K1624">
        <v>0.16</v>
      </c>
      <c r="L1624">
        <v>2.2200000000000002</v>
      </c>
      <c r="M1624" t="s">
        <v>5950</v>
      </c>
      <c r="N1624">
        <v>59.68</v>
      </c>
      <c r="O1624" t="s">
        <v>553</v>
      </c>
      <c r="P1624">
        <v>12.85</v>
      </c>
      <c r="Q1624">
        <v>12.54</v>
      </c>
      <c r="R1624">
        <v>12.71</v>
      </c>
      <c r="S1624">
        <v>12.7</v>
      </c>
      <c r="T1624">
        <v>2.44</v>
      </c>
      <c r="U1624">
        <v>0.77</v>
      </c>
      <c r="V1624">
        <v>-19.97</v>
      </c>
      <c r="W1624">
        <v>-250</v>
      </c>
      <c r="X1624">
        <v>12.62</v>
      </c>
      <c r="Y1624" t="s">
        <v>3357</v>
      </c>
      <c r="Z1624" t="s">
        <v>3946</v>
      </c>
      <c r="AA1624">
        <v>1.49</v>
      </c>
      <c r="AB1624">
        <v>23</v>
      </c>
      <c r="AC1624">
        <v>90</v>
      </c>
      <c r="AD1624">
        <v>5.92</v>
      </c>
      <c r="AE1624" t="s">
        <v>1823</v>
      </c>
      <c r="AF1624" t="s">
        <v>2644</v>
      </c>
      <c r="AG1624" t="s">
        <v>1371</v>
      </c>
      <c r="AH1624" t="s">
        <v>2395</v>
      </c>
      <c r="AI1624">
        <v>-3.58</v>
      </c>
      <c r="AJ1624">
        <v>3.01</v>
      </c>
      <c r="AK1624">
        <v>8.06</v>
      </c>
      <c r="AL1624">
        <v>16.72</v>
      </c>
    </row>
    <row r="1625" spans="1:38" x14ac:dyDescent="0.25">
      <c r="A1625">
        <v>1624</v>
      </c>
      <c r="B1625" t="str">
        <f xml:space="preserve"> "300011"</f>
        <v>300011</v>
      </c>
      <c r="C1625" t="s">
        <v>5951</v>
      </c>
      <c r="D1625">
        <v>14.06</v>
      </c>
      <c r="E1625">
        <v>3.31</v>
      </c>
      <c r="F1625">
        <v>0.45</v>
      </c>
      <c r="G1625" t="s">
        <v>3739</v>
      </c>
      <c r="H1625">
        <v>2122</v>
      </c>
      <c r="I1625">
        <v>14.05</v>
      </c>
      <c r="J1625">
        <v>14.06</v>
      </c>
      <c r="K1625">
        <v>0</v>
      </c>
      <c r="L1625">
        <v>4.59</v>
      </c>
      <c r="M1625" t="s">
        <v>540</v>
      </c>
      <c r="N1625">
        <v>463.49</v>
      </c>
      <c r="O1625" t="s">
        <v>253</v>
      </c>
      <c r="P1625">
        <v>14.52</v>
      </c>
      <c r="Q1625">
        <v>13.95</v>
      </c>
      <c r="R1625">
        <v>14.45</v>
      </c>
      <c r="S1625">
        <v>13.61</v>
      </c>
      <c r="T1625">
        <v>4.1900000000000004</v>
      </c>
      <c r="U1625">
        <v>5.79</v>
      </c>
      <c r="V1625">
        <v>-26.12</v>
      </c>
      <c r="W1625">
        <v>-937</v>
      </c>
      <c r="X1625">
        <v>14.18</v>
      </c>
      <c r="Y1625" t="s">
        <v>371</v>
      </c>
      <c r="Z1625" t="s">
        <v>5952</v>
      </c>
      <c r="AA1625">
        <v>1.21</v>
      </c>
      <c r="AB1625">
        <v>401</v>
      </c>
      <c r="AC1625">
        <v>657</v>
      </c>
      <c r="AD1625">
        <v>3.06</v>
      </c>
      <c r="AE1625" t="s">
        <v>4885</v>
      </c>
      <c r="AF1625" t="s">
        <v>4994</v>
      </c>
      <c r="AG1625" t="s">
        <v>252</v>
      </c>
      <c r="AH1625" t="s">
        <v>200</v>
      </c>
      <c r="AI1625">
        <v>3</v>
      </c>
      <c r="AJ1625">
        <v>8.24</v>
      </c>
      <c r="AK1625">
        <v>6.01</v>
      </c>
      <c r="AL1625">
        <v>8.56</v>
      </c>
    </row>
    <row r="1626" spans="1:38" x14ac:dyDescent="0.25">
      <c r="A1626">
        <v>1625</v>
      </c>
      <c r="B1626" t="str">
        <f xml:space="preserve"> "002325"</f>
        <v>002325</v>
      </c>
      <c r="C1626" t="s">
        <v>5953</v>
      </c>
      <c r="D1626">
        <v>6.3</v>
      </c>
      <c r="E1626">
        <v>0.32</v>
      </c>
      <c r="F1626">
        <v>0.02</v>
      </c>
      <c r="G1626" t="s">
        <v>1142</v>
      </c>
      <c r="H1626">
        <v>941</v>
      </c>
      <c r="I1626">
        <v>6.29</v>
      </c>
      <c r="J1626">
        <v>6.3</v>
      </c>
      <c r="K1626">
        <v>0</v>
      </c>
      <c r="L1626">
        <v>0.67</v>
      </c>
      <c r="M1626" t="s">
        <v>5954</v>
      </c>
      <c r="N1626">
        <v>37.85</v>
      </c>
      <c r="O1626" t="s">
        <v>2309</v>
      </c>
      <c r="P1626">
        <v>6.3</v>
      </c>
      <c r="Q1626">
        <v>6.25</v>
      </c>
      <c r="R1626">
        <v>6.28</v>
      </c>
      <c r="S1626">
        <v>6.28</v>
      </c>
      <c r="T1626">
        <v>0.8</v>
      </c>
      <c r="U1626">
        <v>0.75</v>
      </c>
      <c r="V1626">
        <v>19.27</v>
      </c>
      <c r="W1626">
        <v>2843</v>
      </c>
      <c r="X1626">
        <v>6.28</v>
      </c>
      <c r="Y1626" t="s">
        <v>3644</v>
      </c>
      <c r="Z1626" t="s">
        <v>2459</v>
      </c>
      <c r="AA1626">
        <v>0.98</v>
      </c>
      <c r="AB1626">
        <v>1057</v>
      </c>
      <c r="AC1626">
        <v>104</v>
      </c>
      <c r="AD1626">
        <v>2.27</v>
      </c>
      <c r="AE1626" t="s">
        <v>2674</v>
      </c>
      <c r="AF1626" t="s">
        <v>5943</v>
      </c>
      <c r="AG1626" t="s">
        <v>5955</v>
      </c>
      <c r="AH1626" t="s">
        <v>5956</v>
      </c>
      <c r="AI1626">
        <v>-0.16</v>
      </c>
      <c r="AJ1626">
        <v>2.77</v>
      </c>
      <c r="AK1626">
        <v>2.61</v>
      </c>
      <c r="AL1626">
        <v>5.18</v>
      </c>
    </row>
    <row r="1627" spans="1:38" x14ac:dyDescent="0.25">
      <c r="A1627">
        <v>1626</v>
      </c>
      <c r="B1627" t="str">
        <f xml:space="preserve"> "002712"</f>
        <v>002712</v>
      </c>
      <c r="C1627" t="s">
        <v>5957</v>
      </c>
      <c r="D1627">
        <v>24.78</v>
      </c>
      <c r="E1627">
        <v>4.21</v>
      </c>
      <c r="F1627">
        <v>1</v>
      </c>
      <c r="G1627" t="s">
        <v>4481</v>
      </c>
      <c r="H1627">
        <v>1453</v>
      </c>
      <c r="I1627">
        <v>24.77</v>
      </c>
      <c r="J1627">
        <v>24.78</v>
      </c>
      <c r="K1627">
        <v>0.04</v>
      </c>
      <c r="L1627">
        <v>4.4400000000000004</v>
      </c>
      <c r="M1627" t="s">
        <v>2861</v>
      </c>
      <c r="N1627">
        <v>28.99</v>
      </c>
      <c r="O1627" t="s">
        <v>1126</v>
      </c>
      <c r="P1627">
        <v>24.78</v>
      </c>
      <c r="Q1627">
        <v>23.66</v>
      </c>
      <c r="R1627">
        <v>23.69</v>
      </c>
      <c r="S1627">
        <v>23.78</v>
      </c>
      <c r="T1627">
        <v>4.71</v>
      </c>
      <c r="U1627">
        <v>1.43</v>
      </c>
      <c r="V1627">
        <v>-42.73</v>
      </c>
      <c r="W1627">
        <v>-483</v>
      </c>
      <c r="X1627">
        <v>24.34</v>
      </c>
      <c r="Y1627" t="s">
        <v>1827</v>
      </c>
      <c r="Z1627" t="s">
        <v>2421</v>
      </c>
      <c r="AA1627">
        <v>0.65</v>
      </c>
      <c r="AB1627">
        <v>239</v>
      </c>
      <c r="AC1627">
        <v>377</v>
      </c>
      <c r="AD1627">
        <v>3.26</v>
      </c>
      <c r="AE1627" t="s">
        <v>972</v>
      </c>
      <c r="AF1627" t="s">
        <v>5943</v>
      </c>
      <c r="AG1627" t="s">
        <v>2339</v>
      </c>
      <c r="AH1627" t="s">
        <v>4527</v>
      </c>
      <c r="AI1627">
        <v>6.53</v>
      </c>
      <c r="AJ1627">
        <v>15.52</v>
      </c>
      <c r="AK1627">
        <v>10.73</v>
      </c>
      <c r="AL1627">
        <v>20</v>
      </c>
    </row>
    <row r="1628" spans="1:38" x14ac:dyDescent="0.25">
      <c r="A1628">
        <v>1627</v>
      </c>
      <c r="B1628" t="str">
        <f xml:space="preserve"> "000823"</f>
        <v>000823</v>
      </c>
      <c r="C1628" t="s">
        <v>5958</v>
      </c>
      <c r="D1628">
        <v>14.6</v>
      </c>
      <c r="E1628">
        <v>0.21</v>
      </c>
      <c r="F1628">
        <v>0.03</v>
      </c>
      <c r="G1628" t="s">
        <v>308</v>
      </c>
      <c r="H1628">
        <v>1333</v>
      </c>
      <c r="I1628">
        <v>14.6</v>
      </c>
      <c r="J1628">
        <v>14.61</v>
      </c>
      <c r="K1628">
        <v>0</v>
      </c>
      <c r="L1628">
        <v>3.98</v>
      </c>
      <c r="M1628" t="s">
        <v>5539</v>
      </c>
      <c r="N1628">
        <v>40.85</v>
      </c>
      <c r="O1628" t="s">
        <v>380</v>
      </c>
      <c r="P1628">
        <v>14.77</v>
      </c>
      <c r="Q1628">
        <v>14.41</v>
      </c>
      <c r="R1628">
        <v>14.54</v>
      </c>
      <c r="S1628">
        <v>14.57</v>
      </c>
      <c r="T1628">
        <v>2.4700000000000002</v>
      </c>
      <c r="U1628">
        <v>0.99</v>
      </c>
      <c r="V1628">
        <v>-24.55</v>
      </c>
      <c r="W1628">
        <v>-1048</v>
      </c>
      <c r="X1628">
        <v>14.61</v>
      </c>
      <c r="Y1628" t="s">
        <v>778</v>
      </c>
      <c r="Z1628" t="s">
        <v>5959</v>
      </c>
      <c r="AA1628">
        <v>1.64</v>
      </c>
      <c r="AB1628">
        <v>812</v>
      </c>
      <c r="AC1628">
        <v>1169</v>
      </c>
      <c r="AD1628">
        <v>2.58</v>
      </c>
      <c r="AE1628" t="s">
        <v>2622</v>
      </c>
      <c r="AF1628" t="s">
        <v>5943</v>
      </c>
      <c r="AG1628" t="s">
        <v>2622</v>
      </c>
      <c r="AH1628" t="s">
        <v>5943</v>
      </c>
      <c r="AI1628">
        <v>-3.25</v>
      </c>
      <c r="AJ1628">
        <v>-2.54</v>
      </c>
      <c r="AK1628">
        <v>11.36</v>
      </c>
      <c r="AL1628">
        <v>24.02</v>
      </c>
    </row>
    <row r="1629" spans="1:38" x14ac:dyDescent="0.25">
      <c r="A1629">
        <v>1628</v>
      </c>
      <c r="B1629" t="str">
        <f xml:space="preserve"> "600814"</f>
        <v>600814</v>
      </c>
      <c r="C1629" t="s">
        <v>5960</v>
      </c>
      <c r="D1629">
        <v>10.96</v>
      </c>
      <c r="E1629">
        <v>-0.9</v>
      </c>
      <c r="F1629">
        <v>-0.1</v>
      </c>
      <c r="G1629" t="s">
        <v>867</v>
      </c>
      <c r="H1629">
        <v>217</v>
      </c>
      <c r="I1629">
        <v>10.95</v>
      </c>
      <c r="J1629">
        <v>10.97</v>
      </c>
      <c r="K1629">
        <v>-0.27</v>
      </c>
      <c r="L1629">
        <v>1.38</v>
      </c>
      <c r="M1629" t="s">
        <v>1120</v>
      </c>
      <c r="N1629">
        <v>44.76</v>
      </c>
      <c r="O1629" t="s">
        <v>532</v>
      </c>
      <c r="P1629">
        <v>11.05</v>
      </c>
      <c r="Q1629">
        <v>10.8</v>
      </c>
      <c r="R1629">
        <v>10.91</v>
      </c>
      <c r="S1629">
        <v>11.06</v>
      </c>
      <c r="T1629">
        <v>2.2599999999999998</v>
      </c>
      <c r="U1629">
        <v>1.1399999999999999</v>
      </c>
      <c r="V1629">
        <v>-72.25</v>
      </c>
      <c r="W1629">
        <v>-2088</v>
      </c>
      <c r="X1629">
        <v>10.94</v>
      </c>
      <c r="Y1629" t="s">
        <v>1444</v>
      </c>
      <c r="Z1629" t="s">
        <v>2421</v>
      </c>
      <c r="AA1629">
        <v>1.27</v>
      </c>
      <c r="AB1629">
        <v>224</v>
      </c>
      <c r="AC1629">
        <v>300</v>
      </c>
      <c r="AD1629">
        <v>3.58</v>
      </c>
      <c r="AE1629" t="s">
        <v>4835</v>
      </c>
      <c r="AF1629" t="s">
        <v>5943</v>
      </c>
      <c r="AG1629" t="s">
        <v>4835</v>
      </c>
      <c r="AH1629" t="s">
        <v>5943</v>
      </c>
      <c r="AI1629">
        <v>5.28</v>
      </c>
      <c r="AJ1629">
        <v>8.6199999999999992</v>
      </c>
      <c r="AK1629">
        <v>5.94</v>
      </c>
      <c r="AL1629">
        <v>7.48</v>
      </c>
    </row>
    <row r="1630" spans="1:38" x14ac:dyDescent="0.25">
      <c r="A1630">
        <v>1629</v>
      </c>
      <c r="B1630" t="str">
        <f xml:space="preserve"> "002240"</f>
        <v>002240</v>
      </c>
      <c r="C1630" t="s">
        <v>5961</v>
      </c>
      <c r="D1630">
        <v>15.96</v>
      </c>
      <c r="E1630">
        <v>1.33</v>
      </c>
      <c r="F1630">
        <v>0.21</v>
      </c>
      <c r="G1630" t="s">
        <v>1760</v>
      </c>
      <c r="H1630">
        <v>850</v>
      </c>
      <c r="I1630">
        <v>15.96</v>
      </c>
      <c r="J1630">
        <v>15.97</v>
      </c>
      <c r="K1630">
        <v>0</v>
      </c>
      <c r="L1630">
        <v>1.44</v>
      </c>
      <c r="M1630" t="s">
        <v>2869</v>
      </c>
      <c r="N1630">
        <v>503.4</v>
      </c>
      <c r="O1630" t="s">
        <v>449</v>
      </c>
      <c r="P1630">
        <v>16.07</v>
      </c>
      <c r="Q1630">
        <v>15.68</v>
      </c>
      <c r="R1630">
        <v>15.79</v>
      </c>
      <c r="S1630">
        <v>15.75</v>
      </c>
      <c r="T1630">
        <v>2.48</v>
      </c>
      <c r="U1630">
        <v>0.67</v>
      </c>
      <c r="V1630">
        <v>-26.91</v>
      </c>
      <c r="W1630">
        <v>-891</v>
      </c>
      <c r="X1630">
        <v>15.91</v>
      </c>
      <c r="Y1630" t="s">
        <v>2459</v>
      </c>
      <c r="Z1630" t="s">
        <v>944</v>
      </c>
      <c r="AA1630">
        <v>0.78</v>
      </c>
      <c r="AB1630">
        <v>318</v>
      </c>
      <c r="AC1630">
        <v>278</v>
      </c>
      <c r="AD1630">
        <v>5.5</v>
      </c>
      <c r="AE1630" t="s">
        <v>3800</v>
      </c>
      <c r="AF1630" t="s">
        <v>4557</v>
      </c>
      <c r="AG1630" t="s">
        <v>779</v>
      </c>
      <c r="AH1630" t="s">
        <v>5962</v>
      </c>
      <c r="AI1630">
        <v>2.31</v>
      </c>
      <c r="AJ1630">
        <v>-2.98</v>
      </c>
      <c r="AK1630">
        <v>5.14</v>
      </c>
      <c r="AL1630">
        <v>12.25</v>
      </c>
    </row>
    <row r="1631" spans="1:38" x14ac:dyDescent="0.25">
      <c r="A1631">
        <v>1630</v>
      </c>
      <c r="B1631" t="str">
        <f xml:space="preserve"> "000851"</f>
        <v>000851</v>
      </c>
      <c r="C1631" t="s">
        <v>5963</v>
      </c>
      <c r="D1631">
        <v>12.03</v>
      </c>
      <c r="E1631">
        <v>2.82</v>
      </c>
      <c r="F1631">
        <v>0.33</v>
      </c>
      <c r="G1631" t="s">
        <v>4340</v>
      </c>
      <c r="H1631">
        <v>4027</v>
      </c>
      <c r="I1631">
        <v>12.02</v>
      </c>
      <c r="J1631">
        <v>12.03</v>
      </c>
      <c r="K1631">
        <v>-0.08</v>
      </c>
      <c r="L1631">
        <v>3.24</v>
      </c>
      <c r="M1631" t="s">
        <v>1485</v>
      </c>
      <c r="N1631">
        <v>94.38</v>
      </c>
      <c r="O1631" t="s">
        <v>580</v>
      </c>
      <c r="P1631">
        <v>12.04</v>
      </c>
      <c r="Q1631">
        <v>11.7</v>
      </c>
      <c r="R1631">
        <v>11.75</v>
      </c>
      <c r="S1631">
        <v>11.7</v>
      </c>
      <c r="T1631">
        <v>2.91</v>
      </c>
      <c r="U1631">
        <v>1.85</v>
      </c>
      <c r="V1631">
        <v>-48.12</v>
      </c>
      <c r="W1631">
        <v>-3174</v>
      </c>
      <c r="X1631">
        <v>11.9</v>
      </c>
      <c r="Y1631" t="s">
        <v>4644</v>
      </c>
      <c r="Z1631" t="s">
        <v>362</v>
      </c>
      <c r="AA1631">
        <v>0.63</v>
      </c>
      <c r="AB1631">
        <v>535</v>
      </c>
      <c r="AC1631">
        <v>642</v>
      </c>
      <c r="AD1631">
        <v>2.4500000000000002</v>
      </c>
      <c r="AE1631" t="s">
        <v>5166</v>
      </c>
      <c r="AF1631" t="s">
        <v>4557</v>
      </c>
      <c r="AG1631" t="s">
        <v>3397</v>
      </c>
      <c r="AH1631" t="s">
        <v>1209</v>
      </c>
      <c r="AI1631">
        <v>2.91</v>
      </c>
      <c r="AJ1631">
        <v>4.6100000000000003</v>
      </c>
      <c r="AK1631">
        <v>7.11</v>
      </c>
      <c r="AL1631">
        <v>11.99</v>
      </c>
    </row>
    <row r="1632" spans="1:38" x14ac:dyDescent="0.25">
      <c r="A1632">
        <v>1631</v>
      </c>
      <c r="B1632" t="str">
        <f xml:space="preserve"> "000973"</f>
        <v>000973</v>
      </c>
      <c r="C1632" t="s">
        <v>5964</v>
      </c>
      <c r="D1632">
        <v>8.09</v>
      </c>
      <c r="E1632">
        <v>-0.37</v>
      </c>
      <c r="F1632">
        <v>-0.03</v>
      </c>
      <c r="G1632" t="s">
        <v>132</v>
      </c>
      <c r="H1632">
        <v>1618</v>
      </c>
      <c r="I1632">
        <v>8.08</v>
      </c>
      <c r="J1632">
        <v>8.09</v>
      </c>
      <c r="K1632">
        <v>0</v>
      </c>
      <c r="L1632">
        <v>1.22</v>
      </c>
      <c r="M1632" t="s">
        <v>5965</v>
      </c>
      <c r="N1632">
        <v>90.62</v>
      </c>
      <c r="O1632" t="s">
        <v>2128</v>
      </c>
      <c r="P1632">
        <v>8.15</v>
      </c>
      <c r="Q1632">
        <v>8.06</v>
      </c>
      <c r="R1632">
        <v>8.1300000000000008</v>
      </c>
      <c r="S1632">
        <v>8.1199999999999992</v>
      </c>
      <c r="T1632">
        <v>1.1100000000000001</v>
      </c>
      <c r="U1632">
        <v>0.54</v>
      </c>
      <c r="V1632">
        <v>13.68</v>
      </c>
      <c r="W1632">
        <v>2221</v>
      </c>
      <c r="X1632">
        <v>8.09</v>
      </c>
      <c r="Y1632" t="s">
        <v>3098</v>
      </c>
      <c r="Z1632" t="s">
        <v>1947</v>
      </c>
      <c r="AA1632">
        <v>1.55</v>
      </c>
      <c r="AB1632">
        <v>1736</v>
      </c>
      <c r="AC1632">
        <v>3542</v>
      </c>
      <c r="AD1632">
        <v>3.64</v>
      </c>
      <c r="AE1632" t="s">
        <v>5966</v>
      </c>
      <c r="AF1632" t="s">
        <v>4557</v>
      </c>
      <c r="AG1632" t="s">
        <v>5966</v>
      </c>
      <c r="AH1632" t="s">
        <v>4557</v>
      </c>
      <c r="AI1632">
        <v>-1.22</v>
      </c>
      <c r="AJ1632">
        <v>2.15</v>
      </c>
      <c r="AK1632">
        <v>6.77</v>
      </c>
      <c r="AL1632">
        <v>12.53</v>
      </c>
    </row>
    <row r="1633" spans="1:38" x14ac:dyDescent="0.25">
      <c r="A1633">
        <v>1632</v>
      </c>
      <c r="B1633" t="str">
        <f xml:space="preserve"> "002086"</f>
        <v>002086</v>
      </c>
      <c r="C1633" t="s">
        <v>5967</v>
      </c>
      <c r="D1633">
        <v>11.38</v>
      </c>
      <c r="E1633">
        <v>1.79</v>
      </c>
      <c r="F1633">
        <v>0.2</v>
      </c>
      <c r="G1633" t="s">
        <v>362</v>
      </c>
      <c r="H1633">
        <v>8646</v>
      </c>
      <c r="I1633">
        <v>11.36</v>
      </c>
      <c r="J1633">
        <v>11.38</v>
      </c>
      <c r="K1633">
        <v>1.34</v>
      </c>
      <c r="L1633">
        <v>2.1800000000000002</v>
      </c>
      <c r="M1633" t="s">
        <v>2827</v>
      </c>
      <c r="N1633">
        <v>38.01</v>
      </c>
      <c r="O1633" t="s">
        <v>622</v>
      </c>
      <c r="P1633">
        <v>11.38</v>
      </c>
      <c r="Q1633">
        <v>11.12</v>
      </c>
      <c r="R1633">
        <v>11.13</v>
      </c>
      <c r="S1633">
        <v>11.18</v>
      </c>
      <c r="T1633">
        <v>2.33</v>
      </c>
      <c r="U1633">
        <v>1.1000000000000001</v>
      </c>
      <c r="V1633">
        <v>-64.09</v>
      </c>
      <c r="W1633">
        <v>-3362</v>
      </c>
      <c r="X1633">
        <v>11.25</v>
      </c>
      <c r="Y1633" t="s">
        <v>3555</v>
      </c>
      <c r="Z1633" t="s">
        <v>399</v>
      </c>
      <c r="AA1633">
        <v>0.84</v>
      </c>
      <c r="AB1633">
        <v>115</v>
      </c>
      <c r="AC1633">
        <v>148</v>
      </c>
      <c r="AD1633">
        <v>2.64</v>
      </c>
      <c r="AE1633" t="s">
        <v>5968</v>
      </c>
      <c r="AF1633" t="s">
        <v>4557</v>
      </c>
      <c r="AG1633" t="s">
        <v>4438</v>
      </c>
      <c r="AH1633" t="s">
        <v>5969</v>
      </c>
      <c r="AI1633">
        <v>2.25</v>
      </c>
      <c r="AJ1633">
        <v>6.55</v>
      </c>
      <c r="AK1633">
        <v>6.68</v>
      </c>
      <c r="AL1633">
        <v>12.13</v>
      </c>
    </row>
    <row r="1634" spans="1:38" x14ac:dyDescent="0.25">
      <c r="A1634">
        <v>1633</v>
      </c>
      <c r="B1634" t="str">
        <f xml:space="preserve"> "002872"</f>
        <v>002872</v>
      </c>
      <c r="C1634" t="s">
        <v>5970</v>
      </c>
      <c r="D1634">
        <v>36.880000000000003</v>
      </c>
      <c r="E1634">
        <v>4.8899999999999997</v>
      </c>
      <c r="F1634">
        <v>1.72</v>
      </c>
      <c r="G1634" t="s">
        <v>1427</v>
      </c>
      <c r="H1634">
        <v>576</v>
      </c>
      <c r="I1634">
        <v>36.880000000000003</v>
      </c>
      <c r="J1634">
        <v>36.89</v>
      </c>
      <c r="K1634">
        <v>0</v>
      </c>
      <c r="L1634">
        <v>15.51</v>
      </c>
      <c r="M1634" t="s">
        <v>1857</v>
      </c>
      <c r="N1634">
        <v>38.42</v>
      </c>
      <c r="O1634" t="s">
        <v>392</v>
      </c>
      <c r="P1634">
        <v>38.380000000000003</v>
      </c>
      <c r="Q1634">
        <v>35.01</v>
      </c>
      <c r="R1634">
        <v>35.090000000000003</v>
      </c>
      <c r="S1634">
        <v>35.159999999999997</v>
      </c>
      <c r="T1634">
        <v>9.58</v>
      </c>
      <c r="U1634">
        <v>3.48</v>
      </c>
      <c r="V1634">
        <v>-46.29</v>
      </c>
      <c r="W1634">
        <v>-508</v>
      </c>
      <c r="X1634">
        <v>36.75</v>
      </c>
      <c r="Y1634" t="s">
        <v>2032</v>
      </c>
      <c r="Z1634" t="s">
        <v>3555</v>
      </c>
      <c r="AA1634">
        <v>0.74</v>
      </c>
      <c r="AB1634">
        <v>117</v>
      </c>
      <c r="AC1634">
        <v>162</v>
      </c>
      <c r="AD1634">
        <v>2.62</v>
      </c>
      <c r="AE1634" t="s">
        <v>1853</v>
      </c>
      <c r="AF1634" t="s">
        <v>5962</v>
      </c>
      <c r="AG1634" t="s">
        <v>4720</v>
      </c>
      <c r="AH1634" t="s">
        <v>931</v>
      </c>
      <c r="AI1634">
        <v>3.74</v>
      </c>
      <c r="AJ1634">
        <v>9.2100000000000009</v>
      </c>
      <c r="AK1634">
        <v>25.03</v>
      </c>
      <c r="AL1634">
        <v>37.76</v>
      </c>
    </row>
    <row r="1635" spans="1:38" x14ac:dyDescent="0.25">
      <c r="A1635">
        <v>1634</v>
      </c>
      <c r="B1635" t="str">
        <f xml:space="preserve"> "002502"</f>
        <v>002502</v>
      </c>
      <c r="C1635" t="s">
        <v>5971</v>
      </c>
      <c r="D1635">
        <v>9.09</v>
      </c>
      <c r="E1635">
        <v>0.33</v>
      </c>
      <c r="F1635">
        <v>0.03</v>
      </c>
      <c r="G1635" t="s">
        <v>2750</v>
      </c>
      <c r="H1635">
        <v>451</v>
      </c>
      <c r="I1635">
        <v>9.08</v>
      </c>
      <c r="J1635">
        <v>9.09</v>
      </c>
      <c r="K1635">
        <v>0.22</v>
      </c>
      <c r="L1635">
        <v>1.06</v>
      </c>
      <c r="M1635" t="s">
        <v>5972</v>
      </c>
      <c r="N1635">
        <v>25.62</v>
      </c>
      <c r="O1635" t="s">
        <v>1126</v>
      </c>
      <c r="P1635">
        <v>9.1199999999999992</v>
      </c>
      <c r="Q1635">
        <v>9</v>
      </c>
      <c r="R1635">
        <v>9.09</v>
      </c>
      <c r="S1635">
        <v>9.06</v>
      </c>
      <c r="T1635">
        <v>1.32</v>
      </c>
      <c r="U1635">
        <v>0.87</v>
      </c>
      <c r="V1635">
        <v>-45.99</v>
      </c>
      <c r="W1635">
        <v>-2483</v>
      </c>
      <c r="X1635">
        <v>9.06</v>
      </c>
      <c r="Y1635" t="s">
        <v>1827</v>
      </c>
      <c r="Z1635" t="s">
        <v>2022</v>
      </c>
      <c r="AA1635">
        <v>1.0900000000000001</v>
      </c>
      <c r="AB1635">
        <v>87</v>
      </c>
      <c r="AC1635">
        <v>263</v>
      </c>
      <c r="AD1635">
        <v>2.39</v>
      </c>
      <c r="AE1635" t="s">
        <v>130</v>
      </c>
      <c r="AF1635" t="s">
        <v>5962</v>
      </c>
      <c r="AG1635" t="s">
        <v>4648</v>
      </c>
      <c r="AH1635" t="s">
        <v>5010</v>
      </c>
      <c r="AI1635">
        <v>-0.66</v>
      </c>
      <c r="AJ1635">
        <v>2.02</v>
      </c>
      <c r="AK1635">
        <v>3.6</v>
      </c>
      <c r="AL1635">
        <v>7.17</v>
      </c>
    </row>
    <row r="1636" spans="1:38" x14ac:dyDescent="0.25">
      <c r="A1636">
        <v>1635</v>
      </c>
      <c r="B1636" t="str">
        <f xml:space="preserve"> "002724"</f>
        <v>002724</v>
      </c>
      <c r="C1636" t="s">
        <v>5973</v>
      </c>
      <c r="D1636">
        <v>13.02</v>
      </c>
      <c r="E1636">
        <v>0.08</v>
      </c>
      <c r="F1636">
        <v>0.01</v>
      </c>
      <c r="G1636" t="s">
        <v>2754</v>
      </c>
      <c r="H1636">
        <v>432</v>
      </c>
      <c r="I1636">
        <v>13.01</v>
      </c>
      <c r="J1636">
        <v>13.02</v>
      </c>
      <c r="K1636">
        <v>0</v>
      </c>
      <c r="L1636">
        <v>2.74</v>
      </c>
      <c r="M1636" t="s">
        <v>5974</v>
      </c>
      <c r="N1636">
        <v>237.29</v>
      </c>
      <c r="O1636" t="s">
        <v>380</v>
      </c>
      <c r="P1636">
        <v>13.15</v>
      </c>
      <c r="Q1636">
        <v>12.94</v>
      </c>
      <c r="R1636">
        <v>13.01</v>
      </c>
      <c r="S1636">
        <v>13.01</v>
      </c>
      <c r="T1636">
        <v>1.61</v>
      </c>
      <c r="U1636">
        <v>1.03</v>
      </c>
      <c r="V1636">
        <v>-2.16</v>
      </c>
      <c r="W1636">
        <v>-41</v>
      </c>
      <c r="X1636">
        <v>13.02</v>
      </c>
      <c r="Y1636" t="s">
        <v>2580</v>
      </c>
      <c r="Z1636" t="s">
        <v>1685</v>
      </c>
      <c r="AA1636">
        <v>1.73</v>
      </c>
      <c r="AB1636">
        <v>76</v>
      </c>
      <c r="AC1636">
        <v>179</v>
      </c>
      <c r="AD1636">
        <v>4.8099999999999996</v>
      </c>
      <c r="AE1636" t="s">
        <v>477</v>
      </c>
      <c r="AF1636" t="s">
        <v>508</v>
      </c>
      <c r="AG1636" t="s">
        <v>1442</v>
      </c>
      <c r="AH1636" t="s">
        <v>1510</v>
      </c>
      <c r="AI1636">
        <v>1.0900000000000001</v>
      </c>
      <c r="AJ1636">
        <v>3.58</v>
      </c>
      <c r="AK1636">
        <v>10.57</v>
      </c>
      <c r="AL1636">
        <v>16.03</v>
      </c>
    </row>
    <row r="1637" spans="1:38" x14ac:dyDescent="0.25">
      <c r="A1637">
        <v>1636</v>
      </c>
      <c r="B1637" t="str">
        <f xml:space="preserve"> "600610"</f>
        <v>600610</v>
      </c>
      <c r="C1637" t="s">
        <v>5975</v>
      </c>
      <c r="D1637">
        <v>7.29</v>
      </c>
      <c r="E1637">
        <v>0.28000000000000003</v>
      </c>
      <c r="F1637">
        <v>0.02</v>
      </c>
      <c r="G1637" t="s">
        <v>3671</v>
      </c>
      <c r="H1637">
        <v>45</v>
      </c>
      <c r="I1637">
        <v>7.27</v>
      </c>
      <c r="J1637">
        <v>7.29</v>
      </c>
      <c r="K1637">
        <v>0.14000000000000001</v>
      </c>
      <c r="L1637">
        <v>1.45</v>
      </c>
      <c r="M1637" t="s">
        <v>5976</v>
      </c>
      <c r="N1637">
        <v>3327.08</v>
      </c>
      <c r="O1637" t="s">
        <v>1221</v>
      </c>
      <c r="P1637">
        <v>7.34</v>
      </c>
      <c r="Q1637">
        <v>7.21</v>
      </c>
      <c r="R1637">
        <v>7.24</v>
      </c>
      <c r="S1637">
        <v>7.27</v>
      </c>
      <c r="T1637">
        <v>1.79</v>
      </c>
      <c r="U1637">
        <v>0.67</v>
      </c>
      <c r="V1637">
        <v>-44.69</v>
      </c>
      <c r="W1637">
        <v>-1980</v>
      </c>
      <c r="X1637">
        <v>7.27</v>
      </c>
      <c r="Y1637" t="s">
        <v>2451</v>
      </c>
      <c r="Z1637" t="s">
        <v>5977</v>
      </c>
      <c r="AA1637">
        <v>1.2</v>
      </c>
      <c r="AB1637">
        <v>201</v>
      </c>
      <c r="AC1637">
        <v>114</v>
      </c>
      <c r="AD1637">
        <v>6.7</v>
      </c>
      <c r="AE1637" t="s">
        <v>1429</v>
      </c>
      <c r="AF1637" t="s">
        <v>508</v>
      </c>
      <c r="AG1637" t="s">
        <v>5978</v>
      </c>
      <c r="AH1637" t="s">
        <v>2608</v>
      </c>
      <c r="AI1637">
        <v>0.97</v>
      </c>
      <c r="AJ1637">
        <v>3.99</v>
      </c>
      <c r="AK1637">
        <v>8.24</v>
      </c>
      <c r="AL1637">
        <v>12.23</v>
      </c>
    </row>
    <row r="1638" spans="1:38" x14ac:dyDescent="0.25">
      <c r="A1638">
        <v>1637</v>
      </c>
      <c r="B1638" t="str">
        <f xml:space="preserve"> "000606"</f>
        <v>000606</v>
      </c>
      <c r="C1638" t="s">
        <v>5979</v>
      </c>
      <c r="D1638" t="s">
        <v>616</v>
      </c>
      <c r="E1638" t="s">
        <v>616</v>
      </c>
      <c r="F1638" t="s">
        <v>616</v>
      </c>
      <c r="G1638" t="s">
        <v>616</v>
      </c>
      <c r="H1638" t="s">
        <v>616</v>
      </c>
      <c r="I1638" t="s">
        <v>616</v>
      </c>
      <c r="J1638" t="s">
        <v>616</v>
      </c>
      <c r="K1638" t="s">
        <v>616</v>
      </c>
      <c r="L1638" t="s">
        <v>616</v>
      </c>
      <c r="M1638" t="s">
        <v>616</v>
      </c>
      <c r="N1638">
        <v>-101.31</v>
      </c>
      <c r="O1638" t="s">
        <v>392</v>
      </c>
      <c r="P1638" t="s">
        <v>616</v>
      </c>
      <c r="Q1638" t="s">
        <v>616</v>
      </c>
      <c r="R1638" t="s">
        <v>616</v>
      </c>
      <c r="S1638">
        <v>10.19</v>
      </c>
      <c r="T1638" t="s">
        <v>616</v>
      </c>
      <c r="U1638" t="s">
        <v>616</v>
      </c>
      <c r="V1638" t="s">
        <v>616</v>
      </c>
      <c r="W1638" t="s">
        <v>616</v>
      </c>
      <c r="X1638" t="s">
        <v>616</v>
      </c>
      <c r="Y1638" t="s">
        <v>616</v>
      </c>
      <c r="Z1638" t="s">
        <v>616</v>
      </c>
      <c r="AA1638" t="s">
        <v>616</v>
      </c>
      <c r="AB1638" t="s">
        <v>616</v>
      </c>
      <c r="AC1638" t="s">
        <v>616</v>
      </c>
      <c r="AD1638">
        <v>2.83</v>
      </c>
      <c r="AE1638" t="s">
        <v>4071</v>
      </c>
      <c r="AF1638" t="s">
        <v>4383</v>
      </c>
      <c r="AG1638" t="s">
        <v>4699</v>
      </c>
      <c r="AH1638" t="s">
        <v>2352</v>
      </c>
      <c r="AI1638">
        <v>0</v>
      </c>
      <c r="AJ1638">
        <v>0</v>
      </c>
      <c r="AK1638">
        <v>0</v>
      </c>
      <c r="AL1638">
        <v>0</v>
      </c>
    </row>
    <row r="1639" spans="1:38" x14ac:dyDescent="0.25">
      <c r="A1639">
        <v>1638</v>
      </c>
      <c r="B1639" t="str">
        <f xml:space="preserve"> "300012"</f>
        <v>300012</v>
      </c>
      <c r="C1639" t="s">
        <v>5980</v>
      </c>
      <c r="D1639">
        <v>4.7</v>
      </c>
      <c r="E1639">
        <v>3.07</v>
      </c>
      <c r="F1639">
        <v>0.14000000000000001</v>
      </c>
      <c r="G1639" t="s">
        <v>167</v>
      </c>
      <c r="H1639">
        <v>1930</v>
      </c>
      <c r="I1639">
        <v>4.6900000000000004</v>
      </c>
      <c r="J1639">
        <v>4.7</v>
      </c>
      <c r="K1639">
        <v>-0.21</v>
      </c>
      <c r="L1639">
        <v>1.48</v>
      </c>
      <c r="M1639" t="s">
        <v>5981</v>
      </c>
      <c r="N1639">
        <v>97.49</v>
      </c>
      <c r="O1639" t="s">
        <v>3277</v>
      </c>
      <c r="P1639">
        <v>4.74</v>
      </c>
      <c r="Q1639">
        <v>4.54</v>
      </c>
      <c r="R1639">
        <v>4.55</v>
      </c>
      <c r="S1639">
        <v>4.5599999999999996</v>
      </c>
      <c r="T1639">
        <v>4.3899999999999997</v>
      </c>
      <c r="U1639">
        <v>1.6</v>
      </c>
      <c r="V1639">
        <v>-57.07</v>
      </c>
      <c r="W1639" t="s">
        <v>3283</v>
      </c>
      <c r="X1639">
        <v>4.6500000000000004</v>
      </c>
      <c r="Y1639" t="s">
        <v>490</v>
      </c>
      <c r="Z1639" t="s">
        <v>1772</v>
      </c>
      <c r="AA1639">
        <v>0.6</v>
      </c>
      <c r="AB1639">
        <v>1194</v>
      </c>
      <c r="AC1639">
        <v>560</v>
      </c>
      <c r="AD1639">
        <v>3.26</v>
      </c>
      <c r="AE1639" t="s">
        <v>2999</v>
      </c>
      <c r="AF1639" t="s">
        <v>4383</v>
      </c>
      <c r="AG1639" t="s">
        <v>895</v>
      </c>
      <c r="AH1639" t="s">
        <v>1867</v>
      </c>
      <c r="AI1639">
        <v>-0.63</v>
      </c>
      <c r="AJ1639">
        <v>5.15</v>
      </c>
      <c r="AK1639">
        <v>3.59</v>
      </c>
      <c r="AL1639">
        <v>6.09</v>
      </c>
    </row>
    <row r="1640" spans="1:38" x14ac:dyDescent="0.25">
      <c r="A1640">
        <v>1639</v>
      </c>
      <c r="B1640" t="str">
        <f xml:space="preserve"> "000518"</f>
        <v>000518</v>
      </c>
      <c r="C1640" t="s">
        <v>5982</v>
      </c>
      <c r="D1640">
        <v>7.57</v>
      </c>
      <c r="E1640">
        <v>0.26</v>
      </c>
      <c r="F1640">
        <v>0.02</v>
      </c>
      <c r="G1640" t="s">
        <v>87</v>
      </c>
      <c r="H1640">
        <v>240</v>
      </c>
      <c r="I1640">
        <v>7.57</v>
      </c>
      <c r="J1640">
        <v>7.58</v>
      </c>
      <c r="K1640">
        <v>0</v>
      </c>
      <c r="L1640">
        <v>0.24</v>
      </c>
      <c r="M1640" t="s">
        <v>5983</v>
      </c>
      <c r="N1640">
        <v>204.1</v>
      </c>
      <c r="O1640" t="s">
        <v>392</v>
      </c>
      <c r="P1640">
        <v>7.63</v>
      </c>
      <c r="Q1640">
        <v>7.51</v>
      </c>
      <c r="R1640">
        <v>7.56</v>
      </c>
      <c r="S1640">
        <v>7.55</v>
      </c>
      <c r="T1640">
        <v>1.59</v>
      </c>
      <c r="U1640">
        <v>0.6</v>
      </c>
      <c r="V1640">
        <v>2.2799999999999998</v>
      </c>
      <c r="W1640">
        <v>58</v>
      </c>
      <c r="X1640">
        <v>7.55</v>
      </c>
      <c r="Y1640" t="s">
        <v>4112</v>
      </c>
      <c r="Z1640" t="s">
        <v>808</v>
      </c>
      <c r="AA1640">
        <v>1.25</v>
      </c>
      <c r="AB1640">
        <v>167</v>
      </c>
      <c r="AC1640">
        <v>458</v>
      </c>
      <c r="AD1640">
        <v>12.17</v>
      </c>
      <c r="AE1640" t="s">
        <v>707</v>
      </c>
      <c r="AF1640" t="s">
        <v>5984</v>
      </c>
      <c r="AG1640" t="s">
        <v>707</v>
      </c>
      <c r="AH1640" t="s">
        <v>5984</v>
      </c>
      <c r="AI1640">
        <v>0.26</v>
      </c>
      <c r="AJ1640">
        <v>3.56</v>
      </c>
      <c r="AK1640">
        <v>1.4</v>
      </c>
      <c r="AL1640">
        <v>2.27</v>
      </c>
    </row>
    <row r="1641" spans="1:38" x14ac:dyDescent="0.25">
      <c r="A1641">
        <v>1640</v>
      </c>
      <c r="B1641" t="str">
        <f xml:space="preserve"> "300353"</f>
        <v>300353</v>
      </c>
      <c r="C1641" t="s">
        <v>5985</v>
      </c>
      <c r="D1641">
        <v>15.07</v>
      </c>
      <c r="E1641">
        <v>0.13</v>
      </c>
      <c r="F1641">
        <v>0.02</v>
      </c>
      <c r="G1641" t="s">
        <v>2288</v>
      </c>
      <c r="H1641">
        <v>472</v>
      </c>
      <c r="I1641">
        <v>15.07</v>
      </c>
      <c r="J1641">
        <v>15.08</v>
      </c>
      <c r="K1641">
        <v>-0.13</v>
      </c>
      <c r="L1641">
        <v>1.39</v>
      </c>
      <c r="M1641" t="s">
        <v>5986</v>
      </c>
      <c r="N1641">
        <v>89.54</v>
      </c>
      <c r="O1641" t="s">
        <v>580</v>
      </c>
      <c r="P1641">
        <v>15.2</v>
      </c>
      <c r="Q1641">
        <v>14.95</v>
      </c>
      <c r="R1641">
        <v>14.96</v>
      </c>
      <c r="S1641">
        <v>15.05</v>
      </c>
      <c r="T1641">
        <v>1.66</v>
      </c>
      <c r="U1641">
        <v>0.62</v>
      </c>
      <c r="V1641">
        <v>-75.16</v>
      </c>
      <c r="W1641">
        <v>-962</v>
      </c>
      <c r="X1641">
        <v>15.05</v>
      </c>
      <c r="Y1641" t="s">
        <v>3914</v>
      </c>
      <c r="Z1641" t="s">
        <v>3251</v>
      </c>
      <c r="AA1641">
        <v>1.42</v>
      </c>
      <c r="AB1641">
        <v>38</v>
      </c>
      <c r="AC1641">
        <v>17</v>
      </c>
      <c r="AD1641">
        <v>3.65</v>
      </c>
      <c r="AE1641" t="s">
        <v>3391</v>
      </c>
      <c r="AF1641" t="s">
        <v>5984</v>
      </c>
      <c r="AG1641" t="s">
        <v>3728</v>
      </c>
      <c r="AH1641" t="s">
        <v>1263</v>
      </c>
      <c r="AI1641">
        <v>-2.71</v>
      </c>
      <c r="AJ1641">
        <v>0.74</v>
      </c>
      <c r="AK1641">
        <v>5.03</v>
      </c>
      <c r="AL1641">
        <v>12.63</v>
      </c>
    </row>
    <row r="1642" spans="1:38" x14ac:dyDescent="0.25">
      <c r="A1642">
        <v>1641</v>
      </c>
      <c r="B1642" t="str">
        <f xml:space="preserve"> "600587"</f>
        <v>600587</v>
      </c>
      <c r="C1642" t="s">
        <v>5987</v>
      </c>
      <c r="D1642">
        <v>19.16</v>
      </c>
      <c r="E1642">
        <v>-1.1399999999999999</v>
      </c>
      <c r="F1642">
        <v>-0.22</v>
      </c>
      <c r="G1642" t="s">
        <v>1894</v>
      </c>
      <c r="H1642">
        <v>110</v>
      </c>
      <c r="I1642">
        <v>19.14</v>
      </c>
      <c r="J1642">
        <v>19.149999999999999</v>
      </c>
      <c r="K1642">
        <v>-0.26</v>
      </c>
      <c r="L1642">
        <v>2.2200000000000002</v>
      </c>
      <c r="M1642" t="s">
        <v>4916</v>
      </c>
      <c r="N1642">
        <v>46.32</v>
      </c>
      <c r="O1642" t="s">
        <v>1552</v>
      </c>
      <c r="P1642">
        <v>19.66</v>
      </c>
      <c r="Q1642">
        <v>19.079999999999998</v>
      </c>
      <c r="R1642">
        <v>19.350000000000001</v>
      </c>
      <c r="S1642">
        <v>19.38</v>
      </c>
      <c r="T1642">
        <v>2.99</v>
      </c>
      <c r="U1642">
        <v>0.75</v>
      </c>
      <c r="V1642">
        <v>29.64</v>
      </c>
      <c r="W1642">
        <v>487</v>
      </c>
      <c r="X1642">
        <v>19.34</v>
      </c>
      <c r="Y1642" t="s">
        <v>868</v>
      </c>
      <c r="Z1642" t="s">
        <v>944</v>
      </c>
      <c r="AA1642">
        <v>1.26</v>
      </c>
      <c r="AB1642">
        <v>26</v>
      </c>
      <c r="AC1642">
        <v>198</v>
      </c>
      <c r="AD1642">
        <v>2.35</v>
      </c>
      <c r="AE1642" t="s">
        <v>2215</v>
      </c>
      <c r="AF1642" t="s">
        <v>5984</v>
      </c>
      <c r="AG1642" t="s">
        <v>4660</v>
      </c>
      <c r="AH1642" t="s">
        <v>2896</v>
      </c>
      <c r="AI1642">
        <v>-4.3899999999999997</v>
      </c>
      <c r="AJ1642">
        <v>8.56</v>
      </c>
      <c r="AK1642">
        <v>9.23</v>
      </c>
      <c r="AL1642">
        <v>17.059999999999999</v>
      </c>
    </row>
    <row r="1643" spans="1:38" x14ac:dyDescent="0.25">
      <c r="A1643">
        <v>1642</v>
      </c>
      <c r="B1643" t="str">
        <f xml:space="preserve"> "000301"</f>
        <v>000301</v>
      </c>
      <c r="C1643" t="s">
        <v>5988</v>
      </c>
      <c r="D1643">
        <v>6.39</v>
      </c>
      <c r="E1643">
        <v>-7.53</v>
      </c>
      <c r="F1643">
        <v>-0.52</v>
      </c>
      <c r="G1643" t="s">
        <v>5989</v>
      </c>
      <c r="H1643" t="s">
        <v>1886</v>
      </c>
      <c r="I1643">
        <v>6.38</v>
      </c>
      <c r="J1643">
        <v>6.39</v>
      </c>
      <c r="K1643">
        <v>0</v>
      </c>
      <c r="L1643">
        <v>11.01</v>
      </c>
      <c r="M1643" t="s">
        <v>1535</v>
      </c>
      <c r="N1643">
        <v>26.91</v>
      </c>
      <c r="O1643" t="s">
        <v>3277</v>
      </c>
      <c r="P1643">
        <v>6.67</v>
      </c>
      <c r="Q1643">
        <v>6.36</v>
      </c>
      <c r="R1643">
        <v>6.6</v>
      </c>
      <c r="S1643">
        <v>6.91</v>
      </c>
      <c r="T1643">
        <v>4.49</v>
      </c>
      <c r="U1643">
        <v>3.01</v>
      </c>
      <c r="V1643">
        <v>-3.14</v>
      </c>
      <c r="W1643">
        <v>-1029</v>
      </c>
      <c r="X1643">
        <v>6.48</v>
      </c>
      <c r="Y1643" t="s">
        <v>5990</v>
      </c>
      <c r="Z1643" t="s">
        <v>1042</v>
      </c>
      <c r="AA1643">
        <v>1.51</v>
      </c>
      <c r="AB1643">
        <v>3061</v>
      </c>
      <c r="AC1643">
        <v>8829</v>
      </c>
      <c r="AD1643">
        <v>2.2000000000000002</v>
      </c>
      <c r="AE1643" t="s">
        <v>1115</v>
      </c>
      <c r="AF1643" t="s">
        <v>5482</v>
      </c>
      <c r="AG1643" t="s">
        <v>1115</v>
      </c>
      <c r="AH1643" t="s">
        <v>5482</v>
      </c>
      <c r="AI1643">
        <v>4.41</v>
      </c>
      <c r="AJ1643">
        <v>26.53</v>
      </c>
      <c r="AK1643">
        <v>28.42</v>
      </c>
      <c r="AL1643">
        <v>28.85</v>
      </c>
    </row>
    <row r="1644" spans="1:38" x14ac:dyDescent="0.25">
      <c r="A1644">
        <v>1643</v>
      </c>
      <c r="B1644" t="str">
        <f xml:space="preserve"> "002349"</f>
        <v>002349</v>
      </c>
      <c r="C1644" t="s">
        <v>5991</v>
      </c>
      <c r="D1644">
        <v>9.26</v>
      </c>
      <c r="E1644">
        <v>0.98</v>
      </c>
      <c r="F1644">
        <v>0.09</v>
      </c>
      <c r="G1644" t="s">
        <v>2417</v>
      </c>
      <c r="H1644">
        <v>655</v>
      </c>
      <c r="I1644">
        <v>9.26</v>
      </c>
      <c r="J1644">
        <v>9.27</v>
      </c>
      <c r="K1644">
        <v>0</v>
      </c>
      <c r="L1644">
        <v>0.85</v>
      </c>
      <c r="M1644" t="s">
        <v>5992</v>
      </c>
      <c r="N1644">
        <v>40.409999999999997</v>
      </c>
      <c r="O1644" t="s">
        <v>392</v>
      </c>
      <c r="P1644">
        <v>9.33</v>
      </c>
      <c r="Q1644">
        <v>9.16</v>
      </c>
      <c r="R1644">
        <v>9.2200000000000006</v>
      </c>
      <c r="S1644">
        <v>9.17</v>
      </c>
      <c r="T1644">
        <v>1.85</v>
      </c>
      <c r="U1644">
        <v>1.24</v>
      </c>
      <c r="V1644">
        <v>-40.14</v>
      </c>
      <c r="W1644">
        <v>-2395</v>
      </c>
      <c r="X1644">
        <v>9.26</v>
      </c>
      <c r="Y1644" t="s">
        <v>2360</v>
      </c>
      <c r="Z1644" t="s">
        <v>393</v>
      </c>
      <c r="AA1644">
        <v>0.77</v>
      </c>
      <c r="AB1644">
        <v>497</v>
      </c>
      <c r="AC1644">
        <v>362</v>
      </c>
      <c r="AD1644">
        <v>3.54</v>
      </c>
      <c r="AE1644" t="s">
        <v>3751</v>
      </c>
      <c r="AF1644" t="s">
        <v>5482</v>
      </c>
      <c r="AG1644" t="s">
        <v>3235</v>
      </c>
      <c r="AH1644" t="s">
        <v>5947</v>
      </c>
      <c r="AI1644">
        <v>0.43</v>
      </c>
      <c r="AJ1644">
        <v>4.04</v>
      </c>
      <c r="AK1644">
        <v>2.58</v>
      </c>
      <c r="AL1644">
        <v>4.3</v>
      </c>
    </row>
    <row r="1645" spans="1:38" x14ac:dyDescent="0.25">
      <c r="A1645">
        <v>1644</v>
      </c>
      <c r="B1645" t="str">
        <f xml:space="preserve"> "600628"</f>
        <v>600628</v>
      </c>
      <c r="C1645" t="s">
        <v>5993</v>
      </c>
      <c r="D1645">
        <v>12.03</v>
      </c>
      <c r="E1645">
        <v>2.4700000000000002</v>
      </c>
      <c r="F1645">
        <v>0.28999999999999998</v>
      </c>
      <c r="G1645" t="s">
        <v>194</v>
      </c>
      <c r="H1645">
        <v>2</v>
      </c>
      <c r="I1645">
        <v>12.02</v>
      </c>
      <c r="J1645">
        <v>12.03</v>
      </c>
      <c r="K1645">
        <v>0.08</v>
      </c>
      <c r="L1645">
        <v>2.35</v>
      </c>
      <c r="M1645" t="s">
        <v>598</v>
      </c>
      <c r="N1645">
        <v>10.74</v>
      </c>
      <c r="O1645" t="s">
        <v>532</v>
      </c>
      <c r="P1645">
        <v>12.06</v>
      </c>
      <c r="Q1645">
        <v>11.89</v>
      </c>
      <c r="R1645">
        <v>11.94</v>
      </c>
      <c r="S1645">
        <v>11.74</v>
      </c>
      <c r="T1645">
        <v>1.45</v>
      </c>
      <c r="U1645">
        <v>3.85</v>
      </c>
      <c r="V1645">
        <v>-52.4</v>
      </c>
      <c r="W1645">
        <v>-4117</v>
      </c>
      <c r="X1645">
        <v>11.98</v>
      </c>
      <c r="Y1645" t="s">
        <v>2988</v>
      </c>
      <c r="Z1645" t="s">
        <v>5089</v>
      </c>
      <c r="AA1645">
        <v>0.78</v>
      </c>
      <c r="AB1645">
        <v>56</v>
      </c>
      <c r="AC1645">
        <v>444</v>
      </c>
      <c r="AD1645">
        <v>1.83</v>
      </c>
      <c r="AE1645" t="s">
        <v>5994</v>
      </c>
      <c r="AF1645" t="s">
        <v>5482</v>
      </c>
      <c r="AG1645" t="s">
        <v>2774</v>
      </c>
      <c r="AH1645" t="s">
        <v>2553</v>
      </c>
      <c r="AI1645">
        <v>2.38</v>
      </c>
      <c r="AJ1645">
        <v>4.79</v>
      </c>
      <c r="AK1645">
        <v>3.71</v>
      </c>
      <c r="AL1645">
        <v>5.4</v>
      </c>
    </row>
    <row r="1646" spans="1:38" x14ac:dyDescent="0.25">
      <c r="A1646">
        <v>1645</v>
      </c>
      <c r="B1646" t="str">
        <f xml:space="preserve"> "600433"</f>
        <v>600433</v>
      </c>
      <c r="C1646" t="s">
        <v>5995</v>
      </c>
      <c r="D1646">
        <v>6.12</v>
      </c>
      <c r="E1646">
        <v>0.16</v>
      </c>
      <c r="F1646">
        <v>0.01</v>
      </c>
      <c r="G1646" t="s">
        <v>344</v>
      </c>
      <c r="H1646">
        <v>33</v>
      </c>
      <c r="I1646">
        <v>6.12</v>
      </c>
      <c r="J1646">
        <v>6.13</v>
      </c>
      <c r="K1646">
        <v>0</v>
      </c>
      <c r="L1646">
        <v>0.48</v>
      </c>
      <c r="M1646" t="s">
        <v>5996</v>
      </c>
      <c r="N1646">
        <v>114.32</v>
      </c>
      <c r="O1646" t="s">
        <v>1874</v>
      </c>
      <c r="P1646">
        <v>6.15</v>
      </c>
      <c r="Q1646">
        <v>6.09</v>
      </c>
      <c r="R1646">
        <v>6.09</v>
      </c>
      <c r="S1646">
        <v>6.11</v>
      </c>
      <c r="T1646">
        <v>0.98</v>
      </c>
      <c r="U1646">
        <v>0.64</v>
      </c>
      <c r="V1646">
        <v>10.66</v>
      </c>
      <c r="W1646">
        <v>1482</v>
      </c>
      <c r="X1646">
        <v>6.12</v>
      </c>
      <c r="Y1646" t="s">
        <v>3861</v>
      </c>
      <c r="Z1646" t="s">
        <v>87</v>
      </c>
      <c r="AA1646">
        <v>1.27</v>
      </c>
      <c r="AB1646">
        <v>14</v>
      </c>
      <c r="AC1646">
        <v>1122</v>
      </c>
      <c r="AD1646">
        <v>3.09</v>
      </c>
      <c r="AE1646" t="s">
        <v>1483</v>
      </c>
      <c r="AF1646" t="s">
        <v>5482</v>
      </c>
      <c r="AG1646" t="s">
        <v>1011</v>
      </c>
      <c r="AH1646" t="s">
        <v>5940</v>
      </c>
      <c r="AI1646">
        <v>-1.29</v>
      </c>
      <c r="AJ1646">
        <v>0.66</v>
      </c>
      <c r="AK1646">
        <v>1.8</v>
      </c>
      <c r="AL1646">
        <v>4.2</v>
      </c>
    </row>
    <row r="1647" spans="1:38" x14ac:dyDescent="0.25">
      <c r="A1647">
        <v>1646</v>
      </c>
      <c r="B1647" t="str">
        <f xml:space="preserve"> "001896"</f>
        <v>001896</v>
      </c>
      <c r="C1647" t="s">
        <v>5997</v>
      </c>
      <c r="D1647">
        <v>6.76</v>
      </c>
      <c r="E1647">
        <v>1.81</v>
      </c>
      <c r="F1647">
        <v>0.12</v>
      </c>
      <c r="G1647" t="s">
        <v>131</v>
      </c>
      <c r="H1647">
        <v>2057</v>
      </c>
      <c r="I1647">
        <v>6.76</v>
      </c>
      <c r="J1647">
        <v>6.77</v>
      </c>
      <c r="K1647">
        <v>0</v>
      </c>
      <c r="L1647">
        <v>3.17</v>
      </c>
      <c r="M1647" t="s">
        <v>223</v>
      </c>
      <c r="N1647">
        <v>-79.67</v>
      </c>
      <c r="O1647" t="s">
        <v>186</v>
      </c>
      <c r="P1647">
        <v>6.82</v>
      </c>
      <c r="Q1647">
        <v>6.63</v>
      </c>
      <c r="R1647">
        <v>6.65</v>
      </c>
      <c r="S1647">
        <v>6.64</v>
      </c>
      <c r="T1647">
        <v>2.86</v>
      </c>
      <c r="U1647">
        <v>2.7</v>
      </c>
      <c r="V1647">
        <v>-15</v>
      </c>
      <c r="W1647">
        <v>-1845</v>
      </c>
      <c r="X1647">
        <v>6.76</v>
      </c>
      <c r="Y1647" t="s">
        <v>216</v>
      </c>
      <c r="Z1647" t="s">
        <v>609</v>
      </c>
      <c r="AA1647">
        <v>0.65</v>
      </c>
      <c r="AB1647">
        <v>19</v>
      </c>
      <c r="AC1647">
        <v>2247</v>
      </c>
      <c r="AD1647">
        <v>1.24</v>
      </c>
      <c r="AE1647" t="s">
        <v>2388</v>
      </c>
      <c r="AF1647" t="s">
        <v>5482</v>
      </c>
      <c r="AG1647" t="s">
        <v>5274</v>
      </c>
      <c r="AH1647" t="s">
        <v>5998</v>
      </c>
      <c r="AI1647">
        <v>3.36</v>
      </c>
      <c r="AJ1647">
        <v>5.96</v>
      </c>
      <c r="AK1647">
        <v>6.55</v>
      </c>
      <c r="AL1647">
        <v>9.02</v>
      </c>
    </row>
    <row r="1648" spans="1:38" x14ac:dyDescent="0.25">
      <c r="A1648">
        <v>1647</v>
      </c>
      <c r="B1648" t="str">
        <f xml:space="preserve"> "300225"</f>
        <v>300225</v>
      </c>
      <c r="C1648" t="s">
        <v>5999</v>
      </c>
      <c r="D1648">
        <v>16.53</v>
      </c>
      <c r="E1648">
        <v>0.06</v>
      </c>
      <c r="F1648">
        <v>0.01</v>
      </c>
      <c r="G1648" t="s">
        <v>5284</v>
      </c>
      <c r="H1648">
        <v>1899</v>
      </c>
      <c r="I1648">
        <v>16.52</v>
      </c>
      <c r="J1648">
        <v>16.53</v>
      </c>
      <c r="K1648">
        <v>0.06</v>
      </c>
      <c r="L1648">
        <v>1.32</v>
      </c>
      <c r="M1648" t="s">
        <v>2179</v>
      </c>
      <c r="N1648">
        <v>149.4</v>
      </c>
      <c r="O1648" t="s">
        <v>667</v>
      </c>
      <c r="P1648">
        <v>16.88</v>
      </c>
      <c r="Q1648">
        <v>16.25</v>
      </c>
      <c r="R1648">
        <v>16.36</v>
      </c>
      <c r="S1648">
        <v>16.52</v>
      </c>
      <c r="T1648">
        <v>3.81</v>
      </c>
      <c r="U1648">
        <v>0.91</v>
      </c>
      <c r="V1648">
        <v>-31.67</v>
      </c>
      <c r="W1648">
        <v>-542</v>
      </c>
      <c r="X1648">
        <v>16.5</v>
      </c>
      <c r="Y1648" t="s">
        <v>2427</v>
      </c>
      <c r="Z1648" t="s">
        <v>1199</v>
      </c>
      <c r="AA1648">
        <v>1.08</v>
      </c>
      <c r="AB1648">
        <v>373</v>
      </c>
      <c r="AC1648">
        <v>148</v>
      </c>
      <c r="AD1648">
        <v>8.92</v>
      </c>
      <c r="AE1648" t="s">
        <v>2021</v>
      </c>
      <c r="AF1648" t="s">
        <v>5936</v>
      </c>
      <c r="AG1648" t="s">
        <v>2820</v>
      </c>
      <c r="AH1648" t="s">
        <v>1788</v>
      </c>
      <c r="AI1648">
        <v>4.09</v>
      </c>
      <c r="AJ1648">
        <v>9.11</v>
      </c>
      <c r="AK1648">
        <v>4.07</v>
      </c>
      <c r="AL1648">
        <v>8.5500000000000007</v>
      </c>
    </row>
    <row r="1649" spans="1:38" x14ac:dyDescent="0.25">
      <c r="A1649">
        <v>1648</v>
      </c>
      <c r="B1649" t="str">
        <f xml:space="preserve"> "600187"</f>
        <v>600187</v>
      </c>
      <c r="C1649" t="s">
        <v>6000</v>
      </c>
      <c r="D1649">
        <v>4.7</v>
      </c>
      <c r="E1649">
        <v>3.3</v>
      </c>
      <c r="F1649">
        <v>0.15</v>
      </c>
      <c r="G1649" t="s">
        <v>3997</v>
      </c>
      <c r="H1649">
        <v>414</v>
      </c>
      <c r="I1649">
        <v>4.68</v>
      </c>
      <c r="J1649">
        <v>4.6900000000000004</v>
      </c>
      <c r="K1649">
        <v>0.21</v>
      </c>
      <c r="L1649">
        <v>2.62</v>
      </c>
      <c r="M1649" t="s">
        <v>3310</v>
      </c>
      <c r="N1649">
        <v>631.47</v>
      </c>
      <c r="O1649" t="s">
        <v>2085</v>
      </c>
      <c r="P1649">
        <v>4.7</v>
      </c>
      <c r="Q1649">
        <v>4.5199999999999996</v>
      </c>
      <c r="R1649">
        <v>4.54</v>
      </c>
      <c r="S1649">
        <v>4.55</v>
      </c>
      <c r="T1649">
        <v>3.96</v>
      </c>
      <c r="U1649">
        <v>4</v>
      </c>
      <c r="V1649">
        <v>-11.89</v>
      </c>
      <c r="W1649">
        <v>-2787</v>
      </c>
      <c r="X1649">
        <v>4.63</v>
      </c>
      <c r="Y1649" t="s">
        <v>1627</v>
      </c>
      <c r="Z1649" t="s">
        <v>95</v>
      </c>
      <c r="AA1649">
        <v>0.48</v>
      </c>
      <c r="AB1649">
        <v>1813</v>
      </c>
      <c r="AC1649">
        <v>32</v>
      </c>
      <c r="AD1649">
        <v>2.23</v>
      </c>
      <c r="AE1649" t="s">
        <v>1889</v>
      </c>
      <c r="AF1649" t="s">
        <v>5936</v>
      </c>
      <c r="AG1649" t="s">
        <v>801</v>
      </c>
      <c r="AH1649" t="s">
        <v>1002</v>
      </c>
      <c r="AI1649">
        <v>3.07</v>
      </c>
      <c r="AJ1649">
        <v>5.15</v>
      </c>
      <c r="AK1649">
        <v>4.05</v>
      </c>
      <c r="AL1649">
        <v>5.89</v>
      </c>
    </row>
    <row r="1650" spans="1:38" x14ac:dyDescent="0.25">
      <c r="A1650">
        <v>1649</v>
      </c>
      <c r="B1650" t="str">
        <f xml:space="preserve"> "002283"</f>
        <v>002283</v>
      </c>
      <c r="C1650" t="s">
        <v>6001</v>
      </c>
      <c r="D1650">
        <v>6.9</v>
      </c>
      <c r="E1650">
        <v>0.57999999999999996</v>
      </c>
      <c r="F1650">
        <v>0.04</v>
      </c>
      <c r="G1650" t="s">
        <v>2743</v>
      </c>
      <c r="H1650">
        <v>1520</v>
      </c>
      <c r="I1650">
        <v>6.9</v>
      </c>
      <c r="J1650">
        <v>6.91</v>
      </c>
      <c r="K1650">
        <v>0</v>
      </c>
      <c r="L1650">
        <v>1.18</v>
      </c>
      <c r="M1650" t="s">
        <v>6002</v>
      </c>
      <c r="N1650">
        <v>28.95</v>
      </c>
      <c r="O1650" t="s">
        <v>648</v>
      </c>
      <c r="P1650">
        <v>6.96</v>
      </c>
      <c r="Q1650">
        <v>6.79</v>
      </c>
      <c r="R1650">
        <v>6.88</v>
      </c>
      <c r="S1650">
        <v>6.86</v>
      </c>
      <c r="T1650">
        <v>2.48</v>
      </c>
      <c r="U1650">
        <v>1.06</v>
      </c>
      <c r="V1650">
        <v>-15.99</v>
      </c>
      <c r="W1650">
        <v>-2030</v>
      </c>
      <c r="X1650">
        <v>6.89</v>
      </c>
      <c r="Y1650" t="s">
        <v>2631</v>
      </c>
      <c r="Z1650" t="s">
        <v>1629</v>
      </c>
      <c r="AA1650">
        <v>1.18</v>
      </c>
      <c r="AB1650">
        <v>1498</v>
      </c>
      <c r="AC1650">
        <v>1032</v>
      </c>
      <c r="AD1650">
        <v>2.11</v>
      </c>
      <c r="AE1650" t="s">
        <v>2756</v>
      </c>
      <c r="AF1650" t="s">
        <v>5936</v>
      </c>
      <c r="AG1650" t="s">
        <v>2756</v>
      </c>
      <c r="AH1650" t="s">
        <v>5936</v>
      </c>
      <c r="AI1650">
        <v>1.77</v>
      </c>
      <c r="AJ1650">
        <v>5.67</v>
      </c>
      <c r="AK1650">
        <v>4.26</v>
      </c>
      <c r="AL1650">
        <v>6.73</v>
      </c>
    </row>
    <row r="1651" spans="1:38" x14ac:dyDescent="0.25">
      <c r="A1651">
        <v>1650</v>
      </c>
      <c r="B1651" t="str">
        <f xml:space="preserve"> "603609"</f>
        <v>603609</v>
      </c>
      <c r="C1651" t="s">
        <v>6003</v>
      </c>
      <c r="D1651">
        <v>9.35</v>
      </c>
      <c r="E1651">
        <v>0.43</v>
      </c>
      <c r="F1651">
        <v>0.04</v>
      </c>
      <c r="G1651" t="s">
        <v>5977</v>
      </c>
      <c r="H1651">
        <v>7</v>
      </c>
      <c r="I1651">
        <v>9.34</v>
      </c>
      <c r="J1651">
        <v>9.35</v>
      </c>
      <c r="K1651">
        <v>0.11</v>
      </c>
      <c r="L1651">
        <v>0.3</v>
      </c>
      <c r="M1651" t="s">
        <v>6004</v>
      </c>
      <c r="N1651">
        <v>35.950000000000003</v>
      </c>
      <c r="O1651" t="s">
        <v>622</v>
      </c>
      <c r="P1651">
        <v>9.35</v>
      </c>
      <c r="Q1651">
        <v>9.2799999999999994</v>
      </c>
      <c r="R1651">
        <v>9.2899999999999991</v>
      </c>
      <c r="S1651">
        <v>9.31</v>
      </c>
      <c r="T1651">
        <v>0.75</v>
      </c>
      <c r="U1651">
        <v>0.47</v>
      </c>
      <c r="V1651">
        <v>17.79</v>
      </c>
      <c r="W1651">
        <v>756</v>
      </c>
      <c r="X1651">
        <v>9.32</v>
      </c>
      <c r="Y1651" t="s">
        <v>2241</v>
      </c>
      <c r="Z1651" t="s">
        <v>2518</v>
      </c>
      <c r="AA1651">
        <v>0.85</v>
      </c>
      <c r="AB1651">
        <v>118</v>
      </c>
      <c r="AC1651">
        <v>21</v>
      </c>
      <c r="AD1651">
        <v>2.57</v>
      </c>
      <c r="AE1651" t="s">
        <v>3626</v>
      </c>
      <c r="AF1651" t="s">
        <v>5936</v>
      </c>
      <c r="AG1651" t="s">
        <v>3626</v>
      </c>
      <c r="AH1651" t="s">
        <v>5936</v>
      </c>
      <c r="AI1651">
        <v>-0.32</v>
      </c>
      <c r="AJ1651">
        <v>1.19</v>
      </c>
      <c r="AK1651">
        <v>1.22</v>
      </c>
      <c r="AL1651">
        <v>3.45</v>
      </c>
    </row>
    <row r="1652" spans="1:38" x14ac:dyDescent="0.25">
      <c r="A1652">
        <v>1651</v>
      </c>
      <c r="B1652" t="str">
        <f xml:space="preserve"> "002853"</f>
        <v>002853</v>
      </c>
      <c r="C1652" t="s">
        <v>6005</v>
      </c>
      <c r="D1652">
        <v>50</v>
      </c>
      <c r="E1652">
        <v>3.63</v>
      </c>
      <c r="F1652">
        <v>1.75</v>
      </c>
      <c r="G1652" t="s">
        <v>2850</v>
      </c>
      <c r="H1652">
        <v>1334</v>
      </c>
      <c r="I1652">
        <v>50</v>
      </c>
      <c r="J1652">
        <v>50.01</v>
      </c>
      <c r="K1652">
        <v>0</v>
      </c>
      <c r="L1652">
        <v>24.81</v>
      </c>
      <c r="M1652" t="s">
        <v>2119</v>
      </c>
      <c r="N1652">
        <v>111.95</v>
      </c>
      <c r="O1652" t="s">
        <v>1469</v>
      </c>
      <c r="P1652">
        <v>51.98</v>
      </c>
      <c r="Q1652">
        <v>47.85</v>
      </c>
      <c r="R1652">
        <v>47.85</v>
      </c>
      <c r="S1652">
        <v>48.25</v>
      </c>
      <c r="T1652">
        <v>8.56</v>
      </c>
      <c r="U1652">
        <v>1.2</v>
      </c>
      <c r="V1652">
        <v>28.17</v>
      </c>
      <c r="W1652">
        <v>240</v>
      </c>
      <c r="X1652">
        <v>50.36</v>
      </c>
      <c r="Y1652" t="s">
        <v>2058</v>
      </c>
      <c r="Z1652" t="s">
        <v>1444</v>
      </c>
      <c r="AA1652">
        <v>0.75</v>
      </c>
      <c r="AB1652">
        <v>248</v>
      </c>
      <c r="AC1652">
        <v>95</v>
      </c>
      <c r="AD1652">
        <v>9.2200000000000006</v>
      </c>
      <c r="AE1652" t="s">
        <v>2049</v>
      </c>
      <c r="AF1652" t="s">
        <v>5936</v>
      </c>
      <c r="AG1652" t="s">
        <v>3966</v>
      </c>
      <c r="AH1652" t="s">
        <v>931</v>
      </c>
      <c r="AI1652">
        <v>-3.23</v>
      </c>
      <c r="AJ1652">
        <v>9.2200000000000006</v>
      </c>
      <c r="AK1652">
        <v>57.72</v>
      </c>
      <c r="AL1652">
        <v>128.25</v>
      </c>
    </row>
    <row r="1653" spans="1:38" x14ac:dyDescent="0.25">
      <c r="A1653">
        <v>1652</v>
      </c>
      <c r="B1653" t="str">
        <f xml:space="preserve"> "000760"</f>
        <v>000760</v>
      </c>
      <c r="C1653" t="s">
        <v>6006</v>
      </c>
      <c r="D1653">
        <v>9.85</v>
      </c>
      <c r="E1653">
        <v>0.1</v>
      </c>
      <c r="F1653">
        <v>0.01</v>
      </c>
      <c r="G1653" t="s">
        <v>3357</v>
      </c>
      <c r="H1653">
        <v>1080</v>
      </c>
      <c r="I1653">
        <v>9.83</v>
      </c>
      <c r="J1653">
        <v>9.85</v>
      </c>
      <c r="K1653">
        <v>0.2</v>
      </c>
      <c r="L1653">
        <v>0.38</v>
      </c>
      <c r="M1653" t="s">
        <v>6007</v>
      </c>
      <c r="N1653">
        <v>32.229999999999997</v>
      </c>
      <c r="O1653" t="s">
        <v>169</v>
      </c>
      <c r="P1653">
        <v>9.9</v>
      </c>
      <c r="Q1653">
        <v>9.76</v>
      </c>
      <c r="R1653">
        <v>9.8699999999999992</v>
      </c>
      <c r="S1653">
        <v>9.84</v>
      </c>
      <c r="T1653">
        <v>1.42</v>
      </c>
      <c r="U1653">
        <v>0.5</v>
      </c>
      <c r="V1653">
        <v>-85.61</v>
      </c>
      <c r="W1653" t="s">
        <v>6008</v>
      </c>
      <c r="X1653">
        <v>9.82</v>
      </c>
      <c r="Y1653" t="s">
        <v>1077</v>
      </c>
      <c r="Z1653" t="s">
        <v>316</v>
      </c>
      <c r="AA1653">
        <v>1.1200000000000001</v>
      </c>
      <c r="AB1653">
        <v>240</v>
      </c>
      <c r="AC1653" t="s">
        <v>1153</v>
      </c>
      <c r="AD1653">
        <v>3.66</v>
      </c>
      <c r="AE1653" t="s">
        <v>5251</v>
      </c>
      <c r="AF1653" t="s">
        <v>5936</v>
      </c>
      <c r="AG1653" t="s">
        <v>1603</v>
      </c>
      <c r="AH1653" t="s">
        <v>4595</v>
      </c>
      <c r="AI1653">
        <v>0.2</v>
      </c>
      <c r="AJ1653">
        <v>0.92</v>
      </c>
      <c r="AK1653">
        <v>1.58</v>
      </c>
      <c r="AL1653">
        <v>4.1500000000000004</v>
      </c>
    </row>
    <row r="1654" spans="1:38" x14ac:dyDescent="0.25">
      <c r="A1654">
        <v>1653</v>
      </c>
      <c r="B1654" t="str">
        <f xml:space="preserve"> "300366"</f>
        <v>300366</v>
      </c>
      <c r="C1654" t="s">
        <v>6009</v>
      </c>
      <c r="D1654">
        <v>14.76</v>
      </c>
      <c r="E1654">
        <v>0.54</v>
      </c>
      <c r="F1654">
        <v>0.08</v>
      </c>
      <c r="G1654" t="s">
        <v>2143</v>
      </c>
      <c r="H1654">
        <v>607</v>
      </c>
      <c r="I1654">
        <v>14.75</v>
      </c>
      <c r="J1654">
        <v>14.76</v>
      </c>
      <c r="K1654">
        <v>-0.27</v>
      </c>
      <c r="L1654">
        <v>2.33</v>
      </c>
      <c r="M1654" t="s">
        <v>6010</v>
      </c>
      <c r="N1654">
        <v>64.31</v>
      </c>
      <c r="O1654" t="s">
        <v>553</v>
      </c>
      <c r="P1654">
        <v>14.86</v>
      </c>
      <c r="Q1654">
        <v>14.46</v>
      </c>
      <c r="R1654">
        <v>14.69</v>
      </c>
      <c r="S1654">
        <v>14.68</v>
      </c>
      <c r="T1654">
        <v>2.72</v>
      </c>
      <c r="U1654">
        <v>0.81</v>
      </c>
      <c r="V1654">
        <v>-42.41</v>
      </c>
      <c r="W1654">
        <v>-707</v>
      </c>
      <c r="X1654">
        <v>14.7</v>
      </c>
      <c r="Y1654" t="s">
        <v>2022</v>
      </c>
      <c r="Z1654" t="s">
        <v>4118</v>
      </c>
      <c r="AA1654">
        <v>1.28</v>
      </c>
      <c r="AB1654">
        <v>114</v>
      </c>
      <c r="AC1654">
        <v>298</v>
      </c>
      <c r="AD1654">
        <v>2.73</v>
      </c>
      <c r="AE1654" t="s">
        <v>1806</v>
      </c>
      <c r="AF1654" t="s">
        <v>5023</v>
      </c>
      <c r="AG1654" t="s">
        <v>1485</v>
      </c>
      <c r="AH1654" t="s">
        <v>1123</v>
      </c>
      <c r="AI1654">
        <v>-2.25</v>
      </c>
      <c r="AJ1654">
        <v>1.72</v>
      </c>
      <c r="AK1654">
        <v>6.78</v>
      </c>
      <c r="AL1654">
        <v>16.73</v>
      </c>
    </row>
    <row r="1655" spans="1:38" x14ac:dyDescent="0.25">
      <c r="A1655">
        <v>1654</v>
      </c>
      <c r="B1655" t="str">
        <f xml:space="preserve"> "300079"</f>
        <v>300079</v>
      </c>
      <c r="C1655" t="s">
        <v>6011</v>
      </c>
      <c r="D1655">
        <v>5.63</v>
      </c>
      <c r="E1655">
        <v>-0.18</v>
      </c>
      <c r="F1655">
        <v>-0.01</v>
      </c>
      <c r="G1655" t="s">
        <v>2003</v>
      </c>
      <c r="H1655">
        <v>1038</v>
      </c>
      <c r="I1655">
        <v>5.63</v>
      </c>
      <c r="J1655">
        <v>5.64</v>
      </c>
      <c r="K1655">
        <v>0</v>
      </c>
      <c r="L1655">
        <v>0.92</v>
      </c>
      <c r="M1655" t="s">
        <v>6012</v>
      </c>
      <c r="N1655">
        <v>65.650000000000006</v>
      </c>
      <c r="O1655" t="s">
        <v>580</v>
      </c>
      <c r="P1655">
        <v>5.64</v>
      </c>
      <c r="Q1655">
        <v>5.57</v>
      </c>
      <c r="R1655">
        <v>5.6</v>
      </c>
      <c r="S1655">
        <v>5.64</v>
      </c>
      <c r="T1655">
        <v>1.24</v>
      </c>
      <c r="U1655">
        <v>0.63</v>
      </c>
      <c r="V1655">
        <v>-31.17</v>
      </c>
      <c r="W1655">
        <v>-5135</v>
      </c>
      <c r="X1655">
        <v>5.61</v>
      </c>
      <c r="Y1655" t="s">
        <v>6013</v>
      </c>
      <c r="Z1655" t="s">
        <v>2226</v>
      </c>
      <c r="AA1655">
        <v>1.74</v>
      </c>
      <c r="AB1655">
        <v>48</v>
      </c>
      <c r="AC1655">
        <v>4005</v>
      </c>
      <c r="AD1655">
        <v>2.21</v>
      </c>
      <c r="AE1655" t="s">
        <v>1047</v>
      </c>
      <c r="AF1655" t="s">
        <v>5023</v>
      </c>
      <c r="AG1655" t="s">
        <v>2071</v>
      </c>
      <c r="AH1655" t="s">
        <v>2418</v>
      </c>
      <c r="AI1655">
        <v>-0.53</v>
      </c>
      <c r="AJ1655">
        <v>4.84</v>
      </c>
      <c r="AK1655">
        <v>3.55</v>
      </c>
      <c r="AL1655">
        <v>8.16</v>
      </c>
    </row>
    <row r="1656" spans="1:38" x14ac:dyDescent="0.25">
      <c r="A1656">
        <v>1655</v>
      </c>
      <c r="B1656" t="str">
        <f xml:space="preserve"> "002329"</f>
        <v>002329</v>
      </c>
      <c r="C1656" t="s">
        <v>6014</v>
      </c>
      <c r="D1656">
        <v>9.26</v>
      </c>
      <c r="E1656">
        <v>-0.43</v>
      </c>
      <c r="F1656">
        <v>-0.04</v>
      </c>
      <c r="G1656" t="s">
        <v>6015</v>
      </c>
      <c r="H1656">
        <v>717</v>
      </c>
      <c r="I1656">
        <v>9.26</v>
      </c>
      <c r="J1656">
        <v>9.27</v>
      </c>
      <c r="K1656">
        <v>0</v>
      </c>
      <c r="L1656">
        <v>1.45</v>
      </c>
      <c r="M1656" t="s">
        <v>6016</v>
      </c>
      <c r="N1656">
        <v>43.49</v>
      </c>
      <c r="O1656" t="s">
        <v>406</v>
      </c>
      <c r="P1656">
        <v>9.32</v>
      </c>
      <c r="Q1656">
        <v>9.1999999999999993</v>
      </c>
      <c r="R1656">
        <v>9.23</v>
      </c>
      <c r="S1656">
        <v>9.3000000000000007</v>
      </c>
      <c r="T1656">
        <v>1.29</v>
      </c>
      <c r="U1656">
        <v>0.57999999999999996</v>
      </c>
      <c r="V1656">
        <v>-15.43</v>
      </c>
      <c r="W1656">
        <v>-967</v>
      </c>
      <c r="X1656">
        <v>9.25</v>
      </c>
      <c r="Y1656" t="s">
        <v>2181</v>
      </c>
      <c r="Z1656" t="s">
        <v>3861</v>
      </c>
      <c r="AA1656">
        <v>1.4</v>
      </c>
      <c r="AB1656">
        <v>922</v>
      </c>
      <c r="AC1656">
        <v>1011</v>
      </c>
      <c r="AD1656">
        <v>2.84</v>
      </c>
      <c r="AE1656" t="s">
        <v>3493</v>
      </c>
      <c r="AF1656" t="s">
        <v>5023</v>
      </c>
      <c r="AG1656" t="s">
        <v>2985</v>
      </c>
      <c r="AH1656" t="s">
        <v>6017</v>
      </c>
      <c r="AI1656">
        <v>0</v>
      </c>
      <c r="AJ1656">
        <v>4.04</v>
      </c>
      <c r="AK1656">
        <v>9.19</v>
      </c>
      <c r="AL1656">
        <v>14</v>
      </c>
    </row>
    <row r="1657" spans="1:38" x14ac:dyDescent="0.25">
      <c r="A1657">
        <v>1656</v>
      </c>
      <c r="B1657" t="str">
        <f xml:space="preserve"> "002685"</f>
        <v>002685</v>
      </c>
      <c r="C1657" t="s">
        <v>6018</v>
      </c>
      <c r="D1657">
        <v>11.24</v>
      </c>
      <c r="E1657">
        <v>-2.0099999999999998</v>
      </c>
      <c r="F1657">
        <v>-0.23</v>
      </c>
      <c r="G1657" t="s">
        <v>2559</v>
      </c>
      <c r="H1657">
        <v>137</v>
      </c>
      <c r="I1657">
        <v>11.24</v>
      </c>
      <c r="J1657">
        <v>11.25</v>
      </c>
      <c r="K1657">
        <v>-0.09</v>
      </c>
      <c r="L1657">
        <v>0.61</v>
      </c>
      <c r="M1657" t="s">
        <v>6019</v>
      </c>
      <c r="N1657">
        <v>200.72</v>
      </c>
      <c r="O1657" t="s">
        <v>648</v>
      </c>
      <c r="P1657">
        <v>11.46</v>
      </c>
      <c r="Q1657">
        <v>11.16</v>
      </c>
      <c r="R1657">
        <v>11.22</v>
      </c>
      <c r="S1657">
        <v>11.47</v>
      </c>
      <c r="T1657">
        <v>2.62</v>
      </c>
      <c r="U1657">
        <v>1.22</v>
      </c>
      <c r="V1657">
        <v>37.28</v>
      </c>
      <c r="W1657">
        <v>516</v>
      </c>
      <c r="X1657">
        <v>11.26</v>
      </c>
      <c r="Y1657" t="s">
        <v>113</v>
      </c>
      <c r="Z1657" t="s">
        <v>1095</v>
      </c>
      <c r="AA1657">
        <v>1.72</v>
      </c>
      <c r="AB1657">
        <v>267</v>
      </c>
      <c r="AC1657">
        <v>57</v>
      </c>
      <c r="AD1657">
        <v>5.92</v>
      </c>
      <c r="AE1657" t="s">
        <v>1997</v>
      </c>
      <c r="AF1657" t="s">
        <v>1687</v>
      </c>
      <c r="AG1657" t="s">
        <v>3985</v>
      </c>
      <c r="AH1657" t="s">
        <v>200</v>
      </c>
      <c r="AI1657">
        <v>-3.85</v>
      </c>
      <c r="AJ1657">
        <v>-2.09</v>
      </c>
      <c r="AK1657">
        <v>2.15</v>
      </c>
      <c r="AL1657">
        <v>3.1</v>
      </c>
    </row>
    <row r="1658" spans="1:38" x14ac:dyDescent="0.25">
      <c r="A1658">
        <v>1657</v>
      </c>
      <c r="B1658" t="str">
        <f xml:space="preserve"> "002301"</f>
        <v>002301</v>
      </c>
      <c r="C1658" t="s">
        <v>6020</v>
      </c>
      <c r="D1658">
        <v>18.09</v>
      </c>
      <c r="E1658">
        <v>0.84</v>
      </c>
      <c r="F1658">
        <v>0.15</v>
      </c>
      <c r="G1658">
        <v>8866</v>
      </c>
      <c r="H1658">
        <v>121</v>
      </c>
      <c r="I1658">
        <v>18.079999999999998</v>
      </c>
      <c r="J1658">
        <v>18.09</v>
      </c>
      <c r="K1658">
        <v>0</v>
      </c>
      <c r="L1658">
        <v>0.24</v>
      </c>
      <c r="M1658" t="s">
        <v>5193</v>
      </c>
      <c r="N1658">
        <v>48.21</v>
      </c>
      <c r="O1658" t="s">
        <v>807</v>
      </c>
      <c r="P1658">
        <v>18.100000000000001</v>
      </c>
      <c r="Q1658">
        <v>17.84</v>
      </c>
      <c r="R1658">
        <v>18.010000000000002</v>
      </c>
      <c r="S1658">
        <v>17.940000000000001</v>
      </c>
      <c r="T1658">
        <v>1.45</v>
      </c>
      <c r="U1658">
        <v>0.57999999999999996</v>
      </c>
      <c r="V1658">
        <v>19.420000000000002</v>
      </c>
      <c r="W1658">
        <v>174</v>
      </c>
      <c r="X1658">
        <v>18.03</v>
      </c>
      <c r="Y1658">
        <v>3370</v>
      </c>
      <c r="Z1658">
        <v>5496</v>
      </c>
      <c r="AA1658">
        <v>0.61</v>
      </c>
      <c r="AB1658">
        <v>156</v>
      </c>
      <c r="AC1658">
        <v>30</v>
      </c>
      <c r="AD1658">
        <v>3.25</v>
      </c>
      <c r="AE1658" t="s">
        <v>2324</v>
      </c>
      <c r="AF1658" t="s">
        <v>1788</v>
      </c>
      <c r="AG1658" t="s">
        <v>4181</v>
      </c>
      <c r="AH1658" t="s">
        <v>6021</v>
      </c>
      <c r="AI1658">
        <v>-0.5</v>
      </c>
      <c r="AJ1658">
        <v>-0.33</v>
      </c>
      <c r="AK1658">
        <v>0.82</v>
      </c>
      <c r="AL1658">
        <v>2.2999999999999998</v>
      </c>
    </row>
    <row r="1659" spans="1:38" x14ac:dyDescent="0.25">
      <c r="A1659">
        <v>1658</v>
      </c>
      <c r="B1659" t="str">
        <f xml:space="preserve"> "600960"</f>
        <v>600960</v>
      </c>
      <c r="C1659" t="s">
        <v>6022</v>
      </c>
      <c r="D1659">
        <v>8.14</v>
      </c>
      <c r="E1659">
        <v>0.49</v>
      </c>
      <c r="F1659">
        <v>0.04</v>
      </c>
      <c r="G1659" t="s">
        <v>2346</v>
      </c>
      <c r="H1659">
        <v>3</v>
      </c>
      <c r="I1659">
        <v>8.1300000000000008</v>
      </c>
      <c r="J1659">
        <v>8.14</v>
      </c>
      <c r="K1659">
        <v>0.12</v>
      </c>
      <c r="L1659">
        <v>0.91</v>
      </c>
      <c r="M1659" t="s">
        <v>6023</v>
      </c>
      <c r="N1659">
        <v>32.15</v>
      </c>
      <c r="O1659" t="s">
        <v>169</v>
      </c>
      <c r="P1659">
        <v>8.2100000000000009</v>
      </c>
      <c r="Q1659">
        <v>8.06</v>
      </c>
      <c r="R1659">
        <v>8.1</v>
      </c>
      <c r="S1659">
        <v>8.1</v>
      </c>
      <c r="T1659">
        <v>1.85</v>
      </c>
      <c r="U1659">
        <v>0.72</v>
      </c>
      <c r="V1659">
        <v>-68.64</v>
      </c>
      <c r="W1659">
        <v>-3222</v>
      </c>
      <c r="X1659">
        <v>8.14</v>
      </c>
      <c r="Y1659" t="s">
        <v>2741</v>
      </c>
      <c r="Z1659" t="s">
        <v>1381</v>
      </c>
      <c r="AA1659">
        <v>1.36</v>
      </c>
      <c r="AB1659">
        <v>217</v>
      </c>
      <c r="AC1659">
        <v>143</v>
      </c>
      <c r="AD1659">
        <v>1.77</v>
      </c>
      <c r="AE1659" t="s">
        <v>6024</v>
      </c>
      <c r="AF1659" t="s">
        <v>1788</v>
      </c>
      <c r="AG1659" t="s">
        <v>6025</v>
      </c>
      <c r="AH1659" t="s">
        <v>4889</v>
      </c>
      <c r="AI1659">
        <v>-1.81</v>
      </c>
      <c r="AJ1659">
        <v>2.78</v>
      </c>
      <c r="AK1659">
        <v>2.76</v>
      </c>
      <c r="AL1659">
        <v>7.2</v>
      </c>
    </row>
    <row r="1660" spans="1:38" x14ac:dyDescent="0.25">
      <c r="A1660">
        <v>1659</v>
      </c>
      <c r="B1660" t="str">
        <f xml:space="preserve"> "601002"</f>
        <v>601002</v>
      </c>
      <c r="C1660" t="s">
        <v>6026</v>
      </c>
      <c r="D1660">
        <v>9.76</v>
      </c>
      <c r="E1660">
        <v>1.56</v>
      </c>
      <c r="F1660">
        <v>0.15</v>
      </c>
      <c r="G1660" t="s">
        <v>1814</v>
      </c>
      <c r="H1660">
        <v>17</v>
      </c>
      <c r="I1660">
        <v>9.75</v>
      </c>
      <c r="J1660">
        <v>9.76</v>
      </c>
      <c r="K1660">
        <v>0.1</v>
      </c>
      <c r="L1660">
        <v>1.27</v>
      </c>
      <c r="M1660" t="s">
        <v>6027</v>
      </c>
      <c r="N1660">
        <v>47.15</v>
      </c>
      <c r="O1660" t="s">
        <v>648</v>
      </c>
      <c r="P1660">
        <v>9.84</v>
      </c>
      <c r="Q1660">
        <v>9.61</v>
      </c>
      <c r="R1660">
        <v>9.61</v>
      </c>
      <c r="S1660">
        <v>9.61</v>
      </c>
      <c r="T1660">
        <v>2.39</v>
      </c>
      <c r="U1660">
        <v>0.98</v>
      </c>
      <c r="V1660">
        <v>-26.86</v>
      </c>
      <c r="W1660">
        <v>-2329</v>
      </c>
      <c r="X1660">
        <v>9.74</v>
      </c>
      <c r="Y1660" t="s">
        <v>2143</v>
      </c>
      <c r="Z1660" t="s">
        <v>3671</v>
      </c>
      <c r="AA1660">
        <v>0.86</v>
      </c>
      <c r="AB1660">
        <v>230</v>
      </c>
      <c r="AC1660">
        <v>331</v>
      </c>
      <c r="AD1660">
        <v>3.22</v>
      </c>
      <c r="AE1660" t="s">
        <v>5470</v>
      </c>
      <c r="AF1660" t="s">
        <v>1788</v>
      </c>
      <c r="AG1660" t="s">
        <v>5470</v>
      </c>
      <c r="AH1660" t="s">
        <v>1788</v>
      </c>
      <c r="AI1660">
        <v>0.51</v>
      </c>
      <c r="AJ1660">
        <v>5.0599999999999996</v>
      </c>
      <c r="AK1660">
        <v>3.7</v>
      </c>
      <c r="AL1660">
        <v>7.77</v>
      </c>
    </row>
    <row r="1661" spans="1:38" x14ac:dyDescent="0.25">
      <c r="A1661">
        <v>1660</v>
      </c>
      <c r="B1661" t="str">
        <f xml:space="preserve"> "603010"</f>
        <v>603010</v>
      </c>
      <c r="C1661" t="s">
        <v>6028</v>
      </c>
      <c r="D1661">
        <v>30.4</v>
      </c>
      <c r="E1661">
        <v>0</v>
      </c>
      <c r="F1661">
        <v>0</v>
      </c>
      <c r="G1661" t="s">
        <v>2241</v>
      </c>
      <c r="H1661">
        <v>14</v>
      </c>
      <c r="I1661">
        <v>30.4</v>
      </c>
      <c r="J1661">
        <v>30.41</v>
      </c>
      <c r="K1661">
        <v>0.1</v>
      </c>
      <c r="L1661">
        <v>0.51</v>
      </c>
      <c r="M1661" t="s">
        <v>6029</v>
      </c>
      <c r="N1661">
        <v>55.97</v>
      </c>
      <c r="O1661" t="s">
        <v>667</v>
      </c>
      <c r="P1661">
        <v>30.77</v>
      </c>
      <c r="Q1661">
        <v>29.97</v>
      </c>
      <c r="R1661">
        <v>29.97</v>
      </c>
      <c r="S1661">
        <v>30.4</v>
      </c>
      <c r="T1661">
        <v>2.63</v>
      </c>
      <c r="U1661">
        <v>0.45</v>
      </c>
      <c r="V1661">
        <v>5.56</v>
      </c>
      <c r="W1661">
        <v>29</v>
      </c>
      <c r="X1661">
        <v>30.46</v>
      </c>
      <c r="Y1661">
        <v>4993</v>
      </c>
      <c r="Z1661">
        <v>6274</v>
      </c>
      <c r="AA1661">
        <v>0.8</v>
      </c>
      <c r="AB1661">
        <v>1</v>
      </c>
      <c r="AC1661">
        <v>51</v>
      </c>
      <c r="AD1661">
        <v>7.28</v>
      </c>
      <c r="AE1661" t="s">
        <v>3561</v>
      </c>
      <c r="AF1661" t="s">
        <v>2896</v>
      </c>
      <c r="AG1661" t="s">
        <v>2151</v>
      </c>
      <c r="AH1661" t="s">
        <v>5323</v>
      </c>
      <c r="AI1661">
        <v>0.03</v>
      </c>
      <c r="AJ1661">
        <v>9.4700000000000006</v>
      </c>
      <c r="AK1661">
        <v>2.64</v>
      </c>
      <c r="AL1661">
        <v>6.17</v>
      </c>
    </row>
    <row r="1662" spans="1:38" x14ac:dyDescent="0.25">
      <c r="A1662">
        <v>1661</v>
      </c>
      <c r="B1662" t="str">
        <f xml:space="preserve"> "603387"</f>
        <v>603387</v>
      </c>
      <c r="C1662" t="s">
        <v>6030</v>
      </c>
      <c r="D1662">
        <v>58.58</v>
      </c>
      <c r="E1662">
        <v>3.22</v>
      </c>
      <c r="F1662">
        <v>1.83</v>
      </c>
      <c r="G1662" t="s">
        <v>4003</v>
      </c>
      <c r="H1662">
        <v>23</v>
      </c>
      <c r="I1662">
        <v>58.59</v>
      </c>
      <c r="J1662">
        <v>58.6</v>
      </c>
      <c r="K1662">
        <v>-0.03</v>
      </c>
      <c r="L1662">
        <v>10.43</v>
      </c>
      <c r="M1662" t="s">
        <v>3229</v>
      </c>
      <c r="N1662">
        <v>43.15</v>
      </c>
      <c r="O1662" t="s">
        <v>1552</v>
      </c>
      <c r="P1662">
        <v>59.35</v>
      </c>
      <c r="Q1662">
        <v>56.4</v>
      </c>
      <c r="R1662">
        <v>56.49</v>
      </c>
      <c r="S1662">
        <v>56.75</v>
      </c>
      <c r="T1662">
        <v>5.2</v>
      </c>
      <c r="U1662">
        <v>1.42</v>
      </c>
      <c r="V1662">
        <v>7.48</v>
      </c>
      <c r="W1662">
        <v>16</v>
      </c>
      <c r="X1662">
        <v>58.29</v>
      </c>
      <c r="Y1662" t="s">
        <v>1077</v>
      </c>
      <c r="Z1662" t="s">
        <v>468</v>
      </c>
      <c r="AA1662">
        <v>0.62</v>
      </c>
      <c r="AB1662">
        <v>15</v>
      </c>
      <c r="AC1662">
        <v>27</v>
      </c>
      <c r="AD1662">
        <v>7.44</v>
      </c>
      <c r="AE1662" t="s">
        <v>2646</v>
      </c>
      <c r="AF1662" t="s">
        <v>2896</v>
      </c>
      <c r="AG1662" t="s">
        <v>6031</v>
      </c>
      <c r="AH1662" t="s">
        <v>886</v>
      </c>
      <c r="AI1662">
        <v>2.65</v>
      </c>
      <c r="AJ1662">
        <v>11.47</v>
      </c>
      <c r="AK1662">
        <v>25.55</v>
      </c>
      <c r="AL1662">
        <v>47.17</v>
      </c>
    </row>
    <row r="1663" spans="1:38" x14ac:dyDescent="0.25">
      <c r="A1663">
        <v>1662</v>
      </c>
      <c r="B1663" t="str">
        <f xml:space="preserve"> "600512"</f>
        <v>600512</v>
      </c>
      <c r="C1663" t="s">
        <v>6032</v>
      </c>
      <c r="D1663">
        <v>4.83</v>
      </c>
      <c r="E1663">
        <v>0</v>
      </c>
      <c r="F1663">
        <v>0</v>
      </c>
      <c r="G1663" t="s">
        <v>656</v>
      </c>
      <c r="H1663">
        <v>500</v>
      </c>
      <c r="I1663">
        <v>4.82</v>
      </c>
      <c r="J1663">
        <v>4.83</v>
      </c>
      <c r="K1663">
        <v>0.42</v>
      </c>
      <c r="L1663">
        <v>0.33</v>
      </c>
      <c r="M1663" t="s">
        <v>6033</v>
      </c>
      <c r="N1663">
        <v>45.42</v>
      </c>
      <c r="O1663" t="s">
        <v>263</v>
      </c>
      <c r="P1663">
        <v>4.83</v>
      </c>
      <c r="Q1663">
        <v>4.76</v>
      </c>
      <c r="R1663">
        <v>4.8</v>
      </c>
      <c r="S1663">
        <v>4.83</v>
      </c>
      <c r="T1663">
        <v>1.45</v>
      </c>
      <c r="U1663">
        <v>0.62</v>
      </c>
      <c r="V1663">
        <v>-42.19</v>
      </c>
      <c r="W1663">
        <v>-8514</v>
      </c>
      <c r="X1663">
        <v>4.79</v>
      </c>
      <c r="Y1663" t="s">
        <v>1416</v>
      </c>
      <c r="Z1663" t="s">
        <v>121</v>
      </c>
      <c r="AA1663">
        <v>0.78</v>
      </c>
      <c r="AB1663">
        <v>300</v>
      </c>
      <c r="AC1663">
        <v>2052</v>
      </c>
      <c r="AD1663">
        <v>1.65</v>
      </c>
      <c r="AE1663" t="s">
        <v>1147</v>
      </c>
      <c r="AF1663" t="s">
        <v>4743</v>
      </c>
      <c r="AG1663" t="s">
        <v>2945</v>
      </c>
      <c r="AH1663" t="s">
        <v>6034</v>
      </c>
      <c r="AI1663">
        <v>-1.23</v>
      </c>
      <c r="AJ1663">
        <v>-1.23</v>
      </c>
      <c r="AK1663">
        <v>1.33</v>
      </c>
      <c r="AL1663">
        <v>3.05</v>
      </c>
    </row>
    <row r="1664" spans="1:38" x14ac:dyDescent="0.25">
      <c r="A1664">
        <v>1663</v>
      </c>
      <c r="B1664" t="str">
        <f xml:space="preserve"> "002224"</f>
        <v>002224</v>
      </c>
      <c r="C1664" t="s">
        <v>6035</v>
      </c>
      <c r="D1664">
        <v>11.73</v>
      </c>
      <c r="E1664">
        <v>0.34</v>
      </c>
      <c r="F1664">
        <v>0.04</v>
      </c>
      <c r="G1664" t="s">
        <v>1530</v>
      </c>
      <c r="H1664">
        <v>1076</v>
      </c>
      <c r="I1664">
        <v>11.72</v>
      </c>
      <c r="J1664">
        <v>11.73</v>
      </c>
      <c r="K1664">
        <v>0</v>
      </c>
      <c r="L1664">
        <v>1.29</v>
      </c>
      <c r="M1664" t="s">
        <v>6036</v>
      </c>
      <c r="N1664">
        <v>45.4</v>
      </c>
      <c r="O1664" t="s">
        <v>2128</v>
      </c>
      <c r="P1664">
        <v>11.8</v>
      </c>
      <c r="Q1664">
        <v>11.61</v>
      </c>
      <c r="R1664">
        <v>11.61</v>
      </c>
      <c r="S1664">
        <v>11.69</v>
      </c>
      <c r="T1664">
        <v>1.63</v>
      </c>
      <c r="U1664">
        <v>0.43</v>
      </c>
      <c r="V1664">
        <v>-0.5</v>
      </c>
      <c r="W1664">
        <v>-28</v>
      </c>
      <c r="X1664">
        <v>11.71</v>
      </c>
      <c r="Y1664" t="s">
        <v>2865</v>
      </c>
      <c r="Z1664" t="s">
        <v>121</v>
      </c>
      <c r="AA1664">
        <v>1.18</v>
      </c>
      <c r="AB1664">
        <v>380</v>
      </c>
      <c r="AC1664">
        <v>558</v>
      </c>
      <c r="AD1664">
        <v>4.78</v>
      </c>
      <c r="AE1664" t="s">
        <v>5282</v>
      </c>
      <c r="AF1664" t="s">
        <v>4743</v>
      </c>
      <c r="AG1664" t="s">
        <v>2021</v>
      </c>
      <c r="AH1664" t="s">
        <v>6037</v>
      </c>
      <c r="AI1664">
        <v>-2.66</v>
      </c>
      <c r="AJ1664">
        <v>-0.09</v>
      </c>
      <c r="AK1664">
        <v>8.25</v>
      </c>
      <c r="AL1664">
        <v>16.39</v>
      </c>
    </row>
    <row r="1665" spans="1:38" x14ac:dyDescent="0.25">
      <c r="A1665">
        <v>1664</v>
      </c>
      <c r="B1665" t="str">
        <f xml:space="preserve"> "600114"</f>
        <v>600114</v>
      </c>
      <c r="C1665" t="s">
        <v>6038</v>
      </c>
      <c r="D1665">
        <v>17.690000000000001</v>
      </c>
      <c r="E1665">
        <v>0.34</v>
      </c>
      <c r="F1665">
        <v>0.06</v>
      </c>
      <c r="G1665" t="s">
        <v>2398</v>
      </c>
      <c r="H1665">
        <v>117</v>
      </c>
      <c r="I1665">
        <v>17.670000000000002</v>
      </c>
      <c r="J1665">
        <v>17.68</v>
      </c>
      <c r="K1665">
        <v>0.17</v>
      </c>
      <c r="L1665">
        <v>0.95</v>
      </c>
      <c r="M1665" t="s">
        <v>6039</v>
      </c>
      <c r="N1665">
        <v>25.63</v>
      </c>
      <c r="O1665" t="s">
        <v>1229</v>
      </c>
      <c r="P1665">
        <v>17.84</v>
      </c>
      <c r="Q1665">
        <v>17.47</v>
      </c>
      <c r="R1665">
        <v>17.61</v>
      </c>
      <c r="S1665">
        <v>17.63</v>
      </c>
      <c r="T1665">
        <v>2.1</v>
      </c>
      <c r="U1665">
        <v>0.84</v>
      </c>
      <c r="V1665">
        <v>15.47</v>
      </c>
      <c r="W1665">
        <v>236</v>
      </c>
      <c r="X1665">
        <v>17.649999999999999</v>
      </c>
      <c r="Y1665" t="s">
        <v>2252</v>
      </c>
      <c r="Z1665" t="s">
        <v>899</v>
      </c>
      <c r="AA1665">
        <v>0.97</v>
      </c>
      <c r="AB1665">
        <v>49</v>
      </c>
      <c r="AC1665">
        <v>85</v>
      </c>
      <c r="AD1665">
        <v>3.27</v>
      </c>
      <c r="AE1665" t="s">
        <v>1136</v>
      </c>
      <c r="AF1665" t="s">
        <v>4743</v>
      </c>
      <c r="AG1665" t="s">
        <v>6040</v>
      </c>
      <c r="AH1665" t="s">
        <v>1002</v>
      </c>
      <c r="AI1665">
        <v>-2.1</v>
      </c>
      <c r="AJ1665">
        <v>0.68</v>
      </c>
      <c r="AK1665">
        <v>3.2</v>
      </c>
      <c r="AL1665">
        <v>6.57</v>
      </c>
    </row>
    <row r="1666" spans="1:38" x14ac:dyDescent="0.25">
      <c r="A1666">
        <v>1665</v>
      </c>
      <c r="B1666" t="str">
        <f xml:space="preserve"> "002428"</f>
        <v>002428</v>
      </c>
      <c r="C1666" t="s">
        <v>6041</v>
      </c>
      <c r="D1666">
        <v>11.81</v>
      </c>
      <c r="E1666">
        <v>0.43</v>
      </c>
      <c r="F1666">
        <v>0.05</v>
      </c>
      <c r="G1666" t="s">
        <v>4674</v>
      </c>
      <c r="H1666">
        <v>548</v>
      </c>
      <c r="I1666">
        <v>11.81</v>
      </c>
      <c r="J1666">
        <v>11.82</v>
      </c>
      <c r="K1666">
        <v>0</v>
      </c>
      <c r="L1666">
        <v>0.8</v>
      </c>
      <c r="M1666" t="s">
        <v>2074</v>
      </c>
      <c r="N1666">
        <v>1483.24</v>
      </c>
      <c r="O1666" t="s">
        <v>449</v>
      </c>
      <c r="P1666">
        <v>11.86</v>
      </c>
      <c r="Q1666">
        <v>11.73</v>
      </c>
      <c r="R1666">
        <v>11.78</v>
      </c>
      <c r="S1666">
        <v>11.76</v>
      </c>
      <c r="T1666">
        <v>1.1100000000000001</v>
      </c>
      <c r="U1666">
        <v>0.56999999999999995</v>
      </c>
      <c r="V1666">
        <v>-31.49</v>
      </c>
      <c r="W1666">
        <v>-1558</v>
      </c>
      <c r="X1666">
        <v>11.8</v>
      </c>
      <c r="Y1666" t="s">
        <v>2950</v>
      </c>
      <c r="Z1666" t="s">
        <v>1887</v>
      </c>
      <c r="AA1666">
        <v>1.27</v>
      </c>
      <c r="AB1666">
        <v>265</v>
      </c>
      <c r="AC1666">
        <v>1500</v>
      </c>
      <c r="AD1666">
        <v>5.22</v>
      </c>
      <c r="AE1666" t="s">
        <v>858</v>
      </c>
      <c r="AF1666" t="s">
        <v>6042</v>
      </c>
      <c r="AG1666" t="s">
        <v>5575</v>
      </c>
      <c r="AH1666" t="s">
        <v>5668</v>
      </c>
      <c r="AI1666">
        <v>-2.96</v>
      </c>
      <c r="AJ1666">
        <v>-0.84</v>
      </c>
      <c r="AK1666">
        <v>4</v>
      </c>
      <c r="AL1666">
        <v>7.8</v>
      </c>
    </row>
    <row r="1667" spans="1:38" x14ac:dyDescent="0.25">
      <c r="A1667">
        <v>1666</v>
      </c>
      <c r="B1667" t="str">
        <f xml:space="preserve"> "300352"</f>
        <v>300352</v>
      </c>
      <c r="C1667" t="s">
        <v>6043</v>
      </c>
      <c r="D1667">
        <v>5.32</v>
      </c>
      <c r="E1667">
        <v>-1.1200000000000001</v>
      </c>
      <c r="F1667">
        <v>-0.06</v>
      </c>
      <c r="G1667" t="s">
        <v>102</v>
      </c>
      <c r="H1667">
        <v>5012</v>
      </c>
      <c r="I1667">
        <v>5.32</v>
      </c>
      <c r="J1667">
        <v>5.33</v>
      </c>
      <c r="K1667">
        <v>-0.19</v>
      </c>
      <c r="L1667">
        <v>1.0900000000000001</v>
      </c>
      <c r="M1667" t="s">
        <v>6044</v>
      </c>
      <c r="N1667">
        <v>217.23</v>
      </c>
      <c r="O1667" t="s">
        <v>893</v>
      </c>
      <c r="P1667">
        <v>5.36</v>
      </c>
      <c r="Q1667">
        <v>5.28</v>
      </c>
      <c r="R1667">
        <v>5.36</v>
      </c>
      <c r="S1667">
        <v>5.38</v>
      </c>
      <c r="T1667">
        <v>1.49</v>
      </c>
      <c r="U1667">
        <v>0.83</v>
      </c>
      <c r="V1667">
        <v>1.73</v>
      </c>
      <c r="W1667">
        <v>361</v>
      </c>
      <c r="X1667">
        <v>5.31</v>
      </c>
      <c r="Y1667" t="s">
        <v>6045</v>
      </c>
      <c r="Z1667" t="s">
        <v>2808</v>
      </c>
      <c r="AA1667">
        <v>2.14</v>
      </c>
      <c r="AB1667">
        <v>281</v>
      </c>
      <c r="AC1667">
        <v>856</v>
      </c>
      <c r="AD1667">
        <v>3.61</v>
      </c>
      <c r="AE1667" t="s">
        <v>2387</v>
      </c>
      <c r="AF1667" t="s">
        <v>6042</v>
      </c>
      <c r="AG1667" t="s">
        <v>755</v>
      </c>
      <c r="AH1667" t="s">
        <v>6046</v>
      </c>
      <c r="AI1667">
        <v>-1.66</v>
      </c>
      <c r="AJ1667">
        <v>4.1100000000000003</v>
      </c>
      <c r="AK1667">
        <v>3.64</v>
      </c>
      <c r="AL1667">
        <v>7.62</v>
      </c>
    </row>
    <row r="1668" spans="1:38" x14ac:dyDescent="0.25">
      <c r="A1668">
        <v>1667</v>
      </c>
      <c r="B1668" t="str">
        <f xml:space="preserve"> "600303"</f>
        <v>600303</v>
      </c>
      <c r="C1668" t="s">
        <v>6047</v>
      </c>
      <c r="D1668">
        <v>11.41</v>
      </c>
      <c r="E1668">
        <v>0.18</v>
      </c>
      <c r="F1668">
        <v>0.02</v>
      </c>
      <c r="G1668" t="s">
        <v>1771</v>
      </c>
      <c r="H1668">
        <v>10</v>
      </c>
      <c r="I1668">
        <v>11.41</v>
      </c>
      <c r="J1668">
        <v>11.42</v>
      </c>
      <c r="K1668">
        <v>0</v>
      </c>
      <c r="L1668">
        <v>2.19</v>
      </c>
      <c r="M1668" t="s">
        <v>621</v>
      </c>
      <c r="N1668">
        <v>9.77</v>
      </c>
      <c r="O1668" t="s">
        <v>169</v>
      </c>
      <c r="P1668">
        <v>11.45</v>
      </c>
      <c r="Q1668">
        <v>11.26</v>
      </c>
      <c r="R1668">
        <v>11.35</v>
      </c>
      <c r="S1668">
        <v>11.39</v>
      </c>
      <c r="T1668">
        <v>1.67</v>
      </c>
      <c r="U1668">
        <v>0.37</v>
      </c>
      <c r="V1668">
        <v>-27.85</v>
      </c>
      <c r="W1668">
        <v>-1781</v>
      </c>
      <c r="X1668">
        <v>11.36</v>
      </c>
      <c r="Y1668" t="s">
        <v>2776</v>
      </c>
      <c r="Z1668" t="s">
        <v>1717</v>
      </c>
      <c r="AA1668">
        <v>1.31</v>
      </c>
      <c r="AB1668">
        <v>448</v>
      </c>
      <c r="AC1668">
        <v>859</v>
      </c>
      <c r="AD1668">
        <v>2.42</v>
      </c>
      <c r="AE1668" t="s">
        <v>589</v>
      </c>
      <c r="AF1668" t="s">
        <v>6042</v>
      </c>
      <c r="AG1668" t="s">
        <v>1823</v>
      </c>
      <c r="AH1668" t="s">
        <v>1955</v>
      </c>
      <c r="AI1668">
        <v>-4.5199999999999996</v>
      </c>
      <c r="AJ1668">
        <v>-0.7</v>
      </c>
      <c r="AK1668">
        <v>11.71</v>
      </c>
      <c r="AL1668">
        <v>31.61</v>
      </c>
    </row>
    <row r="1669" spans="1:38" x14ac:dyDescent="0.25">
      <c r="A1669">
        <v>1668</v>
      </c>
      <c r="B1669" t="str">
        <f xml:space="preserve"> "002654"</f>
        <v>002654</v>
      </c>
      <c r="C1669" t="s">
        <v>6048</v>
      </c>
      <c r="D1669">
        <v>9.3000000000000007</v>
      </c>
      <c r="E1669">
        <v>-1.48</v>
      </c>
      <c r="F1669">
        <v>-0.14000000000000001</v>
      </c>
      <c r="G1669" t="s">
        <v>6049</v>
      </c>
      <c r="H1669">
        <v>1134</v>
      </c>
      <c r="I1669">
        <v>9.2899999999999991</v>
      </c>
      <c r="J1669">
        <v>9.3000000000000007</v>
      </c>
      <c r="K1669">
        <v>0.11</v>
      </c>
      <c r="L1669">
        <v>1.17</v>
      </c>
      <c r="M1669" t="s">
        <v>6050</v>
      </c>
      <c r="N1669">
        <v>50.59</v>
      </c>
      <c r="O1669" t="s">
        <v>893</v>
      </c>
      <c r="P1669">
        <v>9.44</v>
      </c>
      <c r="Q1669">
        <v>9.2100000000000009</v>
      </c>
      <c r="R1669">
        <v>9.44</v>
      </c>
      <c r="S1669">
        <v>9.44</v>
      </c>
      <c r="T1669">
        <v>2.44</v>
      </c>
      <c r="U1669">
        <v>0.57999999999999996</v>
      </c>
      <c r="V1669">
        <v>-36.93</v>
      </c>
      <c r="W1669">
        <v>-2117</v>
      </c>
      <c r="X1669">
        <v>9.32</v>
      </c>
      <c r="Y1669" t="s">
        <v>1286</v>
      </c>
      <c r="Z1669" t="s">
        <v>3090</v>
      </c>
      <c r="AA1669">
        <v>1.47</v>
      </c>
      <c r="AB1669">
        <v>575</v>
      </c>
      <c r="AC1669">
        <v>2448</v>
      </c>
      <c r="AD1669">
        <v>3.03</v>
      </c>
      <c r="AE1669" t="s">
        <v>5507</v>
      </c>
      <c r="AF1669" t="s">
        <v>2015</v>
      </c>
      <c r="AG1669" t="s">
        <v>2028</v>
      </c>
      <c r="AH1669" t="s">
        <v>5010</v>
      </c>
      <c r="AI1669">
        <v>2.31</v>
      </c>
      <c r="AJ1669">
        <v>3.56</v>
      </c>
      <c r="AK1669">
        <v>7.05</v>
      </c>
      <c r="AL1669">
        <v>11.19</v>
      </c>
    </row>
    <row r="1670" spans="1:38" x14ac:dyDescent="0.25">
      <c r="A1670">
        <v>1669</v>
      </c>
      <c r="B1670" t="str">
        <f xml:space="preserve"> "300337"</f>
        <v>300337</v>
      </c>
      <c r="C1670" t="s">
        <v>6051</v>
      </c>
      <c r="D1670">
        <v>9.35</v>
      </c>
      <c r="E1670">
        <v>-2.2000000000000002</v>
      </c>
      <c r="F1670">
        <v>-0.21</v>
      </c>
      <c r="G1670" t="s">
        <v>337</v>
      </c>
      <c r="H1670">
        <v>1386</v>
      </c>
      <c r="I1670">
        <v>9.34</v>
      </c>
      <c r="J1670">
        <v>9.35</v>
      </c>
      <c r="K1670">
        <v>0</v>
      </c>
      <c r="L1670">
        <v>1.6</v>
      </c>
      <c r="M1670" t="s">
        <v>1907</v>
      </c>
      <c r="N1670">
        <v>139.61000000000001</v>
      </c>
      <c r="O1670" t="s">
        <v>859</v>
      </c>
      <c r="P1670">
        <v>9.5</v>
      </c>
      <c r="Q1670">
        <v>9.1</v>
      </c>
      <c r="R1670">
        <v>9.31</v>
      </c>
      <c r="S1670">
        <v>9.56</v>
      </c>
      <c r="T1670">
        <v>4.18</v>
      </c>
      <c r="U1670">
        <v>1.58</v>
      </c>
      <c r="V1670">
        <v>-58.72</v>
      </c>
      <c r="W1670">
        <v>-2643</v>
      </c>
      <c r="X1670">
        <v>9.33</v>
      </c>
      <c r="Y1670" t="s">
        <v>2511</v>
      </c>
      <c r="Z1670" t="s">
        <v>2407</v>
      </c>
      <c r="AA1670">
        <v>1.3</v>
      </c>
      <c r="AB1670">
        <v>115</v>
      </c>
      <c r="AC1670">
        <v>117</v>
      </c>
      <c r="AD1670">
        <v>4.92</v>
      </c>
      <c r="AE1670" t="s">
        <v>2592</v>
      </c>
      <c r="AF1670" t="s">
        <v>2623</v>
      </c>
      <c r="AG1670" t="s">
        <v>4008</v>
      </c>
      <c r="AH1670" t="s">
        <v>217</v>
      </c>
      <c r="AI1670">
        <v>-12.37</v>
      </c>
      <c r="AJ1670">
        <v>-11.21</v>
      </c>
      <c r="AK1670">
        <v>4.99</v>
      </c>
      <c r="AL1670">
        <v>6.69</v>
      </c>
    </row>
    <row r="1671" spans="1:38" x14ac:dyDescent="0.25">
      <c r="A1671">
        <v>1670</v>
      </c>
      <c r="B1671" t="str">
        <f xml:space="preserve"> "002215"</f>
        <v>002215</v>
      </c>
      <c r="C1671" t="s">
        <v>6052</v>
      </c>
      <c r="D1671">
        <v>8.4</v>
      </c>
      <c r="E1671">
        <v>0.72</v>
      </c>
      <c r="F1671">
        <v>0.06</v>
      </c>
      <c r="G1671" t="s">
        <v>1894</v>
      </c>
      <c r="H1671">
        <v>1257</v>
      </c>
      <c r="I1671">
        <v>8.4</v>
      </c>
      <c r="J1671">
        <v>8.41</v>
      </c>
      <c r="K1671">
        <v>0</v>
      </c>
      <c r="L1671">
        <v>1.26</v>
      </c>
      <c r="M1671" t="s">
        <v>6053</v>
      </c>
      <c r="N1671">
        <v>16.36</v>
      </c>
      <c r="O1671" t="s">
        <v>2060</v>
      </c>
      <c r="P1671">
        <v>8.4499999999999993</v>
      </c>
      <c r="Q1671">
        <v>8.31</v>
      </c>
      <c r="R1671">
        <v>8.31</v>
      </c>
      <c r="S1671">
        <v>8.34</v>
      </c>
      <c r="T1671">
        <v>1.68</v>
      </c>
      <c r="U1671">
        <v>0.88</v>
      </c>
      <c r="V1671">
        <v>-34.85</v>
      </c>
      <c r="W1671">
        <v>-5130</v>
      </c>
      <c r="X1671">
        <v>8.39</v>
      </c>
      <c r="Y1671" t="s">
        <v>3781</v>
      </c>
      <c r="Z1671" t="s">
        <v>4674</v>
      </c>
      <c r="AA1671">
        <v>0.74</v>
      </c>
      <c r="AB1671">
        <v>2618</v>
      </c>
      <c r="AC1671">
        <v>1272</v>
      </c>
      <c r="AD1671">
        <v>4.13</v>
      </c>
      <c r="AE1671" t="s">
        <v>71</v>
      </c>
      <c r="AF1671" t="s">
        <v>2623</v>
      </c>
      <c r="AG1671" t="s">
        <v>6054</v>
      </c>
      <c r="AH1671" t="s">
        <v>294</v>
      </c>
      <c r="AI1671">
        <v>0</v>
      </c>
      <c r="AJ1671">
        <v>2.69</v>
      </c>
      <c r="AK1671">
        <v>4.7300000000000004</v>
      </c>
      <c r="AL1671">
        <v>8.49</v>
      </c>
    </row>
    <row r="1672" spans="1:38" x14ac:dyDescent="0.25">
      <c r="A1672">
        <v>1671</v>
      </c>
      <c r="B1672" t="str">
        <f xml:space="preserve"> "300357"</f>
        <v>300357</v>
      </c>
      <c r="C1672" t="s">
        <v>6055</v>
      </c>
      <c r="D1672">
        <v>47.5</v>
      </c>
      <c r="E1672">
        <v>1.28</v>
      </c>
      <c r="F1672">
        <v>0.6</v>
      </c>
      <c r="G1672" t="s">
        <v>2755</v>
      </c>
      <c r="H1672">
        <v>328</v>
      </c>
      <c r="I1672">
        <v>47.33</v>
      </c>
      <c r="J1672">
        <v>47.5</v>
      </c>
      <c r="K1672">
        <v>0.74</v>
      </c>
      <c r="L1672">
        <v>2.12</v>
      </c>
      <c r="M1672" t="s">
        <v>2044</v>
      </c>
      <c r="N1672">
        <v>48.75</v>
      </c>
      <c r="O1672" t="s">
        <v>392</v>
      </c>
      <c r="P1672">
        <v>47.91</v>
      </c>
      <c r="Q1672">
        <v>46.23</v>
      </c>
      <c r="R1672">
        <v>46.55</v>
      </c>
      <c r="S1672">
        <v>46.9</v>
      </c>
      <c r="T1672">
        <v>3.58</v>
      </c>
      <c r="U1672">
        <v>1.29</v>
      </c>
      <c r="V1672">
        <v>-28.2</v>
      </c>
      <c r="W1672">
        <v>-120</v>
      </c>
      <c r="X1672">
        <v>47.14</v>
      </c>
      <c r="Y1672" t="s">
        <v>2558</v>
      </c>
      <c r="Z1672" t="s">
        <v>1153</v>
      </c>
      <c r="AA1672">
        <v>1.1399999999999999</v>
      </c>
      <c r="AB1672">
        <v>2</v>
      </c>
      <c r="AC1672">
        <v>223</v>
      </c>
      <c r="AD1672">
        <v>11.06</v>
      </c>
      <c r="AE1672" t="s">
        <v>514</v>
      </c>
      <c r="AF1672" t="s">
        <v>2623</v>
      </c>
      <c r="AG1672" t="s">
        <v>2044</v>
      </c>
      <c r="AH1672" t="s">
        <v>524</v>
      </c>
      <c r="AI1672">
        <v>6.79</v>
      </c>
      <c r="AJ1672">
        <v>9.9499999999999993</v>
      </c>
      <c r="AK1672">
        <v>7</v>
      </c>
      <c r="AL1672">
        <v>10.34</v>
      </c>
    </row>
    <row r="1673" spans="1:38" x14ac:dyDescent="0.25">
      <c r="A1673">
        <v>1672</v>
      </c>
      <c r="B1673" t="str">
        <f xml:space="preserve"> "000868"</f>
        <v>000868</v>
      </c>
      <c r="C1673" t="s">
        <v>6056</v>
      </c>
      <c r="D1673">
        <v>11.03</v>
      </c>
      <c r="E1673">
        <v>-5.57</v>
      </c>
      <c r="F1673">
        <v>-0.65</v>
      </c>
      <c r="G1673" t="s">
        <v>6057</v>
      </c>
      <c r="H1673" t="s">
        <v>2476</v>
      </c>
      <c r="I1673">
        <v>11.03</v>
      </c>
      <c r="J1673">
        <v>11.04</v>
      </c>
      <c r="K1673">
        <v>-0.36</v>
      </c>
      <c r="L1673">
        <v>14.54</v>
      </c>
      <c r="M1673" t="s">
        <v>2756</v>
      </c>
      <c r="N1673">
        <v>-133.27000000000001</v>
      </c>
      <c r="O1673" t="s">
        <v>169</v>
      </c>
      <c r="P1673">
        <v>11.43</v>
      </c>
      <c r="Q1673">
        <v>10.95</v>
      </c>
      <c r="R1673">
        <v>11.29</v>
      </c>
      <c r="S1673">
        <v>11.68</v>
      </c>
      <c r="T1673">
        <v>4.1100000000000003</v>
      </c>
      <c r="U1673">
        <v>0.61</v>
      </c>
      <c r="V1673">
        <v>33.53</v>
      </c>
      <c r="W1673">
        <v>4483</v>
      </c>
      <c r="X1673">
        <v>11.18</v>
      </c>
      <c r="Y1673" t="s">
        <v>6058</v>
      </c>
      <c r="Z1673" t="s">
        <v>4338</v>
      </c>
      <c r="AA1673">
        <v>1.44</v>
      </c>
      <c r="AB1673">
        <v>516</v>
      </c>
      <c r="AC1673">
        <v>447</v>
      </c>
      <c r="AD1673">
        <v>5.94</v>
      </c>
      <c r="AE1673" t="s">
        <v>1588</v>
      </c>
      <c r="AF1673" t="s">
        <v>5653</v>
      </c>
      <c r="AG1673" t="s">
        <v>1588</v>
      </c>
      <c r="AH1673" t="s">
        <v>5653</v>
      </c>
      <c r="AI1673">
        <v>-9.59</v>
      </c>
      <c r="AJ1673">
        <v>15.38</v>
      </c>
      <c r="AK1673">
        <v>60.47</v>
      </c>
      <c r="AL1673">
        <v>134.12</v>
      </c>
    </row>
    <row r="1674" spans="1:38" x14ac:dyDescent="0.25">
      <c r="A1674">
        <v>1673</v>
      </c>
      <c r="B1674" t="str">
        <f xml:space="preserve"> "300695"</f>
        <v>300695</v>
      </c>
      <c r="C1674" t="s">
        <v>6059</v>
      </c>
      <c r="D1674">
        <v>115.06</v>
      </c>
      <c r="E1674">
        <v>2.74</v>
      </c>
      <c r="F1674">
        <v>3.07</v>
      </c>
      <c r="G1674" t="s">
        <v>3326</v>
      </c>
      <c r="H1674">
        <v>261</v>
      </c>
      <c r="I1674">
        <v>115.06</v>
      </c>
      <c r="J1674">
        <v>115.07</v>
      </c>
      <c r="K1674">
        <v>0.01</v>
      </c>
      <c r="L1674">
        <v>11.23</v>
      </c>
      <c r="M1674" t="s">
        <v>1914</v>
      </c>
      <c r="N1674">
        <v>48.96</v>
      </c>
      <c r="O1674" t="s">
        <v>169</v>
      </c>
      <c r="P1674">
        <v>118.88</v>
      </c>
      <c r="Q1674">
        <v>111.11</v>
      </c>
      <c r="R1674">
        <v>111.51</v>
      </c>
      <c r="S1674">
        <v>111.99</v>
      </c>
      <c r="T1674">
        <v>6.94</v>
      </c>
      <c r="U1674">
        <v>1.65</v>
      </c>
      <c r="V1674">
        <v>27.84</v>
      </c>
      <c r="W1674">
        <v>108</v>
      </c>
      <c r="X1674">
        <v>115.3</v>
      </c>
      <c r="Y1674">
        <v>8586</v>
      </c>
      <c r="Z1674" t="s">
        <v>1685</v>
      </c>
      <c r="AA1674">
        <v>0.85</v>
      </c>
      <c r="AB1674">
        <v>33</v>
      </c>
      <c r="AC1674">
        <v>25</v>
      </c>
      <c r="AD1674">
        <v>5.1100000000000003</v>
      </c>
      <c r="AE1674" t="s">
        <v>6060</v>
      </c>
      <c r="AF1674" t="s">
        <v>5653</v>
      </c>
      <c r="AG1674" t="s">
        <v>6061</v>
      </c>
      <c r="AH1674" t="s">
        <v>486</v>
      </c>
      <c r="AI1674">
        <v>1.34</v>
      </c>
      <c r="AJ1674">
        <v>4.03</v>
      </c>
      <c r="AK1674">
        <v>25</v>
      </c>
      <c r="AL1674">
        <v>45.26</v>
      </c>
    </row>
    <row r="1675" spans="1:38" x14ac:dyDescent="0.25">
      <c r="A1675">
        <v>1674</v>
      </c>
      <c r="B1675" t="str">
        <f xml:space="preserve"> "600738"</f>
        <v>600738</v>
      </c>
      <c r="C1675" t="s">
        <v>6062</v>
      </c>
      <c r="D1675">
        <v>9.7899999999999991</v>
      </c>
      <c r="E1675">
        <v>0.93</v>
      </c>
      <c r="F1675">
        <v>0.09</v>
      </c>
      <c r="G1675" t="s">
        <v>3230</v>
      </c>
      <c r="H1675">
        <v>109</v>
      </c>
      <c r="I1675">
        <v>9.8000000000000007</v>
      </c>
      <c r="J1675">
        <v>9.81</v>
      </c>
      <c r="K1675">
        <v>0.41</v>
      </c>
      <c r="L1675">
        <v>0.63</v>
      </c>
      <c r="M1675" t="s">
        <v>6063</v>
      </c>
      <c r="N1675">
        <v>47.24</v>
      </c>
      <c r="O1675" t="s">
        <v>532</v>
      </c>
      <c r="P1675">
        <v>9.8000000000000007</v>
      </c>
      <c r="Q1675">
        <v>9.64</v>
      </c>
      <c r="R1675">
        <v>9.6999999999999993</v>
      </c>
      <c r="S1675">
        <v>9.6999999999999993</v>
      </c>
      <c r="T1675">
        <v>1.65</v>
      </c>
      <c r="U1675">
        <v>0.79</v>
      </c>
      <c r="V1675">
        <v>-76.010000000000005</v>
      </c>
      <c r="W1675">
        <v>-798</v>
      </c>
      <c r="X1675">
        <v>9.73</v>
      </c>
      <c r="Y1675">
        <v>7601</v>
      </c>
      <c r="Z1675" t="s">
        <v>1508</v>
      </c>
      <c r="AA1675">
        <v>0.49</v>
      </c>
      <c r="AB1675">
        <v>51</v>
      </c>
      <c r="AC1675">
        <v>188</v>
      </c>
      <c r="AD1675">
        <v>4.33</v>
      </c>
      <c r="AE1675" t="s">
        <v>1091</v>
      </c>
      <c r="AF1675" t="s">
        <v>5653</v>
      </c>
      <c r="AG1675" t="s">
        <v>2591</v>
      </c>
      <c r="AH1675" t="s">
        <v>1845</v>
      </c>
      <c r="AI1675">
        <v>1.03</v>
      </c>
      <c r="AJ1675">
        <v>5.16</v>
      </c>
      <c r="AK1675">
        <v>1.76</v>
      </c>
      <c r="AL1675">
        <v>4.6399999999999997</v>
      </c>
    </row>
    <row r="1676" spans="1:38" x14ac:dyDescent="0.25">
      <c r="A1676">
        <v>1675</v>
      </c>
      <c r="B1676" t="str">
        <f xml:space="preserve"> "002124"</f>
        <v>002124</v>
      </c>
      <c r="C1676" t="s">
        <v>6064</v>
      </c>
      <c r="D1676">
        <v>9.9</v>
      </c>
      <c r="E1676">
        <v>1.1200000000000001</v>
      </c>
      <c r="F1676">
        <v>0.11</v>
      </c>
      <c r="G1676" t="s">
        <v>6065</v>
      </c>
      <c r="H1676">
        <v>1614</v>
      </c>
      <c r="I1676">
        <v>9.89</v>
      </c>
      <c r="J1676">
        <v>9.9</v>
      </c>
      <c r="K1676">
        <v>0</v>
      </c>
      <c r="L1676">
        <v>2.52</v>
      </c>
      <c r="M1676" t="s">
        <v>6066</v>
      </c>
      <c r="N1676">
        <v>28.23</v>
      </c>
      <c r="O1676" t="s">
        <v>622</v>
      </c>
      <c r="P1676">
        <v>9.9499999999999993</v>
      </c>
      <c r="Q1676">
        <v>9.69</v>
      </c>
      <c r="R1676">
        <v>9.75</v>
      </c>
      <c r="S1676">
        <v>9.7899999999999991</v>
      </c>
      <c r="T1676">
        <v>2.66</v>
      </c>
      <c r="U1676">
        <v>0.91</v>
      </c>
      <c r="V1676">
        <v>-25.43</v>
      </c>
      <c r="W1676">
        <v>-1711</v>
      </c>
      <c r="X1676">
        <v>9.83</v>
      </c>
      <c r="Y1676" t="s">
        <v>875</v>
      </c>
      <c r="Z1676" t="s">
        <v>5052</v>
      </c>
      <c r="AA1676">
        <v>1.01</v>
      </c>
      <c r="AB1676">
        <v>523</v>
      </c>
      <c r="AC1676">
        <v>886</v>
      </c>
      <c r="AD1676">
        <v>2.62</v>
      </c>
      <c r="AE1676" t="s">
        <v>6067</v>
      </c>
      <c r="AF1676" t="s">
        <v>6068</v>
      </c>
      <c r="AG1676" t="s">
        <v>6069</v>
      </c>
      <c r="AH1676" t="s">
        <v>6070</v>
      </c>
      <c r="AI1676">
        <v>3.02</v>
      </c>
      <c r="AJ1676">
        <v>5.43</v>
      </c>
      <c r="AK1676">
        <v>9.5299999999999994</v>
      </c>
      <c r="AL1676">
        <v>16.36</v>
      </c>
    </row>
    <row r="1677" spans="1:38" x14ac:dyDescent="0.25">
      <c r="A1677">
        <v>1676</v>
      </c>
      <c r="B1677" t="str">
        <f xml:space="preserve"> "600677"</f>
        <v>600677</v>
      </c>
      <c r="C1677" t="s">
        <v>6071</v>
      </c>
      <c r="D1677">
        <v>14.66</v>
      </c>
      <c r="E1677">
        <v>-2.2000000000000002</v>
      </c>
      <c r="F1677">
        <v>-0.33</v>
      </c>
      <c r="G1677" t="s">
        <v>516</v>
      </c>
      <c r="H1677">
        <v>35</v>
      </c>
      <c r="I1677">
        <v>14.66</v>
      </c>
      <c r="J1677">
        <v>14.67</v>
      </c>
      <c r="K1677">
        <v>-7.0000000000000007E-2</v>
      </c>
      <c r="L1677">
        <v>2.95</v>
      </c>
      <c r="M1677" t="s">
        <v>2715</v>
      </c>
      <c r="N1677">
        <v>506.6</v>
      </c>
      <c r="O1677" t="s">
        <v>926</v>
      </c>
      <c r="P1677">
        <v>14.95</v>
      </c>
      <c r="Q1677">
        <v>14.58</v>
      </c>
      <c r="R1677">
        <v>14.86</v>
      </c>
      <c r="S1677">
        <v>14.99</v>
      </c>
      <c r="T1677">
        <v>2.4700000000000002</v>
      </c>
      <c r="U1677">
        <v>0.86</v>
      </c>
      <c r="V1677">
        <v>2.85</v>
      </c>
      <c r="W1677">
        <v>67</v>
      </c>
      <c r="X1677">
        <v>14.71</v>
      </c>
      <c r="Y1677" t="s">
        <v>1901</v>
      </c>
      <c r="Z1677" t="s">
        <v>1692</v>
      </c>
      <c r="AA1677">
        <v>2.2200000000000002</v>
      </c>
      <c r="AB1677">
        <v>221</v>
      </c>
      <c r="AC1677">
        <v>24</v>
      </c>
      <c r="AD1677">
        <v>2.46</v>
      </c>
      <c r="AE1677" t="s">
        <v>4417</v>
      </c>
      <c r="AF1677" t="s">
        <v>6068</v>
      </c>
      <c r="AG1677" t="s">
        <v>4149</v>
      </c>
      <c r="AH1677" t="s">
        <v>743</v>
      </c>
      <c r="AI1677">
        <v>-0.14000000000000001</v>
      </c>
      <c r="AJ1677">
        <v>0.41</v>
      </c>
      <c r="AK1677">
        <v>10.37</v>
      </c>
      <c r="AL1677">
        <v>20.2</v>
      </c>
    </row>
    <row r="1678" spans="1:38" x14ac:dyDescent="0.25">
      <c r="A1678">
        <v>1677</v>
      </c>
      <c r="B1678" t="str">
        <f xml:space="preserve"> "000665"</f>
        <v>000665</v>
      </c>
      <c r="C1678" t="s">
        <v>6072</v>
      </c>
      <c r="D1678">
        <v>12.02</v>
      </c>
      <c r="E1678">
        <v>0.75</v>
      </c>
      <c r="F1678">
        <v>0.09</v>
      </c>
      <c r="G1678" t="s">
        <v>4200</v>
      </c>
      <c r="H1678">
        <v>452</v>
      </c>
      <c r="I1678">
        <v>12.01</v>
      </c>
      <c r="J1678">
        <v>12.02</v>
      </c>
      <c r="K1678">
        <v>0</v>
      </c>
      <c r="L1678">
        <v>0.63</v>
      </c>
      <c r="M1678" t="s">
        <v>6073</v>
      </c>
      <c r="N1678">
        <v>19.510000000000002</v>
      </c>
      <c r="O1678" t="s">
        <v>1126</v>
      </c>
      <c r="P1678">
        <v>12.02</v>
      </c>
      <c r="Q1678">
        <v>11.92</v>
      </c>
      <c r="R1678">
        <v>11.93</v>
      </c>
      <c r="S1678">
        <v>11.93</v>
      </c>
      <c r="T1678">
        <v>0.84</v>
      </c>
      <c r="U1678">
        <v>0.66</v>
      </c>
      <c r="V1678">
        <v>-50.7</v>
      </c>
      <c r="W1678">
        <v>-2007</v>
      </c>
      <c r="X1678">
        <v>11.98</v>
      </c>
      <c r="Y1678" t="s">
        <v>2800</v>
      </c>
      <c r="Z1678" t="s">
        <v>3158</v>
      </c>
      <c r="AA1678">
        <v>0.56999999999999995</v>
      </c>
      <c r="AB1678">
        <v>149</v>
      </c>
      <c r="AC1678">
        <v>605</v>
      </c>
      <c r="AD1678">
        <v>1.34</v>
      </c>
      <c r="AE1678" t="s">
        <v>4210</v>
      </c>
      <c r="AF1678" t="s">
        <v>6068</v>
      </c>
      <c r="AG1678" t="s">
        <v>4190</v>
      </c>
      <c r="AH1678" t="s">
        <v>4700</v>
      </c>
      <c r="AI1678">
        <v>-0.66</v>
      </c>
      <c r="AJ1678">
        <v>0.75</v>
      </c>
      <c r="AK1678">
        <v>3.57</v>
      </c>
      <c r="AL1678">
        <v>5.4</v>
      </c>
    </row>
    <row r="1679" spans="1:38" x14ac:dyDescent="0.25">
      <c r="A1679">
        <v>1678</v>
      </c>
      <c r="B1679" t="str">
        <f xml:space="preserve"> "300114"</f>
        <v>300114</v>
      </c>
      <c r="C1679" t="s">
        <v>6074</v>
      </c>
      <c r="D1679">
        <v>12.93</v>
      </c>
      <c r="E1679">
        <v>-1.1499999999999999</v>
      </c>
      <c r="F1679">
        <v>-0.15</v>
      </c>
      <c r="G1679" t="s">
        <v>1961</v>
      </c>
      <c r="H1679">
        <v>320</v>
      </c>
      <c r="I1679">
        <v>12.92</v>
      </c>
      <c r="J1679">
        <v>12.93</v>
      </c>
      <c r="K1679">
        <v>0.08</v>
      </c>
      <c r="L1679">
        <v>0.52</v>
      </c>
      <c r="M1679" t="s">
        <v>6075</v>
      </c>
      <c r="N1679">
        <v>53.87</v>
      </c>
      <c r="O1679" t="s">
        <v>380</v>
      </c>
      <c r="P1679">
        <v>13.08</v>
      </c>
      <c r="Q1679">
        <v>12.82</v>
      </c>
      <c r="R1679">
        <v>13.07</v>
      </c>
      <c r="S1679">
        <v>13.08</v>
      </c>
      <c r="T1679">
        <v>1.99</v>
      </c>
      <c r="U1679">
        <v>0.74</v>
      </c>
      <c r="V1679">
        <v>-35.43</v>
      </c>
      <c r="W1679">
        <v>-264</v>
      </c>
      <c r="X1679">
        <v>12.9</v>
      </c>
      <c r="Y1679" t="s">
        <v>1508</v>
      </c>
      <c r="Z1679">
        <v>8376</v>
      </c>
      <c r="AA1679">
        <v>1.86</v>
      </c>
      <c r="AB1679">
        <v>120</v>
      </c>
      <c r="AC1679">
        <v>120</v>
      </c>
      <c r="AD1679">
        <v>5.49</v>
      </c>
      <c r="AE1679" t="s">
        <v>4491</v>
      </c>
      <c r="AF1679" t="s">
        <v>960</v>
      </c>
      <c r="AG1679" t="s">
        <v>5373</v>
      </c>
      <c r="AH1679" t="s">
        <v>5017</v>
      </c>
      <c r="AI1679">
        <v>2.38</v>
      </c>
      <c r="AJ1679">
        <v>5.72</v>
      </c>
      <c r="AK1679">
        <v>2.81</v>
      </c>
      <c r="AL1679">
        <v>4.05</v>
      </c>
    </row>
    <row r="1680" spans="1:38" x14ac:dyDescent="0.25">
      <c r="A1680">
        <v>1679</v>
      </c>
      <c r="B1680" t="str">
        <f xml:space="preserve"> "002053"</f>
        <v>002053</v>
      </c>
      <c r="C1680" t="s">
        <v>6076</v>
      </c>
      <c r="D1680">
        <v>13.68</v>
      </c>
      <c r="E1680">
        <v>1.33</v>
      </c>
      <c r="F1680">
        <v>0.18</v>
      </c>
      <c r="G1680" t="s">
        <v>912</v>
      </c>
      <c r="H1680">
        <v>881</v>
      </c>
      <c r="I1680">
        <v>13.67</v>
      </c>
      <c r="J1680">
        <v>13.68</v>
      </c>
      <c r="K1680">
        <v>0</v>
      </c>
      <c r="L1680">
        <v>2.87</v>
      </c>
      <c r="M1680" t="s">
        <v>2327</v>
      </c>
      <c r="N1680">
        <v>39.85</v>
      </c>
      <c r="O1680" t="s">
        <v>667</v>
      </c>
      <c r="P1680">
        <v>13.75</v>
      </c>
      <c r="Q1680">
        <v>13.13</v>
      </c>
      <c r="R1680">
        <v>13.4</v>
      </c>
      <c r="S1680">
        <v>13.5</v>
      </c>
      <c r="T1680">
        <v>4.59</v>
      </c>
      <c r="U1680">
        <v>1.48</v>
      </c>
      <c r="V1680">
        <v>-9.81</v>
      </c>
      <c r="W1680">
        <v>-268</v>
      </c>
      <c r="X1680">
        <v>13.38</v>
      </c>
      <c r="Y1680" t="s">
        <v>602</v>
      </c>
      <c r="Z1680" t="s">
        <v>3401</v>
      </c>
      <c r="AA1680">
        <v>1.3</v>
      </c>
      <c r="AB1680">
        <v>188</v>
      </c>
      <c r="AC1680">
        <v>390</v>
      </c>
      <c r="AD1680">
        <v>3.33</v>
      </c>
      <c r="AE1680" t="s">
        <v>1450</v>
      </c>
      <c r="AF1680" t="s">
        <v>960</v>
      </c>
      <c r="AG1680" t="s">
        <v>1546</v>
      </c>
      <c r="AH1680" t="s">
        <v>4539</v>
      </c>
      <c r="AI1680">
        <v>4.59</v>
      </c>
      <c r="AJ1680">
        <v>4.59</v>
      </c>
      <c r="AK1680">
        <v>7.17</v>
      </c>
      <c r="AL1680">
        <v>7.17</v>
      </c>
    </row>
    <row r="1681" spans="1:38" x14ac:dyDescent="0.25">
      <c r="A1681">
        <v>1680</v>
      </c>
      <c r="B1681" t="str">
        <f xml:space="preserve"> "600987"</f>
        <v>600987</v>
      </c>
      <c r="C1681" t="s">
        <v>6077</v>
      </c>
      <c r="D1681">
        <v>12.02</v>
      </c>
      <c r="E1681">
        <v>-0.74</v>
      </c>
      <c r="F1681">
        <v>-0.09</v>
      </c>
      <c r="G1681" t="s">
        <v>1379</v>
      </c>
      <c r="H1681">
        <v>115</v>
      </c>
      <c r="I1681">
        <v>12.02</v>
      </c>
      <c r="J1681">
        <v>12.03</v>
      </c>
      <c r="K1681">
        <v>0</v>
      </c>
      <c r="L1681">
        <v>0.74</v>
      </c>
      <c r="M1681" t="s">
        <v>6078</v>
      </c>
      <c r="N1681">
        <v>15.7</v>
      </c>
      <c r="O1681" t="s">
        <v>1443</v>
      </c>
      <c r="P1681">
        <v>12.15</v>
      </c>
      <c r="Q1681">
        <v>11.99</v>
      </c>
      <c r="R1681">
        <v>12.09</v>
      </c>
      <c r="S1681">
        <v>12.11</v>
      </c>
      <c r="T1681">
        <v>1.32</v>
      </c>
      <c r="U1681">
        <v>0.94</v>
      </c>
      <c r="V1681">
        <v>9.4499999999999993</v>
      </c>
      <c r="W1681">
        <v>256</v>
      </c>
      <c r="X1681">
        <v>12.03</v>
      </c>
      <c r="Y1681" t="s">
        <v>1189</v>
      </c>
      <c r="Z1681" t="s">
        <v>3158</v>
      </c>
      <c r="AA1681">
        <v>1.55</v>
      </c>
      <c r="AB1681">
        <v>33</v>
      </c>
      <c r="AC1681">
        <v>311</v>
      </c>
      <c r="AD1681">
        <v>2.37</v>
      </c>
      <c r="AE1681" t="s">
        <v>4215</v>
      </c>
      <c r="AF1681" t="s">
        <v>960</v>
      </c>
      <c r="AG1681" t="s">
        <v>4215</v>
      </c>
      <c r="AH1681" t="s">
        <v>960</v>
      </c>
      <c r="AI1681">
        <v>0.25</v>
      </c>
      <c r="AJ1681">
        <v>1.43</v>
      </c>
      <c r="AK1681">
        <v>2.77</v>
      </c>
      <c r="AL1681">
        <v>4.68</v>
      </c>
    </row>
    <row r="1682" spans="1:38" x14ac:dyDescent="0.25">
      <c r="A1682">
        <v>1681</v>
      </c>
      <c r="B1682" t="str">
        <f xml:space="preserve"> "603358"</f>
        <v>603358</v>
      </c>
      <c r="C1682" t="s">
        <v>6079</v>
      </c>
      <c r="D1682">
        <v>47.71</v>
      </c>
      <c r="E1682">
        <v>1.97</v>
      </c>
      <c r="F1682">
        <v>0.92</v>
      </c>
      <c r="G1682" t="s">
        <v>2968</v>
      </c>
      <c r="H1682">
        <v>3</v>
      </c>
      <c r="I1682">
        <v>47.71</v>
      </c>
      <c r="J1682">
        <v>47.72</v>
      </c>
      <c r="K1682">
        <v>0.04</v>
      </c>
      <c r="L1682">
        <v>4.0999999999999996</v>
      </c>
      <c r="M1682" t="s">
        <v>6080</v>
      </c>
      <c r="N1682">
        <v>28.84</v>
      </c>
      <c r="O1682" t="s">
        <v>169</v>
      </c>
      <c r="P1682">
        <v>47.8</v>
      </c>
      <c r="Q1682">
        <v>46.61</v>
      </c>
      <c r="R1682">
        <v>46.79</v>
      </c>
      <c r="S1682">
        <v>46.79</v>
      </c>
      <c r="T1682">
        <v>2.54</v>
      </c>
      <c r="U1682">
        <v>0.99</v>
      </c>
      <c r="V1682">
        <v>27.65</v>
      </c>
      <c r="W1682">
        <v>396</v>
      </c>
      <c r="X1682">
        <v>47.43</v>
      </c>
      <c r="Y1682">
        <v>6742</v>
      </c>
      <c r="Z1682">
        <v>9653</v>
      </c>
      <c r="AA1682">
        <v>0.7</v>
      </c>
      <c r="AB1682">
        <v>135</v>
      </c>
      <c r="AC1682">
        <v>142</v>
      </c>
      <c r="AD1682">
        <v>3.13</v>
      </c>
      <c r="AE1682" t="s">
        <v>4326</v>
      </c>
      <c r="AF1682" t="s">
        <v>1917</v>
      </c>
      <c r="AG1682" t="s">
        <v>6081</v>
      </c>
      <c r="AH1682" t="s">
        <v>784</v>
      </c>
      <c r="AI1682">
        <v>0.48</v>
      </c>
      <c r="AJ1682">
        <v>5.79</v>
      </c>
      <c r="AK1682">
        <v>12.91</v>
      </c>
      <c r="AL1682">
        <v>24.73</v>
      </c>
    </row>
    <row r="1683" spans="1:38" x14ac:dyDescent="0.25">
      <c r="A1683">
        <v>1682</v>
      </c>
      <c r="B1683" t="str">
        <f xml:space="preserve"> "600761"</f>
        <v>600761</v>
      </c>
      <c r="C1683" t="s">
        <v>6082</v>
      </c>
      <c r="D1683">
        <v>10.3</v>
      </c>
      <c r="E1683">
        <v>0.19</v>
      </c>
      <c r="F1683">
        <v>0.02</v>
      </c>
      <c r="G1683" t="s">
        <v>1712</v>
      </c>
      <c r="H1683">
        <v>20</v>
      </c>
      <c r="I1683">
        <v>10.3</v>
      </c>
      <c r="J1683">
        <v>10.31</v>
      </c>
      <c r="K1683">
        <v>-0.1</v>
      </c>
      <c r="L1683">
        <v>0.49</v>
      </c>
      <c r="M1683" t="s">
        <v>6083</v>
      </c>
      <c r="N1683">
        <v>17.03</v>
      </c>
      <c r="O1683" t="s">
        <v>2647</v>
      </c>
      <c r="P1683">
        <v>10.35</v>
      </c>
      <c r="Q1683">
        <v>10.26</v>
      </c>
      <c r="R1683">
        <v>10.28</v>
      </c>
      <c r="S1683">
        <v>10.28</v>
      </c>
      <c r="T1683">
        <v>0.88</v>
      </c>
      <c r="U1683">
        <v>0.86</v>
      </c>
      <c r="V1683">
        <v>10.38</v>
      </c>
      <c r="W1683">
        <v>802</v>
      </c>
      <c r="X1683">
        <v>10.3</v>
      </c>
      <c r="Y1683" t="s">
        <v>1509</v>
      </c>
      <c r="Z1683" t="s">
        <v>5181</v>
      </c>
      <c r="AA1683">
        <v>2.4300000000000002</v>
      </c>
      <c r="AB1683">
        <v>407</v>
      </c>
      <c r="AC1683">
        <v>438</v>
      </c>
      <c r="AD1683">
        <v>1.83</v>
      </c>
      <c r="AE1683" t="s">
        <v>415</v>
      </c>
      <c r="AF1683" t="s">
        <v>500</v>
      </c>
      <c r="AG1683" t="s">
        <v>415</v>
      </c>
      <c r="AH1683" t="s">
        <v>500</v>
      </c>
      <c r="AI1683">
        <v>-0.28999999999999998</v>
      </c>
      <c r="AJ1683">
        <v>2.1800000000000002</v>
      </c>
      <c r="AK1683">
        <v>1.72</v>
      </c>
      <c r="AL1683">
        <v>3.33</v>
      </c>
    </row>
    <row r="1684" spans="1:38" x14ac:dyDescent="0.25">
      <c r="A1684">
        <v>1683</v>
      </c>
      <c r="B1684" t="str">
        <f xml:space="preserve"> "002540"</f>
        <v>002540</v>
      </c>
      <c r="C1684" t="s">
        <v>6084</v>
      </c>
      <c r="D1684">
        <v>7.33</v>
      </c>
      <c r="E1684">
        <v>0.96</v>
      </c>
      <c r="F1684">
        <v>7.0000000000000007E-2</v>
      </c>
      <c r="G1684" t="s">
        <v>2749</v>
      </c>
      <c r="H1684">
        <v>533</v>
      </c>
      <c r="I1684">
        <v>7.32</v>
      </c>
      <c r="J1684">
        <v>7.33</v>
      </c>
      <c r="K1684">
        <v>0.14000000000000001</v>
      </c>
      <c r="L1684">
        <v>0.81</v>
      </c>
      <c r="M1684" t="s">
        <v>2740</v>
      </c>
      <c r="N1684">
        <v>25.52</v>
      </c>
      <c r="O1684" t="s">
        <v>449</v>
      </c>
      <c r="P1684">
        <v>7.36</v>
      </c>
      <c r="Q1684">
        <v>7.25</v>
      </c>
      <c r="R1684">
        <v>7.29</v>
      </c>
      <c r="S1684">
        <v>7.26</v>
      </c>
      <c r="T1684">
        <v>1.52</v>
      </c>
      <c r="U1684">
        <v>1.41</v>
      </c>
      <c r="V1684">
        <v>4.0599999999999996</v>
      </c>
      <c r="W1684">
        <v>297</v>
      </c>
      <c r="X1684">
        <v>7.3</v>
      </c>
      <c r="Y1684" t="s">
        <v>1954</v>
      </c>
      <c r="Z1684" t="s">
        <v>1509</v>
      </c>
      <c r="AA1684">
        <v>1.21</v>
      </c>
      <c r="AB1684">
        <v>740</v>
      </c>
      <c r="AC1684">
        <v>606</v>
      </c>
      <c r="AD1684">
        <v>2.5099999999999998</v>
      </c>
      <c r="AE1684" t="s">
        <v>755</v>
      </c>
      <c r="AF1684" t="s">
        <v>500</v>
      </c>
      <c r="AG1684" t="s">
        <v>1722</v>
      </c>
      <c r="AH1684" t="s">
        <v>6085</v>
      </c>
      <c r="AI1684">
        <v>0</v>
      </c>
      <c r="AJ1684">
        <v>0.69</v>
      </c>
      <c r="AK1684">
        <v>2.16</v>
      </c>
      <c r="AL1684">
        <v>3.68</v>
      </c>
    </row>
    <row r="1685" spans="1:38" x14ac:dyDescent="0.25">
      <c r="A1685">
        <v>1684</v>
      </c>
      <c r="B1685" t="str">
        <f xml:space="preserve"> "300439"</f>
        <v>300439</v>
      </c>
      <c r="C1685" t="s">
        <v>6086</v>
      </c>
      <c r="D1685">
        <v>21.97</v>
      </c>
      <c r="E1685">
        <v>-0.32</v>
      </c>
      <c r="F1685">
        <v>-7.0000000000000007E-2</v>
      </c>
      <c r="G1685" t="s">
        <v>712</v>
      </c>
      <c r="H1685">
        <v>465</v>
      </c>
      <c r="I1685">
        <v>21.97</v>
      </c>
      <c r="J1685">
        <v>21.98</v>
      </c>
      <c r="K1685">
        <v>0.05</v>
      </c>
      <c r="L1685">
        <v>2.56</v>
      </c>
      <c r="M1685" t="s">
        <v>4484</v>
      </c>
      <c r="N1685">
        <v>40.299999999999997</v>
      </c>
      <c r="O1685" t="s">
        <v>1552</v>
      </c>
      <c r="P1685">
        <v>22.2</v>
      </c>
      <c r="Q1685">
        <v>21.88</v>
      </c>
      <c r="R1685">
        <v>21.88</v>
      </c>
      <c r="S1685">
        <v>22.04</v>
      </c>
      <c r="T1685">
        <v>1.45</v>
      </c>
      <c r="U1685">
        <v>0.61</v>
      </c>
      <c r="V1685">
        <v>-0.55000000000000004</v>
      </c>
      <c r="W1685">
        <v>-4</v>
      </c>
      <c r="X1685">
        <v>22.03</v>
      </c>
      <c r="Y1685" t="s">
        <v>125</v>
      </c>
      <c r="Z1685" t="s">
        <v>1726</v>
      </c>
      <c r="AA1685">
        <v>1.18</v>
      </c>
      <c r="AB1685">
        <v>44</v>
      </c>
      <c r="AC1685">
        <v>141</v>
      </c>
      <c r="AD1685">
        <v>4.99</v>
      </c>
      <c r="AE1685" t="s">
        <v>3758</v>
      </c>
      <c r="AF1685" t="s">
        <v>500</v>
      </c>
      <c r="AG1685" t="s">
        <v>679</v>
      </c>
      <c r="AH1685" t="s">
        <v>1700</v>
      </c>
      <c r="AI1685">
        <v>-2.31</v>
      </c>
      <c r="AJ1685">
        <v>9.14</v>
      </c>
      <c r="AK1685">
        <v>13.34</v>
      </c>
      <c r="AL1685">
        <v>23.59</v>
      </c>
    </row>
    <row r="1686" spans="1:38" x14ac:dyDescent="0.25">
      <c r="A1686">
        <v>1685</v>
      </c>
      <c r="B1686" t="str">
        <f xml:space="preserve"> "300198"</f>
        <v>300198</v>
      </c>
      <c r="C1686" t="s">
        <v>6087</v>
      </c>
      <c r="D1686">
        <v>7.38</v>
      </c>
      <c r="E1686">
        <v>-0.81</v>
      </c>
      <c r="F1686">
        <v>-0.06</v>
      </c>
      <c r="G1686" t="s">
        <v>496</v>
      </c>
      <c r="H1686">
        <v>3206</v>
      </c>
      <c r="I1686">
        <v>7.38</v>
      </c>
      <c r="J1686">
        <v>7.39</v>
      </c>
      <c r="K1686">
        <v>-0.14000000000000001</v>
      </c>
      <c r="L1686">
        <v>2.6</v>
      </c>
      <c r="M1686" t="s">
        <v>598</v>
      </c>
      <c r="N1686">
        <v>140.61000000000001</v>
      </c>
      <c r="O1686" t="s">
        <v>562</v>
      </c>
      <c r="P1686">
        <v>7.49</v>
      </c>
      <c r="Q1686">
        <v>7.34</v>
      </c>
      <c r="R1686">
        <v>7.4</v>
      </c>
      <c r="S1686">
        <v>7.44</v>
      </c>
      <c r="T1686">
        <v>2.02</v>
      </c>
      <c r="U1686">
        <v>0.54</v>
      </c>
      <c r="V1686">
        <v>33.81</v>
      </c>
      <c r="W1686">
        <v>4177</v>
      </c>
      <c r="X1686">
        <v>7.4</v>
      </c>
      <c r="Y1686" t="s">
        <v>609</v>
      </c>
      <c r="Z1686" t="s">
        <v>2745</v>
      </c>
      <c r="AA1686">
        <v>1.65</v>
      </c>
      <c r="AB1686">
        <v>1596</v>
      </c>
      <c r="AC1686">
        <v>1051</v>
      </c>
      <c r="AD1686">
        <v>4.75</v>
      </c>
      <c r="AE1686" t="s">
        <v>707</v>
      </c>
      <c r="AF1686" t="s">
        <v>5668</v>
      </c>
      <c r="AG1686" t="s">
        <v>2282</v>
      </c>
      <c r="AH1686" t="s">
        <v>2462</v>
      </c>
      <c r="AI1686">
        <v>-2.64</v>
      </c>
      <c r="AJ1686">
        <v>-2.5099999999999998</v>
      </c>
      <c r="AK1686">
        <v>12.75</v>
      </c>
      <c r="AL1686">
        <v>26.52</v>
      </c>
    </row>
    <row r="1687" spans="1:38" x14ac:dyDescent="0.25">
      <c r="A1687">
        <v>1686</v>
      </c>
      <c r="B1687" t="str">
        <f xml:space="preserve"> "300204"</f>
        <v>300204</v>
      </c>
      <c r="C1687" t="s">
        <v>6088</v>
      </c>
      <c r="D1687">
        <v>15.92</v>
      </c>
      <c r="E1687">
        <v>0.76</v>
      </c>
      <c r="F1687">
        <v>0.12</v>
      </c>
      <c r="G1687" t="s">
        <v>2731</v>
      </c>
      <c r="H1687">
        <v>233</v>
      </c>
      <c r="I1687">
        <v>15.92</v>
      </c>
      <c r="J1687">
        <v>15.93</v>
      </c>
      <c r="K1687">
        <v>0</v>
      </c>
      <c r="L1687">
        <v>0.51</v>
      </c>
      <c r="M1687" t="s">
        <v>6089</v>
      </c>
      <c r="N1687">
        <v>26.7</v>
      </c>
      <c r="O1687" t="s">
        <v>392</v>
      </c>
      <c r="P1687">
        <v>16</v>
      </c>
      <c r="Q1687">
        <v>15.74</v>
      </c>
      <c r="R1687">
        <v>15.75</v>
      </c>
      <c r="S1687">
        <v>15.8</v>
      </c>
      <c r="T1687">
        <v>1.65</v>
      </c>
      <c r="U1687">
        <v>0.85</v>
      </c>
      <c r="V1687">
        <v>-7.58</v>
      </c>
      <c r="W1687">
        <v>-69</v>
      </c>
      <c r="X1687">
        <v>15.89</v>
      </c>
      <c r="Y1687" t="s">
        <v>2991</v>
      </c>
      <c r="Z1687" t="s">
        <v>691</v>
      </c>
      <c r="AA1687">
        <v>0.98</v>
      </c>
      <c r="AB1687">
        <v>44</v>
      </c>
      <c r="AC1687">
        <v>132</v>
      </c>
      <c r="AD1687">
        <v>3.89</v>
      </c>
      <c r="AE1687" t="s">
        <v>1584</v>
      </c>
      <c r="AF1687" t="s">
        <v>5668</v>
      </c>
      <c r="AG1687" t="s">
        <v>3545</v>
      </c>
      <c r="AH1687" t="s">
        <v>644</v>
      </c>
      <c r="AI1687">
        <v>-0.13</v>
      </c>
      <c r="AJ1687">
        <v>3.65</v>
      </c>
      <c r="AK1687">
        <v>1.8</v>
      </c>
      <c r="AL1687">
        <v>3.51</v>
      </c>
    </row>
    <row r="1688" spans="1:38" x14ac:dyDescent="0.25">
      <c r="A1688">
        <v>1687</v>
      </c>
      <c r="B1688" t="str">
        <f xml:space="preserve"> "600825"</f>
        <v>600825</v>
      </c>
      <c r="C1688" t="s">
        <v>6090</v>
      </c>
      <c r="D1688" t="s">
        <v>616</v>
      </c>
      <c r="E1688" t="s">
        <v>616</v>
      </c>
      <c r="F1688" t="s">
        <v>616</v>
      </c>
      <c r="G1688" t="s">
        <v>616</v>
      </c>
      <c r="H1688" t="s">
        <v>616</v>
      </c>
      <c r="I1688" t="s">
        <v>616</v>
      </c>
      <c r="J1688" t="s">
        <v>616</v>
      </c>
      <c r="K1688" t="s">
        <v>616</v>
      </c>
      <c r="L1688" t="s">
        <v>616</v>
      </c>
      <c r="M1688" t="s">
        <v>616</v>
      </c>
      <c r="N1688">
        <v>178.27</v>
      </c>
      <c r="O1688" t="s">
        <v>1126</v>
      </c>
      <c r="P1688" t="s">
        <v>616</v>
      </c>
      <c r="Q1688" t="s">
        <v>616</v>
      </c>
      <c r="R1688" t="s">
        <v>616</v>
      </c>
      <c r="S1688">
        <v>7.28</v>
      </c>
      <c r="T1688" t="s">
        <v>616</v>
      </c>
      <c r="U1688" t="s">
        <v>616</v>
      </c>
      <c r="V1688" t="s">
        <v>616</v>
      </c>
      <c r="W1688" t="s">
        <v>616</v>
      </c>
      <c r="X1688" t="s">
        <v>616</v>
      </c>
      <c r="Y1688" t="s">
        <v>616</v>
      </c>
      <c r="Z1688" t="s">
        <v>616</v>
      </c>
      <c r="AA1688" t="s">
        <v>616</v>
      </c>
      <c r="AB1688" t="s">
        <v>616</v>
      </c>
      <c r="AC1688" t="s">
        <v>616</v>
      </c>
      <c r="AD1688">
        <v>2.93</v>
      </c>
      <c r="AE1688" t="s">
        <v>755</v>
      </c>
      <c r="AF1688" t="s">
        <v>5668</v>
      </c>
      <c r="AG1688" t="s">
        <v>755</v>
      </c>
      <c r="AH1688" t="s">
        <v>5668</v>
      </c>
      <c r="AI1688">
        <v>0</v>
      </c>
      <c r="AJ1688">
        <v>0</v>
      </c>
      <c r="AK1688">
        <v>0</v>
      </c>
      <c r="AL1688">
        <v>0</v>
      </c>
    </row>
    <row r="1689" spans="1:38" x14ac:dyDescent="0.25">
      <c r="A1689">
        <v>1688</v>
      </c>
      <c r="B1689" t="str">
        <f xml:space="preserve"> "603027"</f>
        <v>603027</v>
      </c>
      <c r="C1689" t="s">
        <v>6091</v>
      </c>
      <c r="D1689">
        <v>23.75</v>
      </c>
      <c r="E1689">
        <v>0.47</v>
      </c>
      <c r="F1689">
        <v>0.11</v>
      </c>
      <c r="G1689" t="s">
        <v>506</v>
      </c>
      <c r="H1689">
        <v>49</v>
      </c>
      <c r="I1689">
        <v>23.73</v>
      </c>
      <c r="J1689">
        <v>23.74</v>
      </c>
      <c r="K1689">
        <v>-0.04</v>
      </c>
      <c r="L1689">
        <v>2.39</v>
      </c>
      <c r="M1689" t="s">
        <v>6092</v>
      </c>
      <c r="N1689">
        <v>50.43</v>
      </c>
      <c r="O1689" t="s">
        <v>406</v>
      </c>
      <c r="P1689">
        <v>24.01</v>
      </c>
      <c r="Q1689">
        <v>23.36</v>
      </c>
      <c r="R1689">
        <v>23.63</v>
      </c>
      <c r="S1689">
        <v>23.64</v>
      </c>
      <c r="T1689">
        <v>2.75</v>
      </c>
      <c r="U1689">
        <v>0.84</v>
      </c>
      <c r="V1689">
        <v>26.14</v>
      </c>
      <c r="W1689">
        <v>109</v>
      </c>
      <c r="X1689">
        <v>23.75</v>
      </c>
      <c r="Y1689" t="s">
        <v>1579</v>
      </c>
      <c r="Z1689" t="s">
        <v>3238</v>
      </c>
      <c r="AA1689">
        <v>0.75</v>
      </c>
      <c r="AB1689">
        <v>39</v>
      </c>
      <c r="AC1689">
        <v>29</v>
      </c>
      <c r="AD1689">
        <v>8.1199999999999992</v>
      </c>
      <c r="AE1689" t="s">
        <v>2738</v>
      </c>
      <c r="AF1689" t="s">
        <v>5789</v>
      </c>
      <c r="AG1689" t="s">
        <v>333</v>
      </c>
      <c r="AH1689" t="s">
        <v>2516</v>
      </c>
      <c r="AI1689">
        <v>4.3499999999999996</v>
      </c>
      <c r="AJ1689">
        <v>4.53</v>
      </c>
      <c r="AK1689">
        <v>8.84</v>
      </c>
      <c r="AL1689">
        <v>16.57</v>
      </c>
    </row>
    <row r="1690" spans="1:38" x14ac:dyDescent="0.25">
      <c r="A1690">
        <v>1689</v>
      </c>
      <c r="B1690" t="str">
        <f xml:space="preserve"> "000096"</f>
        <v>000096</v>
      </c>
      <c r="C1690" t="s">
        <v>6093</v>
      </c>
      <c r="D1690">
        <v>14.39</v>
      </c>
      <c r="E1690">
        <v>0.56000000000000005</v>
      </c>
      <c r="F1690">
        <v>0.08</v>
      </c>
      <c r="G1690" t="s">
        <v>1785</v>
      </c>
      <c r="H1690">
        <v>410</v>
      </c>
      <c r="I1690">
        <v>14.38</v>
      </c>
      <c r="J1690">
        <v>14.39</v>
      </c>
      <c r="K1690">
        <v>0</v>
      </c>
      <c r="L1690">
        <v>0.21</v>
      </c>
      <c r="M1690" t="s">
        <v>6094</v>
      </c>
      <c r="N1690">
        <v>39.39</v>
      </c>
      <c r="O1690" t="s">
        <v>61</v>
      </c>
      <c r="P1690">
        <v>14.58</v>
      </c>
      <c r="Q1690">
        <v>14.33</v>
      </c>
      <c r="R1690">
        <v>14.33</v>
      </c>
      <c r="S1690">
        <v>14.31</v>
      </c>
      <c r="T1690">
        <v>1.75</v>
      </c>
      <c r="U1690">
        <v>1.55</v>
      </c>
      <c r="V1690">
        <v>-55.05</v>
      </c>
      <c r="W1690">
        <v>-805</v>
      </c>
      <c r="X1690">
        <v>14.45</v>
      </c>
      <c r="Y1690">
        <v>5088</v>
      </c>
      <c r="Z1690">
        <v>5639</v>
      </c>
      <c r="AA1690">
        <v>0.9</v>
      </c>
      <c r="AB1690">
        <v>136</v>
      </c>
      <c r="AC1690">
        <v>421</v>
      </c>
      <c r="AD1690">
        <v>3.27</v>
      </c>
      <c r="AE1690" t="s">
        <v>2438</v>
      </c>
      <c r="AF1690" t="s">
        <v>5789</v>
      </c>
      <c r="AG1690" t="s">
        <v>5626</v>
      </c>
      <c r="AH1690" t="s">
        <v>3365</v>
      </c>
      <c r="AI1690">
        <v>1.7</v>
      </c>
      <c r="AJ1690">
        <v>2.42</v>
      </c>
      <c r="AK1690">
        <v>0.56000000000000005</v>
      </c>
      <c r="AL1690">
        <v>0.89</v>
      </c>
    </row>
    <row r="1691" spans="1:38" x14ac:dyDescent="0.25">
      <c r="A1691">
        <v>1690</v>
      </c>
      <c r="B1691" t="str">
        <f xml:space="preserve"> "603676"</f>
        <v>603676</v>
      </c>
      <c r="C1691" t="s">
        <v>6095</v>
      </c>
      <c r="D1691">
        <v>17.940000000000001</v>
      </c>
      <c r="E1691">
        <v>2.2200000000000002</v>
      </c>
      <c r="F1691">
        <v>0.39</v>
      </c>
      <c r="G1691" t="s">
        <v>6096</v>
      </c>
      <c r="H1691">
        <v>10</v>
      </c>
      <c r="I1691">
        <v>17.940000000000001</v>
      </c>
      <c r="J1691">
        <v>17.95</v>
      </c>
      <c r="K1691">
        <v>0</v>
      </c>
      <c r="L1691">
        <v>10.52</v>
      </c>
      <c r="M1691" t="s">
        <v>60</v>
      </c>
      <c r="N1691">
        <v>58.58</v>
      </c>
      <c r="O1691" t="s">
        <v>392</v>
      </c>
      <c r="P1691">
        <v>18.149999999999999</v>
      </c>
      <c r="Q1691">
        <v>17.47</v>
      </c>
      <c r="R1691">
        <v>17.510000000000002</v>
      </c>
      <c r="S1691">
        <v>17.55</v>
      </c>
      <c r="T1691">
        <v>3.87</v>
      </c>
      <c r="U1691">
        <v>0.83</v>
      </c>
      <c r="V1691">
        <v>-35.43</v>
      </c>
      <c r="W1691">
        <v>-541</v>
      </c>
      <c r="X1691">
        <v>17.93</v>
      </c>
      <c r="Y1691" t="s">
        <v>3644</v>
      </c>
      <c r="Z1691" t="s">
        <v>2543</v>
      </c>
      <c r="AA1691">
        <v>0.84</v>
      </c>
      <c r="AB1691">
        <v>13</v>
      </c>
      <c r="AC1691">
        <v>375</v>
      </c>
      <c r="AD1691">
        <v>9.24</v>
      </c>
      <c r="AE1691" t="s">
        <v>1134</v>
      </c>
      <c r="AF1691" t="s">
        <v>1164</v>
      </c>
      <c r="AG1691" t="s">
        <v>6097</v>
      </c>
      <c r="AH1691" t="s">
        <v>2756</v>
      </c>
      <c r="AI1691">
        <v>-1.75</v>
      </c>
      <c r="AJ1691">
        <v>3.16</v>
      </c>
      <c r="AK1691">
        <v>37.22</v>
      </c>
      <c r="AL1691">
        <v>74.06</v>
      </c>
    </row>
    <row r="1692" spans="1:38" x14ac:dyDescent="0.25">
      <c r="A1692">
        <v>1691</v>
      </c>
      <c r="B1692" t="str">
        <f xml:space="preserve"> "600734"</f>
        <v>600734</v>
      </c>
      <c r="C1692" t="s">
        <v>6098</v>
      </c>
      <c r="D1692">
        <v>12.17</v>
      </c>
      <c r="E1692">
        <v>2.0099999999999998</v>
      </c>
      <c r="F1692">
        <v>0.24</v>
      </c>
      <c r="G1692" t="s">
        <v>4003</v>
      </c>
      <c r="H1692">
        <v>54</v>
      </c>
      <c r="I1692">
        <v>12.16</v>
      </c>
      <c r="J1692">
        <v>12.17</v>
      </c>
      <c r="K1692">
        <v>0.25</v>
      </c>
      <c r="L1692">
        <v>0.98</v>
      </c>
      <c r="M1692" t="s">
        <v>6099</v>
      </c>
      <c r="N1692">
        <v>72.67</v>
      </c>
      <c r="O1692" t="s">
        <v>244</v>
      </c>
      <c r="P1692">
        <v>12.18</v>
      </c>
      <c r="Q1692">
        <v>11.87</v>
      </c>
      <c r="R1692">
        <v>11.87</v>
      </c>
      <c r="S1692">
        <v>11.93</v>
      </c>
      <c r="T1692">
        <v>2.6</v>
      </c>
      <c r="U1692">
        <v>0.68</v>
      </c>
      <c r="V1692">
        <v>-58.67</v>
      </c>
      <c r="W1692">
        <v>-1774</v>
      </c>
      <c r="X1692">
        <v>12.01</v>
      </c>
      <c r="Y1692" t="s">
        <v>125</v>
      </c>
      <c r="Z1692" t="s">
        <v>1076</v>
      </c>
      <c r="AA1692">
        <v>0.8</v>
      </c>
      <c r="AB1692">
        <v>109</v>
      </c>
      <c r="AC1692">
        <v>16</v>
      </c>
      <c r="AD1692">
        <v>2.74</v>
      </c>
      <c r="AE1692" t="s">
        <v>4437</v>
      </c>
      <c r="AF1692" t="s">
        <v>1164</v>
      </c>
      <c r="AG1692" t="s">
        <v>3724</v>
      </c>
      <c r="AH1692" t="s">
        <v>4889</v>
      </c>
      <c r="AI1692">
        <v>1.1599999999999999</v>
      </c>
      <c r="AJ1692">
        <v>5.09</v>
      </c>
      <c r="AK1692">
        <v>2.63</v>
      </c>
      <c r="AL1692">
        <v>8.17</v>
      </c>
    </row>
    <row r="1693" spans="1:38" x14ac:dyDescent="0.25">
      <c r="A1693">
        <v>1692</v>
      </c>
      <c r="B1693" t="str">
        <f xml:space="preserve"> "000905"</f>
        <v>000905</v>
      </c>
      <c r="C1693" t="s">
        <v>6100</v>
      </c>
      <c r="D1693">
        <v>14.29</v>
      </c>
      <c r="E1693">
        <v>0.14000000000000001</v>
      </c>
      <c r="F1693">
        <v>0.02</v>
      </c>
      <c r="G1693" t="s">
        <v>2037</v>
      </c>
      <c r="H1693">
        <v>3083</v>
      </c>
      <c r="I1693">
        <v>14.28</v>
      </c>
      <c r="J1693">
        <v>14.29</v>
      </c>
      <c r="K1693">
        <v>0</v>
      </c>
      <c r="L1693">
        <v>4.18</v>
      </c>
      <c r="M1693" t="s">
        <v>6101</v>
      </c>
      <c r="N1693">
        <v>59.42</v>
      </c>
      <c r="O1693" t="s">
        <v>440</v>
      </c>
      <c r="P1693">
        <v>14.38</v>
      </c>
      <c r="Q1693">
        <v>13.9</v>
      </c>
      <c r="R1693">
        <v>14</v>
      </c>
      <c r="S1693">
        <v>14.27</v>
      </c>
      <c r="T1693">
        <v>3.36</v>
      </c>
      <c r="U1693">
        <v>1.8</v>
      </c>
      <c r="V1693">
        <v>-41.15</v>
      </c>
      <c r="W1693">
        <v>-1875</v>
      </c>
      <c r="X1693">
        <v>14.13</v>
      </c>
      <c r="Y1693" t="s">
        <v>912</v>
      </c>
      <c r="Z1693" t="s">
        <v>442</v>
      </c>
      <c r="AA1693">
        <v>0.94</v>
      </c>
      <c r="AB1693">
        <v>255</v>
      </c>
      <c r="AC1693">
        <v>486</v>
      </c>
      <c r="AD1693">
        <v>2.88</v>
      </c>
      <c r="AE1693" t="s">
        <v>1220</v>
      </c>
      <c r="AF1693" t="s">
        <v>1164</v>
      </c>
      <c r="AG1693" t="s">
        <v>1220</v>
      </c>
      <c r="AH1693" t="s">
        <v>1164</v>
      </c>
      <c r="AI1693">
        <v>2.95</v>
      </c>
      <c r="AJ1693">
        <v>10.69</v>
      </c>
      <c r="AK1693">
        <v>10.52</v>
      </c>
      <c r="AL1693">
        <v>15.77</v>
      </c>
    </row>
    <row r="1694" spans="1:38" x14ac:dyDescent="0.25">
      <c r="A1694">
        <v>1693</v>
      </c>
      <c r="B1694" t="str">
        <f xml:space="preserve"> "300660"</f>
        <v>300660</v>
      </c>
      <c r="C1694" t="s">
        <v>6102</v>
      </c>
      <c r="D1694">
        <v>74.98</v>
      </c>
      <c r="E1694">
        <v>1.17</v>
      </c>
      <c r="F1694">
        <v>0.87</v>
      </c>
      <c r="G1694">
        <v>9221</v>
      </c>
      <c r="H1694">
        <v>90</v>
      </c>
      <c r="I1694">
        <v>74.97</v>
      </c>
      <c r="J1694">
        <v>74.98</v>
      </c>
      <c r="K1694">
        <v>0.03</v>
      </c>
      <c r="L1694">
        <v>3.65</v>
      </c>
      <c r="M1694" t="s">
        <v>3105</v>
      </c>
      <c r="N1694">
        <v>29.68</v>
      </c>
      <c r="O1694" t="s">
        <v>648</v>
      </c>
      <c r="P1694">
        <v>75.3</v>
      </c>
      <c r="Q1694">
        <v>74.02</v>
      </c>
      <c r="R1694">
        <v>74.02</v>
      </c>
      <c r="S1694">
        <v>74.11</v>
      </c>
      <c r="T1694">
        <v>1.73</v>
      </c>
      <c r="U1694">
        <v>1.21</v>
      </c>
      <c r="V1694">
        <v>-59.42</v>
      </c>
      <c r="W1694">
        <v>-287</v>
      </c>
      <c r="X1694">
        <v>74.790000000000006</v>
      </c>
      <c r="Y1694">
        <v>3799</v>
      </c>
      <c r="Z1694">
        <v>5422</v>
      </c>
      <c r="AA1694">
        <v>0.7</v>
      </c>
      <c r="AB1694">
        <v>19</v>
      </c>
      <c r="AC1694">
        <v>2</v>
      </c>
      <c r="AD1694">
        <v>3.99</v>
      </c>
      <c r="AE1694" t="s">
        <v>1442</v>
      </c>
      <c r="AF1694" t="s">
        <v>4706</v>
      </c>
      <c r="AG1694" t="s">
        <v>6103</v>
      </c>
      <c r="AH1694" t="s">
        <v>1981</v>
      </c>
      <c r="AI1694">
        <v>-0.33</v>
      </c>
      <c r="AJ1694">
        <v>2.5</v>
      </c>
      <c r="AK1694">
        <v>9.1199999999999992</v>
      </c>
      <c r="AL1694">
        <v>18.690000000000001</v>
      </c>
    </row>
    <row r="1695" spans="1:38" x14ac:dyDescent="0.25">
      <c r="A1695">
        <v>1694</v>
      </c>
      <c r="B1695" t="str">
        <f xml:space="preserve"> "000650"</f>
        <v>000650</v>
      </c>
      <c r="C1695" t="s">
        <v>6104</v>
      </c>
      <c r="D1695">
        <v>6.12</v>
      </c>
      <c r="E1695">
        <v>0.66</v>
      </c>
      <c r="F1695">
        <v>0.04</v>
      </c>
      <c r="G1695" t="s">
        <v>1242</v>
      </c>
      <c r="H1695">
        <v>3960</v>
      </c>
      <c r="I1695">
        <v>6.11</v>
      </c>
      <c r="J1695">
        <v>6.12</v>
      </c>
      <c r="K1695">
        <v>0</v>
      </c>
      <c r="L1695">
        <v>0.94</v>
      </c>
      <c r="M1695" t="s">
        <v>6105</v>
      </c>
      <c r="N1695">
        <v>23.46</v>
      </c>
      <c r="O1695" t="s">
        <v>392</v>
      </c>
      <c r="P1695">
        <v>6.15</v>
      </c>
      <c r="Q1695">
        <v>6.06</v>
      </c>
      <c r="R1695">
        <v>6.1</v>
      </c>
      <c r="S1695">
        <v>6.08</v>
      </c>
      <c r="T1695">
        <v>1.48</v>
      </c>
      <c r="U1695">
        <v>0.64</v>
      </c>
      <c r="V1695">
        <v>-21.48</v>
      </c>
      <c r="W1695">
        <v>-5142</v>
      </c>
      <c r="X1695">
        <v>6.11</v>
      </c>
      <c r="Y1695" t="s">
        <v>6106</v>
      </c>
      <c r="Z1695" t="s">
        <v>2045</v>
      </c>
      <c r="AA1695">
        <v>1.08</v>
      </c>
      <c r="AB1695">
        <v>836</v>
      </c>
      <c r="AC1695">
        <v>418</v>
      </c>
      <c r="AD1695">
        <v>2.72</v>
      </c>
      <c r="AE1695" t="s">
        <v>361</v>
      </c>
      <c r="AF1695" t="s">
        <v>4706</v>
      </c>
      <c r="AG1695" t="s">
        <v>361</v>
      </c>
      <c r="AH1695" t="s">
        <v>4706</v>
      </c>
      <c r="AI1695">
        <v>-0.97</v>
      </c>
      <c r="AJ1695">
        <v>4.97</v>
      </c>
      <c r="AK1695">
        <v>3.86</v>
      </c>
      <c r="AL1695">
        <v>8.27</v>
      </c>
    </row>
    <row r="1696" spans="1:38" x14ac:dyDescent="0.25">
      <c r="A1696">
        <v>1695</v>
      </c>
      <c r="B1696" t="str">
        <f xml:space="preserve"> "600211"</f>
        <v>600211</v>
      </c>
      <c r="C1696" t="s">
        <v>6107</v>
      </c>
      <c r="D1696">
        <v>42.17</v>
      </c>
      <c r="E1696">
        <v>-0.09</v>
      </c>
      <c r="F1696">
        <v>-0.04</v>
      </c>
      <c r="G1696">
        <v>9160</v>
      </c>
      <c r="H1696">
        <v>13</v>
      </c>
      <c r="I1696">
        <v>42.17</v>
      </c>
      <c r="J1696">
        <v>42.2</v>
      </c>
      <c r="K1696">
        <v>0</v>
      </c>
      <c r="L1696">
        <v>0.63</v>
      </c>
      <c r="M1696" t="s">
        <v>6108</v>
      </c>
      <c r="N1696">
        <v>65.099999999999994</v>
      </c>
      <c r="O1696" t="s">
        <v>392</v>
      </c>
      <c r="P1696">
        <v>42.45</v>
      </c>
      <c r="Q1696">
        <v>41.8</v>
      </c>
      <c r="R1696">
        <v>42.28</v>
      </c>
      <c r="S1696">
        <v>42.21</v>
      </c>
      <c r="T1696">
        <v>1.54</v>
      </c>
      <c r="U1696">
        <v>0.78</v>
      </c>
      <c r="V1696">
        <v>-3.37</v>
      </c>
      <c r="W1696">
        <v>-13</v>
      </c>
      <c r="X1696">
        <v>42.16</v>
      </c>
      <c r="Y1696">
        <v>4328</v>
      </c>
      <c r="Z1696">
        <v>4832</v>
      </c>
      <c r="AA1696">
        <v>0.9</v>
      </c>
      <c r="AB1696">
        <v>11</v>
      </c>
      <c r="AC1696">
        <v>16</v>
      </c>
      <c r="AD1696">
        <v>4.0199999999999996</v>
      </c>
      <c r="AE1696" t="s">
        <v>3119</v>
      </c>
      <c r="AF1696" t="s">
        <v>6109</v>
      </c>
      <c r="AG1696" t="s">
        <v>1862</v>
      </c>
      <c r="AH1696" t="s">
        <v>3505</v>
      </c>
      <c r="AI1696">
        <v>0.4</v>
      </c>
      <c r="AJ1696">
        <v>4.41</v>
      </c>
      <c r="AK1696">
        <v>2.35</v>
      </c>
      <c r="AL1696">
        <v>4.68</v>
      </c>
    </row>
    <row r="1697" spans="1:38" x14ac:dyDescent="0.25">
      <c r="A1697">
        <v>1696</v>
      </c>
      <c r="B1697" t="str">
        <f xml:space="preserve"> "000886"</f>
        <v>000886</v>
      </c>
      <c r="C1697" t="s">
        <v>6110</v>
      </c>
      <c r="D1697">
        <v>7.66</v>
      </c>
      <c r="E1697">
        <v>4.08</v>
      </c>
      <c r="F1697">
        <v>0.3</v>
      </c>
      <c r="G1697" t="s">
        <v>1045</v>
      </c>
      <c r="H1697">
        <v>3149</v>
      </c>
      <c r="I1697">
        <v>7.66</v>
      </c>
      <c r="J1697">
        <v>7.67</v>
      </c>
      <c r="K1697">
        <v>-0.26</v>
      </c>
      <c r="L1697">
        <v>3.45</v>
      </c>
      <c r="M1697" t="s">
        <v>424</v>
      </c>
      <c r="N1697">
        <v>41.42</v>
      </c>
      <c r="O1697" t="s">
        <v>1348</v>
      </c>
      <c r="P1697">
        <v>7.8</v>
      </c>
      <c r="Q1697">
        <v>7.36</v>
      </c>
      <c r="R1697">
        <v>7.36</v>
      </c>
      <c r="S1697">
        <v>7.36</v>
      </c>
      <c r="T1697">
        <v>5.98</v>
      </c>
      <c r="U1697">
        <v>1.59</v>
      </c>
      <c r="V1697">
        <v>-46.03</v>
      </c>
      <c r="W1697">
        <v>-4341</v>
      </c>
      <c r="X1697">
        <v>7.6</v>
      </c>
      <c r="Y1697" t="s">
        <v>225</v>
      </c>
      <c r="Z1697" t="s">
        <v>1921</v>
      </c>
      <c r="AA1697">
        <v>0.84</v>
      </c>
      <c r="AB1697">
        <v>902</v>
      </c>
      <c r="AC1697">
        <v>250</v>
      </c>
      <c r="AD1697">
        <v>2.83</v>
      </c>
      <c r="AE1697" t="s">
        <v>1016</v>
      </c>
      <c r="AF1697" t="s">
        <v>6109</v>
      </c>
      <c r="AG1697" t="s">
        <v>4577</v>
      </c>
      <c r="AH1697" t="s">
        <v>5343</v>
      </c>
      <c r="AI1697">
        <v>8.5</v>
      </c>
      <c r="AJ1697">
        <v>13.48</v>
      </c>
      <c r="AK1697">
        <v>9.7799999999999994</v>
      </c>
      <c r="AL1697">
        <v>14.3</v>
      </c>
    </row>
    <row r="1698" spans="1:38" x14ac:dyDescent="0.25">
      <c r="A1698">
        <v>1697</v>
      </c>
      <c r="B1698" t="str">
        <f xml:space="preserve"> "002557"</f>
        <v>002557</v>
      </c>
      <c r="C1698" t="s">
        <v>6111</v>
      </c>
      <c r="D1698">
        <v>14.93</v>
      </c>
      <c r="E1698">
        <v>-0.67</v>
      </c>
      <c r="F1698">
        <v>-0.1</v>
      </c>
      <c r="G1698" t="s">
        <v>86</v>
      </c>
      <c r="H1698">
        <v>462</v>
      </c>
      <c r="I1698">
        <v>14.93</v>
      </c>
      <c r="J1698">
        <v>14.94</v>
      </c>
      <c r="K1698">
        <v>0.2</v>
      </c>
      <c r="L1698">
        <v>0.47</v>
      </c>
      <c r="M1698" t="s">
        <v>6112</v>
      </c>
      <c r="N1698">
        <v>25.48</v>
      </c>
      <c r="O1698" t="s">
        <v>406</v>
      </c>
      <c r="P1698">
        <v>15.2</v>
      </c>
      <c r="Q1698">
        <v>14.88</v>
      </c>
      <c r="R1698">
        <v>15.05</v>
      </c>
      <c r="S1698">
        <v>15.03</v>
      </c>
      <c r="T1698">
        <v>2.13</v>
      </c>
      <c r="U1698">
        <v>0.82</v>
      </c>
      <c r="V1698">
        <v>58.98</v>
      </c>
      <c r="W1698">
        <v>1056</v>
      </c>
      <c r="X1698">
        <v>15.02</v>
      </c>
      <c r="Y1698" t="s">
        <v>603</v>
      </c>
      <c r="Z1698">
        <v>9371</v>
      </c>
      <c r="AA1698">
        <v>1.52</v>
      </c>
      <c r="AB1698">
        <v>767</v>
      </c>
      <c r="AC1698">
        <v>95</v>
      </c>
      <c r="AD1698">
        <v>2.62</v>
      </c>
      <c r="AE1698" t="s">
        <v>4321</v>
      </c>
      <c r="AF1698" t="s">
        <v>6109</v>
      </c>
      <c r="AG1698" t="s">
        <v>4321</v>
      </c>
      <c r="AH1698" t="s">
        <v>6109</v>
      </c>
      <c r="AI1698">
        <v>0.47</v>
      </c>
      <c r="AJ1698">
        <v>1.77</v>
      </c>
      <c r="AK1698">
        <v>1.88</v>
      </c>
      <c r="AL1698">
        <v>3.3</v>
      </c>
    </row>
    <row r="1699" spans="1:38" x14ac:dyDescent="0.25">
      <c r="A1699">
        <v>1698</v>
      </c>
      <c r="B1699" t="str">
        <f xml:space="preserve"> "601368"</f>
        <v>601368</v>
      </c>
      <c r="C1699" t="s">
        <v>6113</v>
      </c>
      <c r="D1699">
        <v>10.28</v>
      </c>
      <c r="E1699">
        <v>4.05</v>
      </c>
      <c r="F1699">
        <v>0.4</v>
      </c>
      <c r="G1699" t="s">
        <v>767</v>
      </c>
      <c r="H1699">
        <v>10</v>
      </c>
      <c r="I1699">
        <v>10.28</v>
      </c>
      <c r="J1699">
        <v>10.29</v>
      </c>
      <c r="K1699">
        <v>-0.1</v>
      </c>
      <c r="L1699">
        <v>4.1399999999999997</v>
      </c>
      <c r="M1699" t="s">
        <v>734</v>
      </c>
      <c r="N1699">
        <v>23.35</v>
      </c>
      <c r="O1699" t="s">
        <v>2085</v>
      </c>
      <c r="P1699">
        <v>10.46</v>
      </c>
      <c r="Q1699">
        <v>9.86</v>
      </c>
      <c r="R1699">
        <v>9.8800000000000008</v>
      </c>
      <c r="S1699">
        <v>9.8800000000000008</v>
      </c>
      <c r="T1699">
        <v>6.07</v>
      </c>
      <c r="U1699">
        <v>6.16</v>
      </c>
      <c r="V1699">
        <v>3.17</v>
      </c>
      <c r="W1699">
        <v>106</v>
      </c>
      <c r="X1699">
        <v>10.220000000000001</v>
      </c>
      <c r="Y1699" t="s">
        <v>3161</v>
      </c>
      <c r="Z1699" t="s">
        <v>2745</v>
      </c>
      <c r="AA1699">
        <v>0.59</v>
      </c>
      <c r="AB1699">
        <v>154</v>
      </c>
      <c r="AC1699">
        <v>217</v>
      </c>
      <c r="AD1699">
        <v>2.72</v>
      </c>
      <c r="AE1699" t="s">
        <v>4167</v>
      </c>
      <c r="AF1699" t="s">
        <v>6114</v>
      </c>
      <c r="AG1699" t="s">
        <v>2268</v>
      </c>
      <c r="AH1699" t="s">
        <v>1968</v>
      </c>
      <c r="AI1699">
        <v>3.52</v>
      </c>
      <c r="AJ1699">
        <v>6.97</v>
      </c>
      <c r="AK1699">
        <v>5.44</v>
      </c>
      <c r="AL1699">
        <v>7.49</v>
      </c>
    </row>
    <row r="1700" spans="1:38" x14ac:dyDescent="0.25">
      <c r="A1700">
        <v>1699</v>
      </c>
      <c r="B1700" t="str">
        <f xml:space="preserve"> "002659"</f>
        <v>002659</v>
      </c>
      <c r="C1700" t="s">
        <v>6115</v>
      </c>
      <c r="D1700" t="s">
        <v>616</v>
      </c>
      <c r="E1700" t="s">
        <v>616</v>
      </c>
      <c r="F1700" t="s">
        <v>616</v>
      </c>
      <c r="G1700" t="s">
        <v>616</v>
      </c>
      <c r="H1700" t="s">
        <v>616</v>
      </c>
      <c r="I1700" t="s">
        <v>616</v>
      </c>
      <c r="J1700" t="s">
        <v>616</v>
      </c>
      <c r="K1700" t="s">
        <v>616</v>
      </c>
      <c r="L1700" t="s">
        <v>616</v>
      </c>
      <c r="M1700" t="s">
        <v>616</v>
      </c>
      <c r="N1700">
        <v>-149.38999999999999</v>
      </c>
      <c r="O1700" t="s">
        <v>263</v>
      </c>
      <c r="P1700" t="s">
        <v>616</v>
      </c>
      <c r="Q1700" t="s">
        <v>616</v>
      </c>
      <c r="R1700" t="s">
        <v>616</v>
      </c>
      <c r="S1700">
        <v>15.17</v>
      </c>
      <c r="T1700" t="s">
        <v>616</v>
      </c>
      <c r="U1700" t="s">
        <v>616</v>
      </c>
      <c r="V1700" t="s">
        <v>616</v>
      </c>
      <c r="W1700" t="s">
        <v>616</v>
      </c>
      <c r="X1700" t="s">
        <v>616</v>
      </c>
      <c r="Y1700" t="s">
        <v>616</v>
      </c>
      <c r="Z1700" t="s">
        <v>616</v>
      </c>
      <c r="AA1700" t="s">
        <v>616</v>
      </c>
      <c r="AB1700" t="s">
        <v>616</v>
      </c>
      <c r="AC1700" t="s">
        <v>616</v>
      </c>
      <c r="AD1700">
        <v>3.42</v>
      </c>
      <c r="AE1700" t="s">
        <v>1161</v>
      </c>
      <c r="AF1700" t="s">
        <v>6114</v>
      </c>
      <c r="AG1700" t="s">
        <v>4836</v>
      </c>
      <c r="AH1700" t="s">
        <v>1137</v>
      </c>
      <c r="AI1700">
        <v>3.13</v>
      </c>
      <c r="AJ1700">
        <v>0</v>
      </c>
      <c r="AK1700">
        <v>0.85</v>
      </c>
      <c r="AL1700">
        <v>2.19</v>
      </c>
    </row>
    <row r="1701" spans="1:38" x14ac:dyDescent="0.25">
      <c r="A1701">
        <v>1700</v>
      </c>
      <c r="B1701" t="str">
        <f xml:space="preserve"> "000899"</f>
        <v>000899</v>
      </c>
      <c r="C1701" t="s">
        <v>6116</v>
      </c>
      <c r="D1701">
        <v>7.75</v>
      </c>
      <c r="E1701">
        <v>-2.39</v>
      </c>
      <c r="F1701">
        <v>-0.19</v>
      </c>
      <c r="G1701" t="s">
        <v>4333</v>
      </c>
      <c r="H1701">
        <v>1468</v>
      </c>
      <c r="I1701">
        <v>7.75</v>
      </c>
      <c r="J1701">
        <v>7.76</v>
      </c>
      <c r="K1701">
        <v>-0.13</v>
      </c>
      <c r="L1701">
        <v>1.33</v>
      </c>
      <c r="M1701" t="s">
        <v>6117</v>
      </c>
      <c r="N1701">
        <v>41.26</v>
      </c>
      <c r="O1701" t="s">
        <v>186</v>
      </c>
      <c r="P1701">
        <v>7.98</v>
      </c>
      <c r="Q1701">
        <v>7.73</v>
      </c>
      <c r="R1701">
        <v>7.87</v>
      </c>
      <c r="S1701">
        <v>7.94</v>
      </c>
      <c r="T1701">
        <v>3.15</v>
      </c>
      <c r="U1701">
        <v>0.65</v>
      </c>
      <c r="V1701">
        <v>37.53</v>
      </c>
      <c r="W1701">
        <v>2615</v>
      </c>
      <c r="X1701">
        <v>7.8</v>
      </c>
      <c r="Y1701" t="s">
        <v>2703</v>
      </c>
      <c r="Z1701" t="s">
        <v>3656</v>
      </c>
      <c r="AA1701">
        <v>2.71</v>
      </c>
      <c r="AB1701">
        <v>562</v>
      </c>
      <c r="AC1701">
        <v>339</v>
      </c>
      <c r="AD1701">
        <v>1.66</v>
      </c>
      <c r="AE1701" t="s">
        <v>4751</v>
      </c>
      <c r="AF1701" t="s">
        <v>6114</v>
      </c>
      <c r="AG1701" t="s">
        <v>5994</v>
      </c>
      <c r="AH1701" t="s">
        <v>5782</v>
      </c>
      <c r="AI1701">
        <v>1.84</v>
      </c>
      <c r="AJ1701">
        <v>7.04</v>
      </c>
      <c r="AK1701">
        <v>7.03</v>
      </c>
      <c r="AL1701">
        <v>11.5</v>
      </c>
    </row>
    <row r="1702" spans="1:38" x14ac:dyDescent="0.25">
      <c r="A1702">
        <v>1701</v>
      </c>
      <c r="B1702" t="str">
        <f xml:space="preserve"> "002592"</f>
        <v>002592</v>
      </c>
      <c r="C1702" t="s">
        <v>6118</v>
      </c>
      <c r="D1702">
        <v>26.67</v>
      </c>
      <c r="E1702">
        <v>1.1000000000000001</v>
      </c>
      <c r="F1702">
        <v>0.28999999999999998</v>
      </c>
      <c r="G1702">
        <v>9477</v>
      </c>
      <c r="H1702">
        <v>140</v>
      </c>
      <c r="I1702">
        <v>26.66</v>
      </c>
      <c r="J1702">
        <v>26.67</v>
      </c>
      <c r="K1702">
        <v>-0.04</v>
      </c>
      <c r="L1702">
        <v>0.45</v>
      </c>
      <c r="M1702" t="s">
        <v>6119</v>
      </c>
      <c r="N1702">
        <v>48</v>
      </c>
      <c r="O1702" t="s">
        <v>169</v>
      </c>
      <c r="P1702">
        <v>26.79</v>
      </c>
      <c r="Q1702">
        <v>26.29</v>
      </c>
      <c r="R1702">
        <v>26.39</v>
      </c>
      <c r="S1702">
        <v>26.38</v>
      </c>
      <c r="T1702">
        <v>1.9</v>
      </c>
      <c r="U1702">
        <v>1.1599999999999999</v>
      </c>
      <c r="V1702">
        <v>-58.07</v>
      </c>
      <c r="W1702">
        <v>-241</v>
      </c>
      <c r="X1702">
        <v>26.54</v>
      </c>
      <c r="Y1702">
        <v>4425</v>
      </c>
      <c r="Z1702">
        <v>5052</v>
      </c>
      <c r="AA1702">
        <v>0.88</v>
      </c>
      <c r="AB1702">
        <v>9</v>
      </c>
      <c r="AC1702">
        <v>1</v>
      </c>
      <c r="AD1702">
        <v>3.76</v>
      </c>
      <c r="AE1702" t="s">
        <v>4344</v>
      </c>
      <c r="AF1702" t="s">
        <v>6114</v>
      </c>
      <c r="AG1702" t="s">
        <v>2519</v>
      </c>
      <c r="AH1702" t="s">
        <v>1746</v>
      </c>
      <c r="AI1702">
        <v>-0.11</v>
      </c>
      <c r="AJ1702">
        <v>-0.19</v>
      </c>
      <c r="AK1702">
        <v>1.26</v>
      </c>
      <c r="AL1702">
        <v>2.4</v>
      </c>
    </row>
    <row r="1703" spans="1:38" x14ac:dyDescent="0.25">
      <c r="A1703">
        <v>1702</v>
      </c>
      <c r="B1703" t="str">
        <f xml:space="preserve"> "600896"</f>
        <v>600896</v>
      </c>
      <c r="C1703" t="s">
        <v>6120</v>
      </c>
      <c r="D1703">
        <v>8.69</v>
      </c>
      <c r="E1703">
        <v>2.6</v>
      </c>
      <c r="F1703">
        <v>0.22</v>
      </c>
      <c r="G1703" t="s">
        <v>1313</v>
      </c>
      <c r="H1703">
        <v>14</v>
      </c>
      <c r="I1703">
        <v>8.68</v>
      </c>
      <c r="J1703">
        <v>8.69</v>
      </c>
      <c r="K1703">
        <v>0</v>
      </c>
      <c r="L1703">
        <v>1.6</v>
      </c>
      <c r="M1703" t="s">
        <v>6121</v>
      </c>
      <c r="N1703">
        <v>-21.32</v>
      </c>
      <c r="O1703" t="s">
        <v>1552</v>
      </c>
      <c r="P1703">
        <v>8.7799999999999994</v>
      </c>
      <c r="Q1703">
        <v>8.36</v>
      </c>
      <c r="R1703">
        <v>8.4</v>
      </c>
      <c r="S1703">
        <v>8.4700000000000006</v>
      </c>
      <c r="T1703">
        <v>4.96</v>
      </c>
      <c r="U1703">
        <v>1.55</v>
      </c>
      <c r="V1703">
        <v>-35.26</v>
      </c>
      <c r="W1703">
        <v>-1303</v>
      </c>
      <c r="X1703">
        <v>8.65</v>
      </c>
      <c r="Y1703" t="s">
        <v>2180</v>
      </c>
      <c r="Z1703" t="s">
        <v>1730</v>
      </c>
      <c r="AA1703">
        <v>0.74</v>
      </c>
      <c r="AB1703">
        <v>429</v>
      </c>
      <c r="AC1703">
        <v>66</v>
      </c>
      <c r="AD1703">
        <v>3.45</v>
      </c>
      <c r="AE1703" t="s">
        <v>1535</v>
      </c>
      <c r="AF1703" t="s">
        <v>4670</v>
      </c>
      <c r="AG1703" t="s">
        <v>6122</v>
      </c>
      <c r="AH1703" t="s">
        <v>6123</v>
      </c>
      <c r="AI1703">
        <v>4.32</v>
      </c>
      <c r="AJ1703">
        <v>6.5</v>
      </c>
      <c r="AK1703">
        <v>4.78</v>
      </c>
      <c r="AL1703">
        <v>6.77</v>
      </c>
    </row>
    <row r="1704" spans="1:38" x14ac:dyDescent="0.25">
      <c r="A1704">
        <v>1703</v>
      </c>
      <c r="B1704" t="str">
        <f xml:space="preserve"> "002851"</f>
        <v>002851</v>
      </c>
      <c r="C1704" t="s">
        <v>6124</v>
      </c>
      <c r="D1704">
        <v>41.77</v>
      </c>
      <c r="E1704">
        <v>1.68</v>
      </c>
      <c r="F1704">
        <v>0.69</v>
      </c>
      <c r="G1704" t="s">
        <v>999</v>
      </c>
      <c r="H1704">
        <v>235</v>
      </c>
      <c r="I1704">
        <v>41.77</v>
      </c>
      <c r="J1704">
        <v>41.78</v>
      </c>
      <c r="K1704">
        <v>0.02</v>
      </c>
      <c r="L1704">
        <v>3.24</v>
      </c>
      <c r="M1704" t="s">
        <v>6125</v>
      </c>
      <c r="N1704">
        <v>81.290000000000006</v>
      </c>
      <c r="O1704" t="s">
        <v>186</v>
      </c>
      <c r="P1704">
        <v>42.1</v>
      </c>
      <c r="Q1704">
        <v>40.880000000000003</v>
      </c>
      <c r="R1704">
        <v>40.97</v>
      </c>
      <c r="S1704">
        <v>41.08</v>
      </c>
      <c r="T1704">
        <v>2.97</v>
      </c>
      <c r="U1704">
        <v>0.96</v>
      </c>
      <c r="V1704">
        <v>2.67</v>
      </c>
      <c r="W1704">
        <v>11</v>
      </c>
      <c r="X1704">
        <v>41.72</v>
      </c>
      <c r="Y1704">
        <v>6133</v>
      </c>
      <c r="Z1704">
        <v>8281</v>
      </c>
      <c r="AA1704">
        <v>0.74</v>
      </c>
      <c r="AB1704">
        <v>84</v>
      </c>
      <c r="AC1704">
        <v>36</v>
      </c>
      <c r="AD1704">
        <v>5.85</v>
      </c>
      <c r="AE1704" t="s">
        <v>2715</v>
      </c>
      <c r="AF1704" t="s">
        <v>4670</v>
      </c>
      <c r="AG1704" t="s">
        <v>6126</v>
      </c>
      <c r="AH1704" t="s">
        <v>1200</v>
      </c>
      <c r="AI1704">
        <v>-1.07</v>
      </c>
      <c r="AJ1704">
        <v>1.8</v>
      </c>
      <c r="AK1704">
        <v>9.2799999999999994</v>
      </c>
      <c r="AL1704">
        <v>20.149999999999999</v>
      </c>
    </row>
    <row r="1705" spans="1:38" x14ac:dyDescent="0.25">
      <c r="A1705">
        <v>1704</v>
      </c>
      <c r="B1705" t="str">
        <f xml:space="preserve"> "300533"</f>
        <v>300533</v>
      </c>
      <c r="C1705" t="s">
        <v>6127</v>
      </c>
      <c r="D1705">
        <v>75.45</v>
      </c>
      <c r="E1705">
        <v>-0.04</v>
      </c>
      <c r="F1705">
        <v>-0.03</v>
      </c>
      <c r="G1705">
        <v>4667</v>
      </c>
      <c r="H1705">
        <v>180</v>
      </c>
      <c r="I1705">
        <v>75.45</v>
      </c>
      <c r="J1705">
        <v>75.459999999999994</v>
      </c>
      <c r="K1705">
        <v>-0.01</v>
      </c>
      <c r="L1705">
        <v>1.57</v>
      </c>
      <c r="M1705" t="s">
        <v>6128</v>
      </c>
      <c r="N1705">
        <v>74.7</v>
      </c>
      <c r="O1705" t="s">
        <v>893</v>
      </c>
      <c r="P1705">
        <v>75.739999999999995</v>
      </c>
      <c r="Q1705">
        <v>74.63</v>
      </c>
      <c r="R1705">
        <v>75.069999999999993</v>
      </c>
      <c r="S1705">
        <v>75.48</v>
      </c>
      <c r="T1705">
        <v>1.47</v>
      </c>
      <c r="U1705">
        <v>0.64</v>
      </c>
      <c r="V1705">
        <v>-32.090000000000003</v>
      </c>
      <c r="W1705">
        <v>-69</v>
      </c>
      <c r="X1705">
        <v>75.23</v>
      </c>
      <c r="Y1705">
        <v>2519</v>
      </c>
      <c r="Z1705">
        <v>2148</v>
      </c>
      <c r="AA1705">
        <v>1.17</v>
      </c>
      <c r="AB1705">
        <v>6</v>
      </c>
      <c r="AC1705">
        <v>64</v>
      </c>
      <c r="AD1705">
        <v>5.14</v>
      </c>
      <c r="AE1705" t="s">
        <v>4464</v>
      </c>
      <c r="AF1705" t="s">
        <v>5045</v>
      </c>
      <c r="AG1705" t="s">
        <v>6129</v>
      </c>
      <c r="AH1705" t="s">
        <v>3436</v>
      </c>
      <c r="AI1705">
        <v>-0.15</v>
      </c>
      <c r="AJ1705">
        <v>0.59</v>
      </c>
      <c r="AK1705">
        <v>6.74</v>
      </c>
      <c r="AL1705">
        <v>13.77</v>
      </c>
    </row>
    <row r="1706" spans="1:38" x14ac:dyDescent="0.25">
      <c r="A1706">
        <v>1705</v>
      </c>
      <c r="B1706" t="str">
        <f xml:space="preserve"> "603179"</f>
        <v>603179</v>
      </c>
      <c r="C1706" t="s">
        <v>6130</v>
      </c>
      <c r="D1706">
        <v>47.3</v>
      </c>
      <c r="E1706">
        <v>3.55</v>
      </c>
      <c r="F1706">
        <v>1.62</v>
      </c>
      <c r="G1706" t="s">
        <v>4200</v>
      </c>
      <c r="H1706">
        <v>15</v>
      </c>
      <c r="I1706">
        <v>47.28</v>
      </c>
      <c r="J1706">
        <v>47.29</v>
      </c>
      <c r="K1706">
        <v>0.19</v>
      </c>
      <c r="L1706">
        <v>7.24</v>
      </c>
      <c r="M1706" t="s">
        <v>1985</v>
      </c>
      <c r="N1706">
        <v>34.61</v>
      </c>
      <c r="O1706" t="s">
        <v>169</v>
      </c>
      <c r="P1706">
        <v>47.6</v>
      </c>
      <c r="Q1706">
        <v>45.57</v>
      </c>
      <c r="R1706">
        <v>45.6</v>
      </c>
      <c r="S1706">
        <v>45.68</v>
      </c>
      <c r="T1706">
        <v>4.4400000000000004</v>
      </c>
      <c r="U1706">
        <v>1.8</v>
      </c>
      <c r="V1706">
        <v>-20.93</v>
      </c>
      <c r="W1706">
        <v>-27</v>
      </c>
      <c r="X1706">
        <v>46.77</v>
      </c>
      <c r="Y1706" t="s">
        <v>2280</v>
      </c>
      <c r="Z1706" t="s">
        <v>3590</v>
      </c>
      <c r="AA1706">
        <v>0.75</v>
      </c>
      <c r="AB1706">
        <v>5</v>
      </c>
      <c r="AC1706">
        <v>20</v>
      </c>
      <c r="AD1706">
        <v>6.31</v>
      </c>
      <c r="AE1706" t="s">
        <v>1820</v>
      </c>
      <c r="AF1706" t="s">
        <v>5045</v>
      </c>
      <c r="AG1706" t="s">
        <v>6131</v>
      </c>
      <c r="AH1706" t="s">
        <v>4029</v>
      </c>
      <c r="AI1706">
        <v>2.2000000000000002</v>
      </c>
      <c r="AJ1706">
        <v>3.39</v>
      </c>
      <c r="AK1706">
        <v>15.63</v>
      </c>
      <c r="AL1706">
        <v>27.36</v>
      </c>
    </row>
    <row r="1707" spans="1:38" x14ac:dyDescent="0.25">
      <c r="A1707">
        <v>1706</v>
      </c>
      <c r="B1707" t="str">
        <f xml:space="preserve"> "002324"</f>
        <v>002324</v>
      </c>
      <c r="C1707" t="s">
        <v>6132</v>
      </c>
      <c r="D1707">
        <v>27.92</v>
      </c>
      <c r="E1707">
        <v>-0.11</v>
      </c>
      <c r="F1707">
        <v>-0.03</v>
      </c>
      <c r="G1707">
        <v>5702</v>
      </c>
      <c r="H1707">
        <v>15</v>
      </c>
      <c r="I1707">
        <v>27.92</v>
      </c>
      <c r="J1707">
        <v>27.96</v>
      </c>
      <c r="K1707">
        <v>0</v>
      </c>
      <c r="L1707">
        <v>0.36</v>
      </c>
      <c r="M1707" t="s">
        <v>6133</v>
      </c>
      <c r="N1707">
        <v>30.18</v>
      </c>
      <c r="O1707" t="s">
        <v>2128</v>
      </c>
      <c r="P1707">
        <v>27.98</v>
      </c>
      <c r="Q1707">
        <v>27.8</v>
      </c>
      <c r="R1707">
        <v>27.85</v>
      </c>
      <c r="S1707">
        <v>27.95</v>
      </c>
      <c r="T1707">
        <v>0.64</v>
      </c>
      <c r="U1707">
        <v>0.5</v>
      </c>
      <c r="V1707">
        <v>-50.69</v>
      </c>
      <c r="W1707">
        <v>-331</v>
      </c>
      <c r="X1707">
        <v>27.88</v>
      </c>
      <c r="Y1707">
        <v>3675</v>
      </c>
      <c r="Z1707">
        <v>2027</v>
      </c>
      <c r="AA1707">
        <v>1.81</v>
      </c>
      <c r="AB1707">
        <v>3</v>
      </c>
      <c r="AC1707">
        <v>2</v>
      </c>
      <c r="AD1707">
        <v>3.41</v>
      </c>
      <c r="AE1707" t="s">
        <v>4296</v>
      </c>
      <c r="AF1707" t="s">
        <v>5045</v>
      </c>
      <c r="AG1707" t="s">
        <v>4326</v>
      </c>
      <c r="AH1707" t="s">
        <v>4953</v>
      </c>
      <c r="AI1707">
        <v>0.22</v>
      </c>
      <c r="AJ1707">
        <v>1.05</v>
      </c>
      <c r="AK1707">
        <v>2.0299999999999998</v>
      </c>
      <c r="AL1707">
        <v>3.91</v>
      </c>
    </row>
    <row r="1708" spans="1:38" x14ac:dyDescent="0.25">
      <c r="A1708">
        <v>1707</v>
      </c>
      <c r="B1708" t="str">
        <f xml:space="preserve"> "601226"</f>
        <v>601226</v>
      </c>
      <c r="C1708" t="s">
        <v>6134</v>
      </c>
      <c r="D1708">
        <v>6.52</v>
      </c>
      <c r="E1708">
        <v>1.0900000000000001</v>
      </c>
      <c r="F1708">
        <v>7.0000000000000007E-2</v>
      </c>
      <c r="G1708" t="s">
        <v>2451</v>
      </c>
      <c r="H1708">
        <v>37</v>
      </c>
      <c r="I1708">
        <v>6.52</v>
      </c>
      <c r="J1708">
        <v>6.53</v>
      </c>
      <c r="K1708">
        <v>0</v>
      </c>
      <c r="L1708">
        <v>0.73</v>
      </c>
      <c r="M1708" t="s">
        <v>6135</v>
      </c>
      <c r="N1708">
        <v>-95.4</v>
      </c>
      <c r="O1708" t="s">
        <v>648</v>
      </c>
      <c r="P1708">
        <v>6.54</v>
      </c>
      <c r="Q1708">
        <v>6.42</v>
      </c>
      <c r="R1708">
        <v>6.45</v>
      </c>
      <c r="S1708">
        <v>6.45</v>
      </c>
      <c r="T1708">
        <v>1.86</v>
      </c>
      <c r="U1708">
        <v>0.98</v>
      </c>
      <c r="V1708">
        <v>-9.1199999999999992</v>
      </c>
      <c r="W1708">
        <v>-485</v>
      </c>
      <c r="X1708">
        <v>6.5</v>
      </c>
      <c r="Y1708">
        <v>9131</v>
      </c>
      <c r="Z1708" t="s">
        <v>3483</v>
      </c>
      <c r="AA1708">
        <v>0.44</v>
      </c>
      <c r="AB1708">
        <v>486</v>
      </c>
      <c r="AC1708">
        <v>530</v>
      </c>
      <c r="AD1708">
        <v>2.19</v>
      </c>
      <c r="AE1708" t="s">
        <v>1572</v>
      </c>
      <c r="AF1708" t="s">
        <v>4615</v>
      </c>
      <c r="AG1708" t="s">
        <v>2626</v>
      </c>
      <c r="AH1708" t="s">
        <v>1279</v>
      </c>
      <c r="AI1708">
        <v>-0.31</v>
      </c>
      <c r="AJ1708">
        <v>0.77</v>
      </c>
      <c r="AK1708">
        <v>2.16</v>
      </c>
      <c r="AL1708">
        <v>4.49</v>
      </c>
    </row>
    <row r="1709" spans="1:38" x14ac:dyDescent="0.25">
      <c r="A1709">
        <v>1708</v>
      </c>
      <c r="B1709" t="str">
        <f xml:space="preserve"> "600322"</f>
        <v>600322</v>
      </c>
      <c r="C1709" t="s">
        <v>6136</v>
      </c>
      <c r="D1709">
        <v>6.81</v>
      </c>
      <c r="E1709">
        <v>-0.15</v>
      </c>
      <c r="F1709">
        <v>-0.01</v>
      </c>
      <c r="G1709" t="s">
        <v>924</v>
      </c>
      <c r="H1709">
        <v>2</v>
      </c>
      <c r="I1709">
        <v>6.8</v>
      </c>
      <c r="J1709">
        <v>6.81</v>
      </c>
      <c r="K1709">
        <v>-0.15</v>
      </c>
      <c r="L1709">
        <v>0.73</v>
      </c>
      <c r="M1709" t="s">
        <v>6137</v>
      </c>
      <c r="N1709">
        <v>21.54</v>
      </c>
      <c r="O1709" t="s">
        <v>244</v>
      </c>
      <c r="P1709">
        <v>6.95</v>
      </c>
      <c r="Q1709">
        <v>6.8</v>
      </c>
      <c r="R1709">
        <v>6.82</v>
      </c>
      <c r="S1709">
        <v>6.82</v>
      </c>
      <c r="T1709">
        <v>2.2000000000000002</v>
      </c>
      <c r="U1709">
        <v>0.48</v>
      </c>
      <c r="V1709">
        <v>-24.76</v>
      </c>
      <c r="W1709">
        <v>-1852</v>
      </c>
      <c r="X1709">
        <v>6.86</v>
      </c>
      <c r="Y1709" t="s">
        <v>2432</v>
      </c>
      <c r="Z1709" t="s">
        <v>2870</v>
      </c>
      <c r="AA1709">
        <v>1.1000000000000001</v>
      </c>
      <c r="AB1709">
        <v>1263</v>
      </c>
      <c r="AC1709">
        <v>103</v>
      </c>
      <c r="AD1709">
        <v>1.74</v>
      </c>
      <c r="AE1709" t="s">
        <v>204</v>
      </c>
      <c r="AF1709" t="s">
        <v>4615</v>
      </c>
      <c r="AG1709" t="s">
        <v>204</v>
      </c>
      <c r="AH1709" t="s">
        <v>4615</v>
      </c>
      <c r="AI1709">
        <v>4.13</v>
      </c>
      <c r="AJ1709">
        <v>3.81</v>
      </c>
      <c r="AK1709">
        <v>3.79</v>
      </c>
      <c r="AL1709">
        <v>8.39</v>
      </c>
    </row>
    <row r="1710" spans="1:38" x14ac:dyDescent="0.25">
      <c r="A1710">
        <v>1709</v>
      </c>
      <c r="B1710" t="str">
        <f xml:space="preserve"> "300485"</f>
        <v>300485</v>
      </c>
      <c r="C1710" t="s">
        <v>6138</v>
      </c>
      <c r="D1710">
        <v>31.37</v>
      </c>
      <c r="E1710">
        <v>1.69</v>
      </c>
      <c r="F1710">
        <v>0.52</v>
      </c>
      <c r="G1710" t="s">
        <v>1683</v>
      </c>
      <c r="H1710">
        <v>273</v>
      </c>
      <c r="I1710">
        <v>31.37</v>
      </c>
      <c r="J1710">
        <v>31.38</v>
      </c>
      <c r="K1710">
        <v>0</v>
      </c>
      <c r="L1710">
        <v>1.89</v>
      </c>
      <c r="M1710" t="s">
        <v>6139</v>
      </c>
      <c r="N1710">
        <v>35.75</v>
      </c>
      <c r="O1710" t="s">
        <v>392</v>
      </c>
      <c r="P1710">
        <v>31.5</v>
      </c>
      <c r="Q1710">
        <v>30.86</v>
      </c>
      <c r="R1710">
        <v>31.08</v>
      </c>
      <c r="S1710">
        <v>30.85</v>
      </c>
      <c r="T1710">
        <v>2.0699999999999998</v>
      </c>
      <c r="U1710">
        <v>1.26</v>
      </c>
      <c r="V1710">
        <v>-3.27</v>
      </c>
      <c r="W1710">
        <v>-25</v>
      </c>
      <c r="X1710">
        <v>31.28</v>
      </c>
      <c r="Y1710">
        <v>7135</v>
      </c>
      <c r="Z1710">
        <v>8872</v>
      </c>
      <c r="AA1710">
        <v>0.8</v>
      </c>
      <c r="AB1710">
        <v>134</v>
      </c>
      <c r="AC1710">
        <v>254</v>
      </c>
      <c r="AD1710">
        <v>3.52</v>
      </c>
      <c r="AE1710" t="s">
        <v>2521</v>
      </c>
      <c r="AF1710" t="s">
        <v>4615</v>
      </c>
      <c r="AG1710" t="s">
        <v>6140</v>
      </c>
      <c r="AH1710" t="s">
        <v>3442</v>
      </c>
      <c r="AI1710">
        <v>0.57999999999999996</v>
      </c>
      <c r="AJ1710">
        <v>5.87</v>
      </c>
      <c r="AK1710">
        <v>5.63</v>
      </c>
      <c r="AL1710">
        <v>9.39</v>
      </c>
    </row>
    <row r="1711" spans="1:38" x14ac:dyDescent="0.25">
      <c r="A1711">
        <v>1710</v>
      </c>
      <c r="B1711" t="str">
        <f xml:space="preserve"> "002650"</f>
        <v>002650</v>
      </c>
      <c r="C1711" t="s">
        <v>6141</v>
      </c>
      <c r="D1711">
        <v>6.53</v>
      </c>
      <c r="E1711">
        <v>1.71</v>
      </c>
      <c r="F1711">
        <v>0.11</v>
      </c>
      <c r="G1711" t="s">
        <v>2204</v>
      </c>
      <c r="H1711">
        <v>2808</v>
      </c>
      <c r="I1711">
        <v>6.52</v>
      </c>
      <c r="J1711">
        <v>6.53</v>
      </c>
      <c r="K1711">
        <v>-0.15</v>
      </c>
      <c r="L1711">
        <v>7.28</v>
      </c>
      <c r="M1711" t="s">
        <v>6142</v>
      </c>
      <c r="N1711">
        <v>37.9</v>
      </c>
      <c r="O1711" t="s">
        <v>406</v>
      </c>
      <c r="P1711">
        <v>6.65</v>
      </c>
      <c r="Q1711">
        <v>6.17</v>
      </c>
      <c r="R1711">
        <v>6.33</v>
      </c>
      <c r="S1711">
        <v>6.42</v>
      </c>
      <c r="T1711">
        <v>7.48</v>
      </c>
      <c r="U1711">
        <v>2.97</v>
      </c>
      <c r="V1711">
        <v>-39.409999999999997</v>
      </c>
      <c r="W1711">
        <v>-3887</v>
      </c>
      <c r="X1711">
        <v>6.34</v>
      </c>
      <c r="Y1711" t="s">
        <v>6143</v>
      </c>
      <c r="Z1711" t="s">
        <v>6144</v>
      </c>
      <c r="AA1711">
        <v>1.3</v>
      </c>
      <c r="AB1711">
        <v>796</v>
      </c>
      <c r="AC1711">
        <v>2219</v>
      </c>
      <c r="AD1711">
        <v>3.75</v>
      </c>
      <c r="AE1711" t="s">
        <v>2388</v>
      </c>
      <c r="AF1711" t="s">
        <v>4571</v>
      </c>
      <c r="AG1711" t="s">
        <v>1398</v>
      </c>
      <c r="AH1711" t="s">
        <v>4732</v>
      </c>
      <c r="AI1711">
        <v>11.82</v>
      </c>
      <c r="AJ1711">
        <v>11.82</v>
      </c>
      <c r="AK1711">
        <v>13.58</v>
      </c>
      <c r="AL1711">
        <v>13.58</v>
      </c>
    </row>
    <row r="1712" spans="1:38" x14ac:dyDescent="0.25">
      <c r="A1712">
        <v>1711</v>
      </c>
      <c r="B1712" t="str">
        <f xml:space="preserve"> "603005"</f>
        <v>603005</v>
      </c>
      <c r="C1712" t="s">
        <v>6145</v>
      </c>
      <c r="D1712">
        <v>32.32</v>
      </c>
      <c r="E1712">
        <v>0.81</v>
      </c>
      <c r="F1712">
        <v>0.26</v>
      </c>
      <c r="G1712" t="s">
        <v>530</v>
      </c>
      <c r="H1712">
        <v>1</v>
      </c>
      <c r="I1712">
        <v>32.31</v>
      </c>
      <c r="J1712">
        <v>32.32</v>
      </c>
      <c r="K1712">
        <v>0.03</v>
      </c>
      <c r="L1712">
        <v>0.87</v>
      </c>
      <c r="M1712" t="s">
        <v>6146</v>
      </c>
      <c r="N1712">
        <v>71.599999999999994</v>
      </c>
      <c r="O1712" t="s">
        <v>553</v>
      </c>
      <c r="P1712">
        <v>32.49</v>
      </c>
      <c r="Q1712">
        <v>31.81</v>
      </c>
      <c r="R1712">
        <v>31.82</v>
      </c>
      <c r="S1712">
        <v>32.06</v>
      </c>
      <c r="T1712">
        <v>2.12</v>
      </c>
      <c r="U1712">
        <v>0.47</v>
      </c>
      <c r="V1712">
        <v>22.1</v>
      </c>
      <c r="W1712">
        <v>80</v>
      </c>
      <c r="X1712">
        <v>32.22</v>
      </c>
      <c r="Y1712">
        <v>7760</v>
      </c>
      <c r="Z1712">
        <v>7143</v>
      </c>
      <c r="AA1712">
        <v>1.0900000000000001</v>
      </c>
      <c r="AB1712">
        <v>21</v>
      </c>
      <c r="AC1712">
        <v>33</v>
      </c>
      <c r="AD1712">
        <v>4.3600000000000003</v>
      </c>
      <c r="AE1712" t="s">
        <v>4430</v>
      </c>
      <c r="AF1712" t="s">
        <v>4571</v>
      </c>
      <c r="AG1712" t="s">
        <v>1531</v>
      </c>
      <c r="AH1712" t="s">
        <v>6046</v>
      </c>
      <c r="AI1712">
        <v>0.22</v>
      </c>
      <c r="AJ1712">
        <v>-2.09</v>
      </c>
      <c r="AK1712">
        <v>3.29</v>
      </c>
      <c r="AL1712">
        <v>10.07</v>
      </c>
    </row>
    <row r="1713" spans="1:38" x14ac:dyDescent="0.25">
      <c r="A1713">
        <v>1712</v>
      </c>
      <c r="B1713" t="str">
        <f xml:space="preserve"> "000070"</f>
        <v>000070</v>
      </c>
      <c r="C1713" t="s">
        <v>6147</v>
      </c>
      <c r="D1713">
        <v>11.98</v>
      </c>
      <c r="E1713">
        <v>-2.6</v>
      </c>
      <c r="F1713">
        <v>-0.32</v>
      </c>
      <c r="G1713" t="s">
        <v>766</v>
      </c>
      <c r="H1713">
        <v>1645</v>
      </c>
      <c r="I1713">
        <v>11.98</v>
      </c>
      <c r="J1713">
        <v>11.99</v>
      </c>
      <c r="K1713">
        <v>0.08</v>
      </c>
      <c r="L1713">
        <v>3.24</v>
      </c>
      <c r="M1713" t="s">
        <v>1538</v>
      </c>
      <c r="N1713">
        <v>35.450000000000003</v>
      </c>
      <c r="O1713" t="s">
        <v>580</v>
      </c>
      <c r="P1713">
        <v>12.26</v>
      </c>
      <c r="Q1713">
        <v>11.85</v>
      </c>
      <c r="R1713">
        <v>12.2</v>
      </c>
      <c r="S1713">
        <v>12.3</v>
      </c>
      <c r="T1713">
        <v>3.33</v>
      </c>
      <c r="U1713">
        <v>0.65</v>
      </c>
      <c r="V1713">
        <v>35.54</v>
      </c>
      <c r="W1713">
        <v>1644</v>
      </c>
      <c r="X1713">
        <v>11.98</v>
      </c>
      <c r="Y1713" t="s">
        <v>541</v>
      </c>
      <c r="Z1713" t="s">
        <v>4753</v>
      </c>
      <c r="AA1713">
        <v>1.6</v>
      </c>
      <c r="AB1713">
        <v>1591</v>
      </c>
      <c r="AC1713">
        <v>414</v>
      </c>
      <c r="AD1713">
        <v>4.12</v>
      </c>
      <c r="AE1713" t="s">
        <v>5753</v>
      </c>
      <c r="AF1713" t="s">
        <v>5705</v>
      </c>
      <c r="AG1713" t="s">
        <v>3807</v>
      </c>
      <c r="AH1713" t="s">
        <v>5151</v>
      </c>
      <c r="AI1713">
        <v>-4.24</v>
      </c>
      <c r="AJ1713">
        <v>-1.48</v>
      </c>
      <c r="AK1713">
        <v>9.76</v>
      </c>
      <c r="AL1713">
        <v>28.2</v>
      </c>
    </row>
    <row r="1714" spans="1:38" x14ac:dyDescent="0.25">
      <c r="A1714">
        <v>1713</v>
      </c>
      <c r="B1714" t="str">
        <f xml:space="preserve"> "603456"</f>
        <v>603456</v>
      </c>
      <c r="C1714" t="s">
        <v>6148</v>
      </c>
      <c r="D1714">
        <v>16.77</v>
      </c>
      <c r="E1714">
        <v>-0.83</v>
      </c>
      <c r="F1714">
        <v>-0.14000000000000001</v>
      </c>
      <c r="G1714" t="s">
        <v>1579</v>
      </c>
      <c r="H1714">
        <v>3</v>
      </c>
      <c r="I1714">
        <v>16.78</v>
      </c>
      <c r="J1714">
        <v>16.8</v>
      </c>
      <c r="K1714">
        <v>-0.18</v>
      </c>
      <c r="L1714">
        <v>0.31</v>
      </c>
      <c r="M1714" t="s">
        <v>6149</v>
      </c>
      <c r="N1714">
        <v>51.15</v>
      </c>
      <c r="O1714" t="s">
        <v>392</v>
      </c>
      <c r="P1714">
        <v>16.920000000000002</v>
      </c>
      <c r="Q1714">
        <v>16.64</v>
      </c>
      <c r="R1714">
        <v>16.7</v>
      </c>
      <c r="S1714">
        <v>16.91</v>
      </c>
      <c r="T1714">
        <v>1.66</v>
      </c>
      <c r="U1714">
        <v>0.48</v>
      </c>
      <c r="V1714">
        <v>-64.5</v>
      </c>
      <c r="W1714">
        <v>-298</v>
      </c>
      <c r="X1714">
        <v>16.739999999999998</v>
      </c>
      <c r="Y1714">
        <v>8493</v>
      </c>
      <c r="Z1714">
        <v>5182</v>
      </c>
      <c r="AA1714">
        <v>1.64</v>
      </c>
      <c r="AB1714">
        <v>4</v>
      </c>
      <c r="AC1714">
        <v>18</v>
      </c>
      <c r="AD1714">
        <v>2.86</v>
      </c>
      <c r="AE1714" t="s">
        <v>4457</v>
      </c>
      <c r="AF1714" t="s">
        <v>5705</v>
      </c>
      <c r="AG1714" t="s">
        <v>879</v>
      </c>
      <c r="AH1714" t="s">
        <v>4187</v>
      </c>
      <c r="AI1714">
        <v>-3.62</v>
      </c>
      <c r="AJ1714">
        <v>4.55</v>
      </c>
      <c r="AK1714">
        <v>1.2</v>
      </c>
      <c r="AL1714">
        <v>3.53</v>
      </c>
    </row>
    <row r="1715" spans="1:38" x14ac:dyDescent="0.25">
      <c r="A1715">
        <v>1714</v>
      </c>
      <c r="B1715" t="str">
        <f xml:space="preserve"> "600586"</f>
        <v>600586</v>
      </c>
      <c r="C1715" t="s">
        <v>6150</v>
      </c>
      <c r="D1715">
        <v>5.15</v>
      </c>
      <c r="E1715">
        <v>1.38</v>
      </c>
      <c r="F1715">
        <v>7.0000000000000007E-2</v>
      </c>
      <c r="G1715" t="s">
        <v>4917</v>
      </c>
      <c r="H1715">
        <v>10</v>
      </c>
      <c r="I1715">
        <v>5.15</v>
      </c>
      <c r="J1715">
        <v>5.16</v>
      </c>
      <c r="K1715">
        <v>0</v>
      </c>
      <c r="L1715">
        <v>0.51</v>
      </c>
      <c r="M1715" t="s">
        <v>6151</v>
      </c>
      <c r="N1715">
        <v>36.17</v>
      </c>
      <c r="O1715" t="s">
        <v>1058</v>
      </c>
      <c r="P1715">
        <v>5.18</v>
      </c>
      <c r="Q1715">
        <v>5.04</v>
      </c>
      <c r="R1715">
        <v>5.08</v>
      </c>
      <c r="S1715">
        <v>5.08</v>
      </c>
      <c r="T1715">
        <v>2.76</v>
      </c>
      <c r="U1715">
        <v>0.8</v>
      </c>
      <c r="V1715">
        <v>-61.36</v>
      </c>
      <c r="W1715">
        <v>-8555</v>
      </c>
      <c r="X1715">
        <v>5.1100000000000003</v>
      </c>
      <c r="Y1715" t="s">
        <v>1285</v>
      </c>
      <c r="Z1715" t="s">
        <v>3171</v>
      </c>
      <c r="AA1715">
        <v>0.51</v>
      </c>
      <c r="AB1715">
        <v>585</v>
      </c>
      <c r="AC1715">
        <v>1418</v>
      </c>
      <c r="AD1715">
        <v>1.81</v>
      </c>
      <c r="AE1715" t="s">
        <v>801</v>
      </c>
      <c r="AF1715" t="s">
        <v>5705</v>
      </c>
      <c r="AG1715" t="s">
        <v>2246</v>
      </c>
      <c r="AH1715" t="s">
        <v>6152</v>
      </c>
      <c r="AI1715">
        <v>-0.96</v>
      </c>
      <c r="AJ1715">
        <v>0.98</v>
      </c>
      <c r="AK1715">
        <v>1.91</v>
      </c>
      <c r="AL1715">
        <v>3.73</v>
      </c>
    </row>
    <row r="1716" spans="1:38" x14ac:dyDescent="0.25">
      <c r="A1716">
        <v>1715</v>
      </c>
      <c r="B1716" t="str">
        <f xml:space="preserve"> "603566"</f>
        <v>603566</v>
      </c>
      <c r="C1716" t="s">
        <v>6153</v>
      </c>
      <c r="D1716">
        <v>23.19</v>
      </c>
      <c r="E1716">
        <v>0.74</v>
      </c>
      <c r="F1716">
        <v>0.17</v>
      </c>
      <c r="G1716">
        <v>5128</v>
      </c>
      <c r="H1716">
        <v>5</v>
      </c>
      <c r="I1716">
        <v>23.18</v>
      </c>
      <c r="J1716">
        <v>23.19</v>
      </c>
      <c r="K1716">
        <v>0</v>
      </c>
      <c r="L1716">
        <v>0.32</v>
      </c>
      <c r="M1716" t="s">
        <v>6154</v>
      </c>
      <c r="N1716">
        <v>60.6</v>
      </c>
      <c r="O1716" t="s">
        <v>392</v>
      </c>
      <c r="P1716">
        <v>23.26</v>
      </c>
      <c r="Q1716">
        <v>22.91</v>
      </c>
      <c r="R1716">
        <v>22.91</v>
      </c>
      <c r="S1716">
        <v>23.02</v>
      </c>
      <c r="T1716">
        <v>1.52</v>
      </c>
      <c r="U1716">
        <v>0.76</v>
      </c>
      <c r="V1716">
        <v>-19.32</v>
      </c>
      <c r="W1716">
        <v>-182</v>
      </c>
      <c r="X1716">
        <v>23.15</v>
      </c>
      <c r="Y1716">
        <v>1301</v>
      </c>
      <c r="Z1716">
        <v>3827</v>
      </c>
      <c r="AA1716">
        <v>0.34</v>
      </c>
      <c r="AB1716">
        <v>30</v>
      </c>
      <c r="AC1716">
        <v>135</v>
      </c>
      <c r="AD1716">
        <v>5.04</v>
      </c>
      <c r="AE1716" t="s">
        <v>3682</v>
      </c>
      <c r="AF1716" t="s">
        <v>5705</v>
      </c>
      <c r="AG1716" t="s">
        <v>514</v>
      </c>
      <c r="AH1716" t="s">
        <v>986</v>
      </c>
      <c r="AI1716">
        <v>1.35</v>
      </c>
      <c r="AJ1716">
        <v>5.65</v>
      </c>
      <c r="AK1716">
        <v>1.0900000000000001</v>
      </c>
      <c r="AL1716">
        <v>2.39</v>
      </c>
    </row>
    <row r="1717" spans="1:38" x14ac:dyDescent="0.25">
      <c r="A1717">
        <v>1716</v>
      </c>
      <c r="B1717" t="str">
        <f xml:space="preserve"> "002135"</f>
        <v>002135</v>
      </c>
      <c r="C1717" t="s">
        <v>6155</v>
      </c>
      <c r="D1717">
        <v>8.7799999999999994</v>
      </c>
      <c r="E1717">
        <v>0</v>
      </c>
      <c r="F1717">
        <v>0</v>
      </c>
      <c r="G1717" t="s">
        <v>4817</v>
      </c>
      <c r="H1717">
        <v>1156</v>
      </c>
      <c r="I1717">
        <v>8.77</v>
      </c>
      <c r="J1717">
        <v>8.7799999999999994</v>
      </c>
      <c r="K1717">
        <v>0</v>
      </c>
      <c r="L1717">
        <v>1.42</v>
      </c>
      <c r="M1717" t="s">
        <v>6156</v>
      </c>
      <c r="N1717">
        <v>54.64</v>
      </c>
      <c r="O1717" t="s">
        <v>263</v>
      </c>
      <c r="P1717">
        <v>8.8800000000000008</v>
      </c>
      <c r="Q1717">
        <v>8.64</v>
      </c>
      <c r="R1717">
        <v>8.81</v>
      </c>
      <c r="S1717">
        <v>8.7799999999999994</v>
      </c>
      <c r="T1717">
        <v>2.73</v>
      </c>
      <c r="U1717">
        <v>0.68</v>
      </c>
      <c r="V1717">
        <v>-40.090000000000003</v>
      </c>
      <c r="W1717">
        <v>-2823</v>
      </c>
      <c r="X1717">
        <v>8.7799999999999994</v>
      </c>
      <c r="Y1717" t="s">
        <v>853</v>
      </c>
      <c r="Z1717" t="s">
        <v>1547</v>
      </c>
      <c r="AA1717">
        <v>1.25</v>
      </c>
      <c r="AB1717">
        <v>478</v>
      </c>
      <c r="AC1717">
        <v>1103</v>
      </c>
      <c r="AD1717">
        <v>3.01</v>
      </c>
      <c r="AE1717" t="s">
        <v>2916</v>
      </c>
      <c r="AF1717" t="s">
        <v>5754</v>
      </c>
      <c r="AG1717" t="s">
        <v>2792</v>
      </c>
      <c r="AH1717" t="s">
        <v>6157</v>
      </c>
      <c r="AI1717">
        <v>-0.56999999999999995</v>
      </c>
      <c r="AJ1717">
        <v>5.53</v>
      </c>
      <c r="AK1717">
        <v>5.75</v>
      </c>
      <c r="AL1717">
        <v>11.95</v>
      </c>
    </row>
    <row r="1718" spans="1:38" x14ac:dyDescent="0.25">
      <c r="A1718">
        <v>1717</v>
      </c>
      <c r="B1718" t="str">
        <f xml:space="preserve"> "603306"</f>
        <v>603306</v>
      </c>
      <c r="C1718" t="s">
        <v>6158</v>
      </c>
      <c r="D1718">
        <v>31.73</v>
      </c>
      <c r="E1718">
        <v>-0.41</v>
      </c>
      <c r="F1718">
        <v>-0.13</v>
      </c>
      <c r="G1718">
        <v>6652</v>
      </c>
      <c r="H1718">
        <v>50</v>
      </c>
      <c r="I1718">
        <v>31.69</v>
      </c>
      <c r="J1718">
        <v>31.75</v>
      </c>
      <c r="K1718">
        <v>0.09</v>
      </c>
      <c r="L1718">
        <v>0.31</v>
      </c>
      <c r="M1718" t="s">
        <v>6159</v>
      </c>
      <c r="N1718">
        <v>30.09</v>
      </c>
      <c r="O1718" t="s">
        <v>169</v>
      </c>
      <c r="P1718">
        <v>31.96</v>
      </c>
      <c r="Q1718">
        <v>31.61</v>
      </c>
      <c r="R1718">
        <v>31.85</v>
      </c>
      <c r="S1718">
        <v>31.86</v>
      </c>
      <c r="T1718">
        <v>1.1000000000000001</v>
      </c>
      <c r="U1718">
        <v>0.51</v>
      </c>
      <c r="V1718">
        <v>-32.520000000000003</v>
      </c>
      <c r="W1718">
        <v>-94</v>
      </c>
      <c r="X1718">
        <v>31.77</v>
      </c>
      <c r="Y1718">
        <v>4188</v>
      </c>
      <c r="Z1718">
        <v>2464</v>
      </c>
      <c r="AA1718">
        <v>1.7</v>
      </c>
      <c r="AB1718">
        <v>2</v>
      </c>
      <c r="AC1718">
        <v>2</v>
      </c>
      <c r="AD1718">
        <v>3.79</v>
      </c>
      <c r="AE1718" t="s">
        <v>4080</v>
      </c>
      <c r="AF1718" t="s">
        <v>4766</v>
      </c>
      <c r="AG1718" t="s">
        <v>1853</v>
      </c>
      <c r="AH1718" t="s">
        <v>5179</v>
      </c>
      <c r="AI1718">
        <v>2.16</v>
      </c>
      <c r="AJ1718">
        <v>4.0999999999999996</v>
      </c>
      <c r="AK1718">
        <v>2.0299999999999998</v>
      </c>
      <c r="AL1718">
        <v>3.38</v>
      </c>
    </row>
    <row r="1719" spans="1:38" x14ac:dyDescent="0.25">
      <c r="A1719">
        <v>1718</v>
      </c>
      <c r="B1719" t="str">
        <f xml:space="preserve"> "002365"</f>
        <v>002365</v>
      </c>
      <c r="C1719" t="s">
        <v>6160</v>
      </c>
      <c r="D1719">
        <v>38.1</v>
      </c>
      <c r="E1719">
        <v>-2.73</v>
      </c>
      <c r="F1719">
        <v>-1.07</v>
      </c>
      <c r="G1719" t="s">
        <v>226</v>
      </c>
      <c r="H1719">
        <v>508</v>
      </c>
      <c r="I1719">
        <v>38.1</v>
      </c>
      <c r="J1719">
        <v>38.119999999999997</v>
      </c>
      <c r="K1719">
        <v>-0.05</v>
      </c>
      <c r="L1719">
        <v>4.6500000000000004</v>
      </c>
      <c r="M1719" t="s">
        <v>5381</v>
      </c>
      <c r="N1719">
        <v>52.43</v>
      </c>
      <c r="O1719" t="s">
        <v>392</v>
      </c>
      <c r="P1719">
        <v>39.17</v>
      </c>
      <c r="Q1719">
        <v>37.630000000000003</v>
      </c>
      <c r="R1719">
        <v>38.79</v>
      </c>
      <c r="S1719">
        <v>39.17</v>
      </c>
      <c r="T1719">
        <v>3.93</v>
      </c>
      <c r="U1719">
        <v>1.71</v>
      </c>
      <c r="V1719">
        <v>72.760000000000005</v>
      </c>
      <c r="W1719">
        <v>470</v>
      </c>
      <c r="X1719">
        <v>38.200000000000003</v>
      </c>
      <c r="Y1719" t="s">
        <v>2023</v>
      </c>
      <c r="Z1719" t="s">
        <v>87</v>
      </c>
      <c r="AA1719">
        <v>1.87</v>
      </c>
      <c r="AB1719">
        <v>388</v>
      </c>
      <c r="AC1719">
        <v>29</v>
      </c>
      <c r="AD1719">
        <v>6.06</v>
      </c>
      <c r="AE1719" t="s">
        <v>5384</v>
      </c>
      <c r="AF1719" t="s">
        <v>4418</v>
      </c>
      <c r="AG1719" t="s">
        <v>621</v>
      </c>
      <c r="AH1719" t="s">
        <v>4574</v>
      </c>
      <c r="AI1719">
        <v>-7.28</v>
      </c>
      <c r="AJ1719">
        <v>-4.54</v>
      </c>
      <c r="AK1719">
        <v>10.3</v>
      </c>
      <c r="AL1719">
        <v>18.29</v>
      </c>
    </row>
    <row r="1720" spans="1:38" x14ac:dyDescent="0.25">
      <c r="A1720">
        <v>1719</v>
      </c>
      <c r="B1720" t="str">
        <f xml:space="preserve"> "300171"</f>
        <v>300171</v>
      </c>
      <c r="C1720" t="s">
        <v>6161</v>
      </c>
      <c r="D1720">
        <v>11.91</v>
      </c>
      <c r="E1720">
        <v>-0.67</v>
      </c>
      <c r="F1720">
        <v>-0.08</v>
      </c>
      <c r="G1720" t="s">
        <v>678</v>
      </c>
      <c r="H1720">
        <v>1916</v>
      </c>
      <c r="I1720">
        <v>11.9</v>
      </c>
      <c r="J1720">
        <v>11.91</v>
      </c>
      <c r="K1720">
        <v>0.08</v>
      </c>
      <c r="L1720">
        <v>4.1500000000000004</v>
      </c>
      <c r="M1720" t="s">
        <v>3697</v>
      </c>
      <c r="N1720">
        <v>45.61</v>
      </c>
      <c r="O1720" t="s">
        <v>1552</v>
      </c>
      <c r="P1720">
        <v>12.18</v>
      </c>
      <c r="Q1720">
        <v>11.88</v>
      </c>
      <c r="R1720">
        <v>11.91</v>
      </c>
      <c r="S1720">
        <v>11.99</v>
      </c>
      <c r="T1720">
        <v>2.5</v>
      </c>
      <c r="U1720">
        <v>0.88</v>
      </c>
      <c r="V1720">
        <v>47.1</v>
      </c>
      <c r="W1720">
        <v>1742</v>
      </c>
      <c r="X1720">
        <v>12.01</v>
      </c>
      <c r="Y1720" t="s">
        <v>1864</v>
      </c>
      <c r="Z1720" t="s">
        <v>5030</v>
      </c>
      <c r="AA1720">
        <v>1.1200000000000001</v>
      </c>
      <c r="AB1720">
        <v>981</v>
      </c>
      <c r="AC1720">
        <v>455</v>
      </c>
      <c r="AD1720">
        <v>2.6</v>
      </c>
      <c r="AE1720" t="s">
        <v>3726</v>
      </c>
      <c r="AF1720" t="s">
        <v>4418</v>
      </c>
      <c r="AG1720" t="s">
        <v>3522</v>
      </c>
      <c r="AH1720" t="s">
        <v>6162</v>
      </c>
      <c r="AI1720">
        <v>-2.62</v>
      </c>
      <c r="AJ1720">
        <v>8.17</v>
      </c>
      <c r="AK1720">
        <v>17.71</v>
      </c>
      <c r="AL1720">
        <v>27.74</v>
      </c>
    </row>
    <row r="1721" spans="1:38" x14ac:dyDescent="0.25">
      <c r="A1721">
        <v>1720</v>
      </c>
      <c r="B1721" t="str">
        <f xml:space="preserve"> "002551"</f>
        <v>002551</v>
      </c>
      <c r="C1721" t="s">
        <v>6163</v>
      </c>
      <c r="D1721">
        <v>11.24</v>
      </c>
      <c r="E1721">
        <v>1.72</v>
      </c>
      <c r="F1721">
        <v>0.19</v>
      </c>
      <c r="G1721" t="s">
        <v>2464</v>
      </c>
      <c r="H1721">
        <v>3852</v>
      </c>
      <c r="I1721">
        <v>11.24</v>
      </c>
      <c r="J1721">
        <v>11.25</v>
      </c>
      <c r="K1721">
        <v>-0.18</v>
      </c>
      <c r="L1721">
        <v>13.29</v>
      </c>
      <c r="M1721" t="s">
        <v>3450</v>
      </c>
      <c r="N1721">
        <v>39.22</v>
      </c>
      <c r="O1721" t="s">
        <v>1552</v>
      </c>
      <c r="P1721">
        <v>11.66</v>
      </c>
      <c r="Q1721">
        <v>10.85</v>
      </c>
      <c r="R1721">
        <v>10.93</v>
      </c>
      <c r="S1721">
        <v>11.05</v>
      </c>
      <c r="T1721">
        <v>7.33</v>
      </c>
      <c r="U1721">
        <v>2.0099999999999998</v>
      </c>
      <c r="V1721">
        <v>-31.53</v>
      </c>
      <c r="W1721">
        <v>-2014</v>
      </c>
      <c r="X1721">
        <v>11.3</v>
      </c>
      <c r="Y1721" t="s">
        <v>96</v>
      </c>
      <c r="Z1721" t="s">
        <v>1290</v>
      </c>
      <c r="AA1721">
        <v>0.86</v>
      </c>
      <c r="AB1721">
        <v>285</v>
      </c>
      <c r="AC1721">
        <v>415</v>
      </c>
      <c r="AD1721">
        <v>4.22</v>
      </c>
      <c r="AE1721" t="s">
        <v>4717</v>
      </c>
      <c r="AF1721" t="s">
        <v>4418</v>
      </c>
      <c r="AG1721" t="s">
        <v>2912</v>
      </c>
      <c r="AH1721" t="s">
        <v>3399</v>
      </c>
      <c r="AI1721">
        <v>3.21</v>
      </c>
      <c r="AJ1721">
        <v>15.88</v>
      </c>
      <c r="AK1721">
        <v>40.78</v>
      </c>
      <c r="AL1721">
        <v>46.39</v>
      </c>
    </row>
    <row r="1722" spans="1:38" x14ac:dyDescent="0.25">
      <c r="A1722">
        <v>1721</v>
      </c>
      <c r="B1722" t="str">
        <f xml:space="preserve"> "600897"</f>
        <v>600897</v>
      </c>
      <c r="C1722" t="s">
        <v>6164</v>
      </c>
      <c r="D1722">
        <v>25.1</v>
      </c>
      <c r="E1722">
        <v>0.16</v>
      </c>
      <c r="F1722">
        <v>0.04</v>
      </c>
      <c r="G1722" t="s">
        <v>1411</v>
      </c>
      <c r="H1722">
        <v>1</v>
      </c>
      <c r="I1722">
        <v>25.09</v>
      </c>
      <c r="J1722">
        <v>25.1</v>
      </c>
      <c r="K1722">
        <v>0</v>
      </c>
      <c r="L1722">
        <v>0.37</v>
      </c>
      <c r="M1722" t="s">
        <v>6165</v>
      </c>
      <c r="N1722">
        <v>16.899999999999999</v>
      </c>
      <c r="O1722" t="s">
        <v>572</v>
      </c>
      <c r="P1722">
        <v>25.13</v>
      </c>
      <c r="Q1722">
        <v>24.92</v>
      </c>
      <c r="R1722">
        <v>25.08</v>
      </c>
      <c r="S1722">
        <v>25.06</v>
      </c>
      <c r="T1722">
        <v>0.84</v>
      </c>
      <c r="U1722">
        <v>0.51</v>
      </c>
      <c r="V1722">
        <v>-3.41</v>
      </c>
      <c r="W1722">
        <v>-49</v>
      </c>
      <c r="X1722">
        <v>25.04</v>
      </c>
      <c r="Y1722">
        <v>6157</v>
      </c>
      <c r="Z1722">
        <v>4842</v>
      </c>
      <c r="AA1722">
        <v>1.27</v>
      </c>
      <c r="AB1722">
        <v>25</v>
      </c>
      <c r="AC1722">
        <v>4</v>
      </c>
      <c r="AD1722">
        <v>2.56</v>
      </c>
      <c r="AE1722" t="s">
        <v>2173</v>
      </c>
      <c r="AF1722" t="s">
        <v>4418</v>
      </c>
      <c r="AG1722" t="s">
        <v>2173</v>
      </c>
      <c r="AH1722" t="s">
        <v>4418</v>
      </c>
      <c r="AI1722">
        <v>-1.18</v>
      </c>
      <c r="AJ1722">
        <v>2.74</v>
      </c>
      <c r="AK1722">
        <v>1.65</v>
      </c>
      <c r="AL1722">
        <v>3.95</v>
      </c>
    </row>
    <row r="1723" spans="1:38" x14ac:dyDescent="0.25">
      <c r="A1723">
        <v>1722</v>
      </c>
      <c r="B1723" t="str">
        <f xml:space="preserve"> "600609"</f>
        <v>600609</v>
      </c>
      <c r="C1723" t="s">
        <v>6166</v>
      </c>
      <c r="D1723">
        <v>6.84</v>
      </c>
      <c r="E1723">
        <v>0.74</v>
      </c>
      <c r="F1723">
        <v>0.05</v>
      </c>
      <c r="G1723" t="s">
        <v>1709</v>
      </c>
      <c r="H1723">
        <v>148</v>
      </c>
      <c r="I1723">
        <v>6.83</v>
      </c>
      <c r="J1723">
        <v>6.84</v>
      </c>
      <c r="K1723">
        <v>0.15</v>
      </c>
      <c r="L1723">
        <v>0.73</v>
      </c>
      <c r="M1723" t="s">
        <v>6167</v>
      </c>
      <c r="N1723">
        <v>-11.08</v>
      </c>
      <c r="O1723" t="s">
        <v>169</v>
      </c>
      <c r="P1723">
        <v>6.86</v>
      </c>
      <c r="Q1723">
        <v>6.67</v>
      </c>
      <c r="R1723">
        <v>6.8</v>
      </c>
      <c r="S1723">
        <v>6.79</v>
      </c>
      <c r="T1723">
        <v>2.8</v>
      </c>
      <c r="U1723">
        <v>0.52</v>
      </c>
      <c r="V1723">
        <v>-43.05</v>
      </c>
      <c r="W1723">
        <v>-4365</v>
      </c>
      <c r="X1723">
        <v>6.78</v>
      </c>
      <c r="Y1723" t="s">
        <v>3822</v>
      </c>
      <c r="Z1723" t="s">
        <v>1315</v>
      </c>
      <c r="AA1723">
        <v>0.74</v>
      </c>
      <c r="AB1723">
        <v>447</v>
      </c>
      <c r="AC1723">
        <v>544</v>
      </c>
      <c r="AD1723">
        <v>-29.17</v>
      </c>
      <c r="AE1723" t="s">
        <v>888</v>
      </c>
      <c r="AF1723" t="s">
        <v>6168</v>
      </c>
      <c r="AG1723" t="s">
        <v>888</v>
      </c>
      <c r="AH1723" t="s">
        <v>6168</v>
      </c>
      <c r="AI1723">
        <v>-0.44</v>
      </c>
      <c r="AJ1723">
        <v>6.71</v>
      </c>
      <c r="AK1723">
        <v>3.1</v>
      </c>
      <c r="AL1723">
        <v>7.74</v>
      </c>
    </row>
    <row r="1724" spans="1:38" x14ac:dyDescent="0.25">
      <c r="A1724">
        <v>1723</v>
      </c>
      <c r="B1724" t="str">
        <f xml:space="preserve"> "300335"</f>
        <v>300335</v>
      </c>
      <c r="C1724" t="s">
        <v>6169</v>
      </c>
      <c r="D1724">
        <v>20.59</v>
      </c>
      <c r="E1724">
        <v>4.04</v>
      </c>
      <c r="F1724">
        <v>0.8</v>
      </c>
      <c r="G1724" t="s">
        <v>2043</v>
      </c>
      <c r="H1724">
        <v>1657</v>
      </c>
      <c r="I1724">
        <v>20.59</v>
      </c>
      <c r="J1724">
        <v>20.6</v>
      </c>
      <c r="K1724">
        <v>0.05</v>
      </c>
      <c r="L1724">
        <v>7.62</v>
      </c>
      <c r="M1724" t="s">
        <v>3868</v>
      </c>
      <c r="N1724">
        <v>42.45</v>
      </c>
      <c r="O1724" t="s">
        <v>1155</v>
      </c>
      <c r="P1724">
        <v>20.8</v>
      </c>
      <c r="Q1724">
        <v>19.78</v>
      </c>
      <c r="R1724">
        <v>19.89</v>
      </c>
      <c r="S1724">
        <v>19.79</v>
      </c>
      <c r="T1724">
        <v>5.15</v>
      </c>
      <c r="U1724">
        <v>3.39</v>
      </c>
      <c r="V1724">
        <v>31.89</v>
      </c>
      <c r="W1724">
        <v>751</v>
      </c>
      <c r="X1724">
        <v>20.399999999999999</v>
      </c>
      <c r="Y1724" t="s">
        <v>1995</v>
      </c>
      <c r="Z1724" t="s">
        <v>2505</v>
      </c>
      <c r="AA1724">
        <v>0.67</v>
      </c>
      <c r="AB1724">
        <v>33</v>
      </c>
      <c r="AC1724">
        <v>357</v>
      </c>
      <c r="AD1724">
        <v>6.64</v>
      </c>
      <c r="AE1724" t="s">
        <v>2887</v>
      </c>
      <c r="AF1724" t="s">
        <v>6170</v>
      </c>
      <c r="AG1724" t="s">
        <v>3888</v>
      </c>
      <c r="AH1724" t="s">
        <v>3801</v>
      </c>
      <c r="AI1724">
        <v>4.78</v>
      </c>
      <c r="AJ1724">
        <v>9.75</v>
      </c>
      <c r="AK1724">
        <v>14.28</v>
      </c>
      <c r="AL1724">
        <v>18.86</v>
      </c>
    </row>
    <row r="1725" spans="1:38" x14ac:dyDescent="0.25">
      <c r="A1725">
        <v>1724</v>
      </c>
      <c r="B1725" t="str">
        <f xml:space="preserve"> "603758"</f>
        <v>603758</v>
      </c>
      <c r="C1725" t="s">
        <v>6171</v>
      </c>
      <c r="D1725">
        <v>16.97</v>
      </c>
      <c r="E1725">
        <v>1.68</v>
      </c>
      <c r="F1725">
        <v>0.28000000000000003</v>
      </c>
      <c r="G1725" t="s">
        <v>3385</v>
      </c>
      <c r="H1725">
        <v>45</v>
      </c>
      <c r="I1725">
        <v>16.96</v>
      </c>
      <c r="J1725">
        <v>16.97</v>
      </c>
      <c r="K1725">
        <v>0.18</v>
      </c>
      <c r="L1725">
        <v>5.56</v>
      </c>
      <c r="M1725" t="s">
        <v>6172</v>
      </c>
      <c r="N1725">
        <v>31.11</v>
      </c>
      <c r="O1725" t="s">
        <v>169</v>
      </c>
      <c r="P1725">
        <v>17</v>
      </c>
      <c r="Q1725">
        <v>16.61</v>
      </c>
      <c r="R1725">
        <v>16.7</v>
      </c>
      <c r="S1725">
        <v>16.690000000000001</v>
      </c>
      <c r="T1725">
        <v>2.34</v>
      </c>
      <c r="U1725">
        <v>1.28</v>
      </c>
      <c r="V1725">
        <v>-50.64</v>
      </c>
      <c r="W1725">
        <v>-987</v>
      </c>
      <c r="X1725">
        <v>16.88</v>
      </c>
      <c r="Y1725" t="s">
        <v>2518</v>
      </c>
      <c r="Z1725" t="s">
        <v>3042</v>
      </c>
      <c r="AA1725">
        <v>0.67</v>
      </c>
      <c r="AB1725">
        <v>127</v>
      </c>
      <c r="AC1725">
        <v>38</v>
      </c>
      <c r="AD1725">
        <v>3.12</v>
      </c>
      <c r="AE1725" t="s">
        <v>2259</v>
      </c>
      <c r="AF1725" t="s">
        <v>3620</v>
      </c>
      <c r="AG1725" t="s">
        <v>5162</v>
      </c>
      <c r="AH1725" t="s">
        <v>1766</v>
      </c>
      <c r="AI1725">
        <v>1.68</v>
      </c>
      <c r="AJ1725">
        <v>5.8</v>
      </c>
      <c r="AK1725">
        <v>16.809999999999999</v>
      </c>
      <c r="AL1725">
        <v>27.19</v>
      </c>
    </row>
    <row r="1726" spans="1:38" x14ac:dyDescent="0.25">
      <c r="A1726">
        <v>1725</v>
      </c>
      <c r="B1726" t="str">
        <f xml:space="preserve"> "002106"</f>
        <v>002106</v>
      </c>
      <c r="C1726" t="s">
        <v>6173</v>
      </c>
      <c r="D1726">
        <v>10.54</v>
      </c>
      <c r="E1726">
        <v>1.25</v>
      </c>
      <c r="F1726">
        <v>0.13</v>
      </c>
      <c r="G1726" t="s">
        <v>681</v>
      </c>
      <c r="H1726">
        <v>1253</v>
      </c>
      <c r="I1726">
        <v>10.54</v>
      </c>
      <c r="J1726">
        <v>10.55</v>
      </c>
      <c r="K1726">
        <v>-0.09</v>
      </c>
      <c r="L1726">
        <v>0.96</v>
      </c>
      <c r="M1726" t="s">
        <v>6174</v>
      </c>
      <c r="N1726">
        <v>58.53</v>
      </c>
      <c r="O1726" t="s">
        <v>380</v>
      </c>
      <c r="P1726">
        <v>10.57</v>
      </c>
      <c r="Q1726">
        <v>10.39</v>
      </c>
      <c r="R1726">
        <v>10.47</v>
      </c>
      <c r="S1726">
        <v>10.41</v>
      </c>
      <c r="T1726">
        <v>1.73</v>
      </c>
      <c r="U1726">
        <v>1.01</v>
      </c>
      <c r="V1726">
        <v>-34.86</v>
      </c>
      <c r="W1726">
        <v>-2850</v>
      </c>
      <c r="X1726">
        <v>10.5</v>
      </c>
      <c r="Y1726" t="s">
        <v>1509</v>
      </c>
      <c r="Z1726" t="s">
        <v>3297</v>
      </c>
      <c r="AA1726">
        <v>0.62</v>
      </c>
      <c r="AB1726">
        <v>204</v>
      </c>
      <c r="AC1726">
        <v>961</v>
      </c>
      <c r="AD1726">
        <v>2.04</v>
      </c>
      <c r="AE1726" t="s">
        <v>6175</v>
      </c>
      <c r="AF1726" t="s">
        <v>6176</v>
      </c>
      <c r="AG1726" t="s">
        <v>3364</v>
      </c>
      <c r="AH1726" t="s">
        <v>4951</v>
      </c>
      <c r="AI1726">
        <v>-0.09</v>
      </c>
      <c r="AJ1726">
        <v>3.13</v>
      </c>
      <c r="AK1726">
        <v>2.77</v>
      </c>
      <c r="AL1726">
        <v>5.7</v>
      </c>
    </row>
    <row r="1727" spans="1:38" x14ac:dyDescent="0.25">
      <c r="A1727">
        <v>1726</v>
      </c>
      <c r="B1727" t="str">
        <f xml:space="preserve"> "002167"</f>
        <v>002167</v>
      </c>
      <c r="C1727" t="s">
        <v>6177</v>
      </c>
      <c r="D1727">
        <v>11.95</v>
      </c>
      <c r="E1727">
        <v>0.59</v>
      </c>
      <c r="F1727">
        <v>7.0000000000000007E-2</v>
      </c>
      <c r="G1727" t="s">
        <v>2394</v>
      </c>
      <c r="H1727">
        <v>1024</v>
      </c>
      <c r="I1727">
        <v>11.95</v>
      </c>
      <c r="J1727">
        <v>11.96</v>
      </c>
      <c r="K1727">
        <v>0.08</v>
      </c>
      <c r="L1727">
        <v>2.0299999999999998</v>
      </c>
      <c r="M1727" t="s">
        <v>1606</v>
      </c>
      <c r="N1727">
        <v>236.12</v>
      </c>
      <c r="O1727" t="s">
        <v>449</v>
      </c>
      <c r="P1727">
        <v>11.99</v>
      </c>
      <c r="Q1727">
        <v>11.82</v>
      </c>
      <c r="R1727">
        <v>11.91</v>
      </c>
      <c r="S1727">
        <v>11.88</v>
      </c>
      <c r="T1727">
        <v>1.43</v>
      </c>
      <c r="U1727">
        <v>0.76</v>
      </c>
      <c r="V1727">
        <v>-20.14</v>
      </c>
      <c r="W1727">
        <v>-732</v>
      </c>
      <c r="X1727">
        <v>11.9</v>
      </c>
      <c r="Y1727" t="s">
        <v>3555</v>
      </c>
      <c r="Z1727" t="s">
        <v>370</v>
      </c>
      <c r="AA1727">
        <v>0.91</v>
      </c>
      <c r="AB1727">
        <v>2</v>
      </c>
      <c r="AC1727">
        <v>136</v>
      </c>
      <c r="AD1727">
        <v>6.81</v>
      </c>
      <c r="AE1727" t="s">
        <v>6178</v>
      </c>
      <c r="AF1727" t="s">
        <v>4951</v>
      </c>
      <c r="AG1727" t="s">
        <v>2810</v>
      </c>
      <c r="AH1727" t="s">
        <v>6179</v>
      </c>
      <c r="AI1727">
        <v>-2.77</v>
      </c>
      <c r="AJ1727">
        <v>-3.55</v>
      </c>
      <c r="AK1727">
        <v>7.4</v>
      </c>
      <c r="AL1727">
        <v>15.36</v>
      </c>
    </row>
    <row r="1728" spans="1:38" x14ac:dyDescent="0.25">
      <c r="A1728">
        <v>1727</v>
      </c>
      <c r="B1728" t="str">
        <f xml:space="preserve"> "000576"</f>
        <v>000576</v>
      </c>
      <c r="C1728" t="s">
        <v>6180</v>
      </c>
      <c r="D1728">
        <v>16.75</v>
      </c>
      <c r="E1728">
        <v>1.0900000000000001</v>
      </c>
      <c r="F1728">
        <v>0.18</v>
      </c>
      <c r="G1728" t="s">
        <v>1373</v>
      </c>
      <c r="H1728">
        <v>363</v>
      </c>
      <c r="I1728">
        <v>16.739999999999998</v>
      </c>
      <c r="J1728">
        <v>16.75</v>
      </c>
      <c r="K1728">
        <v>0.06</v>
      </c>
      <c r="L1728">
        <v>0.85</v>
      </c>
      <c r="M1728" t="s">
        <v>4157</v>
      </c>
      <c r="N1728">
        <v>-184.75</v>
      </c>
      <c r="O1728" t="s">
        <v>1874</v>
      </c>
      <c r="P1728">
        <v>16.86</v>
      </c>
      <c r="Q1728">
        <v>16.47</v>
      </c>
      <c r="R1728">
        <v>16.600000000000001</v>
      </c>
      <c r="S1728">
        <v>16.57</v>
      </c>
      <c r="T1728">
        <v>2.35</v>
      </c>
      <c r="U1728">
        <v>4.74</v>
      </c>
      <c r="V1728">
        <v>-56.75</v>
      </c>
      <c r="W1728">
        <v>-512</v>
      </c>
      <c r="X1728">
        <v>16.760000000000002</v>
      </c>
      <c r="Y1728">
        <v>5837</v>
      </c>
      <c r="Z1728" t="s">
        <v>2459</v>
      </c>
      <c r="AA1728">
        <v>0.19</v>
      </c>
      <c r="AB1728">
        <v>124</v>
      </c>
      <c r="AC1728">
        <v>239</v>
      </c>
      <c r="AD1728">
        <v>5.81</v>
      </c>
      <c r="AE1728" t="s">
        <v>879</v>
      </c>
      <c r="AF1728" t="s">
        <v>4951</v>
      </c>
      <c r="AG1728" t="s">
        <v>4078</v>
      </c>
      <c r="AH1728" t="s">
        <v>4883</v>
      </c>
      <c r="AI1728">
        <v>0.84</v>
      </c>
      <c r="AJ1728">
        <v>-0.65</v>
      </c>
      <c r="AK1728">
        <v>1.1299999999999999</v>
      </c>
      <c r="AL1728">
        <v>1.75</v>
      </c>
    </row>
    <row r="1729" spans="1:38" x14ac:dyDescent="0.25">
      <c r="A1729">
        <v>1728</v>
      </c>
      <c r="B1729" t="str">
        <f xml:space="preserve"> "601126"</f>
        <v>601126</v>
      </c>
      <c r="C1729" t="s">
        <v>6181</v>
      </c>
      <c r="D1729">
        <v>9.1199999999999992</v>
      </c>
      <c r="E1729">
        <v>0.44</v>
      </c>
      <c r="F1729">
        <v>0.04</v>
      </c>
      <c r="G1729" t="s">
        <v>2398</v>
      </c>
      <c r="H1729">
        <v>40</v>
      </c>
      <c r="I1729">
        <v>9.11</v>
      </c>
      <c r="J1729">
        <v>9.1199999999999992</v>
      </c>
      <c r="K1729">
        <v>0</v>
      </c>
      <c r="L1729">
        <v>0.45</v>
      </c>
      <c r="M1729" t="s">
        <v>6182</v>
      </c>
      <c r="N1729">
        <v>113.4</v>
      </c>
      <c r="O1729" t="s">
        <v>680</v>
      </c>
      <c r="P1729">
        <v>9.15</v>
      </c>
      <c r="Q1729">
        <v>9.0399999999999991</v>
      </c>
      <c r="R1729">
        <v>9.08</v>
      </c>
      <c r="S1729">
        <v>9.08</v>
      </c>
      <c r="T1729">
        <v>1.21</v>
      </c>
      <c r="U1729">
        <v>1.18</v>
      </c>
      <c r="V1729">
        <v>-48.68</v>
      </c>
      <c r="W1729">
        <v>-2297</v>
      </c>
      <c r="X1729">
        <v>9.11</v>
      </c>
      <c r="Y1729" t="s">
        <v>1683</v>
      </c>
      <c r="Z1729" t="s">
        <v>1454</v>
      </c>
      <c r="AA1729">
        <v>0.77</v>
      </c>
      <c r="AB1729">
        <v>459</v>
      </c>
      <c r="AC1729">
        <v>5</v>
      </c>
      <c r="AD1729">
        <v>1.98</v>
      </c>
      <c r="AE1729" t="s">
        <v>2875</v>
      </c>
      <c r="AF1729" t="s">
        <v>4951</v>
      </c>
      <c r="AG1729" t="s">
        <v>2875</v>
      </c>
      <c r="AH1729" t="s">
        <v>4951</v>
      </c>
      <c r="AI1729">
        <v>0.22</v>
      </c>
      <c r="AJ1729">
        <v>2.36</v>
      </c>
      <c r="AK1729">
        <v>1.36</v>
      </c>
      <c r="AL1729">
        <v>2.37</v>
      </c>
    </row>
    <row r="1730" spans="1:38" x14ac:dyDescent="0.25">
      <c r="A1730">
        <v>1729</v>
      </c>
      <c r="B1730" t="str">
        <f xml:space="preserve"> "300678"</f>
        <v>300678</v>
      </c>
      <c r="C1730" t="s">
        <v>6183</v>
      </c>
      <c r="D1730">
        <v>74.13</v>
      </c>
      <c r="E1730">
        <v>2.2799999999999998</v>
      </c>
      <c r="F1730">
        <v>1.65</v>
      </c>
      <c r="G1730" t="s">
        <v>2836</v>
      </c>
      <c r="H1730">
        <v>881</v>
      </c>
      <c r="I1730">
        <v>74.11</v>
      </c>
      <c r="J1730">
        <v>74.13</v>
      </c>
      <c r="K1730">
        <v>0.03</v>
      </c>
      <c r="L1730">
        <v>22.3</v>
      </c>
      <c r="M1730" t="s">
        <v>2912</v>
      </c>
      <c r="N1730">
        <v>302.62</v>
      </c>
      <c r="O1730" t="s">
        <v>893</v>
      </c>
      <c r="P1730">
        <v>75.25</v>
      </c>
      <c r="Q1730">
        <v>70.680000000000007</v>
      </c>
      <c r="R1730">
        <v>72.56</v>
      </c>
      <c r="S1730">
        <v>72.48</v>
      </c>
      <c r="T1730">
        <v>6.31</v>
      </c>
      <c r="U1730">
        <v>0.63</v>
      </c>
      <c r="V1730">
        <v>-76.55</v>
      </c>
      <c r="W1730">
        <v>-708</v>
      </c>
      <c r="X1730">
        <v>73.14</v>
      </c>
      <c r="Y1730" t="s">
        <v>2099</v>
      </c>
      <c r="Z1730" t="s">
        <v>1043</v>
      </c>
      <c r="AA1730">
        <v>0.99</v>
      </c>
      <c r="AB1730">
        <v>25</v>
      </c>
      <c r="AC1730">
        <v>212</v>
      </c>
      <c r="AD1730">
        <v>14.99</v>
      </c>
      <c r="AE1730" t="s">
        <v>4464</v>
      </c>
      <c r="AF1730" t="s">
        <v>644</v>
      </c>
      <c r="AG1730" t="s">
        <v>5931</v>
      </c>
      <c r="AH1730" t="s">
        <v>1674</v>
      </c>
      <c r="AI1730">
        <v>-9.8800000000000008</v>
      </c>
      <c r="AJ1730">
        <v>-0.78</v>
      </c>
      <c r="AK1730">
        <v>92.22</v>
      </c>
      <c r="AL1730">
        <v>199.95</v>
      </c>
    </row>
    <row r="1731" spans="1:38" x14ac:dyDescent="0.25">
      <c r="A1731">
        <v>1730</v>
      </c>
      <c r="B1731" t="str">
        <f xml:space="preserve"> "600284"</f>
        <v>600284</v>
      </c>
      <c r="C1731" t="s">
        <v>6184</v>
      </c>
      <c r="D1731">
        <v>10.69</v>
      </c>
      <c r="E1731">
        <v>0.19</v>
      </c>
      <c r="F1731">
        <v>0.02</v>
      </c>
      <c r="G1731" t="s">
        <v>1340</v>
      </c>
      <c r="H1731">
        <v>10</v>
      </c>
      <c r="I1731">
        <v>10.68</v>
      </c>
      <c r="J1731">
        <v>10.69</v>
      </c>
      <c r="K1731">
        <v>0.09</v>
      </c>
      <c r="L1731">
        <v>0.26</v>
      </c>
      <c r="M1731" t="s">
        <v>6185</v>
      </c>
      <c r="N1731">
        <v>24.94</v>
      </c>
      <c r="O1731" t="s">
        <v>263</v>
      </c>
      <c r="P1731">
        <v>10.7</v>
      </c>
      <c r="Q1731">
        <v>10.58</v>
      </c>
      <c r="R1731">
        <v>10.58</v>
      </c>
      <c r="S1731">
        <v>10.67</v>
      </c>
      <c r="T1731">
        <v>1.1200000000000001</v>
      </c>
      <c r="U1731">
        <v>0.71</v>
      </c>
      <c r="V1731">
        <v>-45.79</v>
      </c>
      <c r="W1731">
        <v>-1262</v>
      </c>
      <c r="X1731">
        <v>10.66</v>
      </c>
      <c r="Y1731">
        <v>9332</v>
      </c>
      <c r="Z1731">
        <v>8931</v>
      </c>
      <c r="AA1731">
        <v>1.04</v>
      </c>
      <c r="AB1731">
        <v>54</v>
      </c>
      <c r="AC1731">
        <v>133</v>
      </c>
      <c r="AD1731">
        <v>1.4</v>
      </c>
      <c r="AE1731" t="s">
        <v>6186</v>
      </c>
      <c r="AF1731" t="s">
        <v>644</v>
      </c>
      <c r="AG1731" t="s">
        <v>6186</v>
      </c>
      <c r="AH1731" t="s">
        <v>644</v>
      </c>
      <c r="AI1731">
        <v>-0.19</v>
      </c>
      <c r="AJ1731">
        <v>1.81</v>
      </c>
      <c r="AK1731">
        <v>0.97</v>
      </c>
      <c r="AL1731">
        <v>2.13</v>
      </c>
    </row>
    <row r="1732" spans="1:38" x14ac:dyDescent="0.25">
      <c r="A1732">
        <v>1731</v>
      </c>
      <c r="B1732" t="str">
        <f xml:space="preserve"> "603458"</f>
        <v>603458</v>
      </c>
      <c r="C1732" t="s">
        <v>6187</v>
      </c>
      <c r="D1732">
        <v>59.64</v>
      </c>
      <c r="E1732">
        <v>4.71</v>
      </c>
      <c r="F1732">
        <v>2.68</v>
      </c>
      <c r="G1732" t="s">
        <v>1271</v>
      </c>
      <c r="H1732">
        <v>1</v>
      </c>
      <c r="I1732">
        <v>59.64</v>
      </c>
      <c r="J1732">
        <v>59.66</v>
      </c>
      <c r="K1732">
        <v>-0.02</v>
      </c>
      <c r="L1732">
        <v>13.08</v>
      </c>
      <c r="M1732" t="s">
        <v>2759</v>
      </c>
      <c r="N1732">
        <v>25.33</v>
      </c>
      <c r="O1732" t="s">
        <v>263</v>
      </c>
      <c r="P1732">
        <v>60.25</v>
      </c>
      <c r="Q1732">
        <v>56.56</v>
      </c>
      <c r="R1732">
        <v>56.76</v>
      </c>
      <c r="S1732">
        <v>56.96</v>
      </c>
      <c r="T1732">
        <v>6.48</v>
      </c>
      <c r="U1732">
        <v>2.14</v>
      </c>
      <c r="V1732">
        <v>51.44</v>
      </c>
      <c r="W1732">
        <v>125</v>
      </c>
      <c r="X1732">
        <v>58.92</v>
      </c>
      <c r="Y1732" t="s">
        <v>603</v>
      </c>
      <c r="Z1732" t="s">
        <v>2373</v>
      </c>
      <c r="AA1732">
        <v>0.54</v>
      </c>
      <c r="AB1732">
        <v>45</v>
      </c>
      <c r="AC1732">
        <v>10</v>
      </c>
      <c r="AD1732">
        <v>4.18</v>
      </c>
      <c r="AE1732" t="s">
        <v>734</v>
      </c>
      <c r="AF1732" t="s">
        <v>5003</v>
      </c>
      <c r="AG1732" t="s">
        <v>6188</v>
      </c>
      <c r="AH1732" t="s">
        <v>1674</v>
      </c>
      <c r="AI1732">
        <v>1.65</v>
      </c>
      <c r="AJ1732">
        <v>6.4</v>
      </c>
      <c r="AK1732">
        <v>23.47</v>
      </c>
      <c r="AL1732">
        <v>43.68</v>
      </c>
    </row>
    <row r="1733" spans="1:38" x14ac:dyDescent="0.25">
      <c r="A1733">
        <v>1732</v>
      </c>
      <c r="B1733" t="str">
        <f xml:space="preserve"> "002569"</f>
        <v>002569</v>
      </c>
      <c r="C1733" t="s">
        <v>6189</v>
      </c>
      <c r="D1733" t="s">
        <v>616</v>
      </c>
      <c r="E1733" t="s">
        <v>616</v>
      </c>
      <c r="F1733" t="s">
        <v>616</v>
      </c>
      <c r="G1733" t="s">
        <v>616</v>
      </c>
      <c r="H1733" t="s">
        <v>616</v>
      </c>
      <c r="I1733" t="s">
        <v>616</v>
      </c>
      <c r="J1733" t="s">
        <v>616</v>
      </c>
      <c r="K1733" t="s">
        <v>616</v>
      </c>
      <c r="L1733" t="s">
        <v>616</v>
      </c>
      <c r="M1733" t="s">
        <v>616</v>
      </c>
      <c r="N1733">
        <v>-132.32</v>
      </c>
      <c r="O1733" t="s">
        <v>1443</v>
      </c>
      <c r="P1733" t="s">
        <v>616</v>
      </c>
      <c r="Q1733" t="s">
        <v>616</v>
      </c>
      <c r="R1733" t="s">
        <v>616</v>
      </c>
      <c r="S1733">
        <v>52.88</v>
      </c>
      <c r="T1733" t="s">
        <v>616</v>
      </c>
      <c r="U1733" t="s">
        <v>616</v>
      </c>
      <c r="V1733" t="s">
        <v>616</v>
      </c>
      <c r="W1733" t="s">
        <v>616</v>
      </c>
      <c r="X1733" t="s">
        <v>616</v>
      </c>
      <c r="Y1733" t="s">
        <v>616</v>
      </c>
      <c r="Z1733" t="s">
        <v>616</v>
      </c>
      <c r="AA1733" t="s">
        <v>616</v>
      </c>
      <c r="AB1733" t="s">
        <v>616</v>
      </c>
      <c r="AC1733" t="s">
        <v>616</v>
      </c>
      <c r="AD1733">
        <v>14.89</v>
      </c>
      <c r="AE1733" t="s">
        <v>3110</v>
      </c>
      <c r="AF1733" t="s">
        <v>5003</v>
      </c>
      <c r="AG1733" t="s">
        <v>3923</v>
      </c>
      <c r="AH1733" t="s">
        <v>3576</v>
      </c>
      <c r="AI1733">
        <v>0</v>
      </c>
      <c r="AJ1733">
        <v>0</v>
      </c>
      <c r="AK1733">
        <v>0</v>
      </c>
      <c r="AL1733">
        <v>0</v>
      </c>
    </row>
    <row r="1734" spans="1:38" x14ac:dyDescent="0.25">
      <c r="A1734">
        <v>1733</v>
      </c>
      <c r="B1734" t="str">
        <f xml:space="preserve"> "002433"</f>
        <v>002433</v>
      </c>
      <c r="C1734" t="s">
        <v>6190</v>
      </c>
      <c r="D1734">
        <v>9.6199999999999992</v>
      </c>
      <c r="E1734">
        <v>0.52</v>
      </c>
      <c r="F1734">
        <v>0.05</v>
      </c>
      <c r="G1734" t="s">
        <v>1641</v>
      </c>
      <c r="H1734">
        <v>794</v>
      </c>
      <c r="I1734">
        <v>9.6199999999999992</v>
      </c>
      <c r="J1734">
        <v>9.6300000000000008</v>
      </c>
      <c r="K1734">
        <v>0</v>
      </c>
      <c r="L1734">
        <v>0.81</v>
      </c>
      <c r="M1734" t="s">
        <v>6191</v>
      </c>
      <c r="N1734">
        <v>32.56</v>
      </c>
      <c r="O1734" t="s">
        <v>392</v>
      </c>
      <c r="P1734">
        <v>9.66</v>
      </c>
      <c r="Q1734">
        <v>9.5500000000000007</v>
      </c>
      <c r="R1734">
        <v>9.59</v>
      </c>
      <c r="S1734">
        <v>9.57</v>
      </c>
      <c r="T1734">
        <v>1.1499999999999999</v>
      </c>
      <c r="U1734">
        <v>0.52</v>
      </c>
      <c r="V1734">
        <v>-65.14</v>
      </c>
      <c r="W1734">
        <v>-9217</v>
      </c>
      <c r="X1734">
        <v>9.6199999999999992</v>
      </c>
      <c r="Y1734" t="s">
        <v>1796</v>
      </c>
      <c r="Z1734" t="s">
        <v>393</v>
      </c>
      <c r="AA1734">
        <v>0.95</v>
      </c>
      <c r="AB1734">
        <v>727</v>
      </c>
      <c r="AC1734">
        <v>476</v>
      </c>
      <c r="AD1734">
        <v>1.56</v>
      </c>
      <c r="AE1734" t="s">
        <v>3988</v>
      </c>
      <c r="AF1734" t="s">
        <v>5003</v>
      </c>
      <c r="AG1734" t="s">
        <v>4328</v>
      </c>
      <c r="AH1734" t="s">
        <v>5143</v>
      </c>
      <c r="AI1734">
        <v>-0.52</v>
      </c>
      <c r="AJ1734">
        <v>3.78</v>
      </c>
      <c r="AK1734">
        <v>3.47</v>
      </c>
      <c r="AL1734">
        <v>8.59</v>
      </c>
    </row>
    <row r="1735" spans="1:38" x14ac:dyDescent="0.25">
      <c r="A1735">
        <v>1734</v>
      </c>
      <c r="B1735" t="str">
        <f xml:space="preserve"> "300262"</f>
        <v>300262</v>
      </c>
      <c r="C1735" t="s">
        <v>6192</v>
      </c>
      <c r="D1735">
        <v>11.03</v>
      </c>
      <c r="E1735">
        <v>9.9700000000000006</v>
      </c>
      <c r="F1735">
        <v>1</v>
      </c>
      <c r="G1735" t="s">
        <v>4997</v>
      </c>
      <c r="H1735">
        <v>1033</v>
      </c>
      <c r="I1735">
        <v>11.03</v>
      </c>
      <c r="J1735" t="s">
        <v>616</v>
      </c>
      <c r="K1735">
        <v>0</v>
      </c>
      <c r="L1735">
        <v>6.31</v>
      </c>
      <c r="M1735" t="s">
        <v>719</v>
      </c>
      <c r="N1735">
        <v>30.85</v>
      </c>
      <c r="O1735" t="s">
        <v>1155</v>
      </c>
      <c r="P1735">
        <v>11.03</v>
      </c>
      <c r="Q1735">
        <v>9.99</v>
      </c>
      <c r="R1735">
        <v>10</v>
      </c>
      <c r="S1735">
        <v>10.029999999999999</v>
      </c>
      <c r="T1735">
        <v>10.37</v>
      </c>
      <c r="U1735">
        <v>4.16</v>
      </c>
      <c r="V1735">
        <v>100</v>
      </c>
      <c r="W1735" t="s">
        <v>3025</v>
      </c>
      <c r="X1735">
        <v>10.69</v>
      </c>
      <c r="Y1735" t="s">
        <v>1242</v>
      </c>
      <c r="Z1735" t="s">
        <v>2055</v>
      </c>
      <c r="AA1735">
        <v>0.68</v>
      </c>
      <c r="AB1735" t="s">
        <v>1805</v>
      </c>
      <c r="AC1735">
        <v>0</v>
      </c>
      <c r="AD1735">
        <v>3.5</v>
      </c>
      <c r="AE1735" t="s">
        <v>2847</v>
      </c>
      <c r="AF1735" t="s">
        <v>5343</v>
      </c>
      <c r="AG1735" t="s">
        <v>5373</v>
      </c>
      <c r="AH1735" t="s">
        <v>6193</v>
      </c>
      <c r="AI1735">
        <v>10.3</v>
      </c>
      <c r="AJ1735">
        <v>15.86</v>
      </c>
      <c r="AK1735">
        <v>10.56</v>
      </c>
      <c r="AL1735">
        <v>13.9</v>
      </c>
    </row>
    <row r="1736" spans="1:38" x14ac:dyDescent="0.25">
      <c r="A1736">
        <v>1735</v>
      </c>
      <c r="B1736" t="str">
        <f xml:space="preserve"> "300365"</f>
        <v>300365</v>
      </c>
      <c r="C1736" t="s">
        <v>6194</v>
      </c>
      <c r="D1736">
        <v>37.450000000000003</v>
      </c>
      <c r="E1736">
        <v>-2.2400000000000002</v>
      </c>
      <c r="F1736">
        <v>-0.86</v>
      </c>
      <c r="G1736">
        <v>9098</v>
      </c>
      <c r="H1736">
        <v>35</v>
      </c>
      <c r="I1736">
        <v>37.43</v>
      </c>
      <c r="J1736">
        <v>37.450000000000003</v>
      </c>
      <c r="K1736">
        <v>-0.16</v>
      </c>
      <c r="L1736">
        <v>0.88</v>
      </c>
      <c r="M1736" t="s">
        <v>6195</v>
      </c>
      <c r="N1736">
        <v>77.63</v>
      </c>
      <c r="O1736" t="s">
        <v>893</v>
      </c>
      <c r="P1736">
        <v>38.700000000000003</v>
      </c>
      <c r="Q1736">
        <v>37</v>
      </c>
      <c r="R1736">
        <v>38.299999999999997</v>
      </c>
      <c r="S1736">
        <v>38.31</v>
      </c>
      <c r="T1736">
        <v>4.4400000000000004</v>
      </c>
      <c r="U1736">
        <v>0.93</v>
      </c>
      <c r="V1736">
        <v>-82.86</v>
      </c>
      <c r="W1736">
        <v>-174</v>
      </c>
      <c r="X1736">
        <v>37.44</v>
      </c>
      <c r="Y1736">
        <v>5735</v>
      </c>
      <c r="Z1736">
        <v>3363</v>
      </c>
      <c r="AA1736">
        <v>1.71</v>
      </c>
      <c r="AB1736">
        <v>5</v>
      </c>
      <c r="AC1736">
        <v>3</v>
      </c>
      <c r="AD1736">
        <v>11.28</v>
      </c>
      <c r="AE1736" t="s">
        <v>4935</v>
      </c>
      <c r="AF1736" t="s">
        <v>5343</v>
      </c>
      <c r="AG1736" t="s">
        <v>2611</v>
      </c>
      <c r="AH1736" t="s">
        <v>6196</v>
      </c>
      <c r="AI1736">
        <v>-4.05</v>
      </c>
      <c r="AJ1736">
        <v>0.28999999999999998</v>
      </c>
      <c r="AK1736">
        <v>2.4700000000000002</v>
      </c>
      <c r="AL1736">
        <v>5.63</v>
      </c>
    </row>
    <row r="1737" spans="1:38" x14ac:dyDescent="0.25">
      <c r="A1737">
        <v>1736</v>
      </c>
      <c r="B1737" t="str">
        <f xml:space="preserve"> "300081"</f>
        <v>300081</v>
      </c>
      <c r="C1737" t="s">
        <v>6197</v>
      </c>
      <c r="D1737">
        <v>14.36</v>
      </c>
      <c r="E1737">
        <v>0.42</v>
      </c>
      <c r="F1737">
        <v>0.06</v>
      </c>
      <c r="G1737" t="s">
        <v>759</v>
      </c>
      <c r="H1737">
        <v>3404</v>
      </c>
      <c r="I1737">
        <v>14.35</v>
      </c>
      <c r="J1737">
        <v>14.36</v>
      </c>
      <c r="K1737">
        <v>0</v>
      </c>
      <c r="L1737">
        <v>6.12</v>
      </c>
      <c r="M1737" t="s">
        <v>1538</v>
      </c>
      <c r="N1737">
        <v>60.26</v>
      </c>
      <c r="O1737" t="s">
        <v>553</v>
      </c>
      <c r="P1737">
        <v>14.55</v>
      </c>
      <c r="Q1737">
        <v>14.02</v>
      </c>
      <c r="R1737">
        <v>14.31</v>
      </c>
      <c r="S1737">
        <v>14.3</v>
      </c>
      <c r="T1737">
        <v>3.71</v>
      </c>
      <c r="U1737">
        <v>0.48</v>
      </c>
      <c r="V1737">
        <v>-32.369999999999997</v>
      </c>
      <c r="W1737">
        <v>-943</v>
      </c>
      <c r="X1737">
        <v>14.24</v>
      </c>
      <c r="Y1737" t="s">
        <v>1522</v>
      </c>
      <c r="Z1737" t="s">
        <v>773</v>
      </c>
      <c r="AA1737">
        <v>1.07</v>
      </c>
      <c r="AB1737">
        <v>303</v>
      </c>
      <c r="AC1737">
        <v>514</v>
      </c>
      <c r="AD1737">
        <v>3.4</v>
      </c>
      <c r="AE1737" t="s">
        <v>5642</v>
      </c>
      <c r="AF1737" t="s">
        <v>5343</v>
      </c>
      <c r="AG1737" t="s">
        <v>4129</v>
      </c>
      <c r="AH1737" t="s">
        <v>1083</v>
      </c>
      <c r="AI1737">
        <v>-3.3</v>
      </c>
      <c r="AJ1737">
        <v>6.53</v>
      </c>
      <c r="AK1737">
        <v>22.34</v>
      </c>
      <c r="AL1737">
        <v>69.69</v>
      </c>
    </row>
    <row r="1738" spans="1:38" x14ac:dyDescent="0.25">
      <c r="A1738">
        <v>1737</v>
      </c>
      <c r="B1738" t="str">
        <f xml:space="preserve"> "603979"</f>
        <v>603979</v>
      </c>
      <c r="C1738" t="s">
        <v>6198</v>
      </c>
      <c r="D1738">
        <v>12.63</v>
      </c>
      <c r="E1738">
        <v>0.48</v>
      </c>
      <c r="F1738">
        <v>0.06</v>
      </c>
      <c r="G1738" t="s">
        <v>4431</v>
      </c>
      <c r="H1738">
        <v>6</v>
      </c>
      <c r="I1738">
        <v>12.62</v>
      </c>
      <c r="J1738">
        <v>12.63</v>
      </c>
      <c r="K1738">
        <v>0</v>
      </c>
      <c r="L1738">
        <v>1.33</v>
      </c>
      <c r="M1738" t="s">
        <v>6199</v>
      </c>
      <c r="N1738">
        <v>33.17</v>
      </c>
      <c r="O1738" t="s">
        <v>263</v>
      </c>
      <c r="P1738">
        <v>12.64</v>
      </c>
      <c r="Q1738">
        <v>12.49</v>
      </c>
      <c r="R1738">
        <v>12.59</v>
      </c>
      <c r="S1738">
        <v>12.57</v>
      </c>
      <c r="T1738">
        <v>1.19</v>
      </c>
      <c r="U1738">
        <v>0.89</v>
      </c>
      <c r="V1738">
        <v>-35.47</v>
      </c>
      <c r="W1738">
        <v>-638</v>
      </c>
      <c r="X1738">
        <v>12.57</v>
      </c>
      <c r="Y1738" t="s">
        <v>2383</v>
      </c>
      <c r="Z1738" t="s">
        <v>1579</v>
      </c>
      <c r="AA1738">
        <v>1.35</v>
      </c>
      <c r="AB1738">
        <v>90</v>
      </c>
      <c r="AC1738">
        <v>315</v>
      </c>
      <c r="AD1738">
        <v>1.98</v>
      </c>
      <c r="AE1738" t="s">
        <v>5355</v>
      </c>
      <c r="AF1738" t="s">
        <v>5343</v>
      </c>
      <c r="AG1738" t="s">
        <v>5158</v>
      </c>
      <c r="AH1738" t="s">
        <v>1680</v>
      </c>
      <c r="AI1738">
        <v>-0.55000000000000004</v>
      </c>
      <c r="AJ1738">
        <v>2.1800000000000002</v>
      </c>
      <c r="AK1738">
        <v>4.34</v>
      </c>
      <c r="AL1738">
        <v>8.81</v>
      </c>
    </row>
    <row r="1739" spans="1:38" x14ac:dyDescent="0.25">
      <c r="A1739">
        <v>1738</v>
      </c>
      <c r="B1739" t="str">
        <f xml:space="preserve"> "002564"</f>
        <v>002564</v>
      </c>
      <c r="C1739" t="s">
        <v>6200</v>
      </c>
      <c r="D1739">
        <v>10.039999999999999</v>
      </c>
      <c r="E1739">
        <v>0.3</v>
      </c>
      <c r="F1739">
        <v>0.03</v>
      </c>
      <c r="G1739" t="s">
        <v>6201</v>
      </c>
      <c r="H1739">
        <v>1107</v>
      </c>
      <c r="I1739">
        <v>10.029999999999999</v>
      </c>
      <c r="J1739">
        <v>10.039999999999999</v>
      </c>
      <c r="K1739">
        <v>0</v>
      </c>
      <c r="L1739">
        <v>1.25</v>
      </c>
      <c r="M1739" t="s">
        <v>6202</v>
      </c>
      <c r="N1739">
        <v>40.770000000000003</v>
      </c>
      <c r="O1739" t="s">
        <v>648</v>
      </c>
      <c r="P1739">
        <v>10.1</v>
      </c>
      <c r="Q1739">
        <v>9.94</v>
      </c>
      <c r="R1739">
        <v>10.01</v>
      </c>
      <c r="S1739">
        <v>10.01</v>
      </c>
      <c r="T1739">
        <v>1.6</v>
      </c>
      <c r="U1739">
        <v>0.55000000000000004</v>
      </c>
      <c r="V1739">
        <v>17.170000000000002</v>
      </c>
      <c r="W1739">
        <v>1577</v>
      </c>
      <c r="X1739">
        <v>10.02</v>
      </c>
      <c r="Y1739" t="s">
        <v>2032</v>
      </c>
      <c r="Z1739" t="s">
        <v>3273</v>
      </c>
      <c r="AA1739">
        <v>0.97</v>
      </c>
      <c r="AB1739">
        <v>1009</v>
      </c>
      <c r="AC1739">
        <v>281</v>
      </c>
      <c r="AD1739">
        <v>2.87</v>
      </c>
      <c r="AE1739" t="s">
        <v>4167</v>
      </c>
      <c r="AF1739" t="s">
        <v>5343</v>
      </c>
      <c r="AG1739" t="s">
        <v>6203</v>
      </c>
      <c r="AH1739" t="s">
        <v>2371</v>
      </c>
      <c r="AI1739">
        <v>-0.4</v>
      </c>
      <c r="AJ1739">
        <v>5.8</v>
      </c>
      <c r="AK1739">
        <v>4.43</v>
      </c>
      <c r="AL1739">
        <v>12.67</v>
      </c>
    </row>
    <row r="1740" spans="1:38" x14ac:dyDescent="0.25">
      <c r="A1740">
        <v>1739</v>
      </c>
      <c r="B1740" t="str">
        <f xml:space="preserve"> "000838"</f>
        <v>000838</v>
      </c>
      <c r="C1740" t="s">
        <v>6204</v>
      </c>
      <c r="D1740">
        <v>6.71</v>
      </c>
      <c r="E1740">
        <v>0.15</v>
      </c>
      <c r="F1740">
        <v>0.01</v>
      </c>
      <c r="G1740" t="s">
        <v>681</v>
      </c>
      <c r="H1740">
        <v>1212</v>
      </c>
      <c r="I1740">
        <v>6.7</v>
      </c>
      <c r="J1740">
        <v>6.71</v>
      </c>
      <c r="K1740">
        <v>0.15</v>
      </c>
      <c r="L1740">
        <v>1.06</v>
      </c>
      <c r="M1740" t="s">
        <v>6205</v>
      </c>
      <c r="N1740">
        <v>247.51</v>
      </c>
      <c r="O1740" t="s">
        <v>244</v>
      </c>
      <c r="P1740">
        <v>6.78</v>
      </c>
      <c r="Q1740">
        <v>6.66</v>
      </c>
      <c r="R1740">
        <v>6.69</v>
      </c>
      <c r="S1740">
        <v>6.7</v>
      </c>
      <c r="T1740">
        <v>1.79</v>
      </c>
      <c r="U1740">
        <v>0.37</v>
      </c>
      <c r="V1740">
        <v>-13.38</v>
      </c>
      <c r="W1740">
        <v>-1476</v>
      </c>
      <c r="X1740">
        <v>6.71</v>
      </c>
      <c r="Y1740" t="s">
        <v>2458</v>
      </c>
      <c r="Z1740" t="s">
        <v>2451</v>
      </c>
      <c r="AA1740">
        <v>1.26</v>
      </c>
      <c r="AB1740">
        <v>1843</v>
      </c>
      <c r="AC1740">
        <v>1586</v>
      </c>
      <c r="AD1740">
        <v>4.49</v>
      </c>
      <c r="AE1740" t="s">
        <v>2501</v>
      </c>
      <c r="AF1740" t="s">
        <v>6152</v>
      </c>
      <c r="AG1740" t="s">
        <v>2257</v>
      </c>
      <c r="AH1740" t="s">
        <v>4866</v>
      </c>
      <c r="AI1740">
        <v>-4.6900000000000004</v>
      </c>
      <c r="AJ1740">
        <v>1.82</v>
      </c>
      <c r="AK1740">
        <v>5.05</v>
      </c>
      <c r="AL1740">
        <v>15.39</v>
      </c>
    </row>
    <row r="1741" spans="1:38" x14ac:dyDescent="0.25">
      <c r="A1741">
        <v>1740</v>
      </c>
      <c r="B1741" t="str">
        <f xml:space="preserve"> "603366"</f>
        <v>603366</v>
      </c>
      <c r="C1741" t="s">
        <v>6206</v>
      </c>
      <c r="D1741">
        <v>9.23</v>
      </c>
      <c r="E1741">
        <v>-0.65</v>
      </c>
      <c r="F1741">
        <v>-0.06</v>
      </c>
      <c r="G1741" t="s">
        <v>3124</v>
      </c>
      <c r="H1741">
        <v>20</v>
      </c>
      <c r="I1741">
        <v>9.24</v>
      </c>
      <c r="J1741">
        <v>9.25</v>
      </c>
      <c r="K1741">
        <v>0.65</v>
      </c>
      <c r="L1741">
        <v>1.05</v>
      </c>
      <c r="M1741" t="s">
        <v>6207</v>
      </c>
      <c r="N1741">
        <v>48.51</v>
      </c>
      <c r="O1741" t="s">
        <v>215</v>
      </c>
      <c r="P1741">
        <v>9.4499999999999993</v>
      </c>
      <c r="Q1741">
        <v>9.1300000000000008</v>
      </c>
      <c r="R1741">
        <v>9.2799999999999994</v>
      </c>
      <c r="S1741">
        <v>9.2899999999999991</v>
      </c>
      <c r="T1741">
        <v>3.44</v>
      </c>
      <c r="U1741">
        <v>0.47</v>
      </c>
      <c r="V1741">
        <v>-31.07</v>
      </c>
      <c r="W1741">
        <v>-484</v>
      </c>
      <c r="X1741">
        <v>9.2899999999999991</v>
      </c>
      <c r="Y1741" t="s">
        <v>2790</v>
      </c>
      <c r="Z1741" t="s">
        <v>952</v>
      </c>
      <c r="AA1741">
        <v>1.36</v>
      </c>
      <c r="AB1741">
        <v>16</v>
      </c>
      <c r="AC1741">
        <v>21</v>
      </c>
      <c r="AD1741">
        <v>1.99</v>
      </c>
      <c r="AE1741" t="s">
        <v>1754</v>
      </c>
      <c r="AF1741" t="s">
        <v>6152</v>
      </c>
      <c r="AG1741" t="s">
        <v>1754</v>
      </c>
      <c r="AH1741" t="s">
        <v>6152</v>
      </c>
      <c r="AI1741">
        <v>1.21</v>
      </c>
      <c r="AJ1741">
        <v>9.49</v>
      </c>
      <c r="AK1741">
        <v>6.3</v>
      </c>
      <c r="AL1741">
        <v>12.27</v>
      </c>
    </row>
    <row r="1742" spans="1:38" x14ac:dyDescent="0.25">
      <c r="A1742">
        <v>1741</v>
      </c>
      <c r="B1742" t="str">
        <f xml:space="preserve"> "603839"</f>
        <v>603839</v>
      </c>
      <c r="C1742" t="s">
        <v>6208</v>
      </c>
      <c r="D1742">
        <v>25.53</v>
      </c>
      <c r="E1742">
        <v>0.87</v>
      </c>
      <c r="F1742">
        <v>0.22</v>
      </c>
      <c r="G1742" t="s">
        <v>113</v>
      </c>
      <c r="H1742">
        <v>20</v>
      </c>
      <c r="I1742">
        <v>25.51</v>
      </c>
      <c r="J1742">
        <v>25.52</v>
      </c>
      <c r="K1742">
        <v>0.04</v>
      </c>
      <c r="L1742">
        <v>3.01</v>
      </c>
      <c r="M1742" t="s">
        <v>6209</v>
      </c>
      <c r="N1742">
        <v>28.51</v>
      </c>
      <c r="O1742" t="s">
        <v>1443</v>
      </c>
      <c r="P1742">
        <v>25.59</v>
      </c>
      <c r="Q1742">
        <v>25.19</v>
      </c>
      <c r="R1742">
        <v>25.31</v>
      </c>
      <c r="S1742">
        <v>25.31</v>
      </c>
      <c r="T1742">
        <v>1.58</v>
      </c>
      <c r="U1742">
        <v>1.24</v>
      </c>
      <c r="V1742">
        <v>-55.61</v>
      </c>
      <c r="W1742">
        <v>-238</v>
      </c>
      <c r="X1742">
        <v>25.41</v>
      </c>
      <c r="Y1742">
        <v>8171</v>
      </c>
      <c r="Z1742" t="s">
        <v>480</v>
      </c>
      <c r="AA1742">
        <v>0.61</v>
      </c>
      <c r="AB1742">
        <v>62</v>
      </c>
      <c r="AC1742">
        <v>13</v>
      </c>
      <c r="AD1742">
        <v>2.99</v>
      </c>
      <c r="AE1742" t="s">
        <v>4989</v>
      </c>
      <c r="AF1742" t="s">
        <v>6152</v>
      </c>
      <c r="AG1742" t="s">
        <v>6210</v>
      </c>
      <c r="AH1742" t="s">
        <v>3289</v>
      </c>
      <c r="AI1742">
        <v>-0.43</v>
      </c>
      <c r="AJ1742">
        <v>3.4</v>
      </c>
      <c r="AK1742">
        <v>8.7100000000000009</v>
      </c>
      <c r="AL1742">
        <v>15.19</v>
      </c>
    </row>
    <row r="1743" spans="1:38" x14ac:dyDescent="0.25">
      <c r="A1743">
        <v>1742</v>
      </c>
      <c r="B1743" t="str">
        <f xml:space="preserve"> "600843"</f>
        <v>600843</v>
      </c>
      <c r="C1743" t="s">
        <v>6211</v>
      </c>
      <c r="D1743">
        <v>13.45</v>
      </c>
      <c r="E1743">
        <v>-0.15</v>
      </c>
      <c r="F1743">
        <v>-0.02</v>
      </c>
      <c r="G1743" t="s">
        <v>3130</v>
      </c>
      <c r="H1743">
        <v>13</v>
      </c>
      <c r="I1743">
        <v>13.45</v>
      </c>
      <c r="J1743">
        <v>13.46</v>
      </c>
      <c r="K1743">
        <v>0</v>
      </c>
      <c r="L1743">
        <v>0.55000000000000004</v>
      </c>
      <c r="M1743" t="s">
        <v>6212</v>
      </c>
      <c r="N1743">
        <v>29.28</v>
      </c>
      <c r="O1743" t="s">
        <v>648</v>
      </c>
      <c r="P1743">
        <v>13.47</v>
      </c>
      <c r="Q1743">
        <v>13.41</v>
      </c>
      <c r="R1743">
        <v>13.41</v>
      </c>
      <c r="S1743">
        <v>13.47</v>
      </c>
      <c r="T1743">
        <v>0.45</v>
      </c>
      <c r="U1743">
        <v>0.81</v>
      </c>
      <c r="V1743">
        <v>-18.93</v>
      </c>
      <c r="W1743">
        <v>-736</v>
      </c>
      <c r="X1743">
        <v>13.44</v>
      </c>
      <c r="Y1743">
        <v>9355</v>
      </c>
      <c r="Z1743">
        <v>7544</v>
      </c>
      <c r="AA1743">
        <v>1.24</v>
      </c>
      <c r="AB1743">
        <v>421</v>
      </c>
      <c r="AC1743">
        <v>186</v>
      </c>
      <c r="AD1743">
        <v>3.57</v>
      </c>
      <c r="AE1743" t="s">
        <v>1809</v>
      </c>
      <c r="AF1743" t="s">
        <v>6152</v>
      </c>
      <c r="AG1743" t="s">
        <v>4786</v>
      </c>
      <c r="AH1743" t="s">
        <v>2633</v>
      </c>
      <c r="AI1743">
        <v>-0.22</v>
      </c>
      <c r="AJ1743">
        <v>1.51</v>
      </c>
      <c r="AK1743">
        <v>2.2000000000000002</v>
      </c>
      <c r="AL1743">
        <v>3.98</v>
      </c>
    </row>
    <row r="1744" spans="1:38" x14ac:dyDescent="0.25">
      <c r="A1744">
        <v>1743</v>
      </c>
      <c r="B1744" t="str">
        <f xml:space="preserve"> "600242"</f>
        <v>600242</v>
      </c>
      <c r="C1744" t="s">
        <v>6213</v>
      </c>
      <c r="D1744">
        <v>16.14</v>
      </c>
      <c r="E1744">
        <v>0.19</v>
      </c>
      <c r="F1744">
        <v>0.03</v>
      </c>
      <c r="G1744" t="s">
        <v>3326</v>
      </c>
      <c r="H1744">
        <v>47</v>
      </c>
      <c r="I1744">
        <v>16.12</v>
      </c>
      <c r="J1744">
        <v>16.13</v>
      </c>
      <c r="K1744">
        <v>-0.06</v>
      </c>
      <c r="L1744">
        <v>0.65</v>
      </c>
      <c r="M1744" t="s">
        <v>6214</v>
      </c>
      <c r="N1744">
        <v>63.5</v>
      </c>
      <c r="O1744" t="s">
        <v>893</v>
      </c>
      <c r="P1744">
        <v>16.190000000000001</v>
      </c>
      <c r="Q1744">
        <v>16.02</v>
      </c>
      <c r="R1744">
        <v>16.02</v>
      </c>
      <c r="S1744">
        <v>16.11</v>
      </c>
      <c r="T1744">
        <v>1.06</v>
      </c>
      <c r="U1744">
        <v>0.48</v>
      </c>
      <c r="V1744">
        <v>-20.95</v>
      </c>
      <c r="W1744">
        <v>-406</v>
      </c>
      <c r="X1744">
        <v>16.100000000000001</v>
      </c>
      <c r="Y1744" t="s">
        <v>1836</v>
      </c>
      <c r="Z1744">
        <v>7895</v>
      </c>
      <c r="AA1744">
        <v>1.36</v>
      </c>
      <c r="AB1744">
        <v>83</v>
      </c>
      <c r="AC1744">
        <v>179</v>
      </c>
      <c r="AD1744">
        <v>3.81</v>
      </c>
      <c r="AE1744" t="s">
        <v>6215</v>
      </c>
      <c r="AF1744" t="s">
        <v>5475</v>
      </c>
      <c r="AG1744" t="s">
        <v>6216</v>
      </c>
      <c r="AH1744" t="s">
        <v>945</v>
      </c>
      <c r="AI1744">
        <v>-1.34</v>
      </c>
      <c r="AJ1744">
        <v>2.87</v>
      </c>
      <c r="AK1744">
        <v>2.74</v>
      </c>
      <c r="AL1744">
        <v>7.43</v>
      </c>
    </row>
    <row r="1745" spans="1:38" x14ac:dyDescent="0.25">
      <c r="A1745">
        <v>1744</v>
      </c>
      <c r="B1745" t="str">
        <f xml:space="preserve"> "002029"</f>
        <v>002029</v>
      </c>
      <c r="C1745" t="s">
        <v>6217</v>
      </c>
      <c r="D1745">
        <v>9.74</v>
      </c>
      <c r="E1745">
        <v>0.62</v>
      </c>
      <c r="F1745">
        <v>0.06</v>
      </c>
      <c r="G1745" t="s">
        <v>1560</v>
      </c>
      <c r="H1745">
        <v>918</v>
      </c>
      <c r="I1745">
        <v>9.73</v>
      </c>
      <c r="J1745">
        <v>9.74</v>
      </c>
      <c r="K1745">
        <v>0.1</v>
      </c>
      <c r="L1745">
        <v>0.59</v>
      </c>
      <c r="M1745" t="s">
        <v>6218</v>
      </c>
      <c r="N1745">
        <v>30.16</v>
      </c>
      <c r="O1745" t="s">
        <v>1443</v>
      </c>
      <c r="P1745">
        <v>9.75</v>
      </c>
      <c r="Q1745">
        <v>9.64</v>
      </c>
      <c r="R1745">
        <v>9.68</v>
      </c>
      <c r="S1745">
        <v>9.68</v>
      </c>
      <c r="T1745">
        <v>1.1399999999999999</v>
      </c>
      <c r="U1745">
        <v>1.1399999999999999</v>
      </c>
      <c r="V1745">
        <v>-29.37</v>
      </c>
      <c r="W1745">
        <v>-2302</v>
      </c>
      <c r="X1745">
        <v>9.7100000000000009</v>
      </c>
      <c r="Y1745" t="s">
        <v>2862</v>
      </c>
      <c r="Z1745" t="s">
        <v>3158</v>
      </c>
      <c r="AA1745">
        <v>1.41</v>
      </c>
      <c r="AB1745">
        <v>5</v>
      </c>
      <c r="AC1745">
        <v>1450</v>
      </c>
      <c r="AD1745">
        <v>1.4</v>
      </c>
      <c r="AE1745" t="s">
        <v>5711</v>
      </c>
      <c r="AF1745" t="s">
        <v>5533</v>
      </c>
      <c r="AG1745" t="s">
        <v>3314</v>
      </c>
      <c r="AH1745" t="s">
        <v>3365</v>
      </c>
      <c r="AI1745">
        <v>0</v>
      </c>
      <c r="AJ1745">
        <v>2.1</v>
      </c>
      <c r="AK1745">
        <v>1.71</v>
      </c>
      <c r="AL1745">
        <v>3.18</v>
      </c>
    </row>
    <row r="1746" spans="1:38" x14ac:dyDescent="0.25">
      <c r="A1746">
        <v>1745</v>
      </c>
      <c r="B1746" t="str">
        <f xml:space="preserve"> "603818"</f>
        <v>603818</v>
      </c>
      <c r="C1746" t="s">
        <v>6219</v>
      </c>
      <c r="D1746">
        <v>15.2</v>
      </c>
      <c r="E1746">
        <v>0.46</v>
      </c>
      <c r="F1746">
        <v>7.0000000000000007E-2</v>
      </c>
      <c r="G1746" t="s">
        <v>125</v>
      </c>
      <c r="H1746">
        <v>13</v>
      </c>
      <c r="I1746">
        <v>15.2</v>
      </c>
      <c r="J1746">
        <v>15.21</v>
      </c>
      <c r="K1746">
        <v>0</v>
      </c>
      <c r="L1746">
        <v>1.1599999999999999</v>
      </c>
      <c r="M1746" t="s">
        <v>6220</v>
      </c>
      <c r="N1746">
        <v>34.81</v>
      </c>
      <c r="O1746" t="s">
        <v>1469</v>
      </c>
      <c r="P1746">
        <v>15.24</v>
      </c>
      <c r="Q1746">
        <v>15.06</v>
      </c>
      <c r="R1746">
        <v>15.13</v>
      </c>
      <c r="S1746">
        <v>15.13</v>
      </c>
      <c r="T1746">
        <v>1.19</v>
      </c>
      <c r="U1746">
        <v>0.52</v>
      </c>
      <c r="V1746">
        <v>10.82</v>
      </c>
      <c r="W1746">
        <v>203</v>
      </c>
      <c r="X1746">
        <v>15.17</v>
      </c>
      <c r="Y1746">
        <v>6879</v>
      </c>
      <c r="Z1746">
        <v>8406</v>
      </c>
      <c r="AA1746">
        <v>0.82</v>
      </c>
      <c r="AB1746">
        <v>311</v>
      </c>
      <c r="AC1746">
        <v>113</v>
      </c>
      <c r="AD1746">
        <v>5.07</v>
      </c>
      <c r="AE1746" t="s">
        <v>2618</v>
      </c>
      <c r="AF1746" t="s">
        <v>5533</v>
      </c>
      <c r="AG1746" t="s">
        <v>2646</v>
      </c>
      <c r="AH1746" t="s">
        <v>1063</v>
      </c>
      <c r="AI1746">
        <v>0.33</v>
      </c>
      <c r="AJ1746">
        <v>0.53</v>
      </c>
      <c r="AK1746">
        <v>6.13</v>
      </c>
      <c r="AL1746">
        <v>12.29</v>
      </c>
    </row>
    <row r="1747" spans="1:38" x14ac:dyDescent="0.25">
      <c r="A1747">
        <v>1746</v>
      </c>
      <c r="B1747" t="str">
        <f xml:space="preserve"> "002791"</f>
        <v>002791</v>
      </c>
      <c r="C1747" t="s">
        <v>6221</v>
      </c>
      <c r="D1747">
        <v>22.88</v>
      </c>
      <c r="E1747">
        <v>-1.04</v>
      </c>
      <c r="F1747">
        <v>-0.24</v>
      </c>
      <c r="G1747" t="s">
        <v>1454</v>
      </c>
      <c r="H1747">
        <v>315</v>
      </c>
      <c r="I1747">
        <v>22.88</v>
      </c>
      <c r="J1747">
        <v>22.89</v>
      </c>
      <c r="K1747">
        <v>-0.04</v>
      </c>
      <c r="L1747">
        <v>2.58</v>
      </c>
      <c r="M1747" t="s">
        <v>6222</v>
      </c>
      <c r="N1747">
        <v>36.17</v>
      </c>
      <c r="O1747" t="s">
        <v>1229</v>
      </c>
      <c r="P1747">
        <v>23.12</v>
      </c>
      <c r="Q1747">
        <v>22.6</v>
      </c>
      <c r="R1747">
        <v>23.09</v>
      </c>
      <c r="S1747">
        <v>23.12</v>
      </c>
      <c r="T1747">
        <v>2.25</v>
      </c>
      <c r="U1747">
        <v>1.1100000000000001</v>
      </c>
      <c r="V1747">
        <v>60.48</v>
      </c>
      <c r="W1747">
        <v>525</v>
      </c>
      <c r="X1747">
        <v>22.83</v>
      </c>
      <c r="Y1747" t="s">
        <v>1095</v>
      </c>
      <c r="Z1747">
        <v>8260</v>
      </c>
      <c r="AA1747">
        <v>1.51</v>
      </c>
      <c r="AB1747">
        <v>84</v>
      </c>
      <c r="AC1747">
        <v>8</v>
      </c>
      <c r="AD1747">
        <v>2.91</v>
      </c>
      <c r="AE1747" t="s">
        <v>391</v>
      </c>
      <c r="AF1747" t="s">
        <v>5533</v>
      </c>
      <c r="AG1747" t="s">
        <v>6223</v>
      </c>
      <c r="AH1747" t="s">
        <v>2856</v>
      </c>
      <c r="AI1747">
        <v>-3.01</v>
      </c>
      <c r="AJ1747">
        <v>2.1</v>
      </c>
      <c r="AK1747">
        <v>7.94</v>
      </c>
      <c r="AL1747">
        <v>14.2</v>
      </c>
    </row>
    <row r="1748" spans="1:38" x14ac:dyDescent="0.25">
      <c r="A1748">
        <v>1747</v>
      </c>
      <c r="B1748" t="str">
        <f xml:space="preserve"> "300422"</f>
        <v>300422</v>
      </c>
      <c r="C1748" t="s">
        <v>6224</v>
      </c>
      <c r="D1748">
        <v>20.66</v>
      </c>
      <c r="E1748">
        <v>10.01</v>
      </c>
      <c r="F1748">
        <v>1.88</v>
      </c>
      <c r="G1748" t="s">
        <v>3456</v>
      </c>
      <c r="H1748">
        <v>866</v>
      </c>
      <c r="I1748">
        <v>20.66</v>
      </c>
      <c r="J1748" t="s">
        <v>616</v>
      </c>
      <c r="K1748">
        <v>0</v>
      </c>
      <c r="L1748">
        <v>16.829999999999998</v>
      </c>
      <c r="M1748" t="s">
        <v>6225</v>
      </c>
      <c r="N1748">
        <v>69.430000000000007</v>
      </c>
      <c r="O1748" t="s">
        <v>1155</v>
      </c>
      <c r="P1748">
        <v>20.66</v>
      </c>
      <c r="Q1748">
        <v>18.260000000000002</v>
      </c>
      <c r="R1748">
        <v>18.5</v>
      </c>
      <c r="S1748">
        <v>18.78</v>
      </c>
      <c r="T1748">
        <v>12.78</v>
      </c>
      <c r="U1748">
        <v>4.57</v>
      </c>
      <c r="V1748">
        <v>100</v>
      </c>
      <c r="W1748" t="s">
        <v>3896</v>
      </c>
      <c r="X1748">
        <v>19.809999999999999</v>
      </c>
      <c r="Y1748" t="s">
        <v>1895</v>
      </c>
      <c r="Z1748" t="s">
        <v>1237</v>
      </c>
      <c r="AA1748">
        <v>1.1599999999999999</v>
      </c>
      <c r="AB1748" t="s">
        <v>3483</v>
      </c>
      <c r="AC1748">
        <v>0</v>
      </c>
      <c r="AD1748">
        <v>7.04</v>
      </c>
      <c r="AE1748" t="s">
        <v>5852</v>
      </c>
      <c r="AF1748" t="s">
        <v>5533</v>
      </c>
      <c r="AG1748" t="s">
        <v>2861</v>
      </c>
      <c r="AH1748" t="s">
        <v>1249</v>
      </c>
      <c r="AI1748">
        <v>7.77</v>
      </c>
      <c r="AJ1748">
        <v>12.28</v>
      </c>
      <c r="AK1748">
        <v>24.62</v>
      </c>
      <c r="AL1748">
        <v>35.22</v>
      </c>
    </row>
    <row r="1749" spans="1:38" x14ac:dyDescent="0.25">
      <c r="A1749">
        <v>1748</v>
      </c>
      <c r="B1749" t="str">
        <f xml:space="preserve"> "600552"</f>
        <v>600552</v>
      </c>
      <c r="C1749" t="s">
        <v>6226</v>
      </c>
      <c r="D1749">
        <v>9.58</v>
      </c>
      <c r="E1749">
        <v>-1.64</v>
      </c>
      <c r="F1749">
        <v>-0.16</v>
      </c>
      <c r="G1749" t="s">
        <v>610</v>
      </c>
      <c r="H1749">
        <v>100</v>
      </c>
      <c r="I1749">
        <v>9.59</v>
      </c>
      <c r="J1749">
        <v>9.6</v>
      </c>
      <c r="K1749">
        <v>-0.21</v>
      </c>
      <c r="L1749">
        <v>1.08</v>
      </c>
      <c r="M1749" t="s">
        <v>6227</v>
      </c>
      <c r="N1749">
        <v>104.46</v>
      </c>
      <c r="O1749" t="s">
        <v>859</v>
      </c>
      <c r="P1749">
        <v>9.76</v>
      </c>
      <c r="Q1749">
        <v>9.51</v>
      </c>
      <c r="R1749">
        <v>9.68</v>
      </c>
      <c r="S1749">
        <v>9.74</v>
      </c>
      <c r="T1749">
        <v>2.57</v>
      </c>
      <c r="U1749">
        <v>0.63</v>
      </c>
      <c r="V1749">
        <v>-5.95</v>
      </c>
      <c r="W1749">
        <v>-165</v>
      </c>
      <c r="X1749">
        <v>9.59</v>
      </c>
      <c r="Y1749" t="s">
        <v>72</v>
      </c>
      <c r="Z1749" t="s">
        <v>2032</v>
      </c>
      <c r="AA1749">
        <v>1.28</v>
      </c>
      <c r="AB1749">
        <v>78</v>
      </c>
      <c r="AC1749">
        <v>142</v>
      </c>
      <c r="AD1749">
        <v>3.15</v>
      </c>
      <c r="AE1749" t="s">
        <v>2813</v>
      </c>
      <c r="AF1749" t="s">
        <v>3365</v>
      </c>
      <c r="AG1749" t="s">
        <v>6228</v>
      </c>
      <c r="AH1749" t="s">
        <v>3196</v>
      </c>
      <c r="AI1749">
        <v>-3.33</v>
      </c>
      <c r="AJ1749">
        <v>3.01</v>
      </c>
      <c r="AK1749">
        <v>4.5599999999999996</v>
      </c>
      <c r="AL1749">
        <v>9.56</v>
      </c>
    </row>
    <row r="1750" spans="1:38" x14ac:dyDescent="0.25">
      <c r="A1750">
        <v>1749</v>
      </c>
      <c r="B1750" t="str">
        <f xml:space="preserve"> "300362"</f>
        <v>300362</v>
      </c>
      <c r="C1750" t="s">
        <v>6229</v>
      </c>
      <c r="D1750">
        <v>16.809999999999999</v>
      </c>
      <c r="E1750">
        <v>4.22</v>
      </c>
      <c r="F1750">
        <v>0.68</v>
      </c>
      <c r="G1750" t="s">
        <v>766</v>
      </c>
      <c r="H1750">
        <v>1037</v>
      </c>
      <c r="I1750">
        <v>16.809999999999999</v>
      </c>
      <c r="J1750">
        <v>16.82</v>
      </c>
      <c r="K1750">
        <v>0.06</v>
      </c>
      <c r="L1750">
        <v>9.16</v>
      </c>
      <c r="M1750" t="s">
        <v>4989</v>
      </c>
      <c r="N1750">
        <v>155.53</v>
      </c>
      <c r="O1750" t="s">
        <v>648</v>
      </c>
      <c r="P1750">
        <v>17.5</v>
      </c>
      <c r="Q1750">
        <v>15.96</v>
      </c>
      <c r="R1750">
        <v>16.14</v>
      </c>
      <c r="S1750">
        <v>16.13</v>
      </c>
      <c r="T1750">
        <v>9.5500000000000007</v>
      </c>
      <c r="U1750">
        <v>5.59</v>
      </c>
      <c r="V1750">
        <v>13.25</v>
      </c>
      <c r="W1750">
        <v>203</v>
      </c>
      <c r="X1750">
        <v>16.55</v>
      </c>
      <c r="Y1750" t="s">
        <v>6230</v>
      </c>
      <c r="Z1750" t="s">
        <v>2394</v>
      </c>
      <c r="AA1750">
        <v>0.76</v>
      </c>
      <c r="AB1750">
        <v>328</v>
      </c>
      <c r="AC1750">
        <v>26</v>
      </c>
      <c r="AD1750">
        <v>4.16</v>
      </c>
      <c r="AE1750" t="s">
        <v>6142</v>
      </c>
      <c r="AF1750" t="s">
        <v>3365</v>
      </c>
      <c r="AG1750" t="s">
        <v>3084</v>
      </c>
      <c r="AH1750" t="s">
        <v>4298</v>
      </c>
      <c r="AI1750">
        <v>6.06</v>
      </c>
      <c r="AJ1750">
        <v>6.33</v>
      </c>
      <c r="AK1750">
        <v>14.44</v>
      </c>
      <c r="AL1750">
        <v>17.350000000000001</v>
      </c>
    </row>
    <row r="1751" spans="1:38" x14ac:dyDescent="0.25">
      <c r="A1751">
        <v>1750</v>
      </c>
      <c r="B1751" t="str">
        <f xml:space="preserve"> "000407"</f>
        <v>000407</v>
      </c>
      <c r="C1751" t="s">
        <v>6231</v>
      </c>
      <c r="D1751">
        <v>8.34</v>
      </c>
      <c r="E1751">
        <v>-0.6</v>
      </c>
      <c r="F1751">
        <v>-0.05</v>
      </c>
      <c r="G1751" t="s">
        <v>363</v>
      </c>
      <c r="H1751">
        <v>780</v>
      </c>
      <c r="I1751">
        <v>8.33</v>
      </c>
      <c r="J1751">
        <v>8.34</v>
      </c>
      <c r="K1751">
        <v>0</v>
      </c>
      <c r="L1751">
        <v>1.64</v>
      </c>
      <c r="M1751" t="s">
        <v>6002</v>
      </c>
      <c r="N1751">
        <v>86.24</v>
      </c>
      <c r="O1751" t="s">
        <v>61</v>
      </c>
      <c r="P1751">
        <v>8.44</v>
      </c>
      <c r="Q1751">
        <v>8.2200000000000006</v>
      </c>
      <c r="R1751">
        <v>8.3000000000000007</v>
      </c>
      <c r="S1751">
        <v>8.39</v>
      </c>
      <c r="T1751">
        <v>2.62</v>
      </c>
      <c r="U1751">
        <v>1.33</v>
      </c>
      <c r="V1751">
        <v>26.45</v>
      </c>
      <c r="W1751">
        <v>2063</v>
      </c>
      <c r="X1751">
        <v>8.33</v>
      </c>
      <c r="Y1751" t="s">
        <v>3769</v>
      </c>
      <c r="Z1751" t="s">
        <v>3707</v>
      </c>
      <c r="AA1751">
        <v>1.1499999999999999</v>
      </c>
      <c r="AB1751">
        <v>391</v>
      </c>
      <c r="AC1751">
        <v>720</v>
      </c>
      <c r="AD1751">
        <v>3.4</v>
      </c>
      <c r="AE1751" t="s">
        <v>2969</v>
      </c>
      <c r="AF1751" t="s">
        <v>6232</v>
      </c>
      <c r="AG1751" t="s">
        <v>5781</v>
      </c>
      <c r="AH1751" t="s">
        <v>6233</v>
      </c>
      <c r="AI1751">
        <v>2.96</v>
      </c>
      <c r="AJ1751">
        <v>3.6</v>
      </c>
      <c r="AK1751">
        <v>5.77</v>
      </c>
      <c r="AL1751">
        <v>7.8</v>
      </c>
    </row>
    <row r="1752" spans="1:38" x14ac:dyDescent="0.25">
      <c r="A1752">
        <v>1751</v>
      </c>
      <c r="B1752" t="str">
        <f xml:space="preserve"> "002472"</f>
        <v>002472</v>
      </c>
      <c r="C1752" t="s">
        <v>6234</v>
      </c>
      <c r="D1752">
        <v>10.83</v>
      </c>
      <c r="E1752">
        <v>0.09</v>
      </c>
      <c r="F1752">
        <v>0.01</v>
      </c>
      <c r="G1752" t="s">
        <v>1705</v>
      </c>
      <c r="H1752">
        <v>110</v>
      </c>
      <c r="I1752">
        <v>10.83</v>
      </c>
      <c r="J1752">
        <v>10.84</v>
      </c>
      <c r="K1752">
        <v>0.09</v>
      </c>
      <c r="L1752">
        <v>0.5</v>
      </c>
      <c r="M1752" t="s">
        <v>6235</v>
      </c>
      <c r="N1752">
        <v>32.03</v>
      </c>
      <c r="O1752" t="s">
        <v>648</v>
      </c>
      <c r="P1752">
        <v>10.9</v>
      </c>
      <c r="Q1752">
        <v>10.72</v>
      </c>
      <c r="R1752">
        <v>10.77</v>
      </c>
      <c r="S1752">
        <v>10.82</v>
      </c>
      <c r="T1752">
        <v>1.66</v>
      </c>
      <c r="U1752">
        <v>0.5</v>
      </c>
      <c r="V1752">
        <v>-13.61</v>
      </c>
      <c r="W1752">
        <v>-236</v>
      </c>
      <c r="X1752">
        <v>10.84</v>
      </c>
      <c r="Y1752" t="s">
        <v>2551</v>
      </c>
      <c r="Z1752" t="s">
        <v>480</v>
      </c>
      <c r="AA1752">
        <v>1.04</v>
      </c>
      <c r="AB1752">
        <v>1</v>
      </c>
      <c r="AC1752">
        <v>100</v>
      </c>
      <c r="AD1752">
        <v>2.42</v>
      </c>
      <c r="AE1752" t="s">
        <v>6236</v>
      </c>
      <c r="AF1752" t="s">
        <v>3576</v>
      </c>
      <c r="AG1752" t="s">
        <v>2024</v>
      </c>
      <c r="AH1752" t="s">
        <v>1562</v>
      </c>
      <c r="AI1752">
        <v>-3.3</v>
      </c>
      <c r="AJ1752">
        <v>0.74</v>
      </c>
      <c r="AK1752">
        <v>2.41</v>
      </c>
      <c r="AL1752">
        <v>5.55</v>
      </c>
    </row>
    <row r="1753" spans="1:38" x14ac:dyDescent="0.25">
      <c r="A1753">
        <v>1752</v>
      </c>
      <c r="B1753" t="str">
        <f xml:space="preserve"> "601028"</f>
        <v>601028</v>
      </c>
      <c r="C1753" t="s">
        <v>6237</v>
      </c>
      <c r="D1753">
        <v>9.35</v>
      </c>
      <c r="E1753">
        <v>0.32</v>
      </c>
      <c r="F1753">
        <v>0.03</v>
      </c>
      <c r="G1753" t="s">
        <v>3603</v>
      </c>
      <c r="H1753">
        <v>99</v>
      </c>
      <c r="I1753">
        <v>9.33</v>
      </c>
      <c r="J1753">
        <v>9.35</v>
      </c>
      <c r="K1753">
        <v>0.21</v>
      </c>
      <c r="L1753">
        <v>0.22</v>
      </c>
      <c r="M1753" t="s">
        <v>6238</v>
      </c>
      <c r="N1753">
        <v>-13926.51</v>
      </c>
      <c r="O1753" t="s">
        <v>1229</v>
      </c>
      <c r="P1753">
        <v>9.35</v>
      </c>
      <c r="Q1753">
        <v>9.26</v>
      </c>
      <c r="R1753">
        <v>9.3000000000000007</v>
      </c>
      <c r="S1753">
        <v>9.32</v>
      </c>
      <c r="T1753">
        <v>0.97</v>
      </c>
      <c r="U1753">
        <v>0.86</v>
      </c>
      <c r="V1753">
        <v>4.1900000000000004</v>
      </c>
      <c r="W1753">
        <v>87</v>
      </c>
      <c r="X1753">
        <v>9.3000000000000007</v>
      </c>
      <c r="Y1753">
        <v>9108</v>
      </c>
      <c r="Z1753">
        <v>8378</v>
      </c>
      <c r="AA1753">
        <v>1.0900000000000001</v>
      </c>
      <c r="AB1753">
        <v>108</v>
      </c>
      <c r="AC1753">
        <v>230</v>
      </c>
      <c r="AD1753">
        <v>3.76</v>
      </c>
      <c r="AE1753" t="s">
        <v>1091</v>
      </c>
      <c r="AF1753" t="s">
        <v>379</v>
      </c>
      <c r="AG1753" t="s">
        <v>1091</v>
      </c>
      <c r="AH1753" t="s">
        <v>379</v>
      </c>
      <c r="AI1753">
        <v>-1.1599999999999999</v>
      </c>
      <c r="AJ1753">
        <v>0.43</v>
      </c>
      <c r="AK1753">
        <v>0.72</v>
      </c>
      <c r="AL1753">
        <v>1.52</v>
      </c>
    </row>
    <row r="1754" spans="1:38" x14ac:dyDescent="0.25">
      <c r="A1754">
        <v>1753</v>
      </c>
      <c r="B1754" t="str">
        <f xml:space="preserve"> "600289"</f>
        <v>600289</v>
      </c>
      <c r="C1754" t="s">
        <v>6239</v>
      </c>
      <c r="D1754" t="s">
        <v>616</v>
      </c>
      <c r="E1754" t="s">
        <v>616</v>
      </c>
      <c r="F1754" t="s">
        <v>616</v>
      </c>
      <c r="G1754" t="s">
        <v>616</v>
      </c>
      <c r="H1754" t="s">
        <v>616</v>
      </c>
      <c r="I1754" t="s">
        <v>616</v>
      </c>
      <c r="J1754" t="s">
        <v>616</v>
      </c>
      <c r="K1754" t="s">
        <v>616</v>
      </c>
      <c r="L1754" t="s">
        <v>616</v>
      </c>
      <c r="M1754" t="s">
        <v>616</v>
      </c>
      <c r="N1754">
        <v>144.36000000000001</v>
      </c>
      <c r="O1754" t="s">
        <v>893</v>
      </c>
      <c r="P1754" t="s">
        <v>616</v>
      </c>
      <c r="Q1754" t="s">
        <v>616</v>
      </c>
      <c r="R1754" t="s">
        <v>616</v>
      </c>
      <c r="S1754">
        <v>11.59</v>
      </c>
      <c r="T1754" t="s">
        <v>616</v>
      </c>
      <c r="U1754" t="s">
        <v>616</v>
      </c>
      <c r="V1754" t="s">
        <v>616</v>
      </c>
      <c r="W1754" t="s">
        <v>616</v>
      </c>
      <c r="X1754" t="s">
        <v>616</v>
      </c>
      <c r="Y1754" t="s">
        <v>616</v>
      </c>
      <c r="Z1754" t="s">
        <v>616</v>
      </c>
      <c r="AA1754" t="s">
        <v>616</v>
      </c>
      <c r="AB1754" t="s">
        <v>616</v>
      </c>
      <c r="AC1754" t="s">
        <v>616</v>
      </c>
      <c r="AD1754">
        <v>2.2799999999999998</v>
      </c>
      <c r="AE1754" t="s">
        <v>3792</v>
      </c>
      <c r="AF1754" t="s">
        <v>6240</v>
      </c>
      <c r="AG1754" t="s">
        <v>3239</v>
      </c>
      <c r="AH1754" t="s">
        <v>6241</v>
      </c>
      <c r="AI1754">
        <v>0</v>
      </c>
      <c r="AJ1754">
        <v>0</v>
      </c>
      <c r="AK1754">
        <v>0</v>
      </c>
      <c r="AL1754">
        <v>0</v>
      </c>
    </row>
    <row r="1755" spans="1:38" x14ac:dyDescent="0.25">
      <c r="A1755">
        <v>1754</v>
      </c>
      <c r="B1755" t="str">
        <f xml:space="preserve"> "000836"</f>
        <v>000836</v>
      </c>
      <c r="C1755" t="s">
        <v>6242</v>
      </c>
      <c r="D1755" t="s">
        <v>616</v>
      </c>
      <c r="E1755" t="s">
        <v>616</v>
      </c>
      <c r="F1755" t="s">
        <v>616</v>
      </c>
      <c r="G1755" t="s">
        <v>616</v>
      </c>
      <c r="H1755" t="s">
        <v>616</v>
      </c>
      <c r="I1755" t="s">
        <v>616</v>
      </c>
      <c r="J1755" t="s">
        <v>616</v>
      </c>
      <c r="K1755" t="s">
        <v>616</v>
      </c>
      <c r="L1755" t="s">
        <v>616</v>
      </c>
      <c r="M1755" t="s">
        <v>616</v>
      </c>
      <c r="N1755">
        <v>78.11</v>
      </c>
      <c r="O1755" t="s">
        <v>205</v>
      </c>
      <c r="P1755" t="s">
        <v>616</v>
      </c>
      <c r="Q1755" t="s">
        <v>616</v>
      </c>
      <c r="R1755" t="s">
        <v>616</v>
      </c>
      <c r="S1755">
        <v>6.05</v>
      </c>
      <c r="T1755" t="s">
        <v>616</v>
      </c>
      <c r="U1755" t="s">
        <v>616</v>
      </c>
      <c r="V1755" t="s">
        <v>616</v>
      </c>
      <c r="W1755" t="s">
        <v>616</v>
      </c>
      <c r="X1755" t="s">
        <v>616</v>
      </c>
      <c r="Y1755" t="s">
        <v>616</v>
      </c>
      <c r="Z1755" t="s">
        <v>616</v>
      </c>
      <c r="AA1755" t="s">
        <v>616</v>
      </c>
      <c r="AB1755" t="s">
        <v>616</v>
      </c>
      <c r="AC1755" t="s">
        <v>616</v>
      </c>
      <c r="AD1755">
        <v>4.2300000000000004</v>
      </c>
      <c r="AE1755" t="s">
        <v>2071</v>
      </c>
      <c r="AF1755" t="s">
        <v>6240</v>
      </c>
      <c r="AG1755" t="s">
        <v>896</v>
      </c>
      <c r="AH1755" t="s">
        <v>461</v>
      </c>
      <c r="AI1755">
        <v>0</v>
      </c>
      <c r="AJ1755">
        <v>0</v>
      </c>
      <c r="AK1755">
        <v>0</v>
      </c>
      <c r="AL1755">
        <v>0</v>
      </c>
    </row>
    <row r="1756" spans="1:38" x14ac:dyDescent="0.25">
      <c r="A1756">
        <v>1755</v>
      </c>
      <c r="B1756" t="str">
        <f xml:space="preserve"> "600973"</f>
        <v>600973</v>
      </c>
      <c r="C1756" t="s">
        <v>6243</v>
      </c>
      <c r="D1756">
        <v>5.98</v>
      </c>
      <c r="E1756">
        <v>-1.32</v>
      </c>
      <c r="F1756">
        <v>-0.08</v>
      </c>
      <c r="G1756" t="s">
        <v>689</v>
      </c>
      <c r="H1756">
        <v>66</v>
      </c>
      <c r="I1756">
        <v>5.98</v>
      </c>
      <c r="J1756">
        <v>5.99</v>
      </c>
      <c r="K1756">
        <v>0</v>
      </c>
      <c r="L1756">
        <v>1.59</v>
      </c>
      <c r="M1756" t="s">
        <v>6244</v>
      </c>
      <c r="N1756">
        <v>53.24</v>
      </c>
      <c r="O1756" t="s">
        <v>680</v>
      </c>
      <c r="P1756">
        <v>6.04</v>
      </c>
      <c r="Q1756">
        <v>5.9</v>
      </c>
      <c r="R1756">
        <v>6</v>
      </c>
      <c r="S1756">
        <v>6.06</v>
      </c>
      <c r="T1756">
        <v>2.31</v>
      </c>
      <c r="U1756">
        <v>0.99</v>
      </c>
      <c r="V1756">
        <v>45.19</v>
      </c>
      <c r="W1756">
        <v>3112</v>
      </c>
      <c r="X1756">
        <v>5.97</v>
      </c>
      <c r="Y1756" t="s">
        <v>1427</v>
      </c>
      <c r="Z1756" t="s">
        <v>5742</v>
      </c>
      <c r="AA1756">
        <v>1.37</v>
      </c>
      <c r="AB1756">
        <v>176</v>
      </c>
      <c r="AC1756">
        <v>1</v>
      </c>
      <c r="AD1756">
        <v>2.0299999999999998</v>
      </c>
      <c r="AE1756" t="s">
        <v>1115</v>
      </c>
      <c r="AF1756" t="s">
        <v>6240</v>
      </c>
      <c r="AG1756" t="s">
        <v>243</v>
      </c>
      <c r="AH1756" t="s">
        <v>2160</v>
      </c>
      <c r="AI1756">
        <v>5.0999999999999996</v>
      </c>
      <c r="AJ1756">
        <v>5.47</v>
      </c>
      <c r="AK1756">
        <v>7.6</v>
      </c>
      <c r="AL1756">
        <v>9.6300000000000008</v>
      </c>
    </row>
    <row r="1757" spans="1:38" x14ac:dyDescent="0.25">
      <c r="A1757">
        <v>1756</v>
      </c>
      <c r="B1757" t="str">
        <f xml:space="preserve"> "300510"</f>
        <v>300510</v>
      </c>
      <c r="C1757" t="s">
        <v>6245</v>
      </c>
      <c r="D1757">
        <v>32.29</v>
      </c>
      <c r="E1757">
        <v>-0.92</v>
      </c>
      <c r="F1757">
        <v>-0.3</v>
      </c>
      <c r="G1757" t="s">
        <v>2754</v>
      </c>
      <c r="H1757">
        <v>911</v>
      </c>
      <c r="I1757">
        <v>32.29</v>
      </c>
      <c r="J1757">
        <v>32.299999999999997</v>
      </c>
      <c r="K1757">
        <v>-0.06</v>
      </c>
      <c r="L1757">
        <v>3.72</v>
      </c>
      <c r="M1757" t="s">
        <v>6246</v>
      </c>
      <c r="N1757">
        <v>113.37</v>
      </c>
      <c r="O1757" t="s">
        <v>680</v>
      </c>
      <c r="P1757">
        <v>32.979999999999997</v>
      </c>
      <c r="Q1757">
        <v>32.130000000000003</v>
      </c>
      <c r="R1757">
        <v>32.68</v>
      </c>
      <c r="S1757">
        <v>32.590000000000003</v>
      </c>
      <c r="T1757">
        <v>2.61</v>
      </c>
      <c r="U1757">
        <v>0.48</v>
      </c>
      <c r="V1757">
        <v>3.18</v>
      </c>
      <c r="W1757">
        <v>27</v>
      </c>
      <c r="X1757">
        <v>32.39</v>
      </c>
      <c r="Y1757" t="s">
        <v>3590</v>
      </c>
      <c r="Z1757" t="s">
        <v>1411</v>
      </c>
      <c r="AA1757">
        <v>1.49</v>
      </c>
      <c r="AB1757">
        <v>385</v>
      </c>
      <c r="AC1757">
        <v>155</v>
      </c>
      <c r="AD1757">
        <v>3.29</v>
      </c>
      <c r="AE1757" t="s">
        <v>2942</v>
      </c>
      <c r="AF1757" t="s">
        <v>6240</v>
      </c>
      <c r="AG1757" t="s">
        <v>6247</v>
      </c>
      <c r="AH1757" t="s">
        <v>1184</v>
      </c>
      <c r="AI1757">
        <v>-2.8</v>
      </c>
      <c r="AJ1757">
        <v>10.050000000000001</v>
      </c>
      <c r="AK1757">
        <v>19.239999999999998</v>
      </c>
      <c r="AL1757">
        <v>42.62</v>
      </c>
    </row>
    <row r="1758" spans="1:38" x14ac:dyDescent="0.25">
      <c r="A1758">
        <v>1757</v>
      </c>
      <c r="B1758" t="str">
        <f xml:space="preserve"> "600551"</f>
        <v>600551</v>
      </c>
      <c r="C1758" t="s">
        <v>6248</v>
      </c>
      <c r="D1758">
        <v>14.44</v>
      </c>
      <c r="E1758">
        <v>-0.14000000000000001</v>
      </c>
      <c r="F1758">
        <v>-0.02</v>
      </c>
      <c r="G1758" t="s">
        <v>87</v>
      </c>
      <c r="H1758">
        <v>19</v>
      </c>
      <c r="I1758">
        <v>14.43</v>
      </c>
      <c r="J1758">
        <v>14.44</v>
      </c>
      <c r="K1758">
        <v>0.21</v>
      </c>
      <c r="L1758">
        <v>0.49</v>
      </c>
      <c r="M1758" t="s">
        <v>6249</v>
      </c>
      <c r="N1758">
        <v>23.85</v>
      </c>
      <c r="O1758" t="s">
        <v>1126</v>
      </c>
      <c r="P1758">
        <v>14.52</v>
      </c>
      <c r="Q1758">
        <v>14.39</v>
      </c>
      <c r="R1758">
        <v>14.51</v>
      </c>
      <c r="S1758">
        <v>14.46</v>
      </c>
      <c r="T1758">
        <v>0.9</v>
      </c>
      <c r="U1758">
        <v>0.69</v>
      </c>
      <c r="V1758">
        <v>34.869999999999997</v>
      </c>
      <c r="W1758">
        <v>1096</v>
      </c>
      <c r="X1758">
        <v>14.43</v>
      </c>
      <c r="Y1758" t="s">
        <v>4237</v>
      </c>
      <c r="Z1758">
        <v>9462</v>
      </c>
      <c r="AA1758">
        <v>1.64</v>
      </c>
      <c r="AB1758">
        <v>54</v>
      </c>
      <c r="AC1758">
        <v>10</v>
      </c>
      <c r="AD1758">
        <v>1.48</v>
      </c>
      <c r="AE1758" t="s">
        <v>5730</v>
      </c>
      <c r="AF1758" t="s">
        <v>6250</v>
      </c>
      <c r="AG1758" t="s">
        <v>5730</v>
      </c>
      <c r="AH1758" t="s">
        <v>6250</v>
      </c>
      <c r="AI1758">
        <v>-0.42</v>
      </c>
      <c r="AJ1758">
        <v>2.91</v>
      </c>
      <c r="AK1758">
        <v>1.89</v>
      </c>
      <c r="AL1758">
        <v>2.91</v>
      </c>
    </row>
    <row r="1759" spans="1:38" x14ac:dyDescent="0.25">
      <c r="A1759">
        <v>1758</v>
      </c>
      <c r="B1759" t="str">
        <f xml:space="preserve"> "300311"</f>
        <v>300311</v>
      </c>
      <c r="C1759" t="s">
        <v>6251</v>
      </c>
      <c r="D1759">
        <v>16.28</v>
      </c>
      <c r="E1759">
        <v>0.99</v>
      </c>
      <c r="F1759">
        <v>0.16</v>
      </c>
      <c r="G1759" t="s">
        <v>2110</v>
      </c>
      <c r="H1759">
        <v>1943</v>
      </c>
      <c r="I1759">
        <v>16.28</v>
      </c>
      <c r="J1759">
        <v>16.29</v>
      </c>
      <c r="K1759">
        <v>-0.06</v>
      </c>
      <c r="L1759">
        <v>3.06</v>
      </c>
      <c r="M1759" t="s">
        <v>2827</v>
      </c>
      <c r="N1759">
        <v>79.400000000000006</v>
      </c>
      <c r="O1759" t="s">
        <v>893</v>
      </c>
      <c r="P1759">
        <v>16.32</v>
      </c>
      <c r="Q1759">
        <v>15.91</v>
      </c>
      <c r="R1759">
        <v>16.079999999999998</v>
      </c>
      <c r="S1759">
        <v>16.12</v>
      </c>
      <c r="T1759">
        <v>2.54</v>
      </c>
      <c r="U1759">
        <v>1.04</v>
      </c>
      <c r="V1759">
        <v>-23.67</v>
      </c>
      <c r="W1759">
        <v>-1695</v>
      </c>
      <c r="X1759">
        <v>16.170000000000002</v>
      </c>
      <c r="Y1759" t="s">
        <v>3189</v>
      </c>
      <c r="Z1759" t="s">
        <v>3702</v>
      </c>
      <c r="AA1759">
        <v>0.82</v>
      </c>
      <c r="AB1759">
        <v>1813</v>
      </c>
      <c r="AC1759">
        <v>1126</v>
      </c>
      <c r="AD1759">
        <v>5.74</v>
      </c>
      <c r="AE1759" t="s">
        <v>4457</v>
      </c>
      <c r="AF1759" t="s">
        <v>1486</v>
      </c>
      <c r="AG1759" t="s">
        <v>6252</v>
      </c>
      <c r="AH1759" t="s">
        <v>1829</v>
      </c>
      <c r="AI1759">
        <v>-0.37</v>
      </c>
      <c r="AJ1759">
        <v>3.76</v>
      </c>
      <c r="AK1759">
        <v>8.68</v>
      </c>
      <c r="AL1759">
        <v>17.73</v>
      </c>
    </row>
    <row r="1760" spans="1:38" x14ac:dyDescent="0.25">
      <c r="A1760">
        <v>1759</v>
      </c>
      <c r="B1760" t="str">
        <f xml:space="preserve"> "002318"</f>
        <v>002318</v>
      </c>
      <c r="C1760" t="s">
        <v>6253</v>
      </c>
      <c r="D1760">
        <v>8.66</v>
      </c>
      <c r="E1760">
        <v>0.35</v>
      </c>
      <c r="F1760">
        <v>0.03</v>
      </c>
      <c r="G1760" t="s">
        <v>3481</v>
      </c>
      <c r="H1760">
        <v>772</v>
      </c>
      <c r="I1760">
        <v>8.65</v>
      </c>
      <c r="J1760">
        <v>8.66</v>
      </c>
      <c r="K1760">
        <v>0.12</v>
      </c>
      <c r="L1760">
        <v>0.64</v>
      </c>
      <c r="M1760" t="s">
        <v>6254</v>
      </c>
      <c r="N1760">
        <v>54.61</v>
      </c>
      <c r="O1760" t="s">
        <v>416</v>
      </c>
      <c r="P1760">
        <v>8.68</v>
      </c>
      <c r="Q1760">
        <v>8.56</v>
      </c>
      <c r="R1760">
        <v>8.6300000000000008</v>
      </c>
      <c r="S1760">
        <v>8.6300000000000008</v>
      </c>
      <c r="T1760">
        <v>1.39</v>
      </c>
      <c r="U1760">
        <v>0.6</v>
      </c>
      <c r="V1760">
        <v>-33.659999999999997</v>
      </c>
      <c r="W1760">
        <v>-2648</v>
      </c>
      <c r="X1760">
        <v>8.6300000000000008</v>
      </c>
      <c r="Y1760" t="s">
        <v>2846</v>
      </c>
      <c r="Z1760" t="s">
        <v>1509</v>
      </c>
      <c r="AA1760">
        <v>1.05</v>
      </c>
      <c r="AB1760">
        <v>1003</v>
      </c>
      <c r="AC1760">
        <v>579</v>
      </c>
      <c r="AD1760">
        <v>2.77</v>
      </c>
      <c r="AE1760" t="s">
        <v>5429</v>
      </c>
      <c r="AF1760" t="s">
        <v>1486</v>
      </c>
      <c r="AG1760" t="s">
        <v>2895</v>
      </c>
      <c r="AH1760" t="s">
        <v>4629</v>
      </c>
      <c r="AI1760">
        <v>-1.37</v>
      </c>
      <c r="AJ1760">
        <v>0</v>
      </c>
      <c r="AK1760">
        <v>2.52</v>
      </c>
      <c r="AL1760">
        <v>6.06</v>
      </c>
    </row>
    <row r="1761" spans="1:38" x14ac:dyDescent="0.25">
      <c r="A1761">
        <v>1760</v>
      </c>
      <c r="B1761" t="str">
        <f xml:space="preserve"> "603385"</f>
        <v>603385</v>
      </c>
      <c r="C1761" t="s">
        <v>6255</v>
      </c>
      <c r="D1761">
        <v>25.64</v>
      </c>
      <c r="E1761">
        <v>1.5</v>
      </c>
      <c r="F1761">
        <v>0.38</v>
      </c>
      <c r="G1761" t="s">
        <v>1500</v>
      </c>
      <c r="H1761">
        <v>10</v>
      </c>
      <c r="I1761">
        <v>25.64</v>
      </c>
      <c r="J1761">
        <v>25.65</v>
      </c>
      <c r="K1761">
        <v>-0.04</v>
      </c>
      <c r="L1761">
        <v>4.1500000000000004</v>
      </c>
      <c r="M1761" t="s">
        <v>6256</v>
      </c>
      <c r="N1761">
        <v>33.53</v>
      </c>
      <c r="O1761" t="s">
        <v>2309</v>
      </c>
      <c r="P1761">
        <v>25.7</v>
      </c>
      <c r="Q1761">
        <v>25.23</v>
      </c>
      <c r="R1761">
        <v>25.33</v>
      </c>
      <c r="S1761">
        <v>25.26</v>
      </c>
      <c r="T1761">
        <v>1.86</v>
      </c>
      <c r="U1761">
        <v>1.01</v>
      </c>
      <c r="V1761">
        <v>-20.9</v>
      </c>
      <c r="W1761">
        <v>-287</v>
      </c>
      <c r="X1761">
        <v>25.54</v>
      </c>
      <c r="Y1761" t="s">
        <v>3041</v>
      </c>
      <c r="Z1761" t="s">
        <v>899</v>
      </c>
      <c r="AA1761">
        <v>0.57999999999999996</v>
      </c>
      <c r="AB1761">
        <v>21</v>
      </c>
      <c r="AC1761">
        <v>142</v>
      </c>
      <c r="AD1761">
        <v>2.5299999999999998</v>
      </c>
      <c r="AE1761" t="s">
        <v>4870</v>
      </c>
      <c r="AF1761" t="s">
        <v>1486</v>
      </c>
      <c r="AG1761" t="s">
        <v>6257</v>
      </c>
      <c r="AH1761" t="s">
        <v>3289</v>
      </c>
      <c r="AI1761">
        <v>-0.12</v>
      </c>
      <c r="AJ1761">
        <v>4.95</v>
      </c>
      <c r="AK1761">
        <v>11.7</v>
      </c>
      <c r="AL1761">
        <v>24.67</v>
      </c>
    </row>
    <row r="1762" spans="1:38" x14ac:dyDescent="0.25">
      <c r="A1762">
        <v>1761</v>
      </c>
      <c r="B1762" t="str">
        <f xml:space="preserve"> "300595"</f>
        <v>300595</v>
      </c>
      <c r="C1762" t="s">
        <v>6258</v>
      </c>
      <c r="D1762">
        <v>59.5</v>
      </c>
      <c r="E1762">
        <v>3.68</v>
      </c>
      <c r="F1762">
        <v>2.11</v>
      </c>
      <c r="G1762" t="s">
        <v>2551</v>
      </c>
      <c r="H1762">
        <v>246</v>
      </c>
      <c r="I1762">
        <v>59.5</v>
      </c>
      <c r="J1762">
        <v>59.55</v>
      </c>
      <c r="K1762">
        <v>0</v>
      </c>
      <c r="L1762">
        <v>4.5199999999999996</v>
      </c>
      <c r="M1762" t="s">
        <v>6259</v>
      </c>
      <c r="N1762">
        <v>62.31</v>
      </c>
      <c r="O1762" t="s">
        <v>2647</v>
      </c>
      <c r="P1762">
        <v>59.68</v>
      </c>
      <c r="Q1762">
        <v>57.07</v>
      </c>
      <c r="R1762">
        <v>57.39</v>
      </c>
      <c r="S1762">
        <v>57.39</v>
      </c>
      <c r="T1762">
        <v>4.55</v>
      </c>
      <c r="U1762">
        <v>1.22</v>
      </c>
      <c r="V1762">
        <v>75.400000000000006</v>
      </c>
      <c r="W1762">
        <v>356</v>
      </c>
      <c r="X1762">
        <v>58.92</v>
      </c>
      <c r="Y1762">
        <v>5803</v>
      </c>
      <c r="Z1762">
        <v>8035</v>
      </c>
      <c r="AA1762">
        <v>0.72</v>
      </c>
      <c r="AB1762">
        <v>284</v>
      </c>
      <c r="AC1762">
        <v>35</v>
      </c>
      <c r="AD1762">
        <v>10.28</v>
      </c>
      <c r="AE1762" t="s">
        <v>943</v>
      </c>
      <c r="AF1762" t="s">
        <v>5940</v>
      </c>
      <c r="AG1762" t="s">
        <v>6260</v>
      </c>
      <c r="AH1762" t="s">
        <v>3289</v>
      </c>
      <c r="AI1762">
        <v>4.96</v>
      </c>
      <c r="AJ1762">
        <v>12.65</v>
      </c>
      <c r="AK1762">
        <v>15.43</v>
      </c>
      <c r="AL1762">
        <v>23</v>
      </c>
    </row>
    <row r="1763" spans="1:38" x14ac:dyDescent="0.25">
      <c r="A1763">
        <v>1762</v>
      </c>
      <c r="B1763" t="str">
        <f xml:space="preserve"> "603737"</f>
        <v>603737</v>
      </c>
      <c r="C1763" t="s">
        <v>6261</v>
      </c>
      <c r="D1763">
        <v>72.819999999999993</v>
      </c>
      <c r="E1763">
        <v>7.09</v>
      </c>
      <c r="F1763">
        <v>4.82</v>
      </c>
      <c r="G1763" t="s">
        <v>3357</v>
      </c>
      <c r="H1763">
        <v>2</v>
      </c>
      <c r="I1763">
        <v>73.010000000000005</v>
      </c>
      <c r="J1763">
        <v>73.03</v>
      </c>
      <c r="K1763">
        <v>0.61</v>
      </c>
      <c r="L1763">
        <v>8.23</v>
      </c>
      <c r="M1763" t="s">
        <v>2715</v>
      </c>
      <c r="N1763">
        <v>60.64</v>
      </c>
      <c r="O1763" t="s">
        <v>667</v>
      </c>
      <c r="P1763">
        <v>74.45</v>
      </c>
      <c r="Q1763">
        <v>68.2</v>
      </c>
      <c r="R1763">
        <v>68.2</v>
      </c>
      <c r="S1763">
        <v>68</v>
      </c>
      <c r="T1763">
        <v>9.19</v>
      </c>
      <c r="U1763">
        <v>5.76</v>
      </c>
      <c r="V1763">
        <v>29.27</v>
      </c>
      <c r="W1763">
        <v>24</v>
      </c>
      <c r="X1763">
        <v>72.760000000000005</v>
      </c>
      <c r="Y1763" t="s">
        <v>2284</v>
      </c>
      <c r="Z1763" t="s">
        <v>1732</v>
      </c>
      <c r="AA1763">
        <v>0.71</v>
      </c>
      <c r="AB1763">
        <v>1</v>
      </c>
      <c r="AC1763">
        <v>16</v>
      </c>
      <c r="AD1763">
        <v>7.09</v>
      </c>
      <c r="AE1763" t="s">
        <v>4464</v>
      </c>
      <c r="AF1763" t="s">
        <v>5940</v>
      </c>
      <c r="AG1763" t="s">
        <v>3409</v>
      </c>
      <c r="AH1763" t="s">
        <v>662</v>
      </c>
      <c r="AI1763">
        <v>10.64</v>
      </c>
      <c r="AJ1763">
        <v>12.6</v>
      </c>
      <c r="AK1763">
        <v>11.81</v>
      </c>
      <c r="AL1763">
        <v>15.38</v>
      </c>
    </row>
    <row r="1764" spans="1:38" x14ac:dyDescent="0.25">
      <c r="A1764">
        <v>1763</v>
      </c>
      <c r="B1764" t="str">
        <f xml:space="preserve"> "000410"</f>
        <v>000410</v>
      </c>
      <c r="C1764" t="s">
        <v>6262</v>
      </c>
      <c r="D1764">
        <v>9.51</v>
      </c>
      <c r="E1764">
        <v>1.82</v>
      </c>
      <c r="F1764">
        <v>0.17</v>
      </c>
      <c r="G1764" t="s">
        <v>991</v>
      </c>
      <c r="H1764">
        <v>1515</v>
      </c>
      <c r="I1764">
        <v>9.5</v>
      </c>
      <c r="J1764">
        <v>9.51</v>
      </c>
      <c r="K1764">
        <v>0.11</v>
      </c>
      <c r="L1764">
        <v>1.43</v>
      </c>
      <c r="M1764" t="s">
        <v>4464</v>
      </c>
      <c r="N1764">
        <v>-7.32</v>
      </c>
      <c r="O1764" t="s">
        <v>648</v>
      </c>
      <c r="P1764">
        <v>9.6</v>
      </c>
      <c r="Q1764">
        <v>9.31</v>
      </c>
      <c r="R1764">
        <v>9.3800000000000008</v>
      </c>
      <c r="S1764">
        <v>9.34</v>
      </c>
      <c r="T1764">
        <v>3.1</v>
      </c>
      <c r="U1764">
        <v>1.89</v>
      </c>
      <c r="V1764">
        <v>-8.07</v>
      </c>
      <c r="W1764">
        <v>-486</v>
      </c>
      <c r="X1764">
        <v>9.48</v>
      </c>
      <c r="Y1764" t="s">
        <v>1743</v>
      </c>
      <c r="Z1764" t="s">
        <v>936</v>
      </c>
      <c r="AA1764">
        <v>0.55000000000000004</v>
      </c>
      <c r="AB1764">
        <v>237</v>
      </c>
      <c r="AC1764">
        <v>234</v>
      </c>
      <c r="AD1764">
        <v>44.63</v>
      </c>
      <c r="AE1764" t="s">
        <v>6263</v>
      </c>
      <c r="AF1764" t="s">
        <v>5940</v>
      </c>
      <c r="AG1764" t="s">
        <v>415</v>
      </c>
      <c r="AH1764" t="s">
        <v>4931</v>
      </c>
      <c r="AI1764">
        <v>5.9</v>
      </c>
      <c r="AJ1764">
        <v>8.56</v>
      </c>
      <c r="AK1764">
        <v>3.61</v>
      </c>
      <c r="AL1764">
        <v>5.22</v>
      </c>
    </row>
    <row r="1765" spans="1:38" x14ac:dyDescent="0.25">
      <c r="A1765">
        <v>1764</v>
      </c>
      <c r="B1765" t="str">
        <f xml:space="preserve"> "000534"</f>
        <v>000534</v>
      </c>
      <c r="C1765" t="s">
        <v>6264</v>
      </c>
      <c r="D1765">
        <v>14.78</v>
      </c>
      <c r="E1765">
        <v>0.27</v>
      </c>
      <c r="F1765">
        <v>0.04</v>
      </c>
      <c r="G1765">
        <v>8867</v>
      </c>
      <c r="H1765">
        <v>510</v>
      </c>
      <c r="I1765">
        <v>14.77</v>
      </c>
      <c r="J1765">
        <v>14.78</v>
      </c>
      <c r="K1765">
        <v>7.0000000000000007E-2</v>
      </c>
      <c r="L1765">
        <v>0.18</v>
      </c>
      <c r="M1765" t="s">
        <v>6265</v>
      </c>
      <c r="N1765">
        <v>415.11</v>
      </c>
      <c r="O1765" t="s">
        <v>244</v>
      </c>
      <c r="P1765">
        <v>14.9</v>
      </c>
      <c r="Q1765">
        <v>14.62</v>
      </c>
      <c r="R1765">
        <v>14.85</v>
      </c>
      <c r="S1765">
        <v>14.74</v>
      </c>
      <c r="T1765">
        <v>1.9</v>
      </c>
      <c r="U1765">
        <v>0.62</v>
      </c>
      <c r="V1765">
        <v>40.67</v>
      </c>
      <c r="W1765">
        <v>554</v>
      </c>
      <c r="X1765">
        <v>14.77</v>
      </c>
      <c r="Y1765">
        <v>4832</v>
      </c>
      <c r="Z1765">
        <v>4035</v>
      </c>
      <c r="AA1765">
        <v>1.2</v>
      </c>
      <c r="AB1765">
        <v>780</v>
      </c>
      <c r="AC1765">
        <v>95</v>
      </c>
      <c r="AD1765">
        <v>5.29</v>
      </c>
      <c r="AE1765" t="s">
        <v>2349</v>
      </c>
      <c r="AF1765" t="s">
        <v>4883</v>
      </c>
      <c r="AG1765" t="s">
        <v>3800</v>
      </c>
      <c r="AH1765" t="s">
        <v>210</v>
      </c>
      <c r="AI1765">
        <v>-0.87</v>
      </c>
      <c r="AJ1765">
        <v>-0.94</v>
      </c>
      <c r="AK1765">
        <v>0.77</v>
      </c>
      <c r="AL1765">
        <v>1.64</v>
      </c>
    </row>
    <row r="1766" spans="1:38" x14ac:dyDescent="0.25">
      <c r="A1766">
        <v>1765</v>
      </c>
      <c r="B1766" t="str">
        <f xml:space="preserve"> "002409"</f>
        <v>002409</v>
      </c>
      <c r="C1766" t="s">
        <v>6266</v>
      </c>
      <c r="D1766" t="s">
        <v>616</v>
      </c>
      <c r="E1766" t="s">
        <v>616</v>
      </c>
      <c r="F1766" t="s">
        <v>616</v>
      </c>
      <c r="G1766" t="s">
        <v>616</v>
      </c>
      <c r="H1766" t="s">
        <v>616</v>
      </c>
      <c r="I1766" t="s">
        <v>616</v>
      </c>
      <c r="J1766" t="s">
        <v>616</v>
      </c>
      <c r="K1766" t="s">
        <v>616</v>
      </c>
      <c r="L1766" t="s">
        <v>616</v>
      </c>
      <c r="M1766" t="s">
        <v>616</v>
      </c>
      <c r="N1766">
        <v>85.2</v>
      </c>
      <c r="O1766" t="s">
        <v>667</v>
      </c>
      <c r="P1766" t="s">
        <v>616</v>
      </c>
      <c r="Q1766" t="s">
        <v>616</v>
      </c>
      <c r="R1766" t="s">
        <v>616</v>
      </c>
      <c r="S1766">
        <v>21.13</v>
      </c>
      <c r="T1766" t="s">
        <v>616</v>
      </c>
      <c r="U1766" t="s">
        <v>616</v>
      </c>
      <c r="V1766" t="s">
        <v>616</v>
      </c>
      <c r="W1766" t="s">
        <v>616</v>
      </c>
      <c r="X1766" t="s">
        <v>616</v>
      </c>
      <c r="Y1766" t="s">
        <v>616</v>
      </c>
      <c r="Z1766" t="s">
        <v>616</v>
      </c>
      <c r="AA1766" t="s">
        <v>616</v>
      </c>
      <c r="AB1766" t="s">
        <v>616</v>
      </c>
      <c r="AC1766" t="s">
        <v>616</v>
      </c>
      <c r="AD1766">
        <v>4.6500000000000004</v>
      </c>
      <c r="AE1766" t="s">
        <v>5326</v>
      </c>
      <c r="AF1766" t="s">
        <v>4883</v>
      </c>
      <c r="AG1766" t="s">
        <v>2715</v>
      </c>
      <c r="AH1766" t="s">
        <v>6267</v>
      </c>
      <c r="AI1766">
        <v>0</v>
      </c>
      <c r="AJ1766">
        <v>0</v>
      </c>
      <c r="AK1766">
        <v>0</v>
      </c>
      <c r="AL1766">
        <v>0</v>
      </c>
    </row>
    <row r="1767" spans="1:38" x14ac:dyDescent="0.25">
      <c r="A1767">
        <v>1766</v>
      </c>
      <c r="B1767" t="str">
        <f xml:space="preserve"> "603116"</f>
        <v>603116</v>
      </c>
      <c r="C1767" t="s">
        <v>6268</v>
      </c>
      <c r="D1767">
        <v>17.77</v>
      </c>
      <c r="E1767">
        <v>0.79</v>
      </c>
      <c r="F1767">
        <v>0.14000000000000001</v>
      </c>
      <c r="G1767" t="s">
        <v>530</v>
      </c>
      <c r="H1767">
        <v>5</v>
      </c>
      <c r="I1767">
        <v>17.760000000000002</v>
      </c>
      <c r="J1767">
        <v>17.77</v>
      </c>
      <c r="K1767">
        <v>0</v>
      </c>
      <c r="L1767">
        <v>0.83</v>
      </c>
      <c r="M1767" t="s">
        <v>6269</v>
      </c>
      <c r="N1767">
        <v>20.82</v>
      </c>
      <c r="O1767" t="s">
        <v>1443</v>
      </c>
      <c r="P1767">
        <v>17.8</v>
      </c>
      <c r="Q1767">
        <v>17.64</v>
      </c>
      <c r="R1767">
        <v>17.68</v>
      </c>
      <c r="S1767">
        <v>17.63</v>
      </c>
      <c r="T1767">
        <v>0.91</v>
      </c>
      <c r="U1767">
        <v>1.1499999999999999</v>
      </c>
      <c r="V1767">
        <v>-46.27</v>
      </c>
      <c r="W1767">
        <v>-546</v>
      </c>
      <c r="X1767">
        <v>17.739999999999998</v>
      </c>
      <c r="Y1767">
        <v>6507</v>
      </c>
      <c r="Z1767">
        <v>8427</v>
      </c>
      <c r="AA1767">
        <v>0.77</v>
      </c>
      <c r="AB1767">
        <v>79</v>
      </c>
      <c r="AC1767">
        <v>31</v>
      </c>
      <c r="AD1767">
        <v>2.2999999999999998</v>
      </c>
      <c r="AE1767" t="s">
        <v>139</v>
      </c>
      <c r="AF1767" t="s">
        <v>210</v>
      </c>
      <c r="AG1767" t="s">
        <v>2715</v>
      </c>
      <c r="AH1767" t="s">
        <v>3324</v>
      </c>
      <c r="AI1767">
        <v>0.34</v>
      </c>
      <c r="AJ1767">
        <v>2.66</v>
      </c>
      <c r="AK1767">
        <v>2.25</v>
      </c>
      <c r="AL1767">
        <v>4.42</v>
      </c>
    </row>
    <row r="1768" spans="1:38" x14ac:dyDescent="0.25">
      <c r="A1768">
        <v>1767</v>
      </c>
      <c r="B1768" t="str">
        <f xml:space="preserve"> "300187"</f>
        <v>300187</v>
      </c>
      <c r="C1768" t="s">
        <v>6270</v>
      </c>
      <c r="D1768" t="s">
        <v>616</v>
      </c>
      <c r="E1768" t="s">
        <v>616</v>
      </c>
      <c r="F1768" t="s">
        <v>616</v>
      </c>
      <c r="G1768" t="s">
        <v>616</v>
      </c>
      <c r="H1768" t="s">
        <v>616</v>
      </c>
      <c r="I1768" t="s">
        <v>616</v>
      </c>
      <c r="J1768" t="s">
        <v>616</v>
      </c>
      <c r="K1768" t="s">
        <v>616</v>
      </c>
      <c r="L1768" t="s">
        <v>616</v>
      </c>
      <c r="M1768" t="s">
        <v>616</v>
      </c>
      <c r="N1768">
        <v>62.75</v>
      </c>
      <c r="O1768" t="s">
        <v>1155</v>
      </c>
      <c r="P1768" t="s">
        <v>616</v>
      </c>
      <c r="Q1768" t="s">
        <v>616</v>
      </c>
      <c r="R1768" t="s">
        <v>616</v>
      </c>
      <c r="S1768">
        <v>11.2</v>
      </c>
      <c r="T1768" t="s">
        <v>616</v>
      </c>
      <c r="U1768" t="s">
        <v>616</v>
      </c>
      <c r="V1768" t="s">
        <v>616</v>
      </c>
      <c r="W1768" t="s">
        <v>616</v>
      </c>
      <c r="X1768" t="s">
        <v>616</v>
      </c>
      <c r="Y1768" t="s">
        <v>616</v>
      </c>
      <c r="Z1768" t="s">
        <v>616</v>
      </c>
      <c r="AA1768" t="s">
        <v>616</v>
      </c>
      <c r="AB1768" t="s">
        <v>616</v>
      </c>
      <c r="AC1768" t="s">
        <v>616</v>
      </c>
      <c r="AD1768">
        <v>4.7699999999999996</v>
      </c>
      <c r="AE1768" t="s">
        <v>6271</v>
      </c>
      <c r="AF1768" t="s">
        <v>210</v>
      </c>
      <c r="AG1768" t="s">
        <v>6272</v>
      </c>
      <c r="AH1768" t="s">
        <v>5267</v>
      </c>
      <c r="AI1768">
        <v>0</v>
      </c>
      <c r="AJ1768">
        <v>0</v>
      </c>
      <c r="AK1768">
        <v>0</v>
      </c>
      <c r="AL1768">
        <v>0.33</v>
      </c>
    </row>
    <row r="1769" spans="1:38" x14ac:dyDescent="0.25">
      <c r="A1769">
        <v>1768</v>
      </c>
      <c r="B1769" t="str">
        <f xml:space="preserve"> "002148"</f>
        <v>002148</v>
      </c>
      <c r="C1769" t="s">
        <v>6273</v>
      </c>
      <c r="D1769">
        <v>12.8</v>
      </c>
      <c r="E1769">
        <v>-1.08</v>
      </c>
      <c r="F1769">
        <v>-0.14000000000000001</v>
      </c>
      <c r="G1769" t="s">
        <v>1020</v>
      </c>
      <c r="H1769">
        <v>4715</v>
      </c>
      <c r="I1769">
        <v>12.79</v>
      </c>
      <c r="J1769">
        <v>12.8</v>
      </c>
      <c r="K1769">
        <v>0.08</v>
      </c>
      <c r="L1769">
        <v>6.25</v>
      </c>
      <c r="M1769" t="s">
        <v>3724</v>
      </c>
      <c r="N1769">
        <v>46.76</v>
      </c>
      <c r="O1769" t="s">
        <v>580</v>
      </c>
      <c r="P1769">
        <v>12.85</v>
      </c>
      <c r="Q1769">
        <v>12.54</v>
      </c>
      <c r="R1769">
        <v>12.83</v>
      </c>
      <c r="S1769">
        <v>12.94</v>
      </c>
      <c r="T1769">
        <v>2.4</v>
      </c>
      <c r="U1769">
        <v>0.4</v>
      </c>
      <c r="V1769">
        <v>-29.25</v>
      </c>
      <c r="W1769">
        <v>-3902</v>
      </c>
      <c r="X1769">
        <v>12.73</v>
      </c>
      <c r="Y1769" t="s">
        <v>1895</v>
      </c>
      <c r="Z1769" t="s">
        <v>1242</v>
      </c>
      <c r="AA1769">
        <v>1.37</v>
      </c>
      <c r="AB1769">
        <v>1115</v>
      </c>
      <c r="AC1769">
        <v>4071</v>
      </c>
      <c r="AD1769">
        <v>6.35</v>
      </c>
      <c r="AE1769" t="s">
        <v>4513</v>
      </c>
      <c r="AF1769" t="s">
        <v>210</v>
      </c>
      <c r="AG1769" t="s">
        <v>5031</v>
      </c>
      <c r="AH1769" t="s">
        <v>6274</v>
      </c>
      <c r="AI1769">
        <v>-3.61</v>
      </c>
      <c r="AJ1769">
        <v>5.26</v>
      </c>
      <c r="AK1769">
        <v>28.49</v>
      </c>
      <c r="AL1769">
        <v>84.06</v>
      </c>
    </row>
    <row r="1770" spans="1:38" x14ac:dyDescent="0.25">
      <c r="A1770">
        <v>1769</v>
      </c>
      <c r="B1770" t="str">
        <f xml:space="preserve"> "300451"</f>
        <v>300451</v>
      </c>
      <c r="C1770" t="s">
        <v>6275</v>
      </c>
      <c r="D1770">
        <v>29.87</v>
      </c>
      <c r="E1770">
        <v>0.44</v>
      </c>
      <c r="F1770">
        <v>0.13</v>
      </c>
      <c r="G1770" t="s">
        <v>3251</v>
      </c>
      <c r="H1770">
        <v>279</v>
      </c>
      <c r="I1770">
        <v>29.87</v>
      </c>
      <c r="J1770">
        <v>29.89</v>
      </c>
      <c r="K1770">
        <v>-0.1</v>
      </c>
      <c r="L1770">
        <v>1.48</v>
      </c>
      <c r="M1770" t="s">
        <v>6276</v>
      </c>
      <c r="N1770">
        <v>111.01</v>
      </c>
      <c r="O1770" t="s">
        <v>893</v>
      </c>
      <c r="P1770">
        <v>30.14</v>
      </c>
      <c r="Q1770">
        <v>29.6</v>
      </c>
      <c r="R1770">
        <v>29.82</v>
      </c>
      <c r="S1770">
        <v>29.74</v>
      </c>
      <c r="T1770">
        <v>1.82</v>
      </c>
      <c r="U1770">
        <v>0.96</v>
      </c>
      <c r="V1770">
        <v>-74.7</v>
      </c>
      <c r="W1770">
        <v>-809</v>
      </c>
      <c r="X1770">
        <v>29.88</v>
      </c>
      <c r="Y1770" t="s">
        <v>2002</v>
      </c>
      <c r="Z1770">
        <v>7719</v>
      </c>
      <c r="AA1770">
        <v>1.45</v>
      </c>
      <c r="AB1770">
        <v>10</v>
      </c>
      <c r="AC1770">
        <v>164</v>
      </c>
      <c r="AD1770">
        <v>3.88</v>
      </c>
      <c r="AE1770" t="s">
        <v>5158</v>
      </c>
      <c r="AF1770" t="s">
        <v>210</v>
      </c>
      <c r="AG1770" t="s">
        <v>2239</v>
      </c>
      <c r="AH1770" t="s">
        <v>1800</v>
      </c>
      <c r="AI1770">
        <v>-2.0699999999999998</v>
      </c>
      <c r="AJ1770">
        <v>4.08</v>
      </c>
      <c r="AK1770">
        <v>5.22</v>
      </c>
      <c r="AL1770">
        <v>8.2799999999999994</v>
      </c>
    </row>
    <row r="1771" spans="1:38" x14ac:dyDescent="0.25">
      <c r="A1771">
        <v>1770</v>
      </c>
      <c r="B1771" t="str">
        <f xml:space="preserve"> "002510"</f>
        <v>002510</v>
      </c>
      <c r="C1771" t="s">
        <v>6277</v>
      </c>
      <c r="D1771">
        <v>8.09</v>
      </c>
      <c r="E1771">
        <v>-0.86</v>
      </c>
      <c r="F1771">
        <v>-7.0000000000000007E-2</v>
      </c>
      <c r="G1771" t="s">
        <v>6144</v>
      </c>
      <c r="H1771">
        <v>5014</v>
      </c>
      <c r="I1771">
        <v>8.08</v>
      </c>
      <c r="J1771">
        <v>8.09</v>
      </c>
      <c r="K1771">
        <v>-0.12</v>
      </c>
      <c r="L1771">
        <v>4.1900000000000004</v>
      </c>
      <c r="M1771" t="s">
        <v>4129</v>
      </c>
      <c r="N1771">
        <v>47.46</v>
      </c>
      <c r="O1771" t="s">
        <v>169</v>
      </c>
      <c r="P1771">
        <v>8.15</v>
      </c>
      <c r="Q1771">
        <v>7.98</v>
      </c>
      <c r="R1771">
        <v>8.1300000000000008</v>
      </c>
      <c r="S1771">
        <v>8.16</v>
      </c>
      <c r="T1771">
        <v>2.08</v>
      </c>
      <c r="U1771">
        <v>0.42</v>
      </c>
      <c r="V1771">
        <v>-47</v>
      </c>
      <c r="W1771">
        <v>-7294</v>
      </c>
      <c r="X1771">
        <v>8.06</v>
      </c>
      <c r="Y1771" t="s">
        <v>1921</v>
      </c>
      <c r="Z1771" t="s">
        <v>1668</v>
      </c>
      <c r="AA1771">
        <v>1.55</v>
      </c>
      <c r="AB1771">
        <v>1116</v>
      </c>
      <c r="AC1771">
        <v>3651</v>
      </c>
      <c r="AD1771">
        <v>3.33</v>
      </c>
      <c r="AE1771" t="s">
        <v>3367</v>
      </c>
      <c r="AF1771" t="s">
        <v>4173</v>
      </c>
      <c r="AG1771" t="s">
        <v>4052</v>
      </c>
      <c r="AH1771" t="s">
        <v>5362</v>
      </c>
      <c r="AI1771">
        <v>-3.69</v>
      </c>
      <c r="AJ1771">
        <v>-3.35</v>
      </c>
      <c r="AK1771">
        <v>18.7</v>
      </c>
      <c r="AL1771">
        <v>53.83</v>
      </c>
    </row>
    <row r="1772" spans="1:38" x14ac:dyDescent="0.25">
      <c r="A1772">
        <v>1771</v>
      </c>
      <c r="B1772" t="str">
        <f xml:space="preserve"> "600285"</f>
        <v>600285</v>
      </c>
      <c r="C1772" t="s">
        <v>6278</v>
      </c>
      <c r="D1772">
        <v>12.24</v>
      </c>
      <c r="E1772">
        <v>-0.49</v>
      </c>
      <c r="F1772">
        <v>-0.06</v>
      </c>
      <c r="G1772" t="s">
        <v>3180</v>
      </c>
      <c r="H1772">
        <v>1</v>
      </c>
      <c r="I1772">
        <v>12.24</v>
      </c>
      <c r="J1772">
        <v>12.25</v>
      </c>
      <c r="K1772">
        <v>0</v>
      </c>
      <c r="L1772">
        <v>0.71</v>
      </c>
      <c r="M1772" t="s">
        <v>6279</v>
      </c>
      <c r="N1772">
        <v>27.05</v>
      </c>
      <c r="O1772" t="s">
        <v>392</v>
      </c>
      <c r="P1772">
        <v>12.36</v>
      </c>
      <c r="Q1772">
        <v>12.17</v>
      </c>
      <c r="R1772">
        <v>12.26</v>
      </c>
      <c r="S1772">
        <v>12.3</v>
      </c>
      <c r="T1772">
        <v>1.54</v>
      </c>
      <c r="U1772">
        <v>0.49</v>
      </c>
      <c r="V1772">
        <v>-25.76</v>
      </c>
      <c r="W1772">
        <v>-509</v>
      </c>
      <c r="X1772">
        <v>12.23</v>
      </c>
      <c r="Y1772" t="s">
        <v>2088</v>
      </c>
      <c r="Z1772" t="s">
        <v>125</v>
      </c>
      <c r="AA1772">
        <v>1.51</v>
      </c>
      <c r="AB1772">
        <v>60</v>
      </c>
      <c r="AC1772">
        <v>140</v>
      </c>
      <c r="AD1772">
        <v>3.41</v>
      </c>
      <c r="AE1772" t="s">
        <v>6280</v>
      </c>
      <c r="AF1772" t="s">
        <v>4173</v>
      </c>
      <c r="AG1772" t="s">
        <v>3917</v>
      </c>
      <c r="AH1772" t="s">
        <v>217</v>
      </c>
      <c r="AI1772">
        <v>1.24</v>
      </c>
      <c r="AJ1772">
        <v>5.15</v>
      </c>
      <c r="AK1772">
        <v>4.28</v>
      </c>
      <c r="AL1772">
        <v>8.01</v>
      </c>
    </row>
    <row r="1773" spans="1:38" x14ac:dyDescent="0.25">
      <c r="A1773">
        <v>1772</v>
      </c>
      <c r="B1773" t="str">
        <f xml:space="preserve"> "600826"</f>
        <v>600826</v>
      </c>
      <c r="C1773" t="s">
        <v>6281</v>
      </c>
      <c r="D1773">
        <v>17.23</v>
      </c>
      <c r="E1773">
        <v>-0.12</v>
      </c>
      <c r="F1773">
        <v>-0.02</v>
      </c>
      <c r="G1773" t="s">
        <v>3095</v>
      </c>
      <c r="H1773">
        <v>1</v>
      </c>
      <c r="I1773">
        <v>17.21</v>
      </c>
      <c r="J1773">
        <v>17.239999999999998</v>
      </c>
      <c r="K1773">
        <v>0.23</v>
      </c>
      <c r="L1773">
        <v>0.28000000000000003</v>
      </c>
      <c r="M1773" t="s">
        <v>6282</v>
      </c>
      <c r="N1773">
        <v>78.86</v>
      </c>
      <c r="O1773" t="s">
        <v>2001</v>
      </c>
      <c r="P1773">
        <v>17.28</v>
      </c>
      <c r="Q1773">
        <v>17.079999999999998</v>
      </c>
      <c r="R1773">
        <v>17.28</v>
      </c>
      <c r="S1773">
        <v>17.25</v>
      </c>
      <c r="T1773">
        <v>1.1599999999999999</v>
      </c>
      <c r="U1773">
        <v>0.69</v>
      </c>
      <c r="V1773">
        <v>-27.52</v>
      </c>
      <c r="W1773">
        <v>-265</v>
      </c>
      <c r="X1773">
        <v>17.170000000000002</v>
      </c>
      <c r="Y1773">
        <v>6008</v>
      </c>
      <c r="Z1773">
        <v>5595</v>
      </c>
      <c r="AA1773">
        <v>1.07</v>
      </c>
      <c r="AB1773">
        <v>20</v>
      </c>
      <c r="AC1773">
        <v>125</v>
      </c>
      <c r="AD1773">
        <v>2.0499999999999998</v>
      </c>
      <c r="AE1773" t="s">
        <v>1470</v>
      </c>
      <c r="AF1773" t="s">
        <v>4173</v>
      </c>
      <c r="AG1773" t="s">
        <v>1470</v>
      </c>
      <c r="AH1773" t="s">
        <v>4173</v>
      </c>
      <c r="AI1773">
        <v>0.64</v>
      </c>
      <c r="AJ1773">
        <v>3.55</v>
      </c>
      <c r="AK1773">
        <v>1.17</v>
      </c>
      <c r="AL1773">
        <v>2.2799999999999998</v>
      </c>
    </row>
    <row r="1774" spans="1:38" x14ac:dyDescent="0.25">
      <c r="A1774">
        <v>1773</v>
      </c>
      <c r="B1774" t="str">
        <f xml:space="preserve"> "002005"</f>
        <v>002005</v>
      </c>
      <c r="C1774" t="s">
        <v>6283</v>
      </c>
      <c r="D1774">
        <v>5.19</v>
      </c>
      <c r="E1774">
        <v>-0.95</v>
      </c>
      <c r="F1774">
        <v>-0.05</v>
      </c>
      <c r="G1774" t="s">
        <v>1775</v>
      </c>
      <c r="H1774">
        <v>1710</v>
      </c>
      <c r="I1774">
        <v>5.19</v>
      </c>
      <c r="J1774">
        <v>5.2</v>
      </c>
      <c r="K1774">
        <v>-0.19</v>
      </c>
      <c r="L1774">
        <v>1.64</v>
      </c>
      <c r="M1774" t="s">
        <v>4832</v>
      </c>
      <c r="N1774">
        <v>-53.95</v>
      </c>
      <c r="O1774" t="s">
        <v>215</v>
      </c>
      <c r="P1774">
        <v>5.26</v>
      </c>
      <c r="Q1774">
        <v>5.16</v>
      </c>
      <c r="R1774">
        <v>5.22</v>
      </c>
      <c r="S1774">
        <v>5.24</v>
      </c>
      <c r="T1774">
        <v>1.91</v>
      </c>
      <c r="U1774">
        <v>0.72</v>
      </c>
      <c r="V1774">
        <v>64.66</v>
      </c>
      <c r="W1774" t="s">
        <v>1579</v>
      </c>
      <c r="X1774">
        <v>5.21</v>
      </c>
      <c r="Y1774" t="s">
        <v>1448</v>
      </c>
      <c r="Z1774" t="s">
        <v>4213</v>
      </c>
      <c r="AA1774">
        <v>1.17</v>
      </c>
      <c r="AB1774">
        <v>1215</v>
      </c>
      <c r="AC1774">
        <v>320</v>
      </c>
      <c r="AD1774">
        <v>1.38</v>
      </c>
      <c r="AE1774" t="s">
        <v>803</v>
      </c>
      <c r="AF1774" t="s">
        <v>4173</v>
      </c>
      <c r="AG1774" t="s">
        <v>1132</v>
      </c>
      <c r="AH1774" t="s">
        <v>5081</v>
      </c>
      <c r="AI1774">
        <v>-1.1399999999999999</v>
      </c>
      <c r="AJ1774">
        <v>6.35</v>
      </c>
      <c r="AK1774">
        <v>6.61</v>
      </c>
      <c r="AL1774">
        <v>12.96</v>
      </c>
    </row>
    <row r="1775" spans="1:38" x14ac:dyDescent="0.25">
      <c r="A1775">
        <v>1774</v>
      </c>
      <c r="B1775" t="str">
        <f xml:space="preserve"> "600756"</f>
        <v>600756</v>
      </c>
      <c r="C1775" t="s">
        <v>6284</v>
      </c>
      <c r="D1775">
        <v>22.32</v>
      </c>
      <c r="E1775">
        <v>-1.8</v>
      </c>
      <c r="F1775">
        <v>-0.41</v>
      </c>
      <c r="G1775" t="s">
        <v>2043</v>
      </c>
      <c r="H1775">
        <v>163</v>
      </c>
      <c r="I1775">
        <v>22.31</v>
      </c>
      <c r="J1775">
        <v>22.32</v>
      </c>
      <c r="K1775">
        <v>-0.09</v>
      </c>
      <c r="L1775">
        <v>6.19</v>
      </c>
      <c r="M1775" t="s">
        <v>4457</v>
      </c>
      <c r="N1775">
        <v>254.24</v>
      </c>
      <c r="O1775" t="s">
        <v>893</v>
      </c>
      <c r="P1775">
        <v>22.7</v>
      </c>
      <c r="Q1775">
        <v>22</v>
      </c>
      <c r="R1775">
        <v>22.51</v>
      </c>
      <c r="S1775">
        <v>22.73</v>
      </c>
      <c r="T1775">
        <v>3.08</v>
      </c>
      <c r="U1775">
        <v>0.87</v>
      </c>
      <c r="V1775">
        <v>-81.599999999999994</v>
      </c>
      <c r="W1775">
        <v>-816</v>
      </c>
      <c r="X1775">
        <v>22.34</v>
      </c>
      <c r="Y1775" t="s">
        <v>148</v>
      </c>
      <c r="Z1775" t="s">
        <v>2926</v>
      </c>
      <c r="AA1775">
        <v>1.68</v>
      </c>
      <c r="AB1775">
        <v>22</v>
      </c>
      <c r="AC1775">
        <v>12</v>
      </c>
      <c r="AD1775">
        <v>3.56</v>
      </c>
      <c r="AE1775" t="s">
        <v>3682</v>
      </c>
      <c r="AF1775" t="s">
        <v>1421</v>
      </c>
      <c r="AG1775" t="s">
        <v>3682</v>
      </c>
      <c r="AH1775" t="s">
        <v>1421</v>
      </c>
      <c r="AI1775">
        <v>-1.85</v>
      </c>
      <c r="AJ1775">
        <v>9.84</v>
      </c>
      <c r="AK1775">
        <v>32.83</v>
      </c>
      <c r="AL1775">
        <v>41.62</v>
      </c>
    </row>
    <row r="1776" spans="1:38" x14ac:dyDescent="0.25">
      <c r="A1776">
        <v>1775</v>
      </c>
      <c r="B1776" t="str">
        <f xml:space="preserve"> "002742"</f>
        <v>002742</v>
      </c>
      <c r="C1776" t="s">
        <v>6285</v>
      </c>
      <c r="D1776">
        <v>16.72</v>
      </c>
      <c r="E1776">
        <v>1.27</v>
      </c>
      <c r="F1776">
        <v>0.21</v>
      </c>
      <c r="G1776" t="s">
        <v>4308</v>
      </c>
      <c r="H1776">
        <v>1389</v>
      </c>
      <c r="I1776">
        <v>16.72</v>
      </c>
      <c r="J1776">
        <v>16.73</v>
      </c>
      <c r="K1776">
        <v>-0.06</v>
      </c>
      <c r="L1776">
        <v>6.8</v>
      </c>
      <c r="M1776" t="s">
        <v>514</v>
      </c>
      <c r="N1776">
        <v>28.39</v>
      </c>
      <c r="O1776" t="s">
        <v>562</v>
      </c>
      <c r="P1776">
        <v>16.850000000000001</v>
      </c>
      <c r="Q1776">
        <v>16.41</v>
      </c>
      <c r="R1776">
        <v>16.45</v>
      </c>
      <c r="S1776">
        <v>16.510000000000002</v>
      </c>
      <c r="T1776">
        <v>2.67</v>
      </c>
      <c r="U1776">
        <v>0.96</v>
      </c>
      <c r="V1776">
        <v>-9.93</v>
      </c>
      <c r="W1776">
        <v>-356</v>
      </c>
      <c r="X1776">
        <v>16.7</v>
      </c>
      <c r="Y1776" t="s">
        <v>800</v>
      </c>
      <c r="Z1776" t="s">
        <v>4980</v>
      </c>
      <c r="AA1776">
        <v>0.83</v>
      </c>
      <c r="AB1776">
        <v>628</v>
      </c>
      <c r="AC1776">
        <v>272</v>
      </c>
      <c r="AD1776">
        <v>5.17</v>
      </c>
      <c r="AE1776" t="s">
        <v>5565</v>
      </c>
      <c r="AF1776" t="s">
        <v>4581</v>
      </c>
      <c r="AG1776" t="s">
        <v>2327</v>
      </c>
      <c r="AH1776" t="s">
        <v>2395</v>
      </c>
      <c r="AI1776">
        <v>-2.0499999999999998</v>
      </c>
      <c r="AJ1776">
        <v>1.46</v>
      </c>
      <c r="AK1776">
        <v>19.66</v>
      </c>
      <c r="AL1776">
        <v>42.23</v>
      </c>
    </row>
    <row r="1777" spans="1:38" x14ac:dyDescent="0.25">
      <c r="A1777">
        <v>1776</v>
      </c>
      <c r="B1777" t="str">
        <f xml:space="preserve"> "002527"</f>
        <v>002527</v>
      </c>
      <c r="C1777" t="s">
        <v>6286</v>
      </c>
      <c r="D1777">
        <v>11.64</v>
      </c>
      <c r="E1777">
        <v>-0.43</v>
      </c>
      <c r="F1777">
        <v>-0.05</v>
      </c>
      <c r="G1777" t="s">
        <v>2944</v>
      </c>
      <c r="H1777">
        <v>759</v>
      </c>
      <c r="I1777">
        <v>11.63</v>
      </c>
      <c r="J1777">
        <v>11.64</v>
      </c>
      <c r="K1777">
        <v>0.09</v>
      </c>
      <c r="L1777">
        <v>1.35</v>
      </c>
      <c r="M1777" t="s">
        <v>6287</v>
      </c>
      <c r="N1777">
        <v>36.39</v>
      </c>
      <c r="O1777" t="s">
        <v>648</v>
      </c>
      <c r="P1777">
        <v>11.75</v>
      </c>
      <c r="Q1777">
        <v>11.53</v>
      </c>
      <c r="R1777">
        <v>11.65</v>
      </c>
      <c r="S1777">
        <v>11.69</v>
      </c>
      <c r="T1777">
        <v>1.88</v>
      </c>
      <c r="U1777">
        <v>0.87</v>
      </c>
      <c r="V1777">
        <v>32.25</v>
      </c>
      <c r="W1777">
        <v>530</v>
      </c>
      <c r="X1777">
        <v>11.6</v>
      </c>
      <c r="Y1777" t="s">
        <v>3834</v>
      </c>
      <c r="Z1777" t="s">
        <v>1886</v>
      </c>
      <c r="AA1777">
        <v>1.91</v>
      </c>
      <c r="AB1777">
        <v>274</v>
      </c>
      <c r="AC1777">
        <v>88</v>
      </c>
      <c r="AD1777">
        <v>2.62</v>
      </c>
      <c r="AE1777" t="s">
        <v>1823</v>
      </c>
      <c r="AF1777" t="s">
        <v>4581</v>
      </c>
      <c r="AG1777" t="s">
        <v>787</v>
      </c>
      <c r="AH1777" t="s">
        <v>849</v>
      </c>
      <c r="AI1777">
        <v>-0.09</v>
      </c>
      <c r="AJ1777">
        <v>3.93</v>
      </c>
      <c r="AK1777">
        <v>5.65</v>
      </c>
      <c r="AL1777">
        <v>9.06</v>
      </c>
    </row>
    <row r="1778" spans="1:38" x14ac:dyDescent="0.25">
      <c r="A1778">
        <v>1777</v>
      </c>
      <c r="B1778" t="str">
        <f xml:space="preserve"> "000965"</f>
        <v>000965</v>
      </c>
      <c r="C1778" t="s">
        <v>6288</v>
      </c>
      <c r="D1778">
        <v>7.15</v>
      </c>
      <c r="E1778">
        <v>0.7</v>
      </c>
      <c r="F1778">
        <v>0.05</v>
      </c>
      <c r="G1778" t="s">
        <v>2643</v>
      </c>
      <c r="H1778">
        <v>1351</v>
      </c>
      <c r="I1778">
        <v>7.14</v>
      </c>
      <c r="J1778">
        <v>7.15</v>
      </c>
      <c r="K1778">
        <v>0</v>
      </c>
      <c r="L1778">
        <v>0.56999999999999995</v>
      </c>
      <c r="M1778" t="s">
        <v>6289</v>
      </c>
      <c r="N1778">
        <v>20.76</v>
      </c>
      <c r="O1778" t="s">
        <v>244</v>
      </c>
      <c r="P1778">
        <v>7.15</v>
      </c>
      <c r="Q1778">
        <v>7.08</v>
      </c>
      <c r="R1778">
        <v>7.1</v>
      </c>
      <c r="S1778">
        <v>7.1</v>
      </c>
      <c r="T1778">
        <v>0.99</v>
      </c>
      <c r="U1778">
        <v>0.95</v>
      </c>
      <c r="V1778">
        <v>-7.32</v>
      </c>
      <c r="W1778">
        <v>-833</v>
      </c>
      <c r="X1778">
        <v>7.12</v>
      </c>
      <c r="Y1778" t="s">
        <v>997</v>
      </c>
      <c r="Z1778" t="s">
        <v>1190</v>
      </c>
      <c r="AA1778">
        <v>0.94</v>
      </c>
      <c r="AB1778">
        <v>968</v>
      </c>
      <c r="AC1778">
        <v>228</v>
      </c>
      <c r="AD1778">
        <v>1.48</v>
      </c>
      <c r="AE1778" t="s">
        <v>262</v>
      </c>
      <c r="AF1778" t="s">
        <v>3479</v>
      </c>
      <c r="AG1778" t="s">
        <v>262</v>
      </c>
      <c r="AH1778" t="s">
        <v>3479</v>
      </c>
      <c r="AI1778">
        <v>0.42</v>
      </c>
      <c r="AJ1778">
        <v>1.56</v>
      </c>
      <c r="AK1778">
        <v>1.66</v>
      </c>
      <c r="AL1778">
        <v>3.56</v>
      </c>
    </row>
    <row r="1779" spans="1:38" x14ac:dyDescent="0.25">
      <c r="A1779">
        <v>1778</v>
      </c>
      <c r="B1779" t="str">
        <f xml:space="preserve"> "002173"</f>
        <v>002173</v>
      </c>
      <c r="C1779" t="s">
        <v>6290</v>
      </c>
      <c r="D1779">
        <v>15.82</v>
      </c>
      <c r="E1779">
        <v>1.28</v>
      </c>
      <c r="F1779">
        <v>0.2</v>
      </c>
      <c r="G1779" t="s">
        <v>2543</v>
      </c>
      <c r="H1779">
        <v>264</v>
      </c>
      <c r="I1779">
        <v>15.81</v>
      </c>
      <c r="J1779">
        <v>15.82</v>
      </c>
      <c r="K1779">
        <v>0</v>
      </c>
      <c r="L1779">
        <v>1.78</v>
      </c>
      <c r="M1779" t="s">
        <v>6291</v>
      </c>
      <c r="N1779">
        <v>62.25</v>
      </c>
      <c r="O1779" t="s">
        <v>1552</v>
      </c>
      <c r="P1779">
        <v>16.190000000000001</v>
      </c>
      <c r="Q1779">
        <v>15.51</v>
      </c>
      <c r="R1779">
        <v>15.62</v>
      </c>
      <c r="S1779">
        <v>15.62</v>
      </c>
      <c r="T1779">
        <v>4.3499999999999996</v>
      </c>
      <c r="U1779">
        <v>1.1200000000000001</v>
      </c>
      <c r="V1779">
        <v>47.38</v>
      </c>
      <c r="W1779">
        <v>467</v>
      </c>
      <c r="X1779">
        <v>15.9</v>
      </c>
      <c r="Y1779" t="s">
        <v>3158</v>
      </c>
      <c r="Z1779" t="s">
        <v>6292</v>
      </c>
      <c r="AA1779">
        <v>1.05</v>
      </c>
      <c r="AB1779">
        <v>28</v>
      </c>
      <c r="AC1779">
        <v>80</v>
      </c>
      <c r="AD1779">
        <v>2.0299999999999998</v>
      </c>
      <c r="AE1779" t="s">
        <v>5373</v>
      </c>
      <c r="AF1779" t="s">
        <v>3479</v>
      </c>
      <c r="AG1779" t="s">
        <v>1075</v>
      </c>
      <c r="AH1779" t="s">
        <v>3324</v>
      </c>
      <c r="AI1779">
        <v>-1.92</v>
      </c>
      <c r="AJ1779">
        <v>5.68</v>
      </c>
      <c r="AK1779">
        <v>6.05</v>
      </c>
      <c r="AL1779">
        <v>9.73</v>
      </c>
    </row>
    <row r="1780" spans="1:38" x14ac:dyDescent="0.25">
      <c r="A1780">
        <v>1779</v>
      </c>
      <c r="B1780" t="str">
        <f xml:space="preserve"> "002059"</f>
        <v>002059</v>
      </c>
      <c r="C1780" t="s">
        <v>6293</v>
      </c>
      <c r="D1780">
        <v>9.8699999999999992</v>
      </c>
      <c r="E1780">
        <v>-0.7</v>
      </c>
      <c r="F1780">
        <v>-7.0000000000000007E-2</v>
      </c>
      <c r="G1780" t="s">
        <v>3213</v>
      </c>
      <c r="H1780">
        <v>464</v>
      </c>
      <c r="I1780">
        <v>9.86</v>
      </c>
      <c r="J1780">
        <v>9.8699999999999992</v>
      </c>
      <c r="K1780">
        <v>0.3</v>
      </c>
      <c r="L1780">
        <v>0.46</v>
      </c>
      <c r="M1780" t="s">
        <v>6294</v>
      </c>
      <c r="N1780">
        <v>189.47</v>
      </c>
      <c r="O1780" t="s">
        <v>951</v>
      </c>
      <c r="P1780">
        <v>9.94</v>
      </c>
      <c r="Q1780">
        <v>9.8000000000000007</v>
      </c>
      <c r="R1780">
        <v>9.94</v>
      </c>
      <c r="S1780">
        <v>9.94</v>
      </c>
      <c r="T1780">
        <v>1.41</v>
      </c>
      <c r="U1780">
        <v>0.67</v>
      </c>
      <c r="V1780">
        <v>23.61</v>
      </c>
      <c r="W1780">
        <v>423</v>
      </c>
      <c r="X1780">
        <v>9.83</v>
      </c>
      <c r="Y1780" t="s">
        <v>86</v>
      </c>
      <c r="Z1780">
        <v>9138</v>
      </c>
      <c r="AA1780">
        <v>2.58</v>
      </c>
      <c r="AB1780">
        <v>96</v>
      </c>
      <c r="AC1780">
        <v>336</v>
      </c>
      <c r="AD1780">
        <v>4.8600000000000003</v>
      </c>
      <c r="AE1780" t="s">
        <v>6295</v>
      </c>
      <c r="AF1780" t="s">
        <v>3479</v>
      </c>
      <c r="AG1780" t="s">
        <v>2746</v>
      </c>
      <c r="AH1780" t="s">
        <v>6296</v>
      </c>
      <c r="AI1780">
        <v>-0.8</v>
      </c>
      <c r="AJ1780">
        <v>-1.89</v>
      </c>
      <c r="AK1780">
        <v>1.67</v>
      </c>
      <c r="AL1780">
        <v>3.9</v>
      </c>
    </row>
    <row r="1781" spans="1:38" x14ac:dyDescent="0.25">
      <c r="A1781">
        <v>1780</v>
      </c>
      <c r="B1781" t="str">
        <f xml:space="preserve"> "603001"</f>
        <v>603001</v>
      </c>
      <c r="C1781" t="s">
        <v>6297</v>
      </c>
      <c r="D1781">
        <v>17.98</v>
      </c>
      <c r="E1781">
        <v>0.11</v>
      </c>
      <c r="F1781">
        <v>0.02</v>
      </c>
      <c r="G1781" t="s">
        <v>691</v>
      </c>
      <c r="H1781">
        <v>46</v>
      </c>
      <c r="I1781">
        <v>17.97</v>
      </c>
      <c r="J1781">
        <v>17.98</v>
      </c>
      <c r="K1781">
        <v>0.06</v>
      </c>
      <c r="L1781">
        <v>0.3</v>
      </c>
      <c r="M1781" t="s">
        <v>6298</v>
      </c>
      <c r="N1781">
        <v>20.6</v>
      </c>
      <c r="O1781" t="s">
        <v>1443</v>
      </c>
      <c r="P1781">
        <v>18</v>
      </c>
      <c r="Q1781">
        <v>17.91</v>
      </c>
      <c r="R1781">
        <v>17.920000000000002</v>
      </c>
      <c r="S1781">
        <v>17.96</v>
      </c>
      <c r="T1781">
        <v>0.5</v>
      </c>
      <c r="U1781">
        <v>0.75</v>
      </c>
      <c r="V1781">
        <v>-37.78</v>
      </c>
      <c r="W1781">
        <v>-811</v>
      </c>
      <c r="X1781">
        <v>17.97</v>
      </c>
      <c r="Y1781">
        <v>3660</v>
      </c>
      <c r="Z1781">
        <v>8229</v>
      </c>
      <c r="AA1781">
        <v>0.44</v>
      </c>
      <c r="AB1781">
        <v>96</v>
      </c>
      <c r="AC1781">
        <v>547</v>
      </c>
      <c r="AD1781">
        <v>1.79</v>
      </c>
      <c r="AE1781" t="s">
        <v>1922</v>
      </c>
      <c r="AF1781" t="s">
        <v>3479</v>
      </c>
      <c r="AG1781" t="s">
        <v>1922</v>
      </c>
      <c r="AH1781" t="s">
        <v>3479</v>
      </c>
      <c r="AI1781">
        <v>0.28000000000000003</v>
      </c>
      <c r="AJ1781">
        <v>2.63</v>
      </c>
      <c r="AK1781">
        <v>1.18</v>
      </c>
      <c r="AL1781">
        <v>2.2599999999999998</v>
      </c>
    </row>
    <row r="1782" spans="1:38" x14ac:dyDescent="0.25">
      <c r="A1782">
        <v>1781</v>
      </c>
      <c r="B1782" t="str">
        <f xml:space="preserve"> "002016"</f>
        <v>002016</v>
      </c>
      <c r="C1782" t="s">
        <v>6299</v>
      </c>
      <c r="D1782">
        <v>8.91</v>
      </c>
      <c r="E1782">
        <v>0.11</v>
      </c>
      <c r="F1782">
        <v>0.01</v>
      </c>
      <c r="G1782" t="s">
        <v>2115</v>
      </c>
      <c r="H1782">
        <v>852</v>
      </c>
      <c r="I1782">
        <v>8.91</v>
      </c>
      <c r="J1782">
        <v>8.92</v>
      </c>
      <c r="K1782">
        <v>0.22</v>
      </c>
      <c r="L1782">
        <v>0.45</v>
      </c>
      <c r="M1782" t="s">
        <v>6300</v>
      </c>
      <c r="N1782">
        <v>-318.08</v>
      </c>
      <c r="O1782" t="s">
        <v>244</v>
      </c>
      <c r="P1782">
        <v>8.9499999999999993</v>
      </c>
      <c r="Q1782">
        <v>8.86</v>
      </c>
      <c r="R1782">
        <v>8.93</v>
      </c>
      <c r="S1782">
        <v>8.9</v>
      </c>
      <c r="T1782">
        <v>1.01</v>
      </c>
      <c r="U1782">
        <v>0.59</v>
      </c>
      <c r="V1782">
        <v>20.079999999999998</v>
      </c>
      <c r="W1782">
        <v>706</v>
      </c>
      <c r="X1782">
        <v>8.9</v>
      </c>
      <c r="Y1782" t="s">
        <v>3798</v>
      </c>
      <c r="Z1782" t="s">
        <v>999</v>
      </c>
      <c r="AA1782">
        <v>1.01</v>
      </c>
      <c r="AB1782">
        <v>98</v>
      </c>
      <c r="AC1782">
        <v>213</v>
      </c>
      <c r="AD1782">
        <v>4.9000000000000004</v>
      </c>
      <c r="AE1782" t="s">
        <v>1246</v>
      </c>
      <c r="AF1782" t="s">
        <v>3479</v>
      </c>
      <c r="AG1782" t="s">
        <v>3611</v>
      </c>
      <c r="AH1782" t="s">
        <v>5454</v>
      </c>
      <c r="AI1782">
        <v>0.45</v>
      </c>
      <c r="AJ1782">
        <v>2.77</v>
      </c>
      <c r="AK1782">
        <v>2.65</v>
      </c>
      <c r="AL1782">
        <v>4.2699999999999996</v>
      </c>
    </row>
    <row r="1783" spans="1:38" x14ac:dyDescent="0.25">
      <c r="A1783">
        <v>1782</v>
      </c>
      <c r="B1783" t="str">
        <f xml:space="preserve"> "600251"</f>
        <v>600251</v>
      </c>
      <c r="C1783" t="s">
        <v>6301</v>
      </c>
      <c r="D1783">
        <v>9.18</v>
      </c>
      <c r="E1783">
        <v>0.33</v>
      </c>
      <c r="F1783">
        <v>0.03</v>
      </c>
      <c r="G1783" t="s">
        <v>3469</v>
      </c>
      <c r="H1783">
        <v>14</v>
      </c>
      <c r="I1783">
        <v>9.18</v>
      </c>
      <c r="J1783">
        <v>9.19</v>
      </c>
      <c r="K1783">
        <v>-0.22</v>
      </c>
      <c r="L1783">
        <v>2</v>
      </c>
      <c r="M1783" t="s">
        <v>2327</v>
      </c>
      <c r="N1783">
        <v>46.75</v>
      </c>
      <c r="O1783" t="s">
        <v>622</v>
      </c>
      <c r="P1783">
        <v>9.2200000000000006</v>
      </c>
      <c r="Q1783">
        <v>9.0500000000000007</v>
      </c>
      <c r="R1783">
        <v>9.14</v>
      </c>
      <c r="S1783">
        <v>9.15</v>
      </c>
      <c r="T1783">
        <v>1.86</v>
      </c>
      <c r="U1783">
        <v>0.56999999999999995</v>
      </c>
      <c r="V1783">
        <v>-65.709999999999994</v>
      </c>
      <c r="W1783">
        <v>-6312</v>
      </c>
      <c r="X1783">
        <v>9.15</v>
      </c>
      <c r="Y1783" t="s">
        <v>2379</v>
      </c>
      <c r="Z1783" t="s">
        <v>2307</v>
      </c>
      <c r="AA1783">
        <v>0.98</v>
      </c>
      <c r="AB1783">
        <v>289</v>
      </c>
      <c r="AC1783">
        <v>976</v>
      </c>
      <c r="AD1783">
        <v>3.69</v>
      </c>
      <c r="AE1783" t="s">
        <v>6302</v>
      </c>
      <c r="AF1783" t="s">
        <v>6034</v>
      </c>
      <c r="AG1783" t="s">
        <v>6302</v>
      </c>
      <c r="AH1783" t="s">
        <v>6034</v>
      </c>
      <c r="AI1783">
        <v>-2.65</v>
      </c>
      <c r="AJ1783">
        <v>-2.5499999999999998</v>
      </c>
      <c r="AK1783">
        <v>8.19</v>
      </c>
      <c r="AL1783">
        <v>19.39</v>
      </c>
    </row>
    <row r="1784" spans="1:38" x14ac:dyDescent="0.25">
      <c r="A1784">
        <v>1783</v>
      </c>
      <c r="B1784" t="str">
        <f xml:space="preserve"> "300685"</f>
        <v>300685</v>
      </c>
      <c r="C1784" t="s">
        <v>6303</v>
      </c>
      <c r="D1784">
        <v>89.88</v>
      </c>
      <c r="E1784">
        <v>1.54</v>
      </c>
      <c r="F1784">
        <v>1.36</v>
      </c>
      <c r="G1784" t="s">
        <v>1836</v>
      </c>
      <c r="H1784">
        <v>99</v>
      </c>
      <c r="I1784">
        <v>89.87</v>
      </c>
      <c r="J1784">
        <v>89.88</v>
      </c>
      <c r="K1784">
        <v>-0.11</v>
      </c>
      <c r="L1784">
        <v>5.38</v>
      </c>
      <c r="M1784" t="s">
        <v>6304</v>
      </c>
      <c r="N1784">
        <v>81.569999999999993</v>
      </c>
      <c r="O1784" t="s">
        <v>392</v>
      </c>
      <c r="P1784">
        <v>91.27</v>
      </c>
      <c r="Q1784">
        <v>88.55</v>
      </c>
      <c r="R1784">
        <v>88.56</v>
      </c>
      <c r="S1784">
        <v>88.52</v>
      </c>
      <c r="T1784">
        <v>3.07</v>
      </c>
      <c r="U1784">
        <v>0.59</v>
      </c>
      <c r="V1784">
        <v>-14.75</v>
      </c>
      <c r="W1784">
        <v>-18</v>
      </c>
      <c r="X1784">
        <v>90.07</v>
      </c>
      <c r="Y1784">
        <v>5388</v>
      </c>
      <c r="Z1784">
        <v>5362</v>
      </c>
      <c r="AA1784">
        <v>1</v>
      </c>
      <c r="AB1784">
        <v>4</v>
      </c>
      <c r="AC1784">
        <v>6</v>
      </c>
      <c r="AD1784">
        <v>12</v>
      </c>
      <c r="AE1784" t="s">
        <v>5802</v>
      </c>
      <c r="AF1784" t="s">
        <v>2439</v>
      </c>
      <c r="AG1784" t="s">
        <v>5562</v>
      </c>
      <c r="AH1784" t="s">
        <v>2434</v>
      </c>
      <c r="AI1784">
        <v>-7.49</v>
      </c>
      <c r="AJ1784">
        <v>2.58</v>
      </c>
      <c r="AK1784">
        <v>26.12</v>
      </c>
      <c r="AL1784">
        <v>50.66</v>
      </c>
    </row>
    <row r="1785" spans="1:38" x14ac:dyDescent="0.25">
      <c r="A1785">
        <v>1784</v>
      </c>
      <c r="B1785" t="str">
        <f xml:space="preserve"> "300447"</f>
        <v>300447</v>
      </c>
      <c r="C1785" t="s">
        <v>6305</v>
      </c>
      <c r="D1785">
        <v>24</v>
      </c>
      <c r="E1785">
        <v>-1.4</v>
      </c>
      <c r="F1785">
        <v>-0.34</v>
      </c>
      <c r="G1785" t="s">
        <v>4224</v>
      </c>
      <c r="H1785">
        <v>302</v>
      </c>
      <c r="I1785">
        <v>23.99</v>
      </c>
      <c r="J1785">
        <v>24</v>
      </c>
      <c r="K1785">
        <v>0.08</v>
      </c>
      <c r="L1785">
        <v>3.25</v>
      </c>
      <c r="M1785" t="s">
        <v>6306</v>
      </c>
      <c r="N1785">
        <v>56.46</v>
      </c>
      <c r="O1785" t="s">
        <v>680</v>
      </c>
      <c r="P1785">
        <v>24.2</v>
      </c>
      <c r="Q1785">
        <v>23.83</v>
      </c>
      <c r="R1785">
        <v>24.2</v>
      </c>
      <c r="S1785">
        <v>24.34</v>
      </c>
      <c r="T1785">
        <v>1.52</v>
      </c>
      <c r="U1785">
        <v>0.92</v>
      </c>
      <c r="V1785">
        <v>-67.12</v>
      </c>
      <c r="W1785">
        <v>-367</v>
      </c>
      <c r="X1785">
        <v>23.99</v>
      </c>
      <c r="Y1785" t="s">
        <v>1504</v>
      </c>
      <c r="Z1785" t="s">
        <v>3095</v>
      </c>
      <c r="AA1785">
        <v>1.62</v>
      </c>
      <c r="AB1785">
        <v>25</v>
      </c>
      <c r="AC1785">
        <v>397</v>
      </c>
      <c r="AD1785">
        <v>6.2</v>
      </c>
      <c r="AE1785" t="s">
        <v>950</v>
      </c>
      <c r="AF1785" t="s">
        <v>2439</v>
      </c>
      <c r="AG1785" t="s">
        <v>6307</v>
      </c>
      <c r="AH1785" t="s">
        <v>3436</v>
      </c>
      <c r="AI1785">
        <v>2.39</v>
      </c>
      <c r="AJ1785">
        <v>1.1000000000000001</v>
      </c>
      <c r="AK1785">
        <v>11.46</v>
      </c>
      <c r="AL1785">
        <v>20.87</v>
      </c>
    </row>
    <row r="1786" spans="1:38" x14ac:dyDescent="0.25">
      <c r="A1786">
        <v>1785</v>
      </c>
      <c r="B1786" t="str">
        <f xml:space="preserve"> "002222"</f>
        <v>002222</v>
      </c>
      <c r="C1786" t="s">
        <v>6308</v>
      </c>
      <c r="D1786">
        <v>16.809999999999999</v>
      </c>
      <c r="E1786">
        <v>2.5</v>
      </c>
      <c r="F1786">
        <v>0.41</v>
      </c>
      <c r="G1786" t="s">
        <v>4340</v>
      </c>
      <c r="H1786">
        <v>1432</v>
      </c>
      <c r="I1786">
        <v>16.809999999999999</v>
      </c>
      <c r="J1786">
        <v>16.82</v>
      </c>
      <c r="K1786">
        <v>0</v>
      </c>
      <c r="L1786">
        <v>4</v>
      </c>
      <c r="M1786" t="s">
        <v>4344</v>
      </c>
      <c r="N1786">
        <v>54.28</v>
      </c>
      <c r="O1786" t="s">
        <v>380</v>
      </c>
      <c r="P1786">
        <v>17.100000000000001</v>
      </c>
      <c r="Q1786">
        <v>16.36</v>
      </c>
      <c r="R1786">
        <v>16.399999999999999</v>
      </c>
      <c r="S1786">
        <v>16.399999999999999</v>
      </c>
      <c r="T1786">
        <v>4.51</v>
      </c>
      <c r="U1786">
        <v>1.26</v>
      </c>
      <c r="V1786">
        <v>78.47</v>
      </c>
      <c r="W1786">
        <v>1290</v>
      </c>
      <c r="X1786">
        <v>16.809999999999999</v>
      </c>
      <c r="Y1786" t="s">
        <v>1586</v>
      </c>
      <c r="Z1786" t="s">
        <v>6309</v>
      </c>
      <c r="AA1786">
        <v>0.78</v>
      </c>
      <c r="AB1786">
        <v>153</v>
      </c>
      <c r="AC1786">
        <v>18</v>
      </c>
      <c r="AD1786">
        <v>10.27</v>
      </c>
      <c r="AE1786" t="s">
        <v>2324</v>
      </c>
      <c r="AF1786" t="s">
        <v>2439</v>
      </c>
      <c r="AG1786" t="s">
        <v>1470</v>
      </c>
      <c r="AH1786" t="s">
        <v>1955</v>
      </c>
      <c r="AI1786">
        <v>-1.35</v>
      </c>
      <c r="AJ1786">
        <v>3</v>
      </c>
      <c r="AK1786">
        <v>10.34</v>
      </c>
      <c r="AL1786">
        <v>19.829999999999998</v>
      </c>
    </row>
    <row r="1787" spans="1:38" x14ac:dyDescent="0.25">
      <c r="A1787">
        <v>1786</v>
      </c>
      <c r="B1787" t="str">
        <f xml:space="preserve"> "000680"</f>
        <v>000680</v>
      </c>
      <c r="C1787" t="s">
        <v>6310</v>
      </c>
      <c r="D1787">
        <v>5.79</v>
      </c>
      <c r="E1787">
        <v>0.17</v>
      </c>
      <c r="F1787">
        <v>0.01</v>
      </c>
      <c r="G1787" t="s">
        <v>5434</v>
      </c>
      <c r="H1787">
        <v>1824</v>
      </c>
      <c r="I1787">
        <v>5.78</v>
      </c>
      <c r="J1787">
        <v>5.79</v>
      </c>
      <c r="K1787">
        <v>0.35</v>
      </c>
      <c r="L1787">
        <v>0.86</v>
      </c>
      <c r="M1787" t="s">
        <v>6311</v>
      </c>
      <c r="N1787">
        <v>64.08</v>
      </c>
      <c r="O1787" t="s">
        <v>648</v>
      </c>
      <c r="P1787">
        <v>5.8</v>
      </c>
      <c r="Q1787">
        <v>5.75</v>
      </c>
      <c r="R1787">
        <v>5.77</v>
      </c>
      <c r="S1787">
        <v>5.78</v>
      </c>
      <c r="T1787">
        <v>0.87</v>
      </c>
      <c r="U1787">
        <v>0.82</v>
      </c>
      <c r="V1787">
        <v>11.96</v>
      </c>
      <c r="W1787">
        <v>3690</v>
      </c>
      <c r="X1787">
        <v>5.78</v>
      </c>
      <c r="Y1787" t="s">
        <v>1623</v>
      </c>
      <c r="Z1787" t="s">
        <v>3607</v>
      </c>
      <c r="AA1787">
        <v>1.08</v>
      </c>
      <c r="AB1787">
        <v>6364</v>
      </c>
      <c r="AC1787">
        <v>1423</v>
      </c>
      <c r="AD1787">
        <v>2.19</v>
      </c>
      <c r="AE1787" t="s">
        <v>361</v>
      </c>
      <c r="AF1787" t="s">
        <v>5392</v>
      </c>
      <c r="AG1787" t="s">
        <v>1554</v>
      </c>
      <c r="AH1787" t="s">
        <v>969</v>
      </c>
      <c r="AI1787">
        <v>-0.69</v>
      </c>
      <c r="AJ1787">
        <v>1.94</v>
      </c>
      <c r="AK1787">
        <v>2.61</v>
      </c>
      <c r="AL1787">
        <v>6.07</v>
      </c>
    </row>
    <row r="1788" spans="1:38" x14ac:dyDescent="0.25">
      <c r="A1788">
        <v>1787</v>
      </c>
      <c r="B1788" t="str">
        <f xml:space="preserve"> "600321"</f>
        <v>600321</v>
      </c>
      <c r="C1788" t="s">
        <v>6312</v>
      </c>
      <c r="D1788">
        <v>4.75</v>
      </c>
      <c r="E1788">
        <v>1.06</v>
      </c>
      <c r="F1788">
        <v>0.05</v>
      </c>
      <c r="G1788" t="s">
        <v>1583</v>
      </c>
      <c r="H1788">
        <v>15</v>
      </c>
      <c r="I1788">
        <v>4.75</v>
      </c>
      <c r="J1788">
        <v>4.76</v>
      </c>
      <c r="K1788">
        <v>0</v>
      </c>
      <c r="L1788">
        <v>1.23</v>
      </c>
      <c r="M1788" t="s">
        <v>6313</v>
      </c>
      <c r="N1788">
        <v>3260.51</v>
      </c>
      <c r="O1788" t="s">
        <v>562</v>
      </c>
      <c r="P1788">
        <v>4.76</v>
      </c>
      <c r="Q1788">
        <v>4.68</v>
      </c>
      <c r="R1788">
        <v>4.68</v>
      </c>
      <c r="S1788">
        <v>4.7</v>
      </c>
      <c r="T1788">
        <v>1.7</v>
      </c>
      <c r="U1788">
        <v>0.84</v>
      </c>
      <c r="V1788">
        <v>-17.399999999999999</v>
      </c>
      <c r="W1788">
        <v>-3847</v>
      </c>
      <c r="X1788">
        <v>4.71</v>
      </c>
      <c r="Y1788" t="s">
        <v>5022</v>
      </c>
      <c r="Z1788" t="s">
        <v>6314</v>
      </c>
      <c r="AA1788">
        <v>0.79</v>
      </c>
      <c r="AB1788">
        <v>732</v>
      </c>
      <c r="AC1788">
        <v>3478</v>
      </c>
      <c r="AD1788">
        <v>2.68</v>
      </c>
      <c r="AE1788" t="s">
        <v>434</v>
      </c>
      <c r="AF1788" t="s">
        <v>5392</v>
      </c>
      <c r="AG1788" t="s">
        <v>896</v>
      </c>
      <c r="AH1788" t="s">
        <v>3323</v>
      </c>
      <c r="AI1788">
        <v>-2.86</v>
      </c>
      <c r="AJ1788">
        <v>-1.45</v>
      </c>
      <c r="AK1788">
        <v>4</v>
      </c>
      <c r="AL1788">
        <v>8.56</v>
      </c>
    </row>
    <row r="1789" spans="1:38" x14ac:dyDescent="0.25">
      <c r="A1789">
        <v>1788</v>
      </c>
      <c r="B1789" t="str">
        <f xml:space="preserve"> "603801"</f>
        <v>603801</v>
      </c>
      <c r="C1789" t="s">
        <v>6315</v>
      </c>
      <c r="D1789">
        <v>44.83</v>
      </c>
      <c r="E1789">
        <v>-0.86</v>
      </c>
      <c r="F1789">
        <v>-0.39</v>
      </c>
      <c r="G1789" t="s">
        <v>3483</v>
      </c>
      <c r="H1789">
        <v>73</v>
      </c>
      <c r="I1789">
        <v>44.99</v>
      </c>
      <c r="J1789">
        <v>45</v>
      </c>
      <c r="K1789">
        <v>-0.16</v>
      </c>
      <c r="L1789">
        <v>5.14</v>
      </c>
      <c r="M1789" t="s">
        <v>6316</v>
      </c>
      <c r="N1789">
        <v>55.77</v>
      </c>
      <c r="O1789" t="s">
        <v>1469</v>
      </c>
      <c r="P1789">
        <v>46.78</v>
      </c>
      <c r="Q1789">
        <v>44.75</v>
      </c>
      <c r="R1789">
        <v>45.3</v>
      </c>
      <c r="S1789">
        <v>45.22</v>
      </c>
      <c r="T1789">
        <v>4.49</v>
      </c>
      <c r="U1789">
        <v>1.26</v>
      </c>
      <c r="V1789">
        <v>47.58</v>
      </c>
      <c r="W1789">
        <v>178</v>
      </c>
      <c r="X1789">
        <v>45.71</v>
      </c>
      <c r="Y1789">
        <v>9332</v>
      </c>
      <c r="Z1789" t="s">
        <v>2002</v>
      </c>
      <c r="AA1789">
        <v>0.83</v>
      </c>
      <c r="AB1789">
        <v>227</v>
      </c>
      <c r="AC1789">
        <v>20</v>
      </c>
      <c r="AD1789">
        <v>4.6900000000000004</v>
      </c>
      <c r="AE1789" t="s">
        <v>4326</v>
      </c>
      <c r="AF1789" t="s">
        <v>5530</v>
      </c>
      <c r="AG1789" t="s">
        <v>6081</v>
      </c>
      <c r="AH1789" t="s">
        <v>1365</v>
      </c>
      <c r="AI1789">
        <v>1.31</v>
      </c>
      <c r="AJ1789">
        <v>7.74</v>
      </c>
      <c r="AK1789">
        <v>15.8</v>
      </c>
      <c r="AL1789">
        <v>25.47</v>
      </c>
    </row>
    <row r="1790" spans="1:38" x14ac:dyDescent="0.25">
      <c r="A1790">
        <v>1789</v>
      </c>
      <c r="B1790" t="str">
        <f xml:space="preserve"> "600818"</f>
        <v>600818</v>
      </c>
      <c r="C1790" t="s">
        <v>6317</v>
      </c>
      <c r="D1790">
        <v>22.31</v>
      </c>
      <c r="E1790">
        <v>-0.45</v>
      </c>
      <c r="F1790">
        <v>-0.1</v>
      </c>
      <c r="G1790" t="s">
        <v>2800</v>
      </c>
      <c r="H1790">
        <v>8</v>
      </c>
      <c r="I1790">
        <v>22.31</v>
      </c>
      <c r="J1790">
        <v>22.32</v>
      </c>
      <c r="K1790">
        <v>-0.09</v>
      </c>
      <c r="L1790">
        <v>0.44</v>
      </c>
      <c r="M1790" t="s">
        <v>6318</v>
      </c>
      <c r="N1790">
        <v>116.89</v>
      </c>
      <c r="O1790" t="s">
        <v>807</v>
      </c>
      <c r="P1790">
        <v>22.5</v>
      </c>
      <c r="Q1790">
        <v>22.21</v>
      </c>
      <c r="R1790">
        <v>22.28</v>
      </c>
      <c r="S1790">
        <v>22.41</v>
      </c>
      <c r="T1790">
        <v>1.29</v>
      </c>
      <c r="U1790">
        <v>0.65</v>
      </c>
      <c r="V1790">
        <v>-67.06</v>
      </c>
      <c r="W1790">
        <v>-847</v>
      </c>
      <c r="X1790">
        <v>22.33</v>
      </c>
      <c r="Y1790">
        <v>6154</v>
      </c>
      <c r="Z1790">
        <v>4390</v>
      </c>
      <c r="AA1790">
        <v>1.4</v>
      </c>
      <c r="AB1790">
        <v>24</v>
      </c>
      <c r="AC1790">
        <v>142</v>
      </c>
      <c r="AD1790">
        <v>10.96</v>
      </c>
      <c r="AE1790" t="s">
        <v>5819</v>
      </c>
      <c r="AF1790" t="s">
        <v>5530</v>
      </c>
      <c r="AG1790" t="s">
        <v>1197</v>
      </c>
      <c r="AH1790" t="s">
        <v>6319</v>
      </c>
      <c r="AI1790">
        <v>-0.57999999999999996</v>
      </c>
      <c r="AJ1790">
        <v>1.69</v>
      </c>
      <c r="AK1790">
        <v>1.9</v>
      </c>
      <c r="AL1790">
        <v>3.86</v>
      </c>
    </row>
    <row r="1791" spans="1:38" x14ac:dyDescent="0.25">
      <c r="A1791">
        <v>1790</v>
      </c>
      <c r="B1791" t="str">
        <f xml:space="preserve"> "300612"</f>
        <v>300612</v>
      </c>
      <c r="C1791" t="s">
        <v>6320</v>
      </c>
      <c r="D1791" t="s">
        <v>616</v>
      </c>
      <c r="E1791" t="s">
        <v>616</v>
      </c>
      <c r="F1791" t="s">
        <v>616</v>
      </c>
      <c r="G1791" t="s">
        <v>616</v>
      </c>
      <c r="H1791" t="s">
        <v>616</v>
      </c>
      <c r="I1791" t="s">
        <v>616</v>
      </c>
      <c r="J1791" t="s">
        <v>616</v>
      </c>
      <c r="K1791" t="s">
        <v>616</v>
      </c>
      <c r="L1791" t="s">
        <v>616</v>
      </c>
      <c r="M1791" t="s">
        <v>616</v>
      </c>
      <c r="N1791">
        <v>131.59</v>
      </c>
      <c r="O1791" t="s">
        <v>1126</v>
      </c>
      <c r="P1791" t="s">
        <v>616</v>
      </c>
      <c r="Q1791" t="s">
        <v>616</v>
      </c>
      <c r="R1791" t="s">
        <v>616</v>
      </c>
      <c r="S1791">
        <v>66.33</v>
      </c>
      <c r="T1791" t="s">
        <v>616</v>
      </c>
      <c r="U1791" t="s">
        <v>616</v>
      </c>
      <c r="V1791" t="s">
        <v>616</v>
      </c>
      <c r="W1791" t="s">
        <v>616</v>
      </c>
      <c r="X1791" t="s">
        <v>616</v>
      </c>
      <c r="Y1791" t="s">
        <v>616</v>
      </c>
      <c r="Z1791" t="s">
        <v>616</v>
      </c>
      <c r="AA1791" t="s">
        <v>616</v>
      </c>
      <c r="AB1791" t="s">
        <v>616</v>
      </c>
      <c r="AC1791" t="s">
        <v>616</v>
      </c>
      <c r="AD1791">
        <v>16.61</v>
      </c>
      <c r="AE1791" t="s">
        <v>1120</v>
      </c>
      <c r="AF1791" t="s">
        <v>461</v>
      </c>
      <c r="AG1791" t="s">
        <v>3501</v>
      </c>
      <c r="AH1791" t="s">
        <v>1365</v>
      </c>
      <c r="AI1791">
        <v>0</v>
      </c>
      <c r="AJ1791">
        <v>0</v>
      </c>
      <c r="AK1791">
        <v>0</v>
      </c>
      <c r="AL1791">
        <v>0</v>
      </c>
    </row>
    <row r="1792" spans="1:38" x14ac:dyDescent="0.25">
      <c r="A1792">
        <v>1791</v>
      </c>
      <c r="B1792" t="str">
        <f xml:space="preserve"> "000903"</f>
        <v>000903</v>
      </c>
      <c r="C1792" t="s">
        <v>6321</v>
      </c>
      <c r="D1792">
        <v>4.07</v>
      </c>
      <c r="E1792">
        <v>-0.25</v>
      </c>
      <c r="F1792">
        <v>-0.01</v>
      </c>
      <c r="G1792" t="s">
        <v>3109</v>
      </c>
      <c r="H1792">
        <v>490</v>
      </c>
      <c r="I1792">
        <v>4.07</v>
      </c>
      <c r="J1792">
        <v>4.08</v>
      </c>
      <c r="K1792">
        <v>-0.25</v>
      </c>
      <c r="L1792">
        <v>0.56999999999999995</v>
      </c>
      <c r="M1792" t="s">
        <v>6322</v>
      </c>
      <c r="N1792">
        <v>21.46</v>
      </c>
      <c r="O1792" t="s">
        <v>648</v>
      </c>
      <c r="P1792">
        <v>4.09</v>
      </c>
      <c r="Q1792">
        <v>4.05</v>
      </c>
      <c r="R1792">
        <v>4.07</v>
      </c>
      <c r="S1792">
        <v>4.08</v>
      </c>
      <c r="T1792">
        <v>0.98</v>
      </c>
      <c r="U1792">
        <v>0.59</v>
      </c>
      <c r="V1792">
        <v>-16</v>
      </c>
      <c r="W1792">
        <v>-9123</v>
      </c>
      <c r="X1792">
        <v>4.07</v>
      </c>
      <c r="Y1792" t="s">
        <v>151</v>
      </c>
      <c r="Z1792" t="s">
        <v>1271</v>
      </c>
      <c r="AA1792">
        <v>1.22</v>
      </c>
      <c r="AB1792">
        <v>4062</v>
      </c>
      <c r="AC1792">
        <v>3620</v>
      </c>
      <c r="AD1792">
        <v>1.57</v>
      </c>
      <c r="AE1792" t="s">
        <v>2050</v>
      </c>
      <c r="AF1792" t="s">
        <v>1182</v>
      </c>
      <c r="AG1792" t="s">
        <v>2299</v>
      </c>
      <c r="AH1792" t="s">
        <v>5796</v>
      </c>
      <c r="AI1792">
        <v>-0.25</v>
      </c>
      <c r="AJ1792">
        <v>-0.49</v>
      </c>
      <c r="AK1792">
        <v>2.38</v>
      </c>
      <c r="AL1792">
        <v>5.4</v>
      </c>
    </row>
    <row r="1793" spans="1:38" x14ac:dyDescent="0.25">
      <c r="A1793">
        <v>1792</v>
      </c>
      <c r="B1793" t="str">
        <f xml:space="preserve"> "002692"</f>
        <v>002692</v>
      </c>
      <c r="C1793" t="s">
        <v>6323</v>
      </c>
      <c r="D1793">
        <v>9.9600000000000009</v>
      </c>
      <c r="E1793">
        <v>0.1</v>
      </c>
      <c r="F1793">
        <v>0.01</v>
      </c>
      <c r="G1793" t="s">
        <v>5033</v>
      </c>
      <c r="H1793">
        <v>55</v>
      </c>
      <c r="I1793">
        <v>9.9499999999999993</v>
      </c>
      <c r="J1793">
        <v>9.9600000000000009</v>
      </c>
      <c r="K1793">
        <v>-0.1</v>
      </c>
      <c r="L1793">
        <v>0.44</v>
      </c>
      <c r="M1793" t="s">
        <v>6324</v>
      </c>
      <c r="N1793">
        <v>107</v>
      </c>
      <c r="O1793" t="s">
        <v>680</v>
      </c>
      <c r="P1793">
        <v>10.050000000000001</v>
      </c>
      <c r="Q1793">
        <v>9.85</v>
      </c>
      <c r="R1793">
        <v>9.92</v>
      </c>
      <c r="S1793">
        <v>9.9499999999999993</v>
      </c>
      <c r="T1793">
        <v>2.0099999999999998</v>
      </c>
      <c r="U1793">
        <v>1.1000000000000001</v>
      </c>
      <c r="V1793">
        <v>-2.95</v>
      </c>
      <c r="W1793">
        <v>-85</v>
      </c>
      <c r="X1793">
        <v>9.94</v>
      </c>
      <c r="Y1793" t="s">
        <v>1153</v>
      </c>
      <c r="Z1793" t="s">
        <v>3941</v>
      </c>
      <c r="AA1793">
        <v>1.22</v>
      </c>
      <c r="AB1793">
        <v>26</v>
      </c>
      <c r="AC1793">
        <v>445</v>
      </c>
      <c r="AD1793">
        <v>4.91</v>
      </c>
      <c r="AE1793" t="s">
        <v>6325</v>
      </c>
      <c r="AF1793" t="s">
        <v>1182</v>
      </c>
      <c r="AG1793" t="s">
        <v>2789</v>
      </c>
      <c r="AH1793" t="s">
        <v>2462</v>
      </c>
      <c r="AI1793">
        <v>-1.68</v>
      </c>
      <c r="AJ1793">
        <v>1.32</v>
      </c>
      <c r="AK1793">
        <v>1.04</v>
      </c>
      <c r="AL1793">
        <v>2.4300000000000002</v>
      </c>
    </row>
    <row r="1794" spans="1:38" x14ac:dyDescent="0.25">
      <c r="A1794">
        <v>1793</v>
      </c>
      <c r="B1794" t="str">
        <f xml:space="preserve"> "002216"</f>
        <v>002216</v>
      </c>
      <c r="C1794" t="s">
        <v>6326</v>
      </c>
      <c r="D1794">
        <v>8.76</v>
      </c>
      <c r="E1794">
        <v>0.34</v>
      </c>
      <c r="F1794">
        <v>0.03</v>
      </c>
      <c r="G1794" t="s">
        <v>3881</v>
      </c>
      <c r="H1794">
        <v>813</v>
      </c>
      <c r="I1794">
        <v>8.76</v>
      </c>
      <c r="J1794">
        <v>8.7899999999999991</v>
      </c>
      <c r="K1794">
        <v>-0.34</v>
      </c>
      <c r="L1794">
        <v>0.62</v>
      </c>
      <c r="M1794" t="s">
        <v>6327</v>
      </c>
      <c r="N1794">
        <v>49.02</v>
      </c>
      <c r="O1794" t="s">
        <v>406</v>
      </c>
      <c r="P1794">
        <v>8.85</v>
      </c>
      <c r="Q1794">
        <v>8.7200000000000006</v>
      </c>
      <c r="R1794">
        <v>8.73</v>
      </c>
      <c r="S1794">
        <v>8.73</v>
      </c>
      <c r="T1794">
        <v>1.49</v>
      </c>
      <c r="U1794">
        <v>1.41</v>
      </c>
      <c r="V1794">
        <v>-58.49</v>
      </c>
      <c r="W1794">
        <v>-1928</v>
      </c>
      <c r="X1794">
        <v>8.81</v>
      </c>
      <c r="Y1794" t="s">
        <v>3603</v>
      </c>
      <c r="Z1794" t="s">
        <v>2252</v>
      </c>
      <c r="AA1794">
        <v>0.97</v>
      </c>
      <c r="AB1794">
        <v>38</v>
      </c>
      <c r="AC1794">
        <v>598</v>
      </c>
      <c r="AD1794">
        <v>3.58</v>
      </c>
      <c r="AE1794" t="s">
        <v>2245</v>
      </c>
      <c r="AF1794" t="s">
        <v>6328</v>
      </c>
      <c r="AG1794" t="s">
        <v>4653</v>
      </c>
      <c r="AH1794" t="s">
        <v>5643</v>
      </c>
      <c r="AI1794">
        <v>1.1499999999999999</v>
      </c>
      <c r="AJ1794">
        <v>3.18</v>
      </c>
      <c r="AK1794">
        <v>1.8</v>
      </c>
      <c r="AL1794">
        <v>2.83</v>
      </c>
    </row>
    <row r="1795" spans="1:38" x14ac:dyDescent="0.25">
      <c r="A1795">
        <v>1794</v>
      </c>
      <c r="B1795" t="str">
        <f xml:space="preserve"> "600401"</f>
        <v>600401</v>
      </c>
      <c r="C1795" t="s">
        <v>6329</v>
      </c>
      <c r="D1795">
        <v>1.51</v>
      </c>
      <c r="E1795">
        <v>0.67</v>
      </c>
      <c r="F1795">
        <v>0.01</v>
      </c>
      <c r="G1795" t="s">
        <v>1942</v>
      </c>
      <c r="H1795">
        <v>54</v>
      </c>
      <c r="I1795">
        <v>1.5</v>
      </c>
      <c r="J1795">
        <v>1.51</v>
      </c>
      <c r="K1795">
        <v>0.67</v>
      </c>
      <c r="L1795">
        <v>0.49</v>
      </c>
      <c r="M1795" t="s">
        <v>6330</v>
      </c>
      <c r="N1795">
        <v>-7.11</v>
      </c>
      <c r="O1795" t="s">
        <v>859</v>
      </c>
      <c r="P1795">
        <v>1.51</v>
      </c>
      <c r="Q1795">
        <v>1.49</v>
      </c>
      <c r="R1795">
        <v>1.49</v>
      </c>
      <c r="S1795">
        <v>1.5</v>
      </c>
      <c r="T1795">
        <v>1.33</v>
      </c>
      <c r="U1795">
        <v>0.67</v>
      </c>
      <c r="V1795">
        <v>-23.71</v>
      </c>
      <c r="W1795" t="s">
        <v>6331</v>
      </c>
      <c r="X1795">
        <v>1.5</v>
      </c>
      <c r="Y1795" t="s">
        <v>363</v>
      </c>
      <c r="Z1795" t="s">
        <v>873</v>
      </c>
      <c r="AA1795">
        <v>0.9</v>
      </c>
      <c r="AB1795">
        <v>9970</v>
      </c>
      <c r="AC1795" t="s">
        <v>196</v>
      </c>
      <c r="AD1795">
        <v>2.19</v>
      </c>
      <c r="AE1795" t="s">
        <v>2538</v>
      </c>
      <c r="AF1795" t="s">
        <v>6332</v>
      </c>
      <c r="AG1795" t="s">
        <v>2538</v>
      </c>
      <c r="AH1795" t="s">
        <v>6332</v>
      </c>
      <c r="AI1795">
        <v>1.34</v>
      </c>
      <c r="AJ1795">
        <v>2.72</v>
      </c>
      <c r="AK1795">
        <v>2.48</v>
      </c>
      <c r="AL1795">
        <v>4.12</v>
      </c>
    </row>
    <row r="1796" spans="1:38" x14ac:dyDescent="0.25">
      <c r="A1796">
        <v>1795</v>
      </c>
      <c r="B1796" t="str">
        <f xml:space="preserve"> "300209"</f>
        <v>300209</v>
      </c>
      <c r="C1796" t="s">
        <v>6333</v>
      </c>
      <c r="D1796">
        <v>24.4</v>
      </c>
      <c r="E1796">
        <v>-2.48</v>
      </c>
      <c r="F1796">
        <v>-0.62</v>
      </c>
      <c r="G1796" t="s">
        <v>6334</v>
      </c>
      <c r="H1796">
        <v>1115</v>
      </c>
      <c r="I1796">
        <v>24.4</v>
      </c>
      <c r="J1796">
        <v>24.41</v>
      </c>
      <c r="K1796">
        <v>0</v>
      </c>
      <c r="L1796">
        <v>3.13</v>
      </c>
      <c r="M1796" t="s">
        <v>398</v>
      </c>
      <c r="N1796">
        <v>183.84</v>
      </c>
      <c r="O1796" t="s">
        <v>893</v>
      </c>
      <c r="P1796">
        <v>24.98</v>
      </c>
      <c r="Q1796">
        <v>24.22</v>
      </c>
      <c r="R1796">
        <v>24.85</v>
      </c>
      <c r="S1796">
        <v>25.02</v>
      </c>
      <c r="T1796">
        <v>3.04</v>
      </c>
      <c r="U1796">
        <v>0.78</v>
      </c>
      <c r="V1796">
        <v>37.950000000000003</v>
      </c>
      <c r="W1796">
        <v>541</v>
      </c>
      <c r="X1796">
        <v>24.47</v>
      </c>
      <c r="Y1796" t="s">
        <v>272</v>
      </c>
      <c r="Z1796" t="s">
        <v>2777</v>
      </c>
      <c r="AA1796">
        <v>1.86</v>
      </c>
      <c r="AB1796">
        <v>617</v>
      </c>
      <c r="AC1796">
        <v>105</v>
      </c>
      <c r="AD1796">
        <v>3.58</v>
      </c>
      <c r="AE1796" t="s">
        <v>540</v>
      </c>
      <c r="AF1796" t="s">
        <v>6332</v>
      </c>
      <c r="AG1796" t="s">
        <v>1928</v>
      </c>
      <c r="AH1796" t="s">
        <v>5878</v>
      </c>
      <c r="AI1796">
        <v>-1.29</v>
      </c>
      <c r="AJ1796">
        <v>12.55</v>
      </c>
      <c r="AK1796">
        <v>10.6</v>
      </c>
      <c r="AL1796">
        <v>23.25</v>
      </c>
    </row>
    <row r="1797" spans="1:38" x14ac:dyDescent="0.25">
      <c r="A1797">
        <v>1796</v>
      </c>
      <c r="B1797" t="str">
        <f xml:space="preserve"> "600740"</f>
        <v>600740</v>
      </c>
      <c r="C1797" t="s">
        <v>6335</v>
      </c>
      <c r="D1797">
        <v>9.3000000000000007</v>
      </c>
      <c r="E1797">
        <v>-1.06</v>
      </c>
      <c r="F1797">
        <v>-0.1</v>
      </c>
      <c r="G1797" t="s">
        <v>1163</v>
      </c>
      <c r="H1797">
        <v>117</v>
      </c>
      <c r="I1797">
        <v>9.3000000000000007</v>
      </c>
      <c r="J1797">
        <v>9.31</v>
      </c>
      <c r="K1797">
        <v>-0.11</v>
      </c>
      <c r="L1797">
        <v>5.16</v>
      </c>
      <c r="M1797" t="s">
        <v>4602</v>
      </c>
      <c r="N1797">
        <v>179.01</v>
      </c>
      <c r="O1797" t="s">
        <v>150</v>
      </c>
      <c r="P1797">
        <v>9.43</v>
      </c>
      <c r="Q1797">
        <v>9.17</v>
      </c>
      <c r="R1797">
        <v>9.3699999999999992</v>
      </c>
      <c r="S1797">
        <v>9.4</v>
      </c>
      <c r="T1797">
        <v>2.77</v>
      </c>
      <c r="U1797">
        <v>1</v>
      </c>
      <c r="V1797">
        <v>-15.91</v>
      </c>
      <c r="W1797">
        <v>-1356</v>
      </c>
      <c r="X1797">
        <v>9.3000000000000007</v>
      </c>
      <c r="Y1797" t="s">
        <v>1921</v>
      </c>
      <c r="Z1797" t="s">
        <v>3469</v>
      </c>
      <c r="AA1797">
        <v>1.1599999999999999</v>
      </c>
      <c r="AB1797">
        <v>49</v>
      </c>
      <c r="AC1797">
        <v>1329</v>
      </c>
      <c r="AD1797">
        <v>3.46</v>
      </c>
      <c r="AE1797" t="s">
        <v>4071</v>
      </c>
      <c r="AF1797" t="s">
        <v>6336</v>
      </c>
      <c r="AG1797" t="s">
        <v>4393</v>
      </c>
      <c r="AH1797" t="s">
        <v>6337</v>
      </c>
      <c r="AI1797">
        <v>-9.8000000000000007</v>
      </c>
      <c r="AJ1797">
        <v>-12.68</v>
      </c>
      <c r="AK1797">
        <v>19.260000000000002</v>
      </c>
      <c r="AL1797">
        <v>30.97</v>
      </c>
    </row>
    <row r="1798" spans="1:38" x14ac:dyDescent="0.25">
      <c r="A1798">
        <v>1797</v>
      </c>
      <c r="B1798" t="str">
        <f xml:space="preserve"> "603826"</f>
        <v>603826</v>
      </c>
      <c r="C1798" t="s">
        <v>6338</v>
      </c>
      <c r="D1798">
        <v>19.78</v>
      </c>
      <c r="E1798">
        <v>1.07</v>
      </c>
      <c r="F1798">
        <v>0.21</v>
      </c>
      <c r="G1798" t="s">
        <v>506</v>
      </c>
      <c r="H1798">
        <v>68</v>
      </c>
      <c r="I1798">
        <v>19.78</v>
      </c>
      <c r="J1798">
        <v>19.79</v>
      </c>
      <c r="K1798">
        <v>-0.15</v>
      </c>
      <c r="L1798">
        <v>3.55</v>
      </c>
      <c r="M1798" t="s">
        <v>6339</v>
      </c>
      <c r="N1798">
        <v>57.35</v>
      </c>
      <c r="O1798" t="s">
        <v>859</v>
      </c>
      <c r="P1798">
        <v>19.98</v>
      </c>
      <c r="Q1798">
        <v>19.54</v>
      </c>
      <c r="R1798">
        <v>19.54</v>
      </c>
      <c r="S1798">
        <v>19.57</v>
      </c>
      <c r="T1798">
        <v>2.25</v>
      </c>
      <c r="U1798">
        <v>0.47</v>
      </c>
      <c r="V1798">
        <v>-46.7</v>
      </c>
      <c r="W1798">
        <v>-219</v>
      </c>
      <c r="X1798">
        <v>19.79</v>
      </c>
      <c r="Y1798" t="s">
        <v>530</v>
      </c>
      <c r="Z1798" t="s">
        <v>1950</v>
      </c>
      <c r="AA1798">
        <v>0.87</v>
      </c>
      <c r="AB1798">
        <v>5</v>
      </c>
      <c r="AC1798">
        <v>115</v>
      </c>
      <c r="AD1798">
        <v>6.53</v>
      </c>
      <c r="AE1798" t="s">
        <v>852</v>
      </c>
      <c r="AF1798" t="s">
        <v>6336</v>
      </c>
      <c r="AG1798" t="s">
        <v>6340</v>
      </c>
      <c r="AH1798" t="s">
        <v>1713</v>
      </c>
      <c r="AI1798">
        <v>-4.07</v>
      </c>
      <c r="AJ1798">
        <v>-1.35</v>
      </c>
      <c r="AK1798">
        <v>17.260000000000002</v>
      </c>
      <c r="AL1798">
        <v>40.98</v>
      </c>
    </row>
    <row r="1799" spans="1:38" x14ac:dyDescent="0.25">
      <c r="A1799">
        <v>1798</v>
      </c>
      <c r="B1799" t="str">
        <f xml:space="preserve"> "002887"</f>
        <v>002887</v>
      </c>
      <c r="C1799" t="s">
        <v>6341</v>
      </c>
      <c r="D1799">
        <v>89</v>
      </c>
      <c r="E1799">
        <v>4.07</v>
      </c>
      <c r="F1799">
        <v>3.48</v>
      </c>
      <c r="G1799" t="s">
        <v>1420</v>
      </c>
      <c r="H1799">
        <v>454</v>
      </c>
      <c r="I1799">
        <v>88.99</v>
      </c>
      <c r="J1799">
        <v>89</v>
      </c>
      <c r="K1799">
        <v>-0.09</v>
      </c>
      <c r="L1799">
        <v>10.72</v>
      </c>
      <c r="M1799" t="s">
        <v>957</v>
      </c>
      <c r="N1799">
        <v>40.33</v>
      </c>
      <c r="O1799" t="s">
        <v>263</v>
      </c>
      <c r="P1799">
        <v>89.99</v>
      </c>
      <c r="Q1799">
        <v>84.82</v>
      </c>
      <c r="R1799">
        <v>85.57</v>
      </c>
      <c r="S1799">
        <v>85.52</v>
      </c>
      <c r="T1799">
        <v>6.05</v>
      </c>
      <c r="U1799">
        <v>2.4</v>
      </c>
      <c r="V1799">
        <v>-48.11</v>
      </c>
      <c r="W1799">
        <v>-89</v>
      </c>
      <c r="X1799">
        <v>87.96</v>
      </c>
      <c r="Y1799">
        <v>8402</v>
      </c>
      <c r="Z1799" t="s">
        <v>1726</v>
      </c>
      <c r="AA1799">
        <v>0.64</v>
      </c>
      <c r="AB1799">
        <v>4</v>
      </c>
      <c r="AC1799">
        <v>28</v>
      </c>
      <c r="AD1799">
        <v>4.6100000000000003</v>
      </c>
      <c r="AE1799" t="s">
        <v>5802</v>
      </c>
      <c r="AF1799" t="s">
        <v>6336</v>
      </c>
      <c r="AG1799" t="s">
        <v>5562</v>
      </c>
      <c r="AH1799" t="s">
        <v>1713</v>
      </c>
      <c r="AI1799">
        <v>3.62</v>
      </c>
      <c r="AJ1799">
        <v>7.81</v>
      </c>
      <c r="AK1799">
        <v>19.649999999999999</v>
      </c>
      <c r="AL1799">
        <v>33.090000000000003</v>
      </c>
    </row>
    <row r="1800" spans="1:38" x14ac:dyDescent="0.25">
      <c r="A1800">
        <v>1799</v>
      </c>
      <c r="B1800" t="str">
        <f xml:space="preserve"> "002182"</f>
        <v>002182</v>
      </c>
      <c r="C1800" t="s">
        <v>6342</v>
      </c>
      <c r="D1800">
        <v>11.01</v>
      </c>
      <c r="E1800">
        <v>1.94</v>
      </c>
      <c r="F1800">
        <v>0.21</v>
      </c>
      <c r="G1800" t="s">
        <v>1242</v>
      </c>
      <c r="H1800">
        <v>1581</v>
      </c>
      <c r="I1800">
        <v>11.01</v>
      </c>
      <c r="J1800">
        <v>11.02</v>
      </c>
      <c r="K1800">
        <v>0</v>
      </c>
      <c r="L1800">
        <v>2.57</v>
      </c>
      <c r="M1800" t="s">
        <v>315</v>
      </c>
      <c r="N1800">
        <v>37.18</v>
      </c>
      <c r="O1800" t="s">
        <v>449</v>
      </c>
      <c r="P1800">
        <v>11.02</v>
      </c>
      <c r="Q1800">
        <v>10.8</v>
      </c>
      <c r="R1800">
        <v>10.81</v>
      </c>
      <c r="S1800">
        <v>10.8</v>
      </c>
      <c r="T1800">
        <v>2.04</v>
      </c>
      <c r="U1800">
        <v>0.84</v>
      </c>
      <c r="V1800">
        <v>-29.84</v>
      </c>
      <c r="W1800">
        <v>-2310</v>
      </c>
      <c r="X1800">
        <v>10.91</v>
      </c>
      <c r="Y1800" t="s">
        <v>5423</v>
      </c>
      <c r="Z1800" t="s">
        <v>1835</v>
      </c>
      <c r="AA1800">
        <v>0.74</v>
      </c>
      <c r="AB1800">
        <v>58</v>
      </c>
      <c r="AC1800">
        <v>1430</v>
      </c>
      <c r="AD1800">
        <v>4.78</v>
      </c>
      <c r="AE1800" t="s">
        <v>3611</v>
      </c>
      <c r="AF1800" t="s">
        <v>6336</v>
      </c>
      <c r="AG1800" t="s">
        <v>1395</v>
      </c>
      <c r="AH1800" t="s">
        <v>6343</v>
      </c>
      <c r="AI1800">
        <v>-1.78</v>
      </c>
      <c r="AJ1800">
        <v>1.57</v>
      </c>
      <c r="AK1800">
        <v>9.9700000000000006</v>
      </c>
      <c r="AL1800">
        <v>17.899999999999999</v>
      </c>
    </row>
    <row r="1801" spans="1:38" x14ac:dyDescent="0.25">
      <c r="A1801">
        <v>1800</v>
      </c>
      <c r="B1801" t="str">
        <f xml:space="preserve"> "603969"</f>
        <v>603969</v>
      </c>
      <c r="C1801" t="s">
        <v>6344</v>
      </c>
      <c r="D1801">
        <v>17.79</v>
      </c>
      <c r="E1801">
        <v>1.02</v>
      </c>
      <c r="F1801">
        <v>0.18</v>
      </c>
      <c r="G1801" t="s">
        <v>4242</v>
      </c>
      <c r="H1801">
        <v>9</v>
      </c>
      <c r="I1801">
        <v>17.79</v>
      </c>
      <c r="J1801">
        <v>17.8</v>
      </c>
      <c r="K1801">
        <v>-0.06</v>
      </c>
      <c r="L1801">
        <v>3.63</v>
      </c>
      <c r="M1801" t="s">
        <v>6345</v>
      </c>
      <c r="N1801">
        <v>56.76</v>
      </c>
      <c r="O1801" t="s">
        <v>1229</v>
      </c>
      <c r="P1801">
        <v>17.940000000000001</v>
      </c>
      <c r="Q1801">
        <v>17.47</v>
      </c>
      <c r="R1801">
        <v>17.559999999999999</v>
      </c>
      <c r="S1801">
        <v>17.61</v>
      </c>
      <c r="T1801">
        <v>2.67</v>
      </c>
      <c r="U1801">
        <v>1.02</v>
      </c>
      <c r="V1801">
        <v>33.07</v>
      </c>
      <c r="W1801">
        <v>414</v>
      </c>
      <c r="X1801">
        <v>17.71</v>
      </c>
      <c r="Y1801" t="s">
        <v>2846</v>
      </c>
      <c r="Z1801" t="s">
        <v>3948</v>
      </c>
      <c r="AA1801">
        <v>0.95</v>
      </c>
      <c r="AB1801">
        <v>9</v>
      </c>
      <c r="AC1801">
        <v>30</v>
      </c>
      <c r="AD1801">
        <v>4.54</v>
      </c>
      <c r="AE1801" t="s">
        <v>1000</v>
      </c>
      <c r="AF1801" t="s">
        <v>6336</v>
      </c>
      <c r="AG1801" t="s">
        <v>4271</v>
      </c>
      <c r="AH1801" t="s">
        <v>1030</v>
      </c>
      <c r="AI1801">
        <v>-1.98</v>
      </c>
      <c r="AJ1801">
        <v>-0.11</v>
      </c>
      <c r="AK1801">
        <v>10.130000000000001</v>
      </c>
      <c r="AL1801">
        <v>21.5</v>
      </c>
    </row>
    <row r="1802" spans="1:38" x14ac:dyDescent="0.25">
      <c r="A1802">
        <v>1801</v>
      </c>
      <c r="B1802" t="str">
        <f xml:space="preserve"> "000417"</f>
        <v>000417</v>
      </c>
      <c r="C1802" t="s">
        <v>6346</v>
      </c>
      <c r="D1802">
        <v>9.11</v>
      </c>
      <c r="E1802">
        <v>-0.22</v>
      </c>
      <c r="F1802">
        <v>-0.02</v>
      </c>
      <c r="G1802" t="s">
        <v>1593</v>
      </c>
      <c r="H1802">
        <v>608</v>
      </c>
      <c r="I1802">
        <v>9.11</v>
      </c>
      <c r="J1802">
        <v>9.1199999999999992</v>
      </c>
      <c r="K1802">
        <v>0.11</v>
      </c>
      <c r="L1802">
        <v>0.7</v>
      </c>
      <c r="M1802" t="s">
        <v>6347</v>
      </c>
      <c r="N1802">
        <v>20.13</v>
      </c>
      <c r="O1802" t="s">
        <v>532</v>
      </c>
      <c r="P1802">
        <v>9.16</v>
      </c>
      <c r="Q1802">
        <v>9.07</v>
      </c>
      <c r="R1802">
        <v>9.1300000000000008</v>
      </c>
      <c r="S1802">
        <v>9.1300000000000008</v>
      </c>
      <c r="T1802">
        <v>0.99</v>
      </c>
      <c r="U1802">
        <v>0.51</v>
      </c>
      <c r="V1802">
        <v>-17.38</v>
      </c>
      <c r="W1802">
        <v>-638</v>
      </c>
      <c r="X1802">
        <v>9.1199999999999992</v>
      </c>
      <c r="Y1802" t="s">
        <v>4200</v>
      </c>
      <c r="Z1802" t="s">
        <v>1341</v>
      </c>
      <c r="AA1802">
        <v>1.1399999999999999</v>
      </c>
      <c r="AB1802">
        <v>203</v>
      </c>
      <c r="AC1802">
        <v>436</v>
      </c>
      <c r="AD1802">
        <v>1.96</v>
      </c>
      <c r="AE1802" t="s">
        <v>4872</v>
      </c>
      <c r="AF1802" t="s">
        <v>3196</v>
      </c>
      <c r="AG1802" t="s">
        <v>6348</v>
      </c>
      <c r="AH1802" t="s">
        <v>3196</v>
      </c>
      <c r="AI1802">
        <v>-3.29</v>
      </c>
      <c r="AJ1802">
        <v>-4.21</v>
      </c>
      <c r="AK1802">
        <v>3.54</v>
      </c>
      <c r="AL1802">
        <v>7.52</v>
      </c>
    </row>
    <row r="1803" spans="1:38" x14ac:dyDescent="0.25">
      <c r="A1803">
        <v>1802</v>
      </c>
      <c r="B1803" t="str">
        <f xml:space="preserve"> "601677"</f>
        <v>601677</v>
      </c>
      <c r="C1803" t="s">
        <v>6349</v>
      </c>
      <c r="D1803">
        <v>13.84</v>
      </c>
      <c r="E1803">
        <v>7.0000000000000007E-2</v>
      </c>
      <c r="F1803">
        <v>0.01</v>
      </c>
      <c r="G1803" t="s">
        <v>113</v>
      </c>
      <c r="H1803">
        <v>29</v>
      </c>
      <c r="I1803">
        <v>13.84</v>
      </c>
      <c r="J1803">
        <v>13.85</v>
      </c>
      <c r="K1803">
        <v>-0.14000000000000001</v>
      </c>
      <c r="L1803">
        <v>0.45</v>
      </c>
      <c r="M1803" t="s">
        <v>4842</v>
      </c>
      <c r="N1803">
        <v>19.690000000000001</v>
      </c>
      <c r="O1803" t="s">
        <v>449</v>
      </c>
      <c r="P1803">
        <v>13.93</v>
      </c>
      <c r="Q1803">
        <v>13.79</v>
      </c>
      <c r="R1803">
        <v>13.83</v>
      </c>
      <c r="S1803">
        <v>13.83</v>
      </c>
      <c r="T1803">
        <v>1.01</v>
      </c>
      <c r="U1803">
        <v>0.72</v>
      </c>
      <c r="V1803">
        <v>76.2</v>
      </c>
      <c r="W1803">
        <v>1799</v>
      </c>
      <c r="X1803">
        <v>13.85</v>
      </c>
      <c r="Y1803" t="s">
        <v>1726</v>
      </c>
      <c r="Z1803">
        <v>8523</v>
      </c>
      <c r="AA1803">
        <v>1.52</v>
      </c>
      <c r="AB1803">
        <v>150</v>
      </c>
      <c r="AC1803">
        <v>101</v>
      </c>
      <c r="AD1803">
        <v>1.76</v>
      </c>
      <c r="AE1803" t="s">
        <v>3982</v>
      </c>
      <c r="AF1803" t="s">
        <v>3196</v>
      </c>
      <c r="AG1803" t="s">
        <v>1584</v>
      </c>
      <c r="AH1803" t="s">
        <v>3983</v>
      </c>
      <c r="AI1803">
        <v>-1.49</v>
      </c>
      <c r="AJ1803">
        <v>0.57999999999999996</v>
      </c>
      <c r="AK1803">
        <v>1.54</v>
      </c>
      <c r="AL1803">
        <v>3.57</v>
      </c>
    </row>
    <row r="1804" spans="1:38" x14ac:dyDescent="0.25">
      <c r="A1804">
        <v>1803</v>
      </c>
      <c r="B1804" t="str">
        <f xml:space="preserve"> "002733"</f>
        <v>002733</v>
      </c>
      <c r="C1804" t="s">
        <v>6350</v>
      </c>
      <c r="D1804">
        <v>20.28</v>
      </c>
      <c r="E1804">
        <v>-2.41</v>
      </c>
      <c r="F1804">
        <v>-0.5</v>
      </c>
      <c r="G1804" t="s">
        <v>2832</v>
      </c>
      <c r="H1804">
        <v>1737</v>
      </c>
      <c r="I1804">
        <v>20.28</v>
      </c>
      <c r="J1804">
        <v>20.29</v>
      </c>
      <c r="K1804">
        <v>0</v>
      </c>
      <c r="L1804">
        <v>5.29</v>
      </c>
      <c r="M1804" t="s">
        <v>4916</v>
      </c>
      <c r="N1804">
        <v>61.14</v>
      </c>
      <c r="O1804" t="s">
        <v>380</v>
      </c>
      <c r="P1804">
        <v>20.75</v>
      </c>
      <c r="Q1804">
        <v>20.079999999999998</v>
      </c>
      <c r="R1804">
        <v>20.62</v>
      </c>
      <c r="S1804">
        <v>20.78</v>
      </c>
      <c r="T1804">
        <v>3.22</v>
      </c>
      <c r="U1804">
        <v>0.61</v>
      </c>
      <c r="V1804">
        <v>0.22</v>
      </c>
      <c r="W1804">
        <v>2</v>
      </c>
      <c r="X1804">
        <v>20.39</v>
      </c>
      <c r="Y1804" t="s">
        <v>3972</v>
      </c>
      <c r="Z1804" t="s">
        <v>3190</v>
      </c>
      <c r="AA1804">
        <v>1.83</v>
      </c>
      <c r="AB1804">
        <v>299</v>
      </c>
      <c r="AC1804">
        <v>59</v>
      </c>
      <c r="AD1804">
        <v>3.21</v>
      </c>
      <c r="AE1804" t="s">
        <v>4109</v>
      </c>
      <c r="AF1804" t="s">
        <v>3196</v>
      </c>
      <c r="AG1804" t="s">
        <v>3976</v>
      </c>
      <c r="AH1804" t="s">
        <v>1309</v>
      </c>
      <c r="AI1804">
        <v>3.21</v>
      </c>
      <c r="AJ1804">
        <v>1.2</v>
      </c>
      <c r="AK1804">
        <v>26.8</v>
      </c>
      <c r="AL1804">
        <v>48.81</v>
      </c>
    </row>
    <row r="1805" spans="1:38" x14ac:dyDescent="0.25">
      <c r="A1805">
        <v>1804</v>
      </c>
      <c r="B1805" t="str">
        <f xml:space="preserve"> "002474"</f>
        <v>002474</v>
      </c>
      <c r="C1805" t="s">
        <v>6351</v>
      </c>
      <c r="D1805">
        <v>11.41</v>
      </c>
      <c r="E1805">
        <v>1.88</v>
      </c>
      <c r="F1805">
        <v>0.21</v>
      </c>
      <c r="G1805" t="s">
        <v>860</v>
      </c>
      <c r="H1805">
        <v>3379</v>
      </c>
      <c r="I1805">
        <v>11.4</v>
      </c>
      <c r="J1805">
        <v>11.41</v>
      </c>
      <c r="K1805">
        <v>0</v>
      </c>
      <c r="L1805">
        <v>3.08</v>
      </c>
      <c r="M1805" t="s">
        <v>2339</v>
      </c>
      <c r="N1805">
        <v>170.7</v>
      </c>
      <c r="O1805" t="s">
        <v>893</v>
      </c>
      <c r="P1805">
        <v>11.49</v>
      </c>
      <c r="Q1805">
        <v>11.11</v>
      </c>
      <c r="R1805">
        <v>11.21</v>
      </c>
      <c r="S1805">
        <v>11.2</v>
      </c>
      <c r="T1805">
        <v>3.39</v>
      </c>
      <c r="U1805">
        <v>1.49</v>
      </c>
      <c r="V1805">
        <v>-56.74</v>
      </c>
      <c r="W1805">
        <v>-4654</v>
      </c>
      <c r="X1805">
        <v>11.37</v>
      </c>
      <c r="Y1805" t="s">
        <v>5742</v>
      </c>
      <c r="Z1805" t="s">
        <v>1329</v>
      </c>
      <c r="AA1805">
        <v>0.72</v>
      </c>
      <c r="AB1805">
        <v>995</v>
      </c>
      <c r="AC1805">
        <v>72</v>
      </c>
      <c r="AD1805">
        <v>5.0199999999999996</v>
      </c>
      <c r="AE1805" t="s">
        <v>3470</v>
      </c>
      <c r="AF1805" t="s">
        <v>3196</v>
      </c>
      <c r="AG1805" t="s">
        <v>3545</v>
      </c>
      <c r="AH1805" t="s">
        <v>6319</v>
      </c>
      <c r="AI1805">
        <v>-0.17</v>
      </c>
      <c r="AJ1805">
        <v>5.94</v>
      </c>
      <c r="AK1805">
        <v>7.21</v>
      </c>
      <c r="AL1805">
        <v>13.4</v>
      </c>
    </row>
    <row r="1806" spans="1:38" x14ac:dyDescent="0.25">
      <c r="A1806">
        <v>1805</v>
      </c>
      <c r="B1806" t="str">
        <f xml:space="preserve"> "600829"</f>
        <v>600829</v>
      </c>
      <c r="C1806" t="s">
        <v>6352</v>
      </c>
      <c r="D1806" t="s">
        <v>616</v>
      </c>
      <c r="E1806" t="s">
        <v>616</v>
      </c>
      <c r="F1806" t="s">
        <v>616</v>
      </c>
      <c r="G1806" t="s">
        <v>616</v>
      </c>
      <c r="H1806" t="s">
        <v>616</v>
      </c>
      <c r="I1806" t="s">
        <v>616</v>
      </c>
      <c r="J1806" t="s">
        <v>616</v>
      </c>
      <c r="K1806" t="s">
        <v>616</v>
      </c>
      <c r="L1806" t="s">
        <v>616</v>
      </c>
      <c r="M1806" t="s">
        <v>616</v>
      </c>
      <c r="N1806">
        <v>25.51</v>
      </c>
      <c r="O1806" t="s">
        <v>1552</v>
      </c>
      <c r="P1806" t="s">
        <v>616</v>
      </c>
      <c r="Q1806" t="s">
        <v>616</v>
      </c>
      <c r="R1806" t="s">
        <v>616</v>
      </c>
      <c r="S1806">
        <v>12.24</v>
      </c>
      <c r="T1806" t="s">
        <v>616</v>
      </c>
      <c r="U1806" t="s">
        <v>616</v>
      </c>
      <c r="V1806" t="s">
        <v>616</v>
      </c>
      <c r="W1806" t="s">
        <v>616</v>
      </c>
      <c r="X1806" t="s">
        <v>616</v>
      </c>
      <c r="Y1806" t="s">
        <v>616</v>
      </c>
      <c r="Z1806" t="s">
        <v>616</v>
      </c>
      <c r="AA1806" t="s">
        <v>616</v>
      </c>
      <c r="AB1806" t="s">
        <v>616</v>
      </c>
      <c r="AC1806" t="s">
        <v>616</v>
      </c>
      <c r="AD1806">
        <v>4.74</v>
      </c>
      <c r="AE1806" t="s">
        <v>2789</v>
      </c>
      <c r="AF1806" t="s">
        <v>3196</v>
      </c>
      <c r="AG1806" t="s">
        <v>2789</v>
      </c>
      <c r="AH1806" t="s">
        <v>3196</v>
      </c>
      <c r="AI1806">
        <v>0</v>
      </c>
      <c r="AJ1806">
        <v>0</v>
      </c>
      <c r="AK1806">
        <v>0</v>
      </c>
      <c r="AL1806">
        <v>0</v>
      </c>
    </row>
    <row r="1807" spans="1:38" x14ac:dyDescent="0.25">
      <c r="A1807">
        <v>1806</v>
      </c>
      <c r="B1807" t="str">
        <f xml:space="preserve"> "300649"</f>
        <v>300649</v>
      </c>
      <c r="C1807" t="s">
        <v>6353</v>
      </c>
      <c r="D1807">
        <v>55.38</v>
      </c>
      <c r="E1807">
        <v>0.6</v>
      </c>
      <c r="F1807">
        <v>0.33</v>
      </c>
      <c r="G1807" t="s">
        <v>194</v>
      </c>
      <c r="H1807">
        <v>2204</v>
      </c>
      <c r="I1807">
        <v>55.38</v>
      </c>
      <c r="J1807">
        <v>55.39</v>
      </c>
      <c r="K1807">
        <v>-0.04</v>
      </c>
      <c r="L1807">
        <v>38.909999999999997</v>
      </c>
      <c r="M1807" t="s">
        <v>1177</v>
      </c>
      <c r="N1807">
        <v>275.86</v>
      </c>
      <c r="O1807" t="s">
        <v>1221</v>
      </c>
      <c r="P1807">
        <v>57.85</v>
      </c>
      <c r="Q1807">
        <v>54</v>
      </c>
      <c r="R1807">
        <v>55.5</v>
      </c>
      <c r="S1807">
        <v>55.05</v>
      </c>
      <c r="T1807">
        <v>6.99</v>
      </c>
      <c r="U1807">
        <v>1.02</v>
      </c>
      <c r="V1807">
        <v>18.059999999999999</v>
      </c>
      <c r="W1807">
        <v>283</v>
      </c>
      <c r="X1807">
        <v>56.03</v>
      </c>
      <c r="Y1807" t="s">
        <v>3832</v>
      </c>
      <c r="Z1807" t="s">
        <v>2123</v>
      </c>
      <c r="AA1807">
        <v>1.07</v>
      </c>
      <c r="AB1807">
        <v>170</v>
      </c>
      <c r="AC1807">
        <v>239</v>
      </c>
      <c r="AD1807">
        <v>24.27</v>
      </c>
      <c r="AE1807" t="s">
        <v>2239</v>
      </c>
      <c r="AF1807" t="s">
        <v>1932</v>
      </c>
      <c r="AG1807" t="s">
        <v>6354</v>
      </c>
      <c r="AH1807" t="s">
        <v>892</v>
      </c>
      <c r="AI1807">
        <v>5.77</v>
      </c>
      <c r="AJ1807">
        <v>25.1</v>
      </c>
      <c r="AK1807">
        <v>143.51</v>
      </c>
      <c r="AL1807">
        <v>229.52</v>
      </c>
    </row>
    <row r="1808" spans="1:38" x14ac:dyDescent="0.25">
      <c r="A1808">
        <v>1807</v>
      </c>
      <c r="B1808" t="str">
        <f xml:space="preserve"> "300523"</f>
        <v>300523</v>
      </c>
      <c r="C1808" t="s">
        <v>6355</v>
      </c>
      <c r="D1808">
        <v>49.22</v>
      </c>
      <c r="E1808">
        <v>-0.22</v>
      </c>
      <c r="F1808">
        <v>-0.11</v>
      </c>
      <c r="G1808">
        <v>4535</v>
      </c>
      <c r="H1808">
        <v>107</v>
      </c>
      <c r="I1808">
        <v>49.21</v>
      </c>
      <c r="J1808">
        <v>49.22</v>
      </c>
      <c r="K1808">
        <v>-0.02</v>
      </c>
      <c r="L1808">
        <v>0.45</v>
      </c>
      <c r="M1808" t="s">
        <v>6356</v>
      </c>
      <c r="N1808">
        <v>-546.80999999999995</v>
      </c>
      <c r="O1808" t="s">
        <v>893</v>
      </c>
      <c r="P1808">
        <v>49.81</v>
      </c>
      <c r="Q1808">
        <v>49.15</v>
      </c>
      <c r="R1808">
        <v>49.58</v>
      </c>
      <c r="S1808">
        <v>49.33</v>
      </c>
      <c r="T1808">
        <v>1.34</v>
      </c>
      <c r="U1808">
        <v>0.69</v>
      </c>
      <c r="V1808">
        <v>-70.11</v>
      </c>
      <c r="W1808">
        <v>-122</v>
      </c>
      <c r="X1808">
        <v>49.41</v>
      </c>
      <c r="Y1808">
        <v>2532</v>
      </c>
      <c r="Z1808">
        <v>2003</v>
      </c>
      <c r="AA1808">
        <v>1.26</v>
      </c>
      <c r="AB1808">
        <v>1</v>
      </c>
      <c r="AC1808">
        <v>30</v>
      </c>
      <c r="AD1808">
        <v>9.17</v>
      </c>
      <c r="AE1808" t="s">
        <v>2106</v>
      </c>
      <c r="AF1808" t="s">
        <v>1932</v>
      </c>
      <c r="AG1808" t="s">
        <v>4464</v>
      </c>
      <c r="AH1808" t="s">
        <v>2046</v>
      </c>
      <c r="AI1808">
        <v>-2.34</v>
      </c>
      <c r="AJ1808">
        <v>3.58</v>
      </c>
      <c r="AK1808">
        <v>1.93</v>
      </c>
      <c r="AL1808">
        <v>3.71</v>
      </c>
    </row>
    <row r="1809" spans="1:38" x14ac:dyDescent="0.25">
      <c r="A1809">
        <v>1808</v>
      </c>
      <c r="B1809" t="str">
        <f xml:space="preserve"> "002315"</f>
        <v>002315</v>
      </c>
      <c r="C1809" t="s">
        <v>6357</v>
      </c>
      <c r="D1809">
        <v>30.15</v>
      </c>
      <c r="E1809">
        <v>-1.02</v>
      </c>
      <c r="F1809">
        <v>-0.31</v>
      </c>
      <c r="G1809" t="s">
        <v>681</v>
      </c>
      <c r="H1809">
        <v>2227</v>
      </c>
      <c r="I1809">
        <v>30.14</v>
      </c>
      <c r="J1809">
        <v>30.15</v>
      </c>
      <c r="K1809">
        <v>0.17</v>
      </c>
      <c r="L1809">
        <v>5.34</v>
      </c>
      <c r="M1809" t="s">
        <v>1075</v>
      </c>
      <c r="N1809">
        <v>107.22</v>
      </c>
      <c r="O1809" t="s">
        <v>553</v>
      </c>
      <c r="P1809">
        <v>30.66</v>
      </c>
      <c r="Q1809">
        <v>29.81</v>
      </c>
      <c r="R1809">
        <v>30.26</v>
      </c>
      <c r="S1809">
        <v>30.46</v>
      </c>
      <c r="T1809">
        <v>2.79</v>
      </c>
      <c r="U1809">
        <v>0.66</v>
      </c>
      <c r="V1809">
        <v>48.85</v>
      </c>
      <c r="W1809">
        <v>550</v>
      </c>
      <c r="X1809">
        <v>30.15</v>
      </c>
      <c r="Y1809" t="s">
        <v>1507</v>
      </c>
      <c r="Z1809" t="s">
        <v>1374</v>
      </c>
      <c r="AA1809">
        <v>1.58</v>
      </c>
      <c r="AB1809">
        <v>239</v>
      </c>
      <c r="AC1809">
        <v>26</v>
      </c>
      <c r="AD1809">
        <v>3.85</v>
      </c>
      <c r="AE1809" t="s">
        <v>4011</v>
      </c>
      <c r="AF1809" t="s">
        <v>1932</v>
      </c>
      <c r="AG1809" t="s">
        <v>3361</v>
      </c>
      <c r="AH1809" t="s">
        <v>301</v>
      </c>
      <c r="AI1809">
        <v>-9.0500000000000007</v>
      </c>
      <c r="AJ1809">
        <v>10.72</v>
      </c>
      <c r="AK1809">
        <v>23.93</v>
      </c>
      <c r="AL1809">
        <v>45.72</v>
      </c>
    </row>
    <row r="1810" spans="1:38" x14ac:dyDescent="0.25">
      <c r="A1810">
        <v>1809</v>
      </c>
      <c r="B1810" t="str">
        <f xml:space="preserve"> "002567"</f>
        <v>002567</v>
      </c>
      <c r="C1810" t="s">
        <v>6358</v>
      </c>
      <c r="D1810">
        <v>8.44</v>
      </c>
      <c r="E1810">
        <v>0.36</v>
      </c>
      <c r="F1810">
        <v>0.03</v>
      </c>
      <c r="G1810" t="s">
        <v>6359</v>
      </c>
      <c r="H1810">
        <v>593</v>
      </c>
      <c r="I1810">
        <v>8.43</v>
      </c>
      <c r="J1810">
        <v>8.44</v>
      </c>
      <c r="K1810">
        <v>0</v>
      </c>
      <c r="L1810">
        <v>1.17</v>
      </c>
      <c r="M1810" t="s">
        <v>2967</v>
      </c>
      <c r="N1810">
        <v>25.63</v>
      </c>
      <c r="O1810" t="s">
        <v>622</v>
      </c>
      <c r="P1810">
        <v>8.4700000000000006</v>
      </c>
      <c r="Q1810">
        <v>8.31</v>
      </c>
      <c r="R1810">
        <v>8.41</v>
      </c>
      <c r="S1810">
        <v>8.41</v>
      </c>
      <c r="T1810">
        <v>1.9</v>
      </c>
      <c r="U1810">
        <v>0.79</v>
      </c>
      <c r="V1810">
        <v>-58.04</v>
      </c>
      <c r="W1810">
        <v>-3845</v>
      </c>
      <c r="X1810">
        <v>8.3800000000000008</v>
      </c>
      <c r="Y1810" t="s">
        <v>4189</v>
      </c>
      <c r="Z1810" t="s">
        <v>2279</v>
      </c>
      <c r="AA1810">
        <v>1.23</v>
      </c>
      <c r="AB1810">
        <v>287</v>
      </c>
      <c r="AC1810">
        <v>64</v>
      </c>
      <c r="AD1810">
        <v>2.17</v>
      </c>
      <c r="AE1810" t="s">
        <v>4525</v>
      </c>
      <c r="AF1810" t="s">
        <v>5459</v>
      </c>
      <c r="AG1810" t="s">
        <v>4640</v>
      </c>
      <c r="AH1810" t="s">
        <v>6360</v>
      </c>
      <c r="AI1810">
        <v>1.44</v>
      </c>
      <c r="AJ1810">
        <v>6.43</v>
      </c>
      <c r="AK1810">
        <v>5.34</v>
      </c>
      <c r="AL1810">
        <v>8.57</v>
      </c>
    </row>
    <row r="1811" spans="1:38" x14ac:dyDescent="0.25">
      <c r="A1811">
        <v>1810</v>
      </c>
      <c r="B1811" t="str">
        <f xml:space="preserve"> "000533"</f>
        <v>000533</v>
      </c>
      <c r="C1811" t="s">
        <v>6361</v>
      </c>
      <c r="D1811">
        <v>10.220000000000001</v>
      </c>
      <c r="E1811">
        <v>0.1</v>
      </c>
      <c r="F1811">
        <v>0.01</v>
      </c>
      <c r="G1811" t="s">
        <v>2695</v>
      </c>
      <c r="H1811">
        <v>501</v>
      </c>
      <c r="I1811">
        <v>10.210000000000001</v>
      </c>
      <c r="J1811">
        <v>10.220000000000001</v>
      </c>
      <c r="K1811">
        <v>0</v>
      </c>
      <c r="L1811">
        <v>0.37</v>
      </c>
      <c r="M1811" t="s">
        <v>6362</v>
      </c>
      <c r="N1811">
        <v>146.26</v>
      </c>
      <c r="O1811" t="s">
        <v>215</v>
      </c>
      <c r="P1811">
        <v>10.26</v>
      </c>
      <c r="Q1811">
        <v>10.16</v>
      </c>
      <c r="R1811">
        <v>10.18</v>
      </c>
      <c r="S1811">
        <v>10.210000000000001</v>
      </c>
      <c r="T1811">
        <v>0.98</v>
      </c>
      <c r="U1811">
        <v>0.89</v>
      </c>
      <c r="V1811">
        <v>-47.63</v>
      </c>
      <c r="W1811">
        <v>-2477</v>
      </c>
      <c r="X1811">
        <v>10.199999999999999</v>
      </c>
      <c r="Y1811" t="s">
        <v>3041</v>
      </c>
      <c r="Z1811" t="s">
        <v>4399</v>
      </c>
      <c r="AA1811">
        <v>0.76</v>
      </c>
      <c r="AB1811">
        <v>614</v>
      </c>
      <c r="AC1811">
        <v>311</v>
      </c>
      <c r="AD1811">
        <v>4.5</v>
      </c>
      <c r="AE1811" t="s">
        <v>3588</v>
      </c>
      <c r="AF1811" t="s">
        <v>5459</v>
      </c>
      <c r="AG1811" t="s">
        <v>2612</v>
      </c>
      <c r="AH1811" t="s">
        <v>6296</v>
      </c>
      <c r="AI1811">
        <v>-0.68</v>
      </c>
      <c r="AJ1811">
        <v>-2.57</v>
      </c>
      <c r="AK1811">
        <v>1.2</v>
      </c>
      <c r="AL1811">
        <v>2.4300000000000002</v>
      </c>
    </row>
    <row r="1812" spans="1:38" x14ac:dyDescent="0.25">
      <c r="A1812">
        <v>1811</v>
      </c>
      <c r="B1812" t="str">
        <f xml:space="preserve"> "002031"</f>
        <v>002031</v>
      </c>
      <c r="C1812" t="s">
        <v>6363</v>
      </c>
      <c r="D1812">
        <v>3.21</v>
      </c>
      <c r="E1812">
        <v>0.94</v>
      </c>
      <c r="F1812">
        <v>0.03</v>
      </c>
      <c r="G1812" t="s">
        <v>1433</v>
      </c>
      <c r="H1812" t="s">
        <v>4791</v>
      </c>
      <c r="I1812">
        <v>3.2</v>
      </c>
      <c r="J1812">
        <v>3.21</v>
      </c>
      <c r="K1812">
        <v>0</v>
      </c>
      <c r="L1812">
        <v>1.79</v>
      </c>
      <c r="M1812" t="s">
        <v>1635</v>
      </c>
      <c r="N1812">
        <v>120.02</v>
      </c>
      <c r="O1812" t="s">
        <v>169</v>
      </c>
      <c r="P1812">
        <v>3.22</v>
      </c>
      <c r="Q1812">
        <v>3.14</v>
      </c>
      <c r="R1812">
        <v>3.17</v>
      </c>
      <c r="S1812">
        <v>3.18</v>
      </c>
      <c r="T1812">
        <v>2.52</v>
      </c>
      <c r="U1812">
        <v>2.29</v>
      </c>
      <c r="V1812">
        <v>-40.76</v>
      </c>
      <c r="W1812" t="s">
        <v>6364</v>
      </c>
      <c r="X1812">
        <v>3.18</v>
      </c>
      <c r="Y1812" t="s">
        <v>236</v>
      </c>
      <c r="Z1812" t="s">
        <v>2043</v>
      </c>
      <c r="AA1812">
        <v>0.67</v>
      </c>
      <c r="AB1812">
        <v>3773</v>
      </c>
      <c r="AC1812" t="s">
        <v>3941</v>
      </c>
      <c r="AD1812">
        <v>2.37</v>
      </c>
      <c r="AE1812" t="s">
        <v>662</v>
      </c>
      <c r="AF1812" t="s">
        <v>5459</v>
      </c>
      <c r="AG1812" t="s">
        <v>1362</v>
      </c>
      <c r="AH1812" t="s">
        <v>6365</v>
      </c>
      <c r="AI1812">
        <v>1.26</v>
      </c>
      <c r="AJ1812">
        <v>3.88</v>
      </c>
      <c r="AK1812">
        <v>3.76</v>
      </c>
      <c r="AL1812">
        <v>5.71</v>
      </c>
    </row>
    <row r="1813" spans="1:38" x14ac:dyDescent="0.25">
      <c r="A1813">
        <v>1812</v>
      </c>
      <c r="B1813" t="str">
        <f xml:space="preserve"> "002769"</f>
        <v>002769</v>
      </c>
      <c r="C1813" t="s">
        <v>6366</v>
      </c>
      <c r="D1813">
        <v>18.75</v>
      </c>
      <c r="E1813">
        <v>-1.37</v>
      </c>
      <c r="F1813">
        <v>-0.26</v>
      </c>
      <c r="G1813" t="s">
        <v>573</v>
      </c>
      <c r="H1813">
        <v>1011</v>
      </c>
      <c r="I1813">
        <v>18.75</v>
      </c>
      <c r="J1813">
        <v>18.760000000000002</v>
      </c>
      <c r="K1813">
        <v>0</v>
      </c>
      <c r="L1813">
        <v>2.4</v>
      </c>
      <c r="M1813" t="s">
        <v>6367</v>
      </c>
      <c r="N1813">
        <v>37.549999999999997</v>
      </c>
      <c r="O1813" t="s">
        <v>553</v>
      </c>
      <c r="P1813">
        <v>19.059999999999999</v>
      </c>
      <c r="Q1813">
        <v>18.61</v>
      </c>
      <c r="R1813">
        <v>19.059999999999999</v>
      </c>
      <c r="S1813">
        <v>19.010000000000002</v>
      </c>
      <c r="T1813">
        <v>2.37</v>
      </c>
      <c r="U1813">
        <v>1.0900000000000001</v>
      </c>
      <c r="V1813">
        <v>-38.01</v>
      </c>
      <c r="W1813">
        <v>-501</v>
      </c>
      <c r="X1813">
        <v>18.78</v>
      </c>
      <c r="Y1813" t="s">
        <v>1199</v>
      </c>
      <c r="Z1813" t="s">
        <v>1683</v>
      </c>
      <c r="AA1813">
        <v>1.84</v>
      </c>
      <c r="AB1813">
        <v>317</v>
      </c>
      <c r="AC1813">
        <v>394</v>
      </c>
      <c r="AD1813">
        <v>5.54</v>
      </c>
      <c r="AE1813" t="s">
        <v>2316</v>
      </c>
      <c r="AF1813" t="s">
        <v>5459</v>
      </c>
      <c r="AG1813" t="s">
        <v>2146</v>
      </c>
      <c r="AH1813" t="s">
        <v>6368</v>
      </c>
      <c r="AI1813">
        <v>-0.11</v>
      </c>
      <c r="AJ1813">
        <v>5.4</v>
      </c>
      <c r="AK1813">
        <v>8.5</v>
      </c>
      <c r="AL1813">
        <v>13.38</v>
      </c>
    </row>
    <row r="1814" spans="1:38" x14ac:dyDescent="0.25">
      <c r="A1814">
        <v>1813</v>
      </c>
      <c r="B1814" t="str">
        <f xml:space="preserve"> "002321"</f>
        <v>002321</v>
      </c>
      <c r="C1814" t="s">
        <v>6369</v>
      </c>
      <c r="D1814">
        <v>13.21</v>
      </c>
      <c r="E1814">
        <v>0.23</v>
      </c>
      <c r="F1814">
        <v>0.03</v>
      </c>
      <c r="G1814" t="s">
        <v>2943</v>
      </c>
      <c r="H1814">
        <v>1709</v>
      </c>
      <c r="I1814">
        <v>13.21</v>
      </c>
      <c r="J1814">
        <v>13.22</v>
      </c>
      <c r="K1814">
        <v>-0.15</v>
      </c>
      <c r="L1814">
        <v>2.36</v>
      </c>
      <c r="M1814" t="s">
        <v>2646</v>
      </c>
      <c r="N1814">
        <v>209.22</v>
      </c>
      <c r="O1814" t="s">
        <v>622</v>
      </c>
      <c r="P1814">
        <v>13.35</v>
      </c>
      <c r="Q1814">
        <v>13.11</v>
      </c>
      <c r="R1814">
        <v>13.18</v>
      </c>
      <c r="S1814">
        <v>13.18</v>
      </c>
      <c r="T1814">
        <v>1.82</v>
      </c>
      <c r="U1814">
        <v>0.5</v>
      </c>
      <c r="V1814">
        <v>-66.44</v>
      </c>
      <c r="W1814">
        <v>-3061</v>
      </c>
      <c r="X1814">
        <v>13.2</v>
      </c>
      <c r="Y1814" t="s">
        <v>3273</v>
      </c>
      <c r="Z1814" t="s">
        <v>2527</v>
      </c>
      <c r="AA1814">
        <v>0.56000000000000005</v>
      </c>
      <c r="AB1814">
        <v>288</v>
      </c>
      <c r="AC1814">
        <v>1226</v>
      </c>
      <c r="AD1814">
        <v>2.91</v>
      </c>
      <c r="AE1814" t="s">
        <v>1900</v>
      </c>
      <c r="AF1814" t="s">
        <v>5459</v>
      </c>
      <c r="AG1814" t="s">
        <v>5006</v>
      </c>
      <c r="AH1814" t="s">
        <v>6370</v>
      </c>
      <c r="AI1814">
        <v>-1.2</v>
      </c>
      <c r="AJ1814">
        <v>0.23</v>
      </c>
      <c r="AK1814">
        <v>12.73</v>
      </c>
      <c r="AL1814">
        <v>25.75</v>
      </c>
    </row>
    <row r="1815" spans="1:38" x14ac:dyDescent="0.25">
      <c r="A1815">
        <v>1814</v>
      </c>
      <c r="B1815" t="str">
        <f xml:space="preserve"> "002063"</f>
        <v>002063</v>
      </c>
      <c r="C1815" t="s">
        <v>6371</v>
      </c>
      <c r="D1815">
        <v>11.71</v>
      </c>
      <c r="E1815">
        <v>-0.59</v>
      </c>
      <c r="F1815">
        <v>-7.0000000000000007E-2</v>
      </c>
      <c r="G1815" t="s">
        <v>4702</v>
      </c>
      <c r="H1815">
        <v>1275</v>
      </c>
      <c r="I1815">
        <v>11.71</v>
      </c>
      <c r="J1815">
        <v>11.72</v>
      </c>
      <c r="K1815">
        <v>0</v>
      </c>
      <c r="L1815">
        <v>1.1599999999999999</v>
      </c>
      <c r="M1815" t="s">
        <v>6372</v>
      </c>
      <c r="N1815">
        <v>47.49</v>
      </c>
      <c r="O1815" t="s">
        <v>893</v>
      </c>
      <c r="P1815">
        <v>11.8</v>
      </c>
      <c r="Q1815">
        <v>11.62</v>
      </c>
      <c r="R1815">
        <v>11.79</v>
      </c>
      <c r="S1815">
        <v>11.78</v>
      </c>
      <c r="T1815">
        <v>1.53</v>
      </c>
      <c r="U1815">
        <v>0.57999999999999996</v>
      </c>
      <c r="V1815">
        <v>-4.04</v>
      </c>
      <c r="W1815">
        <v>-170</v>
      </c>
      <c r="X1815">
        <v>11.68</v>
      </c>
      <c r="Y1815" t="s">
        <v>944</v>
      </c>
      <c r="Z1815" t="s">
        <v>394</v>
      </c>
      <c r="AA1815">
        <v>1.75</v>
      </c>
      <c r="AB1815">
        <v>968</v>
      </c>
      <c r="AC1815">
        <v>727</v>
      </c>
      <c r="AD1815">
        <v>3.81</v>
      </c>
      <c r="AE1815" t="s">
        <v>1951</v>
      </c>
      <c r="AF1815" t="s">
        <v>5459</v>
      </c>
      <c r="AG1815" t="s">
        <v>2804</v>
      </c>
      <c r="AH1815" t="s">
        <v>4162</v>
      </c>
      <c r="AI1815">
        <v>-0.34</v>
      </c>
      <c r="AJ1815">
        <v>1.83</v>
      </c>
      <c r="AK1815">
        <v>4.54</v>
      </c>
      <c r="AL1815">
        <v>11.1</v>
      </c>
    </row>
    <row r="1816" spans="1:38" x14ac:dyDescent="0.25">
      <c r="A1816">
        <v>1815</v>
      </c>
      <c r="B1816" t="str">
        <f xml:space="preserve"> "000043"</f>
        <v>000043</v>
      </c>
      <c r="C1816" t="s">
        <v>6373</v>
      </c>
      <c r="D1816">
        <v>10.58</v>
      </c>
      <c r="E1816">
        <v>-0.66</v>
      </c>
      <c r="F1816">
        <v>-7.0000000000000007E-2</v>
      </c>
      <c r="G1816" t="s">
        <v>2614</v>
      </c>
      <c r="H1816">
        <v>371</v>
      </c>
      <c r="I1816">
        <v>10.58</v>
      </c>
      <c r="J1816">
        <v>10.59</v>
      </c>
      <c r="K1816">
        <v>-0.19</v>
      </c>
      <c r="L1816">
        <v>0.39</v>
      </c>
      <c r="M1816" t="s">
        <v>6374</v>
      </c>
      <c r="N1816">
        <v>-25.11</v>
      </c>
      <c r="O1816" t="s">
        <v>244</v>
      </c>
      <c r="P1816">
        <v>10.69</v>
      </c>
      <c r="Q1816">
        <v>10.51</v>
      </c>
      <c r="R1816">
        <v>10.66</v>
      </c>
      <c r="S1816">
        <v>10.65</v>
      </c>
      <c r="T1816">
        <v>1.69</v>
      </c>
      <c r="U1816">
        <v>0.65</v>
      </c>
      <c r="V1816">
        <v>-51.89</v>
      </c>
      <c r="W1816">
        <v>-1104</v>
      </c>
      <c r="X1816">
        <v>10.6</v>
      </c>
      <c r="Y1816" t="s">
        <v>3603</v>
      </c>
      <c r="Z1816">
        <v>8367</v>
      </c>
      <c r="AA1816">
        <v>2.09</v>
      </c>
      <c r="AB1816">
        <v>20</v>
      </c>
      <c r="AC1816">
        <v>19</v>
      </c>
      <c r="AD1816">
        <v>1.81</v>
      </c>
      <c r="AE1816" t="s">
        <v>3329</v>
      </c>
      <c r="AF1816" t="s">
        <v>5459</v>
      </c>
      <c r="AG1816" t="s">
        <v>3329</v>
      </c>
      <c r="AH1816" t="s">
        <v>6375</v>
      </c>
      <c r="AI1816">
        <v>-0.09</v>
      </c>
      <c r="AJ1816">
        <v>-0.19</v>
      </c>
      <c r="AK1816">
        <v>1.78</v>
      </c>
      <c r="AL1816">
        <v>3.36</v>
      </c>
    </row>
    <row r="1817" spans="1:38" x14ac:dyDescent="0.25">
      <c r="A1817">
        <v>1816</v>
      </c>
      <c r="B1817" t="str">
        <f xml:space="preserve"> "000068"</f>
        <v>000068</v>
      </c>
      <c r="C1817" t="s">
        <v>6376</v>
      </c>
      <c r="D1817">
        <v>7</v>
      </c>
      <c r="E1817">
        <v>2.04</v>
      </c>
      <c r="F1817">
        <v>0.14000000000000001</v>
      </c>
      <c r="G1817" t="s">
        <v>2394</v>
      </c>
      <c r="H1817">
        <v>1145</v>
      </c>
      <c r="I1817">
        <v>7</v>
      </c>
      <c r="J1817">
        <v>7.01</v>
      </c>
      <c r="K1817">
        <v>0</v>
      </c>
      <c r="L1817">
        <v>1.1100000000000001</v>
      </c>
      <c r="M1817" t="s">
        <v>4499</v>
      </c>
      <c r="N1817">
        <v>-220.66</v>
      </c>
      <c r="O1817" t="s">
        <v>1155</v>
      </c>
      <c r="P1817">
        <v>7.08</v>
      </c>
      <c r="Q1817">
        <v>6.84</v>
      </c>
      <c r="R1817">
        <v>6.85</v>
      </c>
      <c r="S1817">
        <v>6.86</v>
      </c>
      <c r="T1817">
        <v>3.5</v>
      </c>
      <c r="U1817">
        <v>1.25</v>
      </c>
      <c r="V1817">
        <v>-19.29</v>
      </c>
      <c r="W1817">
        <v>-1031</v>
      </c>
      <c r="X1817">
        <v>6.97</v>
      </c>
      <c r="Y1817" t="s">
        <v>3070</v>
      </c>
      <c r="Z1817" t="s">
        <v>3680</v>
      </c>
      <c r="AA1817">
        <v>0.89</v>
      </c>
      <c r="AB1817">
        <v>645</v>
      </c>
      <c r="AC1817">
        <v>299</v>
      </c>
      <c r="AD1817">
        <v>11.58</v>
      </c>
      <c r="AE1817" t="s">
        <v>262</v>
      </c>
      <c r="AF1817" t="s">
        <v>6375</v>
      </c>
      <c r="AG1817" t="s">
        <v>3186</v>
      </c>
      <c r="AH1817" t="s">
        <v>4162</v>
      </c>
      <c r="AI1817">
        <v>-0.56999999999999995</v>
      </c>
      <c r="AJ1817">
        <v>4.79</v>
      </c>
      <c r="AK1817">
        <v>2.21</v>
      </c>
      <c r="AL1817">
        <v>5.53</v>
      </c>
    </row>
    <row r="1818" spans="1:38" x14ac:dyDescent="0.25">
      <c r="A1818">
        <v>1817</v>
      </c>
      <c r="B1818" t="str">
        <f xml:space="preserve"> "603817"</f>
        <v>603817</v>
      </c>
      <c r="C1818" t="s">
        <v>6377</v>
      </c>
      <c r="D1818">
        <v>15.64</v>
      </c>
      <c r="E1818">
        <v>9.99</v>
      </c>
      <c r="F1818">
        <v>1.42</v>
      </c>
      <c r="G1818" t="s">
        <v>689</v>
      </c>
      <c r="H1818">
        <v>6</v>
      </c>
      <c r="I1818">
        <v>15.64</v>
      </c>
      <c r="J1818" t="s">
        <v>616</v>
      </c>
      <c r="K1818">
        <v>0</v>
      </c>
      <c r="L1818">
        <v>12.6</v>
      </c>
      <c r="M1818" t="s">
        <v>185</v>
      </c>
      <c r="N1818">
        <v>66.680000000000007</v>
      </c>
      <c r="O1818" t="s">
        <v>1155</v>
      </c>
      <c r="P1818">
        <v>15.64</v>
      </c>
      <c r="Q1818">
        <v>14.22</v>
      </c>
      <c r="R1818">
        <v>14.22</v>
      </c>
      <c r="S1818">
        <v>14.22</v>
      </c>
      <c r="T1818">
        <v>9.99</v>
      </c>
      <c r="U1818">
        <v>4.9400000000000004</v>
      </c>
      <c r="V1818">
        <v>100</v>
      </c>
      <c r="W1818" t="s">
        <v>5016</v>
      </c>
      <c r="X1818">
        <v>15.17</v>
      </c>
      <c r="Y1818" t="s">
        <v>318</v>
      </c>
      <c r="Z1818" t="s">
        <v>5236</v>
      </c>
      <c r="AA1818">
        <v>0.81</v>
      </c>
      <c r="AB1818" t="s">
        <v>1341</v>
      </c>
      <c r="AC1818">
        <v>0</v>
      </c>
      <c r="AD1818">
        <v>5.14</v>
      </c>
      <c r="AE1818" t="s">
        <v>3370</v>
      </c>
      <c r="AF1818" t="s">
        <v>4931</v>
      </c>
      <c r="AG1818" t="s">
        <v>2869</v>
      </c>
      <c r="AH1818" t="s">
        <v>2050</v>
      </c>
      <c r="AI1818">
        <v>8.76</v>
      </c>
      <c r="AJ1818">
        <v>12.6</v>
      </c>
      <c r="AK1818">
        <v>18.61</v>
      </c>
      <c r="AL1818">
        <v>25.34</v>
      </c>
    </row>
    <row r="1819" spans="1:38" x14ac:dyDescent="0.25">
      <c r="A1819">
        <v>1818</v>
      </c>
      <c r="B1819" t="str">
        <f xml:space="preserve"> "600509"</f>
        <v>600509</v>
      </c>
      <c r="C1819" t="s">
        <v>6378</v>
      </c>
      <c r="D1819">
        <v>7.77</v>
      </c>
      <c r="E1819">
        <v>0.39</v>
      </c>
      <c r="F1819">
        <v>0.03</v>
      </c>
      <c r="G1819" t="s">
        <v>574</v>
      </c>
      <c r="H1819">
        <v>30</v>
      </c>
      <c r="I1819">
        <v>7.76</v>
      </c>
      <c r="J1819">
        <v>7.77</v>
      </c>
      <c r="K1819">
        <v>0.13</v>
      </c>
      <c r="L1819">
        <v>0.51</v>
      </c>
      <c r="M1819" t="s">
        <v>6379</v>
      </c>
      <c r="N1819">
        <v>23.46</v>
      </c>
      <c r="O1819" t="s">
        <v>186</v>
      </c>
      <c r="P1819">
        <v>7.77</v>
      </c>
      <c r="Q1819">
        <v>7.7</v>
      </c>
      <c r="R1819">
        <v>7.72</v>
      </c>
      <c r="S1819">
        <v>7.74</v>
      </c>
      <c r="T1819">
        <v>0.9</v>
      </c>
      <c r="U1819">
        <v>0.95</v>
      </c>
      <c r="V1819">
        <v>-9.26</v>
      </c>
      <c r="W1819">
        <v>-607</v>
      </c>
      <c r="X1819">
        <v>7.74</v>
      </c>
      <c r="Y1819" t="s">
        <v>113</v>
      </c>
      <c r="Z1819" t="s">
        <v>1285</v>
      </c>
      <c r="AA1819">
        <v>0.87</v>
      </c>
      <c r="AB1819">
        <v>371</v>
      </c>
      <c r="AC1819">
        <v>833</v>
      </c>
      <c r="AD1819">
        <v>1.46</v>
      </c>
      <c r="AE1819" t="s">
        <v>4254</v>
      </c>
      <c r="AF1819" t="s">
        <v>4931</v>
      </c>
      <c r="AG1819" t="s">
        <v>4254</v>
      </c>
      <c r="AH1819" t="s">
        <v>4931</v>
      </c>
      <c r="AI1819">
        <v>0.26</v>
      </c>
      <c r="AJ1819">
        <v>2.5099999999999998</v>
      </c>
      <c r="AK1819">
        <v>1.61</v>
      </c>
      <c r="AL1819">
        <v>3.21</v>
      </c>
    </row>
    <row r="1820" spans="1:38" x14ac:dyDescent="0.25">
      <c r="A1820">
        <v>1819</v>
      </c>
      <c r="B1820" t="str">
        <f xml:space="preserve"> "600790"</f>
        <v>600790</v>
      </c>
      <c r="C1820" t="s">
        <v>6380</v>
      </c>
      <c r="D1820">
        <v>6.72</v>
      </c>
      <c r="E1820">
        <v>0.3</v>
      </c>
      <c r="F1820">
        <v>0.02</v>
      </c>
      <c r="G1820" t="s">
        <v>3987</v>
      </c>
      <c r="H1820">
        <v>5</v>
      </c>
      <c r="I1820">
        <v>6.72</v>
      </c>
      <c r="J1820">
        <v>6.73</v>
      </c>
      <c r="K1820">
        <v>-0.15</v>
      </c>
      <c r="L1820">
        <v>0.28000000000000003</v>
      </c>
      <c r="M1820" t="s">
        <v>6381</v>
      </c>
      <c r="N1820">
        <v>14.87</v>
      </c>
      <c r="O1820" t="s">
        <v>532</v>
      </c>
      <c r="P1820">
        <v>6.74</v>
      </c>
      <c r="Q1820">
        <v>6.69</v>
      </c>
      <c r="R1820">
        <v>6.72</v>
      </c>
      <c r="S1820">
        <v>6.7</v>
      </c>
      <c r="T1820">
        <v>0.75</v>
      </c>
      <c r="U1820">
        <v>0.62</v>
      </c>
      <c r="V1820">
        <v>-65.28</v>
      </c>
      <c r="W1820">
        <v>-4180</v>
      </c>
      <c r="X1820">
        <v>6.72</v>
      </c>
      <c r="Y1820" t="s">
        <v>3519</v>
      </c>
      <c r="Z1820" t="s">
        <v>2616</v>
      </c>
      <c r="AA1820">
        <v>1.23</v>
      </c>
      <c r="AB1820">
        <v>14</v>
      </c>
      <c r="AC1820">
        <v>133</v>
      </c>
      <c r="AD1820">
        <v>1.44</v>
      </c>
      <c r="AE1820" t="s">
        <v>2066</v>
      </c>
      <c r="AF1820" t="s">
        <v>4931</v>
      </c>
      <c r="AG1820" t="s">
        <v>2066</v>
      </c>
      <c r="AH1820" t="s">
        <v>4931</v>
      </c>
      <c r="AI1820">
        <v>0.15</v>
      </c>
      <c r="AJ1820">
        <v>2.6</v>
      </c>
      <c r="AK1820">
        <v>1.4</v>
      </c>
      <c r="AL1820">
        <v>2.52</v>
      </c>
    </row>
    <row r="1821" spans="1:38" x14ac:dyDescent="0.25">
      <c r="A1821">
        <v>1820</v>
      </c>
      <c r="B1821" t="str">
        <f xml:space="preserve"> "600117"</f>
        <v>600117</v>
      </c>
      <c r="C1821" t="s">
        <v>6382</v>
      </c>
      <c r="D1821">
        <v>6.73</v>
      </c>
      <c r="E1821">
        <v>-0.3</v>
      </c>
      <c r="F1821">
        <v>-0.02</v>
      </c>
      <c r="G1821" t="s">
        <v>337</v>
      </c>
      <c r="H1821">
        <v>20</v>
      </c>
      <c r="I1821">
        <v>6.72</v>
      </c>
      <c r="J1821">
        <v>6.73</v>
      </c>
      <c r="K1821">
        <v>0.15</v>
      </c>
      <c r="L1821">
        <v>1.51</v>
      </c>
      <c r="M1821" t="s">
        <v>6383</v>
      </c>
      <c r="N1821">
        <v>323.95999999999998</v>
      </c>
      <c r="O1821" t="s">
        <v>416</v>
      </c>
      <c r="P1821">
        <v>6.8</v>
      </c>
      <c r="Q1821">
        <v>6.69</v>
      </c>
      <c r="R1821">
        <v>6.8</v>
      </c>
      <c r="S1821">
        <v>6.75</v>
      </c>
      <c r="T1821">
        <v>1.63</v>
      </c>
      <c r="U1821">
        <v>0.61</v>
      </c>
      <c r="V1821">
        <v>-1.28</v>
      </c>
      <c r="W1821">
        <v>-135</v>
      </c>
      <c r="X1821">
        <v>6.73</v>
      </c>
      <c r="Y1821" t="s">
        <v>721</v>
      </c>
      <c r="Z1821" t="s">
        <v>2839</v>
      </c>
      <c r="AA1821">
        <v>1.1299999999999999</v>
      </c>
      <c r="AB1821">
        <v>858</v>
      </c>
      <c r="AC1821">
        <v>1319</v>
      </c>
      <c r="AD1821">
        <v>2.44</v>
      </c>
      <c r="AE1821" t="s">
        <v>2066</v>
      </c>
      <c r="AF1821" t="s">
        <v>6384</v>
      </c>
      <c r="AG1821" t="s">
        <v>6228</v>
      </c>
      <c r="AH1821" t="s">
        <v>537</v>
      </c>
      <c r="AI1821">
        <v>-0.59</v>
      </c>
      <c r="AJ1821">
        <v>-3.72</v>
      </c>
      <c r="AK1821">
        <v>6.03</v>
      </c>
      <c r="AL1821">
        <v>13.93</v>
      </c>
    </row>
    <row r="1822" spans="1:38" x14ac:dyDescent="0.25">
      <c r="A1822">
        <v>1821</v>
      </c>
      <c r="B1822" t="str">
        <f xml:space="preserve"> "603313"</f>
        <v>603313</v>
      </c>
      <c r="C1822" t="s">
        <v>6385</v>
      </c>
      <c r="D1822">
        <v>29.29</v>
      </c>
      <c r="E1822">
        <v>0.9</v>
      </c>
      <c r="F1822">
        <v>0.26</v>
      </c>
      <c r="G1822" t="s">
        <v>1095</v>
      </c>
      <c r="H1822">
        <v>15</v>
      </c>
      <c r="I1822">
        <v>29.26</v>
      </c>
      <c r="J1822">
        <v>29.29</v>
      </c>
      <c r="K1822">
        <v>7.0000000000000007E-2</v>
      </c>
      <c r="L1822">
        <v>1.52</v>
      </c>
      <c r="M1822" t="s">
        <v>6386</v>
      </c>
      <c r="N1822">
        <v>31.06</v>
      </c>
      <c r="O1822" t="s">
        <v>1469</v>
      </c>
      <c r="P1822">
        <v>29.45</v>
      </c>
      <c r="Q1822">
        <v>29.02</v>
      </c>
      <c r="R1822">
        <v>29.13</v>
      </c>
      <c r="S1822">
        <v>29.03</v>
      </c>
      <c r="T1822">
        <v>1.48</v>
      </c>
      <c r="U1822">
        <v>1.06</v>
      </c>
      <c r="V1822">
        <v>10.86</v>
      </c>
      <c r="W1822">
        <v>49</v>
      </c>
      <c r="X1822">
        <v>29.29</v>
      </c>
      <c r="Y1822">
        <v>6790</v>
      </c>
      <c r="Z1822">
        <v>5716</v>
      </c>
      <c r="AA1822">
        <v>1.19</v>
      </c>
      <c r="AB1822">
        <v>75</v>
      </c>
      <c r="AC1822">
        <v>3</v>
      </c>
      <c r="AD1822">
        <v>4.72</v>
      </c>
      <c r="AE1822" t="s">
        <v>2521</v>
      </c>
      <c r="AF1822" t="s">
        <v>6384</v>
      </c>
      <c r="AG1822" t="s">
        <v>6387</v>
      </c>
      <c r="AH1822" t="s">
        <v>2317</v>
      </c>
      <c r="AI1822">
        <v>0.1</v>
      </c>
      <c r="AJ1822">
        <v>4.2300000000000004</v>
      </c>
      <c r="AK1822">
        <v>3.65</v>
      </c>
      <c r="AL1822">
        <v>8.67</v>
      </c>
    </row>
    <row r="1823" spans="1:38" x14ac:dyDescent="0.25">
      <c r="A1823">
        <v>1822</v>
      </c>
      <c r="B1823" t="str">
        <f xml:space="preserve"> "000893"</f>
        <v>000893</v>
      </c>
      <c r="C1823" t="s">
        <v>6388</v>
      </c>
      <c r="D1823">
        <v>9.2799999999999994</v>
      </c>
      <c r="E1823">
        <v>-2.11</v>
      </c>
      <c r="F1823">
        <v>-0.2</v>
      </c>
      <c r="G1823" t="s">
        <v>710</v>
      </c>
      <c r="H1823">
        <v>646</v>
      </c>
      <c r="I1823">
        <v>9.2799999999999994</v>
      </c>
      <c r="J1823">
        <v>9.2899999999999991</v>
      </c>
      <c r="K1823">
        <v>-0.11</v>
      </c>
      <c r="L1823">
        <v>1.1299999999999999</v>
      </c>
      <c r="M1823" t="s">
        <v>6389</v>
      </c>
      <c r="N1823">
        <v>-171.33</v>
      </c>
      <c r="O1823" t="s">
        <v>1936</v>
      </c>
      <c r="P1823">
        <v>9.6</v>
      </c>
      <c r="Q1823">
        <v>9.26</v>
      </c>
      <c r="R1823">
        <v>9.6</v>
      </c>
      <c r="S1823">
        <v>9.48</v>
      </c>
      <c r="T1823">
        <v>3.59</v>
      </c>
      <c r="U1823">
        <v>0.82</v>
      </c>
      <c r="V1823">
        <v>30.4</v>
      </c>
      <c r="W1823">
        <v>698</v>
      </c>
      <c r="X1823">
        <v>9.35</v>
      </c>
      <c r="Y1823" t="s">
        <v>4224</v>
      </c>
      <c r="Z1823" t="s">
        <v>2453</v>
      </c>
      <c r="AA1823">
        <v>2.0499999999999998</v>
      </c>
      <c r="AB1823">
        <v>367</v>
      </c>
      <c r="AC1823">
        <v>250</v>
      </c>
      <c r="AD1823">
        <v>1.64</v>
      </c>
      <c r="AE1823" t="s">
        <v>5480</v>
      </c>
      <c r="AF1823" t="s">
        <v>827</v>
      </c>
      <c r="AG1823" t="s">
        <v>1922</v>
      </c>
      <c r="AH1823" t="s">
        <v>1815</v>
      </c>
      <c r="AI1823">
        <v>-0.22</v>
      </c>
      <c r="AJ1823">
        <v>3</v>
      </c>
      <c r="AK1823">
        <v>4.54</v>
      </c>
      <c r="AL1823">
        <v>8.02</v>
      </c>
    </row>
    <row r="1824" spans="1:38" x14ac:dyDescent="0.25">
      <c r="A1824">
        <v>1823</v>
      </c>
      <c r="B1824" t="str">
        <f xml:space="preserve"> "300230"</f>
        <v>300230</v>
      </c>
      <c r="C1824" t="s">
        <v>6390</v>
      </c>
      <c r="D1824">
        <v>15.47</v>
      </c>
      <c r="E1824">
        <v>0.45</v>
      </c>
      <c r="F1824">
        <v>7.0000000000000007E-2</v>
      </c>
      <c r="G1824" t="s">
        <v>1950</v>
      </c>
      <c r="H1824">
        <v>212</v>
      </c>
      <c r="I1824">
        <v>15.46</v>
      </c>
      <c r="J1824">
        <v>15.47</v>
      </c>
      <c r="K1824">
        <v>0</v>
      </c>
      <c r="L1824">
        <v>0.65</v>
      </c>
      <c r="M1824" t="s">
        <v>2351</v>
      </c>
      <c r="N1824">
        <v>23.78</v>
      </c>
      <c r="O1824" t="s">
        <v>2128</v>
      </c>
      <c r="P1824">
        <v>15.52</v>
      </c>
      <c r="Q1824">
        <v>15.36</v>
      </c>
      <c r="R1824">
        <v>15.47</v>
      </c>
      <c r="S1824">
        <v>15.4</v>
      </c>
      <c r="T1824">
        <v>1.04</v>
      </c>
      <c r="U1824">
        <v>0.76</v>
      </c>
      <c r="V1824">
        <v>4.87</v>
      </c>
      <c r="W1824">
        <v>60</v>
      </c>
      <c r="X1824">
        <v>15.45</v>
      </c>
      <c r="Y1824" t="s">
        <v>1685</v>
      </c>
      <c r="Z1824">
        <v>7000</v>
      </c>
      <c r="AA1824">
        <v>1.44</v>
      </c>
      <c r="AB1824">
        <v>180</v>
      </c>
      <c r="AC1824">
        <v>126</v>
      </c>
      <c r="AD1824">
        <v>2.7</v>
      </c>
      <c r="AE1824" t="s">
        <v>112</v>
      </c>
      <c r="AF1824" t="s">
        <v>2576</v>
      </c>
      <c r="AG1824" t="s">
        <v>2025</v>
      </c>
      <c r="AH1824" t="s">
        <v>1265</v>
      </c>
      <c r="AI1824">
        <v>-0.51</v>
      </c>
      <c r="AJ1824">
        <v>2.65</v>
      </c>
      <c r="AK1824">
        <v>2.54</v>
      </c>
      <c r="AL1824">
        <v>4.91</v>
      </c>
    </row>
    <row r="1825" spans="1:38" x14ac:dyDescent="0.25">
      <c r="A1825">
        <v>1824</v>
      </c>
      <c r="B1825" t="str">
        <f xml:space="preserve"> "600844"</f>
        <v>600844</v>
      </c>
      <c r="C1825" t="s">
        <v>6391</v>
      </c>
      <c r="D1825">
        <v>6.9</v>
      </c>
      <c r="E1825">
        <v>1.32</v>
      </c>
      <c r="F1825">
        <v>0.09</v>
      </c>
      <c r="G1825" t="s">
        <v>2202</v>
      </c>
      <c r="H1825">
        <v>20</v>
      </c>
      <c r="I1825">
        <v>6.9</v>
      </c>
      <c r="J1825">
        <v>6.92</v>
      </c>
      <c r="K1825">
        <v>0.15</v>
      </c>
      <c r="L1825">
        <v>0.28999999999999998</v>
      </c>
      <c r="M1825" t="s">
        <v>6392</v>
      </c>
      <c r="N1825">
        <v>74.62</v>
      </c>
      <c r="O1825" t="s">
        <v>667</v>
      </c>
      <c r="P1825">
        <v>6.92</v>
      </c>
      <c r="Q1825">
        <v>6.77</v>
      </c>
      <c r="R1825">
        <v>6.79</v>
      </c>
      <c r="S1825">
        <v>6.81</v>
      </c>
      <c r="T1825">
        <v>2.2000000000000002</v>
      </c>
      <c r="U1825">
        <v>1.7</v>
      </c>
      <c r="V1825">
        <v>-76.39</v>
      </c>
      <c r="W1825">
        <v>-1029</v>
      </c>
      <c r="X1825">
        <v>6.84</v>
      </c>
      <c r="Y1825" t="s">
        <v>316</v>
      </c>
      <c r="Z1825" t="s">
        <v>2991</v>
      </c>
      <c r="AA1825">
        <v>0.98</v>
      </c>
      <c r="AB1825">
        <v>6</v>
      </c>
      <c r="AC1825">
        <v>571</v>
      </c>
      <c r="AD1825">
        <v>3.69</v>
      </c>
      <c r="AE1825" t="s">
        <v>1766</v>
      </c>
      <c r="AF1825" t="s">
        <v>2576</v>
      </c>
      <c r="AG1825" t="s">
        <v>2841</v>
      </c>
      <c r="AH1825" t="s">
        <v>5866</v>
      </c>
      <c r="AI1825">
        <v>1.17</v>
      </c>
      <c r="AJ1825">
        <v>5.34</v>
      </c>
      <c r="AK1825">
        <v>0.62</v>
      </c>
      <c r="AL1825">
        <v>1.1299999999999999</v>
      </c>
    </row>
    <row r="1826" spans="1:38" x14ac:dyDescent="0.25">
      <c r="A1826">
        <v>1825</v>
      </c>
      <c r="B1826" t="str">
        <f xml:space="preserve"> "300368"</f>
        <v>300368</v>
      </c>
      <c r="C1826" t="s">
        <v>6393</v>
      </c>
      <c r="D1826" t="s">
        <v>616</v>
      </c>
      <c r="E1826" t="s">
        <v>616</v>
      </c>
      <c r="F1826" t="s">
        <v>616</v>
      </c>
      <c r="G1826" t="s">
        <v>616</v>
      </c>
      <c r="H1826" t="s">
        <v>616</v>
      </c>
      <c r="I1826" t="s">
        <v>616</v>
      </c>
      <c r="J1826" t="s">
        <v>616</v>
      </c>
      <c r="K1826" t="s">
        <v>616</v>
      </c>
      <c r="L1826" t="s">
        <v>616</v>
      </c>
      <c r="M1826" t="s">
        <v>616</v>
      </c>
      <c r="N1826">
        <v>-226.22</v>
      </c>
      <c r="O1826" t="s">
        <v>2647</v>
      </c>
      <c r="P1826" t="s">
        <v>616</v>
      </c>
      <c r="Q1826" t="s">
        <v>616</v>
      </c>
      <c r="R1826" t="s">
        <v>616</v>
      </c>
      <c r="S1826">
        <v>12.74</v>
      </c>
      <c r="T1826" t="s">
        <v>616</v>
      </c>
      <c r="U1826" t="s">
        <v>616</v>
      </c>
      <c r="V1826" t="s">
        <v>616</v>
      </c>
      <c r="W1826" t="s">
        <v>616</v>
      </c>
      <c r="X1826" t="s">
        <v>616</v>
      </c>
      <c r="Y1826" t="s">
        <v>616</v>
      </c>
      <c r="Z1826" t="s">
        <v>616</v>
      </c>
      <c r="AA1826" t="s">
        <v>616</v>
      </c>
      <c r="AB1826" t="s">
        <v>616</v>
      </c>
      <c r="AC1826" t="s">
        <v>616</v>
      </c>
      <c r="AD1826">
        <v>6.61</v>
      </c>
      <c r="AE1826" t="s">
        <v>4993</v>
      </c>
      <c r="AF1826" t="s">
        <v>2576</v>
      </c>
      <c r="AG1826" t="s">
        <v>5053</v>
      </c>
      <c r="AH1826" t="s">
        <v>1309</v>
      </c>
      <c r="AI1826">
        <v>-0.47</v>
      </c>
      <c r="AJ1826">
        <v>0</v>
      </c>
      <c r="AK1826">
        <v>0.87</v>
      </c>
      <c r="AL1826">
        <v>4.29</v>
      </c>
    </row>
    <row r="1827" spans="1:38" x14ac:dyDescent="0.25">
      <c r="A1827">
        <v>1826</v>
      </c>
      <c r="B1827" t="str">
        <f xml:space="preserve"> "603727"</f>
        <v>603727</v>
      </c>
      <c r="C1827" t="s">
        <v>6394</v>
      </c>
      <c r="D1827">
        <v>29.93</v>
      </c>
      <c r="E1827">
        <v>0.94</v>
      </c>
      <c r="F1827">
        <v>0.28000000000000003</v>
      </c>
      <c r="G1827" t="s">
        <v>5621</v>
      </c>
      <c r="H1827">
        <v>1</v>
      </c>
      <c r="I1827">
        <v>29.91</v>
      </c>
      <c r="J1827">
        <v>29.92</v>
      </c>
      <c r="K1827">
        <v>-0.03</v>
      </c>
      <c r="L1827">
        <v>2.3199999999999998</v>
      </c>
      <c r="M1827" t="s">
        <v>6395</v>
      </c>
      <c r="N1827">
        <v>37.17</v>
      </c>
      <c r="O1827" t="s">
        <v>61</v>
      </c>
      <c r="P1827">
        <v>29.96</v>
      </c>
      <c r="Q1827">
        <v>29.51</v>
      </c>
      <c r="R1827">
        <v>29.66</v>
      </c>
      <c r="S1827">
        <v>29.65</v>
      </c>
      <c r="T1827">
        <v>1.52</v>
      </c>
      <c r="U1827">
        <v>0.72</v>
      </c>
      <c r="V1827">
        <v>12.64</v>
      </c>
      <c r="W1827">
        <v>60</v>
      </c>
      <c r="X1827">
        <v>29.8</v>
      </c>
      <c r="Y1827">
        <v>5766</v>
      </c>
      <c r="Z1827">
        <v>7837</v>
      </c>
      <c r="AA1827">
        <v>0.74</v>
      </c>
      <c r="AB1827">
        <v>38</v>
      </c>
      <c r="AC1827">
        <v>16</v>
      </c>
      <c r="AD1827">
        <v>2.9</v>
      </c>
      <c r="AE1827" t="s">
        <v>1354</v>
      </c>
      <c r="AF1827" t="s">
        <v>2576</v>
      </c>
      <c r="AG1827" t="s">
        <v>6396</v>
      </c>
      <c r="AH1827" t="s">
        <v>2050</v>
      </c>
      <c r="AI1827">
        <v>-1.03</v>
      </c>
      <c r="AJ1827">
        <v>0.13</v>
      </c>
      <c r="AK1827">
        <v>9.08</v>
      </c>
      <c r="AL1827">
        <v>18.48</v>
      </c>
    </row>
    <row r="1828" spans="1:38" x14ac:dyDescent="0.25">
      <c r="A1828">
        <v>1827</v>
      </c>
      <c r="B1828" t="str">
        <f xml:space="preserve"> "002763"</f>
        <v>002763</v>
      </c>
      <c r="C1828" t="s">
        <v>6397</v>
      </c>
      <c r="D1828">
        <v>18.010000000000002</v>
      </c>
      <c r="E1828">
        <v>1.18</v>
      </c>
      <c r="F1828">
        <v>0.21</v>
      </c>
      <c r="G1828" t="s">
        <v>1576</v>
      </c>
      <c r="H1828">
        <v>294</v>
      </c>
      <c r="I1828">
        <v>18.010000000000002</v>
      </c>
      <c r="J1828">
        <v>18.03</v>
      </c>
      <c r="K1828">
        <v>0.06</v>
      </c>
      <c r="L1828">
        <v>1.48</v>
      </c>
      <c r="M1828" t="s">
        <v>6398</v>
      </c>
      <c r="N1828">
        <v>19.73</v>
      </c>
      <c r="O1828" t="s">
        <v>1443</v>
      </c>
      <c r="P1828">
        <v>18.14</v>
      </c>
      <c r="Q1828">
        <v>17.78</v>
      </c>
      <c r="R1828">
        <v>17.920000000000002</v>
      </c>
      <c r="S1828">
        <v>17.8</v>
      </c>
      <c r="T1828">
        <v>2.02</v>
      </c>
      <c r="U1828">
        <v>0.92</v>
      </c>
      <c r="V1828">
        <v>-12.66</v>
      </c>
      <c r="W1828">
        <v>-117</v>
      </c>
      <c r="X1828">
        <v>18.010000000000002</v>
      </c>
      <c r="Y1828">
        <v>6598</v>
      </c>
      <c r="Z1828" t="s">
        <v>1785</v>
      </c>
      <c r="AA1828">
        <v>0.62</v>
      </c>
      <c r="AB1828">
        <v>76</v>
      </c>
      <c r="AC1828">
        <v>22</v>
      </c>
      <c r="AD1828">
        <v>4.08</v>
      </c>
      <c r="AE1828" t="s">
        <v>6399</v>
      </c>
      <c r="AF1828" t="s">
        <v>6296</v>
      </c>
      <c r="AG1828" t="s">
        <v>2748</v>
      </c>
      <c r="AH1828" t="s">
        <v>2380</v>
      </c>
      <c r="AI1828">
        <v>1.24</v>
      </c>
      <c r="AJ1828">
        <v>4.71</v>
      </c>
      <c r="AK1828">
        <v>4.99</v>
      </c>
      <c r="AL1828">
        <v>9.5399999999999991</v>
      </c>
    </row>
    <row r="1829" spans="1:38" x14ac:dyDescent="0.25">
      <c r="A1829">
        <v>1828</v>
      </c>
      <c r="B1829" t="str">
        <f xml:space="preserve"> "002238"</f>
        <v>002238</v>
      </c>
      <c r="C1829" t="s">
        <v>6400</v>
      </c>
      <c r="D1829">
        <v>11.34</v>
      </c>
      <c r="E1829">
        <v>0.71</v>
      </c>
      <c r="F1829">
        <v>0.08</v>
      </c>
      <c r="G1829" t="s">
        <v>1328</v>
      </c>
      <c r="H1829">
        <v>499</v>
      </c>
      <c r="I1829">
        <v>11.34</v>
      </c>
      <c r="J1829">
        <v>11.35</v>
      </c>
      <c r="K1829">
        <v>0</v>
      </c>
      <c r="L1829">
        <v>1.05</v>
      </c>
      <c r="M1829" t="s">
        <v>6401</v>
      </c>
      <c r="N1829">
        <v>26.73</v>
      </c>
      <c r="O1829" t="s">
        <v>1126</v>
      </c>
      <c r="P1829">
        <v>11.73</v>
      </c>
      <c r="Q1829">
        <v>11.32</v>
      </c>
      <c r="R1829">
        <v>11.7</v>
      </c>
      <c r="S1829">
        <v>11.26</v>
      </c>
      <c r="T1829">
        <v>3.64</v>
      </c>
      <c r="U1829">
        <v>2.67</v>
      </c>
      <c r="V1829">
        <v>-2.36</v>
      </c>
      <c r="W1829">
        <v>-39</v>
      </c>
      <c r="X1829">
        <v>11.54</v>
      </c>
      <c r="Y1829" t="s">
        <v>3189</v>
      </c>
      <c r="Z1829" t="s">
        <v>2614</v>
      </c>
      <c r="AA1829">
        <v>1.26</v>
      </c>
      <c r="AB1829">
        <v>186</v>
      </c>
      <c r="AC1829">
        <v>283</v>
      </c>
      <c r="AD1829">
        <v>2.67</v>
      </c>
      <c r="AE1829" t="s">
        <v>1236</v>
      </c>
      <c r="AF1829" t="s">
        <v>6296</v>
      </c>
      <c r="AG1829" t="s">
        <v>1941</v>
      </c>
      <c r="AH1829" t="s">
        <v>2679</v>
      </c>
      <c r="AI1829">
        <v>0.98</v>
      </c>
      <c r="AJ1829">
        <v>5.88</v>
      </c>
      <c r="AK1829">
        <v>1.83</v>
      </c>
      <c r="AL1829">
        <v>3.02</v>
      </c>
    </row>
    <row r="1830" spans="1:38" x14ac:dyDescent="0.25">
      <c r="A1830">
        <v>1829</v>
      </c>
      <c r="B1830" t="str">
        <f xml:space="preserve"> "300358"</f>
        <v>300358</v>
      </c>
      <c r="C1830" t="s">
        <v>6402</v>
      </c>
      <c r="D1830" t="s">
        <v>616</v>
      </c>
      <c r="E1830" t="s">
        <v>616</v>
      </c>
      <c r="F1830" t="s">
        <v>616</v>
      </c>
      <c r="G1830" t="s">
        <v>616</v>
      </c>
      <c r="H1830" t="s">
        <v>616</v>
      </c>
      <c r="I1830" t="s">
        <v>616</v>
      </c>
      <c r="J1830" t="s">
        <v>616</v>
      </c>
      <c r="K1830" t="s">
        <v>616</v>
      </c>
      <c r="L1830" t="s">
        <v>616</v>
      </c>
      <c r="M1830" t="s">
        <v>616</v>
      </c>
      <c r="N1830">
        <v>56.17</v>
      </c>
      <c r="O1830" t="s">
        <v>1552</v>
      </c>
      <c r="P1830" t="s">
        <v>616</v>
      </c>
      <c r="Q1830" t="s">
        <v>616</v>
      </c>
      <c r="R1830" t="s">
        <v>616</v>
      </c>
      <c r="S1830">
        <v>15.9</v>
      </c>
      <c r="T1830" t="s">
        <v>616</v>
      </c>
      <c r="U1830" t="s">
        <v>616</v>
      </c>
      <c r="V1830" t="s">
        <v>616</v>
      </c>
      <c r="W1830" t="s">
        <v>616</v>
      </c>
      <c r="X1830" t="s">
        <v>616</v>
      </c>
      <c r="Y1830" t="s">
        <v>616</v>
      </c>
      <c r="Z1830" t="s">
        <v>616</v>
      </c>
      <c r="AA1830" t="s">
        <v>616</v>
      </c>
      <c r="AB1830" t="s">
        <v>616</v>
      </c>
      <c r="AC1830" t="s">
        <v>616</v>
      </c>
      <c r="AD1830">
        <v>4.17</v>
      </c>
      <c r="AE1830" t="s">
        <v>3567</v>
      </c>
      <c r="AF1830" t="s">
        <v>6296</v>
      </c>
      <c r="AG1830" t="s">
        <v>1306</v>
      </c>
      <c r="AH1830" t="s">
        <v>3203</v>
      </c>
      <c r="AI1830">
        <v>0</v>
      </c>
      <c r="AJ1830">
        <v>0</v>
      </c>
      <c r="AK1830">
        <v>0</v>
      </c>
      <c r="AL1830">
        <v>5.45</v>
      </c>
    </row>
    <row r="1831" spans="1:38" x14ac:dyDescent="0.25">
      <c r="A1831">
        <v>1830</v>
      </c>
      <c r="B1831" t="str">
        <f xml:space="preserve"> "000925"</f>
        <v>000925</v>
      </c>
      <c r="C1831" t="s">
        <v>6403</v>
      </c>
      <c r="D1831">
        <v>17.809999999999999</v>
      </c>
      <c r="E1831">
        <v>0.56000000000000005</v>
      </c>
      <c r="F1831">
        <v>0.1</v>
      </c>
      <c r="G1831" t="s">
        <v>2476</v>
      </c>
      <c r="H1831">
        <v>431</v>
      </c>
      <c r="I1831">
        <v>17.809999999999999</v>
      </c>
      <c r="J1831">
        <v>17.82</v>
      </c>
      <c r="K1831">
        <v>0</v>
      </c>
      <c r="L1831">
        <v>1.22</v>
      </c>
      <c r="M1831" t="s">
        <v>6404</v>
      </c>
      <c r="N1831">
        <v>-136.38</v>
      </c>
      <c r="O1831" t="s">
        <v>253</v>
      </c>
      <c r="P1831">
        <v>17.97</v>
      </c>
      <c r="Q1831">
        <v>17.5</v>
      </c>
      <c r="R1831">
        <v>17.68</v>
      </c>
      <c r="S1831">
        <v>17.71</v>
      </c>
      <c r="T1831">
        <v>2.65</v>
      </c>
      <c r="U1831">
        <v>1.06</v>
      </c>
      <c r="V1831">
        <v>79.010000000000005</v>
      </c>
      <c r="W1831">
        <v>1686</v>
      </c>
      <c r="X1831">
        <v>17.760000000000002</v>
      </c>
      <c r="Y1831" t="s">
        <v>3238</v>
      </c>
      <c r="Z1831" t="s">
        <v>4374</v>
      </c>
      <c r="AA1831">
        <v>0.95</v>
      </c>
      <c r="AB1831">
        <v>850</v>
      </c>
      <c r="AC1831">
        <v>104</v>
      </c>
      <c r="AD1831">
        <v>3.14</v>
      </c>
      <c r="AE1831" t="s">
        <v>3428</v>
      </c>
      <c r="AF1831" t="s">
        <v>6296</v>
      </c>
      <c r="AG1831" t="s">
        <v>4786</v>
      </c>
      <c r="AH1831" t="s">
        <v>463</v>
      </c>
      <c r="AI1831">
        <v>2.06</v>
      </c>
      <c r="AJ1831">
        <v>4.34</v>
      </c>
      <c r="AK1831">
        <v>4.7699999999999996</v>
      </c>
      <c r="AL1831">
        <v>6.97</v>
      </c>
    </row>
    <row r="1832" spans="1:38" x14ac:dyDescent="0.25">
      <c r="A1832">
        <v>1831</v>
      </c>
      <c r="B1832" t="str">
        <f xml:space="preserve"> "600382"</f>
        <v>600382</v>
      </c>
      <c r="C1832" t="s">
        <v>6405</v>
      </c>
      <c r="D1832">
        <v>14.99</v>
      </c>
      <c r="E1832">
        <v>-0.27</v>
      </c>
      <c r="F1832">
        <v>-0.04</v>
      </c>
      <c r="G1832" t="s">
        <v>1370</v>
      </c>
      <c r="H1832">
        <v>13</v>
      </c>
      <c r="I1832">
        <v>14.98</v>
      </c>
      <c r="J1832">
        <v>14.99</v>
      </c>
      <c r="K1832">
        <v>0</v>
      </c>
      <c r="L1832">
        <v>1.84</v>
      </c>
      <c r="M1832" t="s">
        <v>6406</v>
      </c>
      <c r="N1832">
        <v>20.93</v>
      </c>
      <c r="O1832" t="s">
        <v>2001</v>
      </c>
      <c r="P1832">
        <v>15.09</v>
      </c>
      <c r="Q1832">
        <v>14.9</v>
      </c>
      <c r="R1832">
        <v>15.03</v>
      </c>
      <c r="S1832">
        <v>15.03</v>
      </c>
      <c r="T1832">
        <v>1.26</v>
      </c>
      <c r="U1832">
        <v>0.46</v>
      </c>
      <c r="V1832">
        <v>-24.22</v>
      </c>
      <c r="W1832">
        <v>-580</v>
      </c>
      <c r="X1832">
        <v>14.98</v>
      </c>
      <c r="Y1832" t="s">
        <v>2279</v>
      </c>
      <c r="Z1832" t="s">
        <v>2451</v>
      </c>
      <c r="AA1832">
        <v>1.1200000000000001</v>
      </c>
      <c r="AB1832">
        <v>130</v>
      </c>
      <c r="AC1832">
        <v>1</v>
      </c>
      <c r="AD1832">
        <v>1.42</v>
      </c>
      <c r="AE1832" t="s">
        <v>799</v>
      </c>
      <c r="AF1832" t="s">
        <v>6296</v>
      </c>
      <c r="AG1832" t="s">
        <v>3753</v>
      </c>
      <c r="AH1832" t="s">
        <v>5770</v>
      </c>
      <c r="AI1832">
        <v>-1.77</v>
      </c>
      <c r="AJ1832">
        <v>5.86</v>
      </c>
      <c r="AK1832">
        <v>8.6999999999999993</v>
      </c>
      <c r="AL1832">
        <v>21.73</v>
      </c>
    </row>
    <row r="1833" spans="1:38" x14ac:dyDescent="0.25">
      <c r="A1833">
        <v>1832</v>
      </c>
      <c r="B1833" t="str">
        <f xml:space="preserve"> "300520"</f>
        <v>300520</v>
      </c>
      <c r="C1833" t="s">
        <v>6407</v>
      </c>
      <c r="D1833">
        <v>33.049999999999997</v>
      </c>
      <c r="E1833">
        <v>-0.87</v>
      </c>
      <c r="F1833">
        <v>-0.28999999999999998</v>
      </c>
      <c r="G1833" t="s">
        <v>2702</v>
      </c>
      <c r="H1833">
        <v>1045</v>
      </c>
      <c r="I1833">
        <v>33.04</v>
      </c>
      <c r="J1833">
        <v>33.049999999999997</v>
      </c>
      <c r="K1833">
        <v>0</v>
      </c>
      <c r="L1833">
        <v>4.3499999999999996</v>
      </c>
      <c r="M1833" t="s">
        <v>608</v>
      </c>
      <c r="N1833">
        <v>751.28</v>
      </c>
      <c r="O1833" t="s">
        <v>893</v>
      </c>
      <c r="P1833">
        <v>34.25</v>
      </c>
      <c r="Q1833">
        <v>32.79</v>
      </c>
      <c r="R1833">
        <v>33.049999999999997</v>
      </c>
      <c r="S1833">
        <v>33.340000000000003</v>
      </c>
      <c r="T1833">
        <v>4.38</v>
      </c>
      <c r="U1833">
        <v>0.44</v>
      </c>
      <c r="V1833">
        <v>48.02</v>
      </c>
      <c r="W1833">
        <v>499</v>
      </c>
      <c r="X1833">
        <v>33.369999999999997</v>
      </c>
      <c r="Y1833" t="s">
        <v>997</v>
      </c>
      <c r="Z1833" t="s">
        <v>2240</v>
      </c>
      <c r="AA1833">
        <v>1.3</v>
      </c>
      <c r="AB1833">
        <v>173</v>
      </c>
      <c r="AC1833">
        <v>164</v>
      </c>
      <c r="AD1833">
        <v>13.46</v>
      </c>
      <c r="AE1833" t="s">
        <v>2970</v>
      </c>
      <c r="AF1833" t="s">
        <v>2577</v>
      </c>
      <c r="AG1833" t="s">
        <v>2869</v>
      </c>
      <c r="AH1833" t="s">
        <v>1815</v>
      </c>
      <c r="AI1833">
        <v>-12.29</v>
      </c>
      <c r="AJ1833">
        <v>-4.2300000000000004</v>
      </c>
      <c r="AK1833">
        <v>21.11</v>
      </c>
      <c r="AL1833">
        <v>53.44</v>
      </c>
    </row>
    <row r="1834" spans="1:38" x14ac:dyDescent="0.25">
      <c r="A1834">
        <v>1833</v>
      </c>
      <c r="B1834" t="str">
        <f xml:space="preserve"> "300173"</f>
        <v>300173</v>
      </c>
      <c r="C1834" t="s">
        <v>6408</v>
      </c>
      <c r="D1834">
        <v>11.91</v>
      </c>
      <c r="E1834">
        <v>-0.57999999999999996</v>
      </c>
      <c r="F1834">
        <v>-7.0000000000000007E-2</v>
      </c>
      <c r="G1834" t="s">
        <v>1341</v>
      </c>
      <c r="H1834">
        <v>1429</v>
      </c>
      <c r="I1834">
        <v>11.91</v>
      </c>
      <c r="J1834">
        <v>11.92</v>
      </c>
      <c r="K1834">
        <v>0.17</v>
      </c>
      <c r="L1834">
        <v>0.78</v>
      </c>
      <c r="M1834" t="s">
        <v>6409</v>
      </c>
      <c r="N1834">
        <v>68.97</v>
      </c>
      <c r="O1834" t="s">
        <v>648</v>
      </c>
      <c r="P1834">
        <v>11.98</v>
      </c>
      <c r="Q1834">
        <v>11.74</v>
      </c>
      <c r="R1834">
        <v>11.98</v>
      </c>
      <c r="S1834">
        <v>11.98</v>
      </c>
      <c r="T1834">
        <v>2</v>
      </c>
      <c r="U1834">
        <v>0.55000000000000004</v>
      </c>
      <c r="V1834">
        <v>57</v>
      </c>
      <c r="W1834">
        <v>721</v>
      </c>
      <c r="X1834">
        <v>11.81</v>
      </c>
      <c r="Y1834" t="s">
        <v>1732</v>
      </c>
      <c r="Z1834" t="s">
        <v>3041</v>
      </c>
      <c r="AA1834">
        <v>1.33</v>
      </c>
      <c r="AB1834">
        <v>337</v>
      </c>
      <c r="AC1834">
        <v>27</v>
      </c>
      <c r="AD1834">
        <v>4.18</v>
      </c>
      <c r="AE1834" t="s">
        <v>6225</v>
      </c>
      <c r="AF1834" t="s">
        <v>6410</v>
      </c>
      <c r="AG1834" t="s">
        <v>3853</v>
      </c>
      <c r="AH1834" t="s">
        <v>1671</v>
      </c>
      <c r="AI1834">
        <v>-0.08</v>
      </c>
      <c r="AJ1834">
        <v>6.82</v>
      </c>
      <c r="AK1834">
        <v>3.59</v>
      </c>
      <c r="AL1834">
        <v>7.86</v>
      </c>
    </row>
    <row r="1835" spans="1:38" x14ac:dyDescent="0.25">
      <c r="A1835">
        <v>1834</v>
      </c>
      <c r="B1835" t="str">
        <f xml:space="preserve"> "300045"</f>
        <v>300045</v>
      </c>
      <c r="C1835" t="s">
        <v>6411</v>
      </c>
      <c r="D1835">
        <v>12.11</v>
      </c>
      <c r="E1835">
        <v>-0.33</v>
      </c>
      <c r="F1835">
        <v>-0.04</v>
      </c>
      <c r="G1835" t="s">
        <v>3273</v>
      </c>
      <c r="H1835">
        <v>464</v>
      </c>
      <c r="I1835">
        <v>12.11</v>
      </c>
      <c r="J1835">
        <v>12.12</v>
      </c>
      <c r="K1835">
        <v>0</v>
      </c>
      <c r="L1835">
        <v>1</v>
      </c>
      <c r="M1835" t="s">
        <v>6412</v>
      </c>
      <c r="N1835">
        <v>173.55</v>
      </c>
      <c r="O1835" t="s">
        <v>893</v>
      </c>
      <c r="P1835">
        <v>12.14</v>
      </c>
      <c r="Q1835">
        <v>11.95</v>
      </c>
      <c r="R1835">
        <v>12.05</v>
      </c>
      <c r="S1835">
        <v>12.15</v>
      </c>
      <c r="T1835">
        <v>1.56</v>
      </c>
      <c r="U1835">
        <v>0.56000000000000005</v>
      </c>
      <c r="V1835">
        <v>-7.0000000000000007E-2</v>
      </c>
      <c r="W1835">
        <v>-1</v>
      </c>
      <c r="X1835">
        <v>12.06</v>
      </c>
      <c r="Y1835" t="s">
        <v>86</v>
      </c>
      <c r="Z1835" t="s">
        <v>5764</v>
      </c>
      <c r="AA1835">
        <v>1.92</v>
      </c>
      <c r="AB1835">
        <v>90</v>
      </c>
      <c r="AC1835">
        <v>227</v>
      </c>
      <c r="AD1835">
        <v>5.37</v>
      </c>
      <c r="AE1835" t="s">
        <v>4769</v>
      </c>
      <c r="AF1835" t="s">
        <v>6410</v>
      </c>
      <c r="AG1835" t="s">
        <v>852</v>
      </c>
      <c r="AH1835" t="s">
        <v>6413</v>
      </c>
      <c r="AI1835">
        <v>-2.57</v>
      </c>
      <c r="AJ1835">
        <v>0.25</v>
      </c>
      <c r="AK1835">
        <v>3.75</v>
      </c>
      <c r="AL1835">
        <v>9.94</v>
      </c>
    </row>
    <row r="1836" spans="1:38" x14ac:dyDescent="0.25">
      <c r="A1836">
        <v>1835</v>
      </c>
      <c r="B1836" t="str">
        <f xml:space="preserve"> "603008"</f>
        <v>603008</v>
      </c>
      <c r="C1836" t="s">
        <v>6414</v>
      </c>
      <c r="D1836">
        <v>17.690000000000001</v>
      </c>
      <c r="E1836">
        <v>0.34</v>
      </c>
      <c r="F1836">
        <v>0.06</v>
      </c>
      <c r="G1836" t="s">
        <v>4374</v>
      </c>
      <c r="H1836">
        <v>5</v>
      </c>
      <c r="I1836">
        <v>17.690000000000001</v>
      </c>
      <c r="J1836">
        <v>17.7</v>
      </c>
      <c r="K1836">
        <v>-0.06</v>
      </c>
      <c r="L1836">
        <v>0.61</v>
      </c>
      <c r="M1836" t="s">
        <v>6415</v>
      </c>
      <c r="N1836">
        <v>36.770000000000003</v>
      </c>
      <c r="O1836" t="s">
        <v>1469</v>
      </c>
      <c r="P1836">
        <v>17.73</v>
      </c>
      <c r="Q1836">
        <v>17.399999999999999</v>
      </c>
      <c r="R1836">
        <v>17.63</v>
      </c>
      <c r="S1836">
        <v>17.63</v>
      </c>
      <c r="T1836">
        <v>1.87</v>
      </c>
      <c r="U1836">
        <v>0.6</v>
      </c>
      <c r="V1836">
        <v>-31.46</v>
      </c>
      <c r="W1836">
        <v>-458</v>
      </c>
      <c r="X1836">
        <v>17.62</v>
      </c>
      <c r="Y1836">
        <v>9641</v>
      </c>
      <c r="Z1836">
        <v>9494</v>
      </c>
      <c r="AA1836">
        <v>1.02</v>
      </c>
      <c r="AB1836">
        <v>89</v>
      </c>
      <c r="AC1836">
        <v>188</v>
      </c>
      <c r="AD1836">
        <v>2.82</v>
      </c>
      <c r="AE1836" t="s">
        <v>2817</v>
      </c>
      <c r="AF1836" t="s">
        <v>1175</v>
      </c>
      <c r="AG1836" t="s">
        <v>4602</v>
      </c>
      <c r="AH1836" t="s">
        <v>4940</v>
      </c>
      <c r="AI1836">
        <v>3.57</v>
      </c>
      <c r="AJ1836">
        <v>4.49</v>
      </c>
      <c r="AK1836">
        <v>3.48</v>
      </c>
      <c r="AL1836">
        <v>5.7</v>
      </c>
    </row>
    <row r="1837" spans="1:38" x14ac:dyDescent="0.25">
      <c r="A1837">
        <v>1836</v>
      </c>
      <c r="B1837" t="str">
        <f xml:space="preserve"> "300320"</f>
        <v>300320</v>
      </c>
      <c r="C1837" t="s">
        <v>6416</v>
      </c>
      <c r="D1837">
        <v>13.2</v>
      </c>
      <c r="E1837">
        <v>0.08</v>
      </c>
      <c r="F1837">
        <v>0.01</v>
      </c>
      <c r="G1837" t="s">
        <v>1711</v>
      </c>
      <c r="H1837">
        <v>174</v>
      </c>
      <c r="I1837">
        <v>13.19</v>
      </c>
      <c r="J1837">
        <v>13.2</v>
      </c>
      <c r="K1837">
        <v>0.08</v>
      </c>
      <c r="L1837">
        <v>1.01</v>
      </c>
      <c r="M1837" t="s">
        <v>6417</v>
      </c>
      <c r="N1837">
        <v>57.88</v>
      </c>
      <c r="O1837" t="s">
        <v>2128</v>
      </c>
      <c r="P1837">
        <v>13.36</v>
      </c>
      <c r="Q1837">
        <v>13.09</v>
      </c>
      <c r="R1837">
        <v>13.13</v>
      </c>
      <c r="S1837">
        <v>13.19</v>
      </c>
      <c r="T1837">
        <v>2.0499999999999998</v>
      </c>
      <c r="U1837">
        <v>0.88</v>
      </c>
      <c r="V1837">
        <v>63.97</v>
      </c>
      <c r="W1837">
        <v>776</v>
      </c>
      <c r="X1837">
        <v>13.22</v>
      </c>
      <c r="Y1837" t="s">
        <v>394</v>
      </c>
      <c r="Z1837" t="s">
        <v>1986</v>
      </c>
      <c r="AA1837">
        <v>1.1299999999999999</v>
      </c>
      <c r="AB1837">
        <v>40</v>
      </c>
      <c r="AC1837">
        <v>53</v>
      </c>
      <c r="AD1837">
        <v>8.4</v>
      </c>
      <c r="AE1837" t="s">
        <v>2438</v>
      </c>
      <c r="AF1837" t="s">
        <v>1175</v>
      </c>
      <c r="AG1837" t="s">
        <v>4998</v>
      </c>
      <c r="AH1837" t="s">
        <v>6418</v>
      </c>
      <c r="AI1837">
        <v>4.68</v>
      </c>
      <c r="AJ1837">
        <v>3.29</v>
      </c>
      <c r="AK1837">
        <v>3.99</v>
      </c>
      <c r="AL1837">
        <v>6.71</v>
      </c>
    </row>
    <row r="1838" spans="1:38" x14ac:dyDescent="0.25">
      <c r="A1838">
        <v>1837</v>
      </c>
      <c r="B1838" t="str">
        <f xml:space="preserve"> "002170"</f>
        <v>002170</v>
      </c>
      <c r="C1838" t="s">
        <v>6419</v>
      </c>
      <c r="D1838">
        <v>7.83</v>
      </c>
      <c r="E1838">
        <v>1.82</v>
      </c>
      <c r="F1838">
        <v>0.14000000000000001</v>
      </c>
      <c r="G1838" t="s">
        <v>1649</v>
      </c>
      <c r="H1838">
        <v>373</v>
      </c>
      <c r="I1838">
        <v>7.83</v>
      </c>
      <c r="J1838">
        <v>7.84</v>
      </c>
      <c r="K1838">
        <v>-0.13</v>
      </c>
      <c r="L1838">
        <v>0.52</v>
      </c>
      <c r="M1838" t="s">
        <v>5092</v>
      </c>
      <c r="N1838">
        <v>309.58999999999997</v>
      </c>
      <c r="O1838" t="s">
        <v>1936</v>
      </c>
      <c r="P1838">
        <v>7.85</v>
      </c>
      <c r="Q1838">
        <v>7.67</v>
      </c>
      <c r="R1838">
        <v>7.7</v>
      </c>
      <c r="S1838">
        <v>7.69</v>
      </c>
      <c r="T1838">
        <v>2.34</v>
      </c>
      <c r="U1838">
        <v>0.85</v>
      </c>
      <c r="V1838">
        <v>-41.61</v>
      </c>
      <c r="W1838">
        <v>-2667</v>
      </c>
      <c r="X1838">
        <v>7.77</v>
      </c>
      <c r="Y1838" t="s">
        <v>2773</v>
      </c>
      <c r="Z1838" t="s">
        <v>1076</v>
      </c>
      <c r="AA1838">
        <v>0.85</v>
      </c>
      <c r="AB1838">
        <v>195</v>
      </c>
      <c r="AC1838">
        <v>1175</v>
      </c>
      <c r="AD1838">
        <v>3.43</v>
      </c>
      <c r="AE1838" t="s">
        <v>2101</v>
      </c>
      <c r="AF1838" t="s">
        <v>1175</v>
      </c>
      <c r="AG1838" t="s">
        <v>3672</v>
      </c>
      <c r="AH1838" t="s">
        <v>6420</v>
      </c>
      <c r="AI1838">
        <v>-1.01</v>
      </c>
      <c r="AJ1838">
        <v>-0.25</v>
      </c>
      <c r="AK1838">
        <v>1.82</v>
      </c>
      <c r="AL1838">
        <v>3.56</v>
      </c>
    </row>
    <row r="1839" spans="1:38" x14ac:dyDescent="0.25">
      <c r="A1839">
        <v>1838</v>
      </c>
      <c r="B1839" t="str">
        <f xml:space="preserve"> "002188"</f>
        <v>002188</v>
      </c>
      <c r="C1839" t="s">
        <v>6421</v>
      </c>
      <c r="D1839">
        <v>23.57</v>
      </c>
      <c r="E1839">
        <v>-0.63</v>
      </c>
      <c r="F1839">
        <v>-0.15</v>
      </c>
      <c r="G1839">
        <v>5721</v>
      </c>
      <c r="H1839">
        <v>151</v>
      </c>
      <c r="I1839">
        <v>23.56</v>
      </c>
      <c r="J1839">
        <v>23.57</v>
      </c>
      <c r="K1839">
        <v>0.04</v>
      </c>
      <c r="L1839">
        <v>0.33</v>
      </c>
      <c r="M1839" t="s">
        <v>6422</v>
      </c>
      <c r="N1839">
        <v>163.72999999999999</v>
      </c>
      <c r="O1839" t="s">
        <v>380</v>
      </c>
      <c r="P1839">
        <v>23.9</v>
      </c>
      <c r="Q1839">
        <v>23.55</v>
      </c>
      <c r="R1839">
        <v>23.79</v>
      </c>
      <c r="S1839">
        <v>23.72</v>
      </c>
      <c r="T1839">
        <v>1.48</v>
      </c>
      <c r="U1839">
        <v>0.62</v>
      </c>
      <c r="V1839">
        <v>-11.17</v>
      </c>
      <c r="W1839">
        <v>-300</v>
      </c>
      <c r="X1839">
        <v>23.64</v>
      </c>
      <c r="Y1839">
        <v>2836</v>
      </c>
      <c r="Z1839">
        <v>2885</v>
      </c>
      <c r="AA1839">
        <v>0.98</v>
      </c>
      <c r="AB1839">
        <v>632</v>
      </c>
      <c r="AC1839">
        <v>1151</v>
      </c>
      <c r="AD1839">
        <v>3.3</v>
      </c>
      <c r="AE1839" t="s">
        <v>5328</v>
      </c>
      <c r="AF1839" t="s">
        <v>1175</v>
      </c>
      <c r="AG1839" t="s">
        <v>4916</v>
      </c>
      <c r="AH1839" t="s">
        <v>3422</v>
      </c>
      <c r="AI1839">
        <v>-1.91</v>
      </c>
      <c r="AJ1839">
        <v>-0.08</v>
      </c>
      <c r="AK1839">
        <v>0.9</v>
      </c>
      <c r="AL1839">
        <v>3</v>
      </c>
    </row>
    <row r="1840" spans="1:38" x14ac:dyDescent="0.25">
      <c r="A1840">
        <v>1839</v>
      </c>
      <c r="B1840" t="str">
        <f xml:space="preserve"> "600305"</f>
        <v>600305</v>
      </c>
      <c r="C1840" t="s">
        <v>6423</v>
      </c>
      <c r="D1840">
        <v>11.56</v>
      </c>
      <c r="E1840">
        <v>-0.09</v>
      </c>
      <c r="F1840">
        <v>-0.01</v>
      </c>
      <c r="G1840" t="s">
        <v>1308</v>
      </c>
      <c r="H1840">
        <v>21</v>
      </c>
      <c r="I1840">
        <v>11.56</v>
      </c>
      <c r="J1840">
        <v>11.57</v>
      </c>
      <c r="K1840">
        <v>0.09</v>
      </c>
      <c r="L1840">
        <v>0.92</v>
      </c>
      <c r="M1840" t="s">
        <v>6424</v>
      </c>
      <c r="N1840">
        <v>37.11</v>
      </c>
      <c r="O1840" t="s">
        <v>406</v>
      </c>
      <c r="P1840">
        <v>11.6</v>
      </c>
      <c r="Q1840">
        <v>11.41</v>
      </c>
      <c r="R1840">
        <v>11.5</v>
      </c>
      <c r="S1840">
        <v>11.57</v>
      </c>
      <c r="T1840">
        <v>1.64</v>
      </c>
      <c r="U1840">
        <v>0.76</v>
      </c>
      <c r="V1840">
        <v>-64.55</v>
      </c>
      <c r="W1840">
        <v>-1927</v>
      </c>
      <c r="X1840">
        <v>11.48</v>
      </c>
      <c r="Y1840" t="s">
        <v>1984</v>
      </c>
      <c r="Z1840" t="s">
        <v>432</v>
      </c>
      <c r="AA1840">
        <v>1.55</v>
      </c>
      <c r="AB1840">
        <v>30</v>
      </c>
      <c r="AC1840">
        <v>63</v>
      </c>
      <c r="AD1840">
        <v>4.32</v>
      </c>
      <c r="AE1840" t="s">
        <v>1951</v>
      </c>
      <c r="AF1840" t="s">
        <v>1175</v>
      </c>
      <c r="AG1840" t="s">
        <v>1951</v>
      </c>
      <c r="AH1840" t="s">
        <v>1175</v>
      </c>
      <c r="AI1840">
        <v>2.2999999999999998</v>
      </c>
      <c r="AJ1840">
        <v>5.38</v>
      </c>
      <c r="AK1840">
        <v>3.41</v>
      </c>
      <c r="AL1840">
        <v>6.97</v>
      </c>
    </row>
    <row r="1841" spans="1:38" x14ac:dyDescent="0.25">
      <c r="A1841">
        <v>1840</v>
      </c>
      <c r="B1841" t="str">
        <f xml:space="preserve"> "600278"</f>
        <v>600278</v>
      </c>
      <c r="C1841" t="s">
        <v>6425</v>
      </c>
      <c r="D1841">
        <v>13.34</v>
      </c>
      <c r="E1841">
        <v>-0.74</v>
      </c>
      <c r="F1841">
        <v>-0.1</v>
      </c>
      <c r="G1841" t="s">
        <v>3095</v>
      </c>
      <c r="H1841">
        <v>9</v>
      </c>
      <c r="I1841">
        <v>13.34</v>
      </c>
      <c r="J1841">
        <v>13.35</v>
      </c>
      <c r="K1841">
        <v>0.08</v>
      </c>
      <c r="L1841">
        <v>0.22</v>
      </c>
      <c r="M1841" t="s">
        <v>6426</v>
      </c>
      <c r="N1841">
        <v>43.64</v>
      </c>
      <c r="O1841" t="s">
        <v>2001</v>
      </c>
      <c r="P1841">
        <v>13.49</v>
      </c>
      <c r="Q1841">
        <v>13.26</v>
      </c>
      <c r="R1841">
        <v>13.44</v>
      </c>
      <c r="S1841">
        <v>13.44</v>
      </c>
      <c r="T1841">
        <v>1.71</v>
      </c>
      <c r="U1841">
        <v>0.86</v>
      </c>
      <c r="V1841">
        <v>37.6</v>
      </c>
      <c r="W1841">
        <v>747</v>
      </c>
      <c r="X1841">
        <v>13.34</v>
      </c>
      <c r="Y1841">
        <v>7597</v>
      </c>
      <c r="Z1841">
        <v>4026</v>
      </c>
      <c r="AA1841">
        <v>1.89</v>
      </c>
      <c r="AB1841">
        <v>3</v>
      </c>
      <c r="AC1841">
        <v>485</v>
      </c>
      <c r="AD1841">
        <v>1.79</v>
      </c>
      <c r="AE1841" t="s">
        <v>4417</v>
      </c>
      <c r="AF1841" t="s">
        <v>1175</v>
      </c>
      <c r="AG1841" t="s">
        <v>4417</v>
      </c>
      <c r="AH1841" t="s">
        <v>1175</v>
      </c>
      <c r="AI1841">
        <v>-0.37</v>
      </c>
      <c r="AJ1841">
        <v>1.6</v>
      </c>
      <c r="AK1841">
        <v>0.89</v>
      </c>
      <c r="AL1841">
        <v>1.52</v>
      </c>
    </row>
    <row r="1842" spans="1:38" x14ac:dyDescent="0.25">
      <c r="A1842">
        <v>1841</v>
      </c>
      <c r="B1842" t="str">
        <f xml:space="preserve"> "600558"</f>
        <v>600558</v>
      </c>
      <c r="C1842" t="s">
        <v>6427</v>
      </c>
      <c r="D1842">
        <v>7.75</v>
      </c>
      <c r="E1842">
        <v>-2.15</v>
      </c>
      <c r="F1842">
        <v>-0.17</v>
      </c>
      <c r="G1842" t="s">
        <v>3660</v>
      </c>
      <c r="H1842">
        <v>35</v>
      </c>
      <c r="I1842">
        <v>7.74</v>
      </c>
      <c r="J1842">
        <v>7.75</v>
      </c>
      <c r="K1842">
        <v>0.13</v>
      </c>
      <c r="L1842">
        <v>2.09</v>
      </c>
      <c r="M1842" t="s">
        <v>3154</v>
      </c>
      <c r="N1842">
        <v>154.08000000000001</v>
      </c>
      <c r="O1842" t="s">
        <v>1229</v>
      </c>
      <c r="P1842">
        <v>7.9</v>
      </c>
      <c r="Q1842">
        <v>7.69</v>
      </c>
      <c r="R1842">
        <v>7.89</v>
      </c>
      <c r="S1842">
        <v>7.92</v>
      </c>
      <c r="T1842">
        <v>2.65</v>
      </c>
      <c r="U1842">
        <v>0.81</v>
      </c>
      <c r="V1842">
        <v>59.15</v>
      </c>
      <c r="W1842">
        <v>7713</v>
      </c>
      <c r="X1842">
        <v>7.77</v>
      </c>
      <c r="Y1842" t="s">
        <v>442</v>
      </c>
      <c r="Z1842" t="s">
        <v>3275</v>
      </c>
      <c r="AA1842">
        <v>1.6</v>
      </c>
      <c r="AB1842">
        <v>1575</v>
      </c>
      <c r="AC1842">
        <v>83</v>
      </c>
      <c r="AD1842">
        <v>3.79</v>
      </c>
      <c r="AE1842" t="s">
        <v>5027</v>
      </c>
      <c r="AF1842" t="s">
        <v>6428</v>
      </c>
      <c r="AG1842" t="s">
        <v>5027</v>
      </c>
      <c r="AH1842" t="s">
        <v>6428</v>
      </c>
      <c r="AI1842">
        <v>-3.49</v>
      </c>
      <c r="AJ1842">
        <v>0</v>
      </c>
      <c r="AK1842">
        <v>7.33</v>
      </c>
      <c r="AL1842">
        <v>14.92</v>
      </c>
    </row>
    <row r="1843" spans="1:38" x14ac:dyDescent="0.25">
      <c r="A1843">
        <v>1842</v>
      </c>
      <c r="B1843" t="str">
        <f xml:space="preserve"> "002351"</f>
        <v>002351</v>
      </c>
      <c r="C1843" t="s">
        <v>6429</v>
      </c>
      <c r="D1843">
        <v>11.83</v>
      </c>
      <c r="E1843">
        <v>-0.84</v>
      </c>
      <c r="F1843">
        <v>-0.1</v>
      </c>
      <c r="G1843" t="s">
        <v>3625</v>
      </c>
      <c r="H1843">
        <v>2556</v>
      </c>
      <c r="I1843">
        <v>11.83</v>
      </c>
      <c r="J1843">
        <v>11.84</v>
      </c>
      <c r="K1843">
        <v>0.08</v>
      </c>
      <c r="L1843">
        <v>8.83</v>
      </c>
      <c r="M1843" t="s">
        <v>4858</v>
      </c>
      <c r="N1843">
        <v>49.6</v>
      </c>
      <c r="O1843" t="s">
        <v>553</v>
      </c>
      <c r="P1843">
        <v>11.93</v>
      </c>
      <c r="Q1843">
        <v>11.72</v>
      </c>
      <c r="R1843">
        <v>11.93</v>
      </c>
      <c r="S1843">
        <v>11.93</v>
      </c>
      <c r="T1843">
        <v>1.76</v>
      </c>
      <c r="U1843">
        <v>1.73</v>
      </c>
      <c r="V1843">
        <v>46.6</v>
      </c>
      <c r="W1843">
        <v>1529</v>
      </c>
      <c r="X1843">
        <v>11.82</v>
      </c>
      <c r="Y1843" t="s">
        <v>630</v>
      </c>
      <c r="Z1843" t="s">
        <v>541</v>
      </c>
      <c r="AA1843">
        <v>1.2</v>
      </c>
      <c r="AB1843">
        <v>145</v>
      </c>
      <c r="AC1843">
        <v>73</v>
      </c>
      <c r="AD1843">
        <v>4.03</v>
      </c>
      <c r="AE1843" t="s">
        <v>6430</v>
      </c>
      <c r="AF1843" t="s">
        <v>6428</v>
      </c>
      <c r="AG1843" t="s">
        <v>6431</v>
      </c>
      <c r="AH1843" t="s">
        <v>1021</v>
      </c>
      <c r="AI1843">
        <v>2.87</v>
      </c>
      <c r="AJ1843">
        <v>7.55</v>
      </c>
      <c r="AK1843">
        <v>22.06</v>
      </c>
      <c r="AL1843">
        <v>34.28</v>
      </c>
    </row>
    <row r="1844" spans="1:38" x14ac:dyDescent="0.25">
      <c r="A1844">
        <v>1843</v>
      </c>
      <c r="B1844" t="str">
        <f xml:space="preserve"> "000897"</f>
        <v>000897</v>
      </c>
      <c r="C1844" t="s">
        <v>6432</v>
      </c>
      <c r="D1844">
        <v>4.3</v>
      </c>
      <c r="E1844">
        <v>0.94</v>
      </c>
      <c r="F1844">
        <v>0.04</v>
      </c>
      <c r="G1844" t="s">
        <v>1012</v>
      </c>
      <c r="H1844">
        <v>1365</v>
      </c>
      <c r="I1844">
        <v>4.29</v>
      </c>
      <c r="J1844">
        <v>4.3</v>
      </c>
      <c r="K1844">
        <v>0</v>
      </c>
      <c r="L1844">
        <v>0.49</v>
      </c>
      <c r="M1844" t="s">
        <v>6433</v>
      </c>
      <c r="N1844">
        <v>-90.24</v>
      </c>
      <c r="O1844" t="s">
        <v>244</v>
      </c>
      <c r="P1844">
        <v>4.33</v>
      </c>
      <c r="Q1844">
        <v>4.25</v>
      </c>
      <c r="R1844">
        <v>4.2699999999999996</v>
      </c>
      <c r="S1844">
        <v>4.26</v>
      </c>
      <c r="T1844">
        <v>1.88</v>
      </c>
      <c r="U1844">
        <v>1.04</v>
      </c>
      <c r="V1844">
        <v>-20.94</v>
      </c>
      <c r="W1844">
        <v>-6571</v>
      </c>
      <c r="X1844">
        <v>4.29</v>
      </c>
      <c r="Y1844" t="s">
        <v>3987</v>
      </c>
      <c r="Z1844" t="s">
        <v>5412</v>
      </c>
      <c r="AA1844">
        <v>0.57999999999999996</v>
      </c>
      <c r="AB1844">
        <v>2930</v>
      </c>
      <c r="AC1844">
        <v>25</v>
      </c>
      <c r="AD1844">
        <v>5.52</v>
      </c>
      <c r="AE1844" t="s">
        <v>2648</v>
      </c>
      <c r="AF1844" t="s">
        <v>3875</v>
      </c>
      <c r="AG1844" t="s">
        <v>2648</v>
      </c>
      <c r="AH1844" t="s">
        <v>3875</v>
      </c>
      <c r="AI1844">
        <v>0</v>
      </c>
      <c r="AJ1844">
        <v>1.9</v>
      </c>
      <c r="AK1844">
        <v>1.53</v>
      </c>
      <c r="AL1844">
        <v>2.86</v>
      </c>
    </row>
    <row r="1845" spans="1:38" x14ac:dyDescent="0.25">
      <c r="A1845">
        <v>1844</v>
      </c>
      <c r="B1845" t="str">
        <f xml:space="preserve"> "002258"</f>
        <v>002258</v>
      </c>
      <c r="C1845" t="s">
        <v>6434</v>
      </c>
      <c r="D1845">
        <v>13.26</v>
      </c>
      <c r="E1845">
        <v>3.67</v>
      </c>
      <c r="F1845">
        <v>0.47</v>
      </c>
      <c r="G1845" t="s">
        <v>1583</v>
      </c>
      <c r="H1845">
        <v>351</v>
      </c>
      <c r="I1845">
        <v>13.25</v>
      </c>
      <c r="J1845">
        <v>13.26</v>
      </c>
      <c r="K1845">
        <v>0</v>
      </c>
      <c r="L1845">
        <v>2.77</v>
      </c>
      <c r="M1845" t="s">
        <v>2662</v>
      </c>
      <c r="N1845">
        <v>23.28</v>
      </c>
      <c r="O1845" t="s">
        <v>2060</v>
      </c>
      <c r="P1845">
        <v>13.4</v>
      </c>
      <c r="Q1845">
        <v>12.78</v>
      </c>
      <c r="R1845">
        <v>12.93</v>
      </c>
      <c r="S1845">
        <v>12.79</v>
      </c>
      <c r="T1845">
        <v>4.8499999999999996</v>
      </c>
      <c r="U1845">
        <v>3.66</v>
      </c>
      <c r="V1845">
        <v>18.41</v>
      </c>
      <c r="W1845">
        <v>564</v>
      </c>
      <c r="X1845">
        <v>13.23</v>
      </c>
      <c r="Y1845" t="s">
        <v>1730</v>
      </c>
      <c r="Z1845" t="s">
        <v>3534</v>
      </c>
      <c r="AA1845">
        <v>0.57999999999999996</v>
      </c>
      <c r="AB1845">
        <v>1527</v>
      </c>
      <c r="AC1845">
        <v>269</v>
      </c>
      <c r="AD1845">
        <v>3.26</v>
      </c>
      <c r="AE1845" t="s">
        <v>4119</v>
      </c>
      <c r="AF1845" t="s">
        <v>3875</v>
      </c>
      <c r="AG1845" t="s">
        <v>4119</v>
      </c>
      <c r="AH1845" t="s">
        <v>4679</v>
      </c>
      <c r="AI1845">
        <v>4.66</v>
      </c>
      <c r="AJ1845">
        <v>9.14</v>
      </c>
      <c r="AK1845">
        <v>4.4000000000000004</v>
      </c>
      <c r="AL1845">
        <v>6.55</v>
      </c>
    </row>
    <row r="1846" spans="1:38" x14ac:dyDescent="0.25">
      <c r="A1846">
        <v>1845</v>
      </c>
      <c r="B1846" t="str">
        <f xml:space="preserve"> "300675"</f>
        <v>300675</v>
      </c>
      <c r="C1846" t="s">
        <v>6435</v>
      </c>
      <c r="D1846">
        <v>47.38</v>
      </c>
      <c r="E1846">
        <v>1.56</v>
      </c>
      <c r="F1846">
        <v>0.73</v>
      </c>
      <c r="G1846" t="s">
        <v>363</v>
      </c>
      <c r="H1846">
        <v>1574</v>
      </c>
      <c r="I1846">
        <v>47.37</v>
      </c>
      <c r="J1846">
        <v>47.38</v>
      </c>
      <c r="K1846">
        <v>0</v>
      </c>
      <c r="L1846">
        <v>29.7</v>
      </c>
      <c r="M1846" t="s">
        <v>1161</v>
      </c>
      <c r="N1846">
        <v>1053.98</v>
      </c>
      <c r="O1846" t="s">
        <v>263</v>
      </c>
      <c r="P1846">
        <v>48.58</v>
      </c>
      <c r="Q1846">
        <v>42.58</v>
      </c>
      <c r="R1846">
        <v>43.5</v>
      </c>
      <c r="S1846">
        <v>46.65</v>
      </c>
      <c r="T1846">
        <v>12.86</v>
      </c>
      <c r="U1846">
        <v>1</v>
      </c>
      <c r="V1846">
        <v>-68.61</v>
      </c>
      <c r="W1846">
        <v>-1007</v>
      </c>
      <c r="X1846">
        <v>45.78</v>
      </c>
      <c r="Y1846" t="s">
        <v>2537</v>
      </c>
      <c r="Z1846" t="s">
        <v>2417</v>
      </c>
      <c r="AA1846">
        <v>1.1499999999999999</v>
      </c>
      <c r="AB1846">
        <v>98</v>
      </c>
      <c r="AC1846">
        <v>824</v>
      </c>
      <c r="AD1846">
        <v>17.55</v>
      </c>
      <c r="AE1846" t="s">
        <v>2523</v>
      </c>
      <c r="AF1846" t="s">
        <v>3875</v>
      </c>
      <c r="AG1846" t="s">
        <v>6436</v>
      </c>
      <c r="AH1846" t="s">
        <v>1540</v>
      </c>
      <c r="AI1846">
        <v>-2.63</v>
      </c>
      <c r="AJ1846">
        <v>7.93</v>
      </c>
      <c r="AK1846">
        <v>87.19</v>
      </c>
      <c r="AL1846">
        <v>178.26</v>
      </c>
    </row>
    <row r="1847" spans="1:38" x14ac:dyDescent="0.25">
      <c r="A1847">
        <v>1846</v>
      </c>
      <c r="B1847" t="str">
        <f xml:space="preserve"> "002880"</f>
        <v>002880</v>
      </c>
      <c r="C1847" t="s">
        <v>6437</v>
      </c>
      <c r="D1847" t="s">
        <v>616</v>
      </c>
      <c r="E1847" t="s">
        <v>616</v>
      </c>
      <c r="F1847" t="s">
        <v>616</v>
      </c>
      <c r="G1847" t="s">
        <v>616</v>
      </c>
      <c r="H1847" t="s">
        <v>616</v>
      </c>
      <c r="I1847" t="s">
        <v>616</v>
      </c>
      <c r="J1847" t="s">
        <v>616</v>
      </c>
      <c r="K1847" t="s">
        <v>616</v>
      </c>
      <c r="L1847" t="s">
        <v>616</v>
      </c>
      <c r="M1847" t="s">
        <v>616</v>
      </c>
      <c r="N1847">
        <v>45.83</v>
      </c>
      <c r="O1847" t="s">
        <v>392</v>
      </c>
      <c r="P1847" t="s">
        <v>616</v>
      </c>
      <c r="Q1847" t="s">
        <v>616</v>
      </c>
      <c r="R1847" t="s">
        <v>616</v>
      </c>
      <c r="S1847">
        <v>64.319999999999993</v>
      </c>
      <c r="T1847" t="s">
        <v>616</v>
      </c>
      <c r="U1847" t="s">
        <v>616</v>
      </c>
      <c r="V1847" t="s">
        <v>616</v>
      </c>
      <c r="W1847" t="s">
        <v>616</v>
      </c>
      <c r="X1847" t="s">
        <v>616</v>
      </c>
      <c r="Y1847" t="s">
        <v>616</v>
      </c>
      <c r="Z1847" t="s">
        <v>616</v>
      </c>
      <c r="AA1847" t="s">
        <v>616</v>
      </c>
      <c r="AB1847" t="s">
        <v>616</v>
      </c>
      <c r="AC1847" t="s">
        <v>616</v>
      </c>
      <c r="AD1847">
        <v>6.18</v>
      </c>
      <c r="AE1847" t="s">
        <v>1120</v>
      </c>
      <c r="AF1847" t="s">
        <v>3875</v>
      </c>
      <c r="AG1847" t="s">
        <v>3501</v>
      </c>
      <c r="AH1847" t="s">
        <v>1540</v>
      </c>
      <c r="AI1847">
        <v>0</v>
      </c>
      <c r="AJ1847">
        <v>0</v>
      </c>
      <c r="AK1847">
        <v>0</v>
      </c>
      <c r="AL1847">
        <v>0</v>
      </c>
    </row>
    <row r="1848" spans="1:38" x14ac:dyDescent="0.25">
      <c r="A1848">
        <v>1847</v>
      </c>
      <c r="B1848" t="str">
        <f xml:space="preserve"> "603505"</f>
        <v>603505</v>
      </c>
      <c r="C1848" t="s">
        <v>6438</v>
      </c>
      <c r="D1848">
        <v>28.94</v>
      </c>
      <c r="E1848">
        <v>-3.05</v>
      </c>
      <c r="F1848">
        <v>-0.91</v>
      </c>
      <c r="G1848" t="s">
        <v>6439</v>
      </c>
      <c r="H1848">
        <v>65</v>
      </c>
      <c r="I1848">
        <v>28.94</v>
      </c>
      <c r="J1848">
        <v>28.96</v>
      </c>
      <c r="K1848">
        <v>7.0000000000000007E-2</v>
      </c>
      <c r="L1848">
        <v>16.29</v>
      </c>
      <c r="M1848" t="s">
        <v>6216</v>
      </c>
      <c r="N1848">
        <v>102.55</v>
      </c>
      <c r="O1848" t="s">
        <v>859</v>
      </c>
      <c r="P1848">
        <v>29.84</v>
      </c>
      <c r="Q1848">
        <v>28.8</v>
      </c>
      <c r="R1848">
        <v>29.23</v>
      </c>
      <c r="S1848">
        <v>29.85</v>
      </c>
      <c r="T1848">
        <v>3.48</v>
      </c>
      <c r="U1848">
        <v>0.66</v>
      </c>
      <c r="V1848">
        <v>26.15</v>
      </c>
      <c r="W1848">
        <v>262</v>
      </c>
      <c r="X1848">
        <v>29.17</v>
      </c>
      <c r="Y1848" t="s">
        <v>2770</v>
      </c>
      <c r="Z1848" t="s">
        <v>2870</v>
      </c>
      <c r="AA1848">
        <v>1.53</v>
      </c>
      <c r="AB1848">
        <v>3</v>
      </c>
      <c r="AC1848">
        <v>56</v>
      </c>
      <c r="AD1848">
        <v>10.17</v>
      </c>
      <c r="AE1848" t="s">
        <v>2521</v>
      </c>
      <c r="AF1848" t="s">
        <v>3875</v>
      </c>
      <c r="AG1848" t="s">
        <v>5162</v>
      </c>
      <c r="AH1848" t="s">
        <v>1540</v>
      </c>
      <c r="AI1848">
        <v>-3.34</v>
      </c>
      <c r="AJ1848">
        <v>-4.55</v>
      </c>
      <c r="AK1848">
        <v>73.959999999999994</v>
      </c>
      <c r="AL1848">
        <v>139.26</v>
      </c>
    </row>
    <row r="1849" spans="1:38" x14ac:dyDescent="0.25">
      <c r="A1849">
        <v>1848</v>
      </c>
      <c r="B1849" t="str">
        <f xml:space="preserve"> "300444"</f>
        <v>300444</v>
      </c>
      <c r="C1849" t="s">
        <v>6440</v>
      </c>
      <c r="D1849">
        <v>21.33</v>
      </c>
      <c r="E1849">
        <v>-0.84</v>
      </c>
      <c r="F1849">
        <v>-0.18</v>
      </c>
      <c r="G1849" t="s">
        <v>1504</v>
      </c>
      <c r="H1849">
        <v>564</v>
      </c>
      <c r="I1849">
        <v>21.33</v>
      </c>
      <c r="J1849">
        <v>21.34</v>
      </c>
      <c r="K1849">
        <v>-0.05</v>
      </c>
      <c r="L1849">
        <v>1.65</v>
      </c>
      <c r="M1849" t="s">
        <v>5795</v>
      </c>
      <c r="N1849">
        <v>200.95</v>
      </c>
      <c r="O1849" t="s">
        <v>680</v>
      </c>
      <c r="P1849">
        <v>21.88</v>
      </c>
      <c r="Q1849">
        <v>21.25</v>
      </c>
      <c r="R1849">
        <v>21.25</v>
      </c>
      <c r="S1849">
        <v>21.51</v>
      </c>
      <c r="T1849">
        <v>2.93</v>
      </c>
      <c r="U1849">
        <v>0.83</v>
      </c>
      <c r="V1849">
        <v>-23.24</v>
      </c>
      <c r="W1849">
        <v>-157</v>
      </c>
      <c r="X1849">
        <v>21.47</v>
      </c>
      <c r="Y1849" t="s">
        <v>2522</v>
      </c>
      <c r="Z1849">
        <v>8524</v>
      </c>
      <c r="AA1849">
        <v>1.21</v>
      </c>
      <c r="AB1849">
        <v>16</v>
      </c>
      <c r="AC1849">
        <v>83</v>
      </c>
      <c r="AD1849">
        <v>5.9</v>
      </c>
      <c r="AE1849" t="s">
        <v>3905</v>
      </c>
      <c r="AF1849" t="s">
        <v>4679</v>
      </c>
      <c r="AG1849" t="s">
        <v>2706</v>
      </c>
      <c r="AH1849" t="s">
        <v>1700</v>
      </c>
      <c r="AI1849">
        <v>-5.62</v>
      </c>
      <c r="AJ1849">
        <v>-4.3899999999999997</v>
      </c>
      <c r="AK1849">
        <v>5.34</v>
      </c>
      <c r="AL1849">
        <v>11.61</v>
      </c>
    </row>
    <row r="1850" spans="1:38" x14ac:dyDescent="0.25">
      <c r="A1850">
        <v>1849</v>
      </c>
      <c r="B1850" t="str">
        <f xml:space="preserve"> "002077"</f>
        <v>002077</v>
      </c>
      <c r="C1850" t="s">
        <v>6441</v>
      </c>
      <c r="D1850" t="s">
        <v>616</v>
      </c>
      <c r="E1850" t="s">
        <v>616</v>
      </c>
      <c r="F1850" t="s">
        <v>616</v>
      </c>
      <c r="G1850" t="s">
        <v>616</v>
      </c>
      <c r="H1850" t="s">
        <v>616</v>
      </c>
      <c r="I1850" t="s">
        <v>616</v>
      </c>
      <c r="J1850" t="s">
        <v>616</v>
      </c>
      <c r="K1850" t="s">
        <v>616</v>
      </c>
      <c r="L1850" t="s">
        <v>616</v>
      </c>
      <c r="M1850" t="s">
        <v>616</v>
      </c>
      <c r="N1850">
        <v>-231.43</v>
      </c>
      <c r="O1850" t="s">
        <v>244</v>
      </c>
      <c r="P1850" t="s">
        <v>616</v>
      </c>
      <c r="Q1850" t="s">
        <v>616</v>
      </c>
      <c r="R1850" t="s">
        <v>616</v>
      </c>
      <c r="S1850">
        <v>11.96</v>
      </c>
      <c r="T1850" t="s">
        <v>616</v>
      </c>
      <c r="U1850" t="s">
        <v>616</v>
      </c>
      <c r="V1850" t="s">
        <v>616</v>
      </c>
      <c r="W1850" t="s">
        <v>616</v>
      </c>
      <c r="X1850" t="s">
        <v>616</v>
      </c>
      <c r="Y1850" t="s">
        <v>616</v>
      </c>
      <c r="Z1850" t="s">
        <v>616</v>
      </c>
      <c r="AA1850" t="s">
        <v>616</v>
      </c>
      <c r="AB1850" t="s">
        <v>616</v>
      </c>
      <c r="AC1850" t="s">
        <v>616</v>
      </c>
      <c r="AD1850">
        <v>1.82</v>
      </c>
      <c r="AE1850" t="s">
        <v>2789</v>
      </c>
      <c r="AF1850" t="s">
        <v>4679</v>
      </c>
      <c r="AG1850" t="s">
        <v>4339</v>
      </c>
      <c r="AH1850" t="s">
        <v>5998</v>
      </c>
      <c r="AI1850">
        <v>0</v>
      </c>
      <c r="AJ1850">
        <v>0</v>
      </c>
      <c r="AK1850">
        <v>0</v>
      </c>
      <c r="AL1850">
        <v>1.08</v>
      </c>
    </row>
    <row r="1851" spans="1:38" x14ac:dyDescent="0.25">
      <c r="A1851">
        <v>1850</v>
      </c>
      <c r="B1851" t="str">
        <f xml:space="preserve"> "600880"</f>
        <v>600880</v>
      </c>
      <c r="C1851" t="s">
        <v>6442</v>
      </c>
      <c r="D1851">
        <v>6.34</v>
      </c>
      <c r="E1851">
        <v>0.16</v>
      </c>
      <c r="F1851">
        <v>0.01</v>
      </c>
      <c r="G1851" t="s">
        <v>3404</v>
      </c>
      <c r="H1851">
        <v>332</v>
      </c>
      <c r="I1851">
        <v>6.34</v>
      </c>
      <c r="J1851">
        <v>6.35</v>
      </c>
      <c r="K1851">
        <v>0</v>
      </c>
      <c r="L1851">
        <v>0.82</v>
      </c>
      <c r="M1851" t="s">
        <v>3803</v>
      </c>
      <c r="N1851">
        <v>-113.6</v>
      </c>
      <c r="O1851" t="s">
        <v>1126</v>
      </c>
      <c r="P1851">
        <v>6.39</v>
      </c>
      <c r="Q1851">
        <v>6.3</v>
      </c>
      <c r="R1851">
        <v>6.32</v>
      </c>
      <c r="S1851">
        <v>6.33</v>
      </c>
      <c r="T1851">
        <v>1.42</v>
      </c>
      <c r="U1851">
        <v>0.83</v>
      </c>
      <c r="V1851">
        <v>-28.24</v>
      </c>
      <c r="W1851">
        <v>-2552</v>
      </c>
      <c r="X1851">
        <v>6.34</v>
      </c>
      <c r="Y1851" t="s">
        <v>2451</v>
      </c>
      <c r="Z1851" t="s">
        <v>659</v>
      </c>
      <c r="AA1851">
        <v>0.99</v>
      </c>
      <c r="AB1851">
        <v>547</v>
      </c>
      <c r="AC1851">
        <v>561</v>
      </c>
      <c r="AD1851">
        <v>1.94</v>
      </c>
      <c r="AE1851" t="s">
        <v>888</v>
      </c>
      <c r="AF1851" t="s">
        <v>4918</v>
      </c>
      <c r="AG1851" t="s">
        <v>4534</v>
      </c>
      <c r="AH1851" t="s">
        <v>6443</v>
      </c>
      <c r="AI1851">
        <v>0</v>
      </c>
      <c r="AJ1851">
        <v>2.42</v>
      </c>
      <c r="AK1851">
        <v>2.71</v>
      </c>
      <c r="AL1851">
        <v>5.75</v>
      </c>
    </row>
    <row r="1852" spans="1:38" x14ac:dyDescent="0.25">
      <c r="A1852">
        <v>1851</v>
      </c>
      <c r="B1852" t="str">
        <f xml:space="preserve"> "300326"</f>
        <v>300326</v>
      </c>
      <c r="C1852" t="s">
        <v>6444</v>
      </c>
      <c r="D1852">
        <v>9.68</v>
      </c>
      <c r="E1852">
        <v>-1.43</v>
      </c>
      <c r="F1852">
        <v>-0.14000000000000001</v>
      </c>
      <c r="G1852" t="s">
        <v>766</v>
      </c>
      <c r="H1852">
        <v>2357</v>
      </c>
      <c r="I1852">
        <v>9.68</v>
      </c>
      <c r="J1852">
        <v>9.69</v>
      </c>
      <c r="K1852">
        <v>-0.1</v>
      </c>
      <c r="L1852">
        <v>2.72</v>
      </c>
      <c r="M1852" t="s">
        <v>1228</v>
      </c>
      <c r="N1852">
        <v>36.450000000000003</v>
      </c>
      <c r="O1852" t="s">
        <v>1552</v>
      </c>
      <c r="P1852">
        <v>9.9700000000000006</v>
      </c>
      <c r="Q1852">
        <v>9.65</v>
      </c>
      <c r="R1852">
        <v>9.69</v>
      </c>
      <c r="S1852">
        <v>9.82</v>
      </c>
      <c r="T1852">
        <v>3.26</v>
      </c>
      <c r="U1852">
        <v>0.77</v>
      </c>
      <c r="V1852">
        <v>-1.81</v>
      </c>
      <c r="W1852">
        <v>-68</v>
      </c>
      <c r="X1852">
        <v>9.81</v>
      </c>
      <c r="Y1852" t="s">
        <v>1814</v>
      </c>
      <c r="Z1852" t="s">
        <v>2031</v>
      </c>
      <c r="AA1852">
        <v>1.38</v>
      </c>
      <c r="AB1852">
        <v>459</v>
      </c>
      <c r="AC1852">
        <v>1028</v>
      </c>
      <c r="AD1852">
        <v>3.6</v>
      </c>
      <c r="AE1852" t="s">
        <v>3007</v>
      </c>
      <c r="AF1852" t="s">
        <v>4918</v>
      </c>
      <c r="AG1852" t="s">
        <v>4451</v>
      </c>
      <c r="AH1852" t="s">
        <v>5493</v>
      </c>
      <c r="AI1852">
        <v>0.21</v>
      </c>
      <c r="AJ1852">
        <v>11.91</v>
      </c>
      <c r="AK1852">
        <v>14.59</v>
      </c>
      <c r="AL1852">
        <v>20.32</v>
      </c>
    </row>
    <row r="1853" spans="1:38" x14ac:dyDescent="0.25">
      <c r="A1853">
        <v>1852</v>
      </c>
      <c r="B1853" t="str">
        <f xml:space="preserve"> "002246"</f>
        <v>002246</v>
      </c>
      <c r="C1853" t="s">
        <v>6445</v>
      </c>
      <c r="D1853">
        <v>16.739999999999998</v>
      </c>
      <c r="E1853">
        <v>-0.53</v>
      </c>
      <c r="F1853">
        <v>-0.09</v>
      </c>
      <c r="G1853" t="s">
        <v>564</v>
      </c>
      <c r="H1853">
        <v>2467</v>
      </c>
      <c r="I1853">
        <v>16.739999999999998</v>
      </c>
      <c r="J1853">
        <v>16.75</v>
      </c>
      <c r="K1853">
        <v>-0.06</v>
      </c>
      <c r="L1853">
        <v>2.1800000000000002</v>
      </c>
      <c r="M1853" t="s">
        <v>598</v>
      </c>
      <c r="N1853">
        <v>134.79</v>
      </c>
      <c r="O1853" t="s">
        <v>667</v>
      </c>
      <c r="P1853">
        <v>16.829999999999998</v>
      </c>
      <c r="Q1853">
        <v>16.53</v>
      </c>
      <c r="R1853">
        <v>16.760000000000002</v>
      </c>
      <c r="S1853">
        <v>16.829999999999998</v>
      </c>
      <c r="T1853">
        <v>1.78</v>
      </c>
      <c r="U1853">
        <v>0.82</v>
      </c>
      <c r="V1853">
        <v>26.64</v>
      </c>
      <c r="W1853">
        <v>985</v>
      </c>
      <c r="X1853">
        <v>16.649999999999999</v>
      </c>
      <c r="Y1853" t="s">
        <v>853</v>
      </c>
      <c r="Z1853" t="s">
        <v>1334</v>
      </c>
      <c r="AA1853">
        <v>1.42</v>
      </c>
      <c r="AB1853">
        <v>587</v>
      </c>
      <c r="AC1853">
        <v>324</v>
      </c>
      <c r="AD1853">
        <v>5.56</v>
      </c>
      <c r="AE1853" t="s">
        <v>3080</v>
      </c>
      <c r="AF1853" t="s">
        <v>4918</v>
      </c>
      <c r="AG1853" t="s">
        <v>3080</v>
      </c>
      <c r="AH1853" t="s">
        <v>4918</v>
      </c>
      <c r="AI1853">
        <v>2.0699999999999998</v>
      </c>
      <c r="AJ1853">
        <v>2.7</v>
      </c>
      <c r="AK1853">
        <v>9.56</v>
      </c>
      <c r="AL1853">
        <v>15.5</v>
      </c>
    </row>
    <row r="1854" spans="1:38" x14ac:dyDescent="0.25">
      <c r="A1854">
        <v>1853</v>
      </c>
      <c r="B1854" t="str">
        <f xml:space="preserve"> "002393"</f>
        <v>002393</v>
      </c>
      <c r="C1854" t="s">
        <v>6446</v>
      </c>
      <c r="D1854">
        <v>37.85</v>
      </c>
      <c r="E1854">
        <v>2.38</v>
      </c>
      <c r="F1854">
        <v>0.88</v>
      </c>
      <c r="G1854" t="s">
        <v>1532</v>
      </c>
      <c r="H1854">
        <v>221</v>
      </c>
      <c r="I1854">
        <v>37.840000000000003</v>
      </c>
      <c r="J1854">
        <v>37.85</v>
      </c>
      <c r="K1854">
        <v>0</v>
      </c>
      <c r="L1854">
        <v>1.83</v>
      </c>
      <c r="M1854" t="s">
        <v>640</v>
      </c>
      <c r="N1854">
        <v>44.05</v>
      </c>
      <c r="O1854" t="s">
        <v>392</v>
      </c>
      <c r="P1854">
        <v>37.97</v>
      </c>
      <c r="Q1854">
        <v>36.76</v>
      </c>
      <c r="R1854">
        <v>37</v>
      </c>
      <c r="S1854">
        <v>36.97</v>
      </c>
      <c r="T1854">
        <v>3.27</v>
      </c>
      <c r="U1854">
        <v>1.8</v>
      </c>
      <c r="V1854">
        <v>-66.11</v>
      </c>
      <c r="W1854">
        <v>-737</v>
      </c>
      <c r="X1854">
        <v>37.619999999999997</v>
      </c>
      <c r="Y1854" t="s">
        <v>1836</v>
      </c>
      <c r="Z1854" t="s">
        <v>3825</v>
      </c>
      <c r="AA1854">
        <v>0.48</v>
      </c>
      <c r="AB1854">
        <v>18</v>
      </c>
      <c r="AC1854">
        <v>313</v>
      </c>
      <c r="AD1854">
        <v>2.27</v>
      </c>
      <c r="AE1854" t="s">
        <v>2637</v>
      </c>
      <c r="AF1854" t="s">
        <v>6447</v>
      </c>
      <c r="AG1854" t="s">
        <v>2637</v>
      </c>
      <c r="AH1854" t="s">
        <v>4353</v>
      </c>
      <c r="AI1854">
        <v>2.0499999999999998</v>
      </c>
      <c r="AJ1854">
        <v>6.59</v>
      </c>
      <c r="AK1854">
        <v>3.95</v>
      </c>
      <c r="AL1854">
        <v>6.89</v>
      </c>
    </row>
    <row r="1855" spans="1:38" x14ac:dyDescent="0.25">
      <c r="A1855">
        <v>1854</v>
      </c>
      <c r="B1855" t="str">
        <f xml:space="preserve"> "300238"</f>
        <v>300238</v>
      </c>
      <c r="C1855" t="s">
        <v>6448</v>
      </c>
      <c r="D1855">
        <v>26.04</v>
      </c>
      <c r="E1855">
        <v>0.77</v>
      </c>
      <c r="F1855">
        <v>0.2</v>
      </c>
      <c r="G1855" t="s">
        <v>3221</v>
      </c>
      <c r="H1855">
        <v>369</v>
      </c>
      <c r="I1855">
        <v>26.04</v>
      </c>
      <c r="J1855">
        <v>26.05</v>
      </c>
      <c r="K1855">
        <v>0.04</v>
      </c>
      <c r="L1855">
        <v>2.12</v>
      </c>
      <c r="M1855" t="s">
        <v>1907</v>
      </c>
      <c r="N1855">
        <v>134.34</v>
      </c>
      <c r="O1855" t="s">
        <v>1552</v>
      </c>
      <c r="P1855">
        <v>26.28</v>
      </c>
      <c r="Q1855">
        <v>25.76</v>
      </c>
      <c r="R1855">
        <v>25.85</v>
      </c>
      <c r="S1855">
        <v>25.84</v>
      </c>
      <c r="T1855">
        <v>2.0099999999999998</v>
      </c>
      <c r="U1855">
        <v>0.78</v>
      </c>
      <c r="V1855">
        <v>51.4</v>
      </c>
      <c r="W1855">
        <v>349</v>
      </c>
      <c r="X1855">
        <v>26.08</v>
      </c>
      <c r="Y1855" t="s">
        <v>2932</v>
      </c>
      <c r="Z1855" t="s">
        <v>2580</v>
      </c>
      <c r="AA1855">
        <v>1.31</v>
      </c>
      <c r="AB1855">
        <v>6</v>
      </c>
      <c r="AC1855">
        <v>15</v>
      </c>
      <c r="AD1855">
        <v>4.93</v>
      </c>
      <c r="AE1855" t="s">
        <v>3198</v>
      </c>
      <c r="AF1855" t="s">
        <v>978</v>
      </c>
      <c r="AG1855" t="s">
        <v>2146</v>
      </c>
      <c r="AH1855" t="s">
        <v>1263</v>
      </c>
      <c r="AI1855">
        <v>-2.76</v>
      </c>
      <c r="AJ1855">
        <v>4.41</v>
      </c>
      <c r="AK1855">
        <v>8.83</v>
      </c>
      <c r="AL1855">
        <v>15.8</v>
      </c>
    </row>
    <row r="1856" spans="1:38" x14ac:dyDescent="0.25">
      <c r="A1856">
        <v>1855</v>
      </c>
      <c r="B1856" t="str">
        <f xml:space="preserve"> "300623"</f>
        <v>300623</v>
      </c>
      <c r="C1856" t="s">
        <v>6449</v>
      </c>
      <c r="D1856">
        <v>73.760000000000005</v>
      </c>
      <c r="E1856">
        <v>0.6</v>
      </c>
      <c r="F1856">
        <v>0.44</v>
      </c>
      <c r="G1856" t="s">
        <v>530</v>
      </c>
      <c r="H1856">
        <v>97</v>
      </c>
      <c r="I1856">
        <v>73.75</v>
      </c>
      <c r="J1856">
        <v>73.760000000000005</v>
      </c>
      <c r="K1856">
        <v>0.01</v>
      </c>
      <c r="L1856">
        <v>6.29</v>
      </c>
      <c r="M1856" t="s">
        <v>679</v>
      </c>
      <c r="N1856">
        <v>47.5</v>
      </c>
      <c r="O1856" t="s">
        <v>380</v>
      </c>
      <c r="P1856">
        <v>74.56</v>
      </c>
      <c r="Q1856">
        <v>72.62</v>
      </c>
      <c r="R1856">
        <v>73</v>
      </c>
      <c r="S1856">
        <v>73.319999999999993</v>
      </c>
      <c r="T1856">
        <v>2.65</v>
      </c>
      <c r="U1856">
        <v>0.64</v>
      </c>
      <c r="V1856">
        <v>-25.97</v>
      </c>
      <c r="W1856">
        <v>-70</v>
      </c>
      <c r="X1856">
        <v>73.77</v>
      </c>
      <c r="Y1856">
        <v>7909</v>
      </c>
      <c r="Z1856">
        <v>6942</v>
      </c>
      <c r="AA1856">
        <v>1.1399999999999999</v>
      </c>
      <c r="AB1856">
        <v>29</v>
      </c>
      <c r="AC1856">
        <v>76</v>
      </c>
      <c r="AD1856">
        <v>6.01</v>
      </c>
      <c r="AE1856" t="s">
        <v>6450</v>
      </c>
      <c r="AF1856" t="s">
        <v>978</v>
      </c>
      <c r="AG1856" t="s">
        <v>3222</v>
      </c>
      <c r="AH1856" t="s">
        <v>1540</v>
      </c>
      <c r="AI1856">
        <v>-9.1</v>
      </c>
      <c r="AJ1856">
        <v>-6.8</v>
      </c>
      <c r="AK1856">
        <v>29.83</v>
      </c>
      <c r="AL1856">
        <v>55.37</v>
      </c>
    </row>
    <row r="1857" spans="1:38" x14ac:dyDescent="0.25">
      <c r="A1857">
        <v>1856</v>
      </c>
      <c r="B1857" t="str">
        <f xml:space="preserve"> "300229"</f>
        <v>300229</v>
      </c>
      <c r="C1857" t="s">
        <v>6451</v>
      </c>
      <c r="D1857">
        <v>14.65</v>
      </c>
      <c r="E1857">
        <v>-0.54</v>
      </c>
      <c r="F1857">
        <v>-0.08</v>
      </c>
      <c r="G1857" t="s">
        <v>1070</v>
      </c>
      <c r="H1857">
        <v>423</v>
      </c>
      <c r="I1857">
        <v>14.64</v>
      </c>
      <c r="J1857">
        <v>14.65</v>
      </c>
      <c r="K1857">
        <v>0.21</v>
      </c>
      <c r="L1857">
        <v>0.92</v>
      </c>
      <c r="M1857" t="s">
        <v>6452</v>
      </c>
      <c r="N1857">
        <v>205.32</v>
      </c>
      <c r="O1857" t="s">
        <v>893</v>
      </c>
      <c r="P1857">
        <v>14.73</v>
      </c>
      <c r="Q1857">
        <v>14.4</v>
      </c>
      <c r="R1857">
        <v>14.7</v>
      </c>
      <c r="S1857">
        <v>14.73</v>
      </c>
      <c r="T1857">
        <v>2.2400000000000002</v>
      </c>
      <c r="U1857">
        <v>0.64</v>
      </c>
      <c r="V1857">
        <v>67.14</v>
      </c>
      <c r="W1857">
        <v>1765</v>
      </c>
      <c r="X1857">
        <v>14.55</v>
      </c>
      <c r="Y1857" t="s">
        <v>3272</v>
      </c>
      <c r="Z1857" t="s">
        <v>2558</v>
      </c>
      <c r="AA1857">
        <v>1.53</v>
      </c>
      <c r="AB1857">
        <v>1</v>
      </c>
      <c r="AC1857">
        <v>101</v>
      </c>
      <c r="AD1857">
        <v>4.18</v>
      </c>
      <c r="AE1857" t="s">
        <v>6453</v>
      </c>
      <c r="AF1857" t="s">
        <v>978</v>
      </c>
      <c r="AG1857" t="s">
        <v>6142</v>
      </c>
      <c r="AH1857" t="s">
        <v>2553</v>
      </c>
      <c r="AI1857">
        <v>-3.11</v>
      </c>
      <c r="AJ1857">
        <v>3.31</v>
      </c>
      <c r="AK1857">
        <v>3.26</v>
      </c>
      <c r="AL1857">
        <v>8.0500000000000007</v>
      </c>
    </row>
    <row r="1858" spans="1:38" x14ac:dyDescent="0.25">
      <c r="A1858">
        <v>1857</v>
      </c>
      <c r="B1858" t="str">
        <f xml:space="preserve"> "300342"</f>
        <v>300342</v>
      </c>
      <c r="C1858" t="s">
        <v>6454</v>
      </c>
      <c r="D1858">
        <v>15.97</v>
      </c>
      <c r="E1858">
        <v>-0.56000000000000005</v>
      </c>
      <c r="F1858">
        <v>-0.09</v>
      </c>
      <c r="G1858" t="s">
        <v>832</v>
      </c>
      <c r="H1858">
        <v>201</v>
      </c>
      <c r="I1858">
        <v>15.97</v>
      </c>
      <c r="J1858">
        <v>15.98</v>
      </c>
      <c r="K1858">
        <v>-0.06</v>
      </c>
      <c r="L1858">
        <v>1.17</v>
      </c>
      <c r="M1858" t="s">
        <v>2323</v>
      </c>
      <c r="N1858">
        <v>37.450000000000003</v>
      </c>
      <c r="O1858" t="s">
        <v>215</v>
      </c>
      <c r="P1858">
        <v>16.350000000000001</v>
      </c>
      <c r="Q1858">
        <v>15.8</v>
      </c>
      <c r="R1858">
        <v>16.16</v>
      </c>
      <c r="S1858">
        <v>16.059999999999999</v>
      </c>
      <c r="T1858">
        <v>3.42</v>
      </c>
      <c r="U1858">
        <v>0.83</v>
      </c>
      <c r="V1858">
        <v>23.69</v>
      </c>
      <c r="W1858">
        <v>627</v>
      </c>
      <c r="X1858">
        <v>16.03</v>
      </c>
      <c r="Y1858" t="s">
        <v>1827</v>
      </c>
      <c r="Z1858" t="s">
        <v>1113</v>
      </c>
      <c r="AA1858">
        <v>1.62</v>
      </c>
      <c r="AB1858">
        <v>977</v>
      </c>
      <c r="AC1858">
        <v>59</v>
      </c>
      <c r="AD1858">
        <v>5.35</v>
      </c>
      <c r="AE1858" t="s">
        <v>5565</v>
      </c>
      <c r="AF1858" t="s">
        <v>978</v>
      </c>
      <c r="AG1858" t="s">
        <v>3924</v>
      </c>
      <c r="AH1858" t="s">
        <v>4369</v>
      </c>
      <c r="AI1858">
        <v>0.82</v>
      </c>
      <c r="AJ1858">
        <v>5</v>
      </c>
      <c r="AK1858">
        <v>4.26</v>
      </c>
      <c r="AL1858">
        <v>8.24</v>
      </c>
    </row>
    <row r="1859" spans="1:38" x14ac:dyDescent="0.25">
      <c r="A1859">
        <v>1858</v>
      </c>
      <c r="B1859" t="str">
        <f xml:space="preserve"> "300174"</f>
        <v>300174</v>
      </c>
      <c r="C1859" t="s">
        <v>6455</v>
      </c>
      <c r="D1859">
        <v>28.17</v>
      </c>
      <c r="E1859">
        <v>0</v>
      </c>
      <c r="F1859">
        <v>0</v>
      </c>
      <c r="G1859">
        <v>2095</v>
      </c>
      <c r="H1859">
        <v>41</v>
      </c>
      <c r="I1859">
        <v>28.17</v>
      </c>
      <c r="J1859">
        <v>28.18</v>
      </c>
      <c r="K1859">
        <v>-0.04</v>
      </c>
      <c r="L1859">
        <v>0.1</v>
      </c>
      <c r="M1859" t="s">
        <v>6456</v>
      </c>
      <c r="N1859">
        <v>154.91999999999999</v>
      </c>
      <c r="O1859" t="s">
        <v>667</v>
      </c>
      <c r="P1859">
        <v>28.36</v>
      </c>
      <c r="Q1859">
        <v>28</v>
      </c>
      <c r="R1859">
        <v>28.26</v>
      </c>
      <c r="S1859">
        <v>28.17</v>
      </c>
      <c r="T1859">
        <v>1.28</v>
      </c>
      <c r="U1859">
        <v>0.57999999999999996</v>
      </c>
      <c r="V1859">
        <v>-9</v>
      </c>
      <c r="W1859">
        <v>-17</v>
      </c>
      <c r="X1859">
        <v>28.13</v>
      </c>
      <c r="Y1859">
        <v>1379</v>
      </c>
      <c r="Z1859">
        <v>716</v>
      </c>
      <c r="AA1859">
        <v>1.93</v>
      </c>
      <c r="AB1859">
        <v>31</v>
      </c>
      <c r="AC1859">
        <v>6</v>
      </c>
      <c r="AD1859">
        <v>12.37</v>
      </c>
      <c r="AE1859" t="s">
        <v>233</v>
      </c>
      <c r="AF1859" t="s">
        <v>978</v>
      </c>
      <c r="AG1859" t="s">
        <v>2151</v>
      </c>
      <c r="AH1859" t="s">
        <v>5493</v>
      </c>
      <c r="AI1859">
        <v>-1.43</v>
      </c>
      <c r="AJ1859">
        <v>-0.42</v>
      </c>
      <c r="AK1859">
        <v>0.41</v>
      </c>
      <c r="AL1859">
        <v>0.92</v>
      </c>
    </row>
    <row r="1860" spans="1:38" x14ac:dyDescent="0.25">
      <c r="A1860">
        <v>1859</v>
      </c>
      <c r="B1860" t="str">
        <f xml:space="preserve"> "300327"</f>
        <v>300327</v>
      </c>
      <c r="C1860" t="s">
        <v>6457</v>
      </c>
      <c r="D1860">
        <v>32.799999999999997</v>
      </c>
      <c r="E1860">
        <v>0.28000000000000003</v>
      </c>
      <c r="F1860">
        <v>0.09</v>
      </c>
      <c r="G1860" t="s">
        <v>5412</v>
      </c>
      <c r="H1860">
        <v>2420</v>
      </c>
      <c r="I1860">
        <v>32.799999999999997</v>
      </c>
      <c r="J1860">
        <v>32.81</v>
      </c>
      <c r="K1860">
        <v>0.15</v>
      </c>
      <c r="L1860">
        <v>2.4300000000000002</v>
      </c>
      <c r="M1860" t="s">
        <v>514</v>
      </c>
      <c r="N1860">
        <v>55.49</v>
      </c>
      <c r="O1860" t="s">
        <v>380</v>
      </c>
      <c r="P1860">
        <v>32.85</v>
      </c>
      <c r="Q1860">
        <v>31.86</v>
      </c>
      <c r="R1860">
        <v>32.75</v>
      </c>
      <c r="S1860">
        <v>32.71</v>
      </c>
      <c r="T1860">
        <v>3.03</v>
      </c>
      <c r="U1860">
        <v>0.8</v>
      </c>
      <c r="V1860">
        <v>62.32</v>
      </c>
      <c r="W1860">
        <v>979</v>
      </c>
      <c r="X1860">
        <v>32.32</v>
      </c>
      <c r="Y1860" t="s">
        <v>1796</v>
      </c>
      <c r="Z1860" t="s">
        <v>2932</v>
      </c>
      <c r="AA1860">
        <v>1.19</v>
      </c>
      <c r="AB1860">
        <v>225</v>
      </c>
      <c r="AC1860">
        <v>17</v>
      </c>
      <c r="AD1860">
        <v>10.73</v>
      </c>
      <c r="AE1860" t="s">
        <v>1538</v>
      </c>
      <c r="AF1860" t="s">
        <v>4353</v>
      </c>
      <c r="AG1860" t="s">
        <v>883</v>
      </c>
      <c r="AH1860" t="s">
        <v>1330</v>
      </c>
      <c r="AI1860">
        <v>-1.53</v>
      </c>
      <c r="AJ1860">
        <v>-1.35</v>
      </c>
      <c r="AK1860">
        <v>7.18</v>
      </c>
      <c r="AL1860">
        <v>17.61</v>
      </c>
    </row>
    <row r="1861" spans="1:38" x14ac:dyDescent="0.25">
      <c r="A1861">
        <v>1860</v>
      </c>
      <c r="B1861" t="str">
        <f xml:space="preserve"> "300147"</f>
        <v>300147</v>
      </c>
      <c r="C1861" t="s">
        <v>6458</v>
      </c>
      <c r="D1861">
        <v>10.4</v>
      </c>
      <c r="E1861">
        <v>0.48</v>
      </c>
      <c r="F1861">
        <v>0.05</v>
      </c>
      <c r="G1861" t="s">
        <v>2943</v>
      </c>
      <c r="H1861">
        <v>526</v>
      </c>
      <c r="I1861">
        <v>10.39</v>
      </c>
      <c r="J1861">
        <v>10.4</v>
      </c>
      <c r="K1861">
        <v>0.19</v>
      </c>
      <c r="L1861">
        <v>1.52</v>
      </c>
      <c r="M1861" t="s">
        <v>1907</v>
      </c>
      <c r="N1861">
        <v>70.8</v>
      </c>
      <c r="O1861" t="s">
        <v>392</v>
      </c>
      <c r="P1861">
        <v>10.55</v>
      </c>
      <c r="Q1861">
        <v>10.31</v>
      </c>
      <c r="R1861">
        <v>10.33</v>
      </c>
      <c r="S1861">
        <v>10.35</v>
      </c>
      <c r="T1861">
        <v>2.3199999999999998</v>
      </c>
      <c r="U1861">
        <v>1.33</v>
      </c>
      <c r="V1861">
        <v>39.75</v>
      </c>
      <c r="W1861">
        <v>1482</v>
      </c>
      <c r="X1861">
        <v>10.44</v>
      </c>
      <c r="Y1861" t="s">
        <v>2443</v>
      </c>
      <c r="Z1861" t="s">
        <v>5757</v>
      </c>
      <c r="AA1861">
        <v>0.79</v>
      </c>
      <c r="AB1861">
        <v>483</v>
      </c>
      <c r="AC1861">
        <v>267</v>
      </c>
      <c r="AD1861">
        <v>2</v>
      </c>
      <c r="AE1861" t="s">
        <v>168</v>
      </c>
      <c r="AF1861" t="s">
        <v>3059</v>
      </c>
      <c r="AG1861" t="s">
        <v>3899</v>
      </c>
      <c r="AH1861" t="s">
        <v>3509</v>
      </c>
      <c r="AI1861">
        <v>-0.1</v>
      </c>
      <c r="AJ1861">
        <v>4.9400000000000004</v>
      </c>
      <c r="AK1861">
        <v>4.03</v>
      </c>
      <c r="AL1861">
        <v>7.25</v>
      </c>
    </row>
    <row r="1862" spans="1:38" x14ac:dyDescent="0.25">
      <c r="A1862">
        <v>1861</v>
      </c>
      <c r="B1862" t="str">
        <f xml:space="preserve"> "002111"</f>
        <v>002111</v>
      </c>
      <c r="C1862" t="s">
        <v>6459</v>
      </c>
      <c r="D1862">
        <v>18.010000000000002</v>
      </c>
      <c r="E1862">
        <v>-0.39</v>
      </c>
      <c r="F1862">
        <v>-7.0000000000000007E-2</v>
      </c>
      <c r="G1862" t="s">
        <v>4118</v>
      </c>
      <c r="H1862">
        <v>123</v>
      </c>
      <c r="I1862">
        <v>18.010000000000002</v>
      </c>
      <c r="J1862">
        <v>18.03</v>
      </c>
      <c r="K1862">
        <v>0.06</v>
      </c>
      <c r="L1862">
        <v>0.72</v>
      </c>
      <c r="M1862" t="s">
        <v>6460</v>
      </c>
      <c r="N1862">
        <v>31.67</v>
      </c>
      <c r="O1862" t="s">
        <v>648</v>
      </c>
      <c r="P1862">
        <v>18.13</v>
      </c>
      <c r="Q1862">
        <v>17.88</v>
      </c>
      <c r="R1862">
        <v>17.989999999999998</v>
      </c>
      <c r="S1862">
        <v>18.079999999999998</v>
      </c>
      <c r="T1862">
        <v>1.38</v>
      </c>
      <c r="U1862">
        <v>0.76</v>
      </c>
      <c r="V1862">
        <v>-18.489999999999998</v>
      </c>
      <c r="W1862">
        <v>-249</v>
      </c>
      <c r="X1862">
        <v>17.98</v>
      </c>
      <c r="Y1862" t="s">
        <v>1095</v>
      </c>
      <c r="Z1862">
        <v>7901</v>
      </c>
      <c r="AA1862">
        <v>1.58</v>
      </c>
      <c r="AB1862">
        <v>51</v>
      </c>
      <c r="AC1862">
        <v>233</v>
      </c>
      <c r="AD1862">
        <v>2.54</v>
      </c>
      <c r="AE1862" t="s">
        <v>6069</v>
      </c>
      <c r="AF1862" t="s">
        <v>3059</v>
      </c>
      <c r="AG1862" t="s">
        <v>6216</v>
      </c>
      <c r="AH1862" t="s">
        <v>2392</v>
      </c>
      <c r="AI1862">
        <v>0.78</v>
      </c>
      <c r="AJ1862">
        <v>3.68</v>
      </c>
      <c r="AK1862">
        <v>3.2</v>
      </c>
      <c r="AL1862">
        <v>5.39</v>
      </c>
    </row>
    <row r="1863" spans="1:38" x14ac:dyDescent="0.25">
      <c r="A1863">
        <v>1862</v>
      </c>
      <c r="B1863" t="str">
        <f xml:space="preserve"> "002164"</f>
        <v>002164</v>
      </c>
      <c r="C1863" t="s">
        <v>6461</v>
      </c>
      <c r="D1863">
        <v>9.83</v>
      </c>
      <c r="E1863">
        <v>0.72</v>
      </c>
      <c r="F1863">
        <v>7.0000000000000007E-2</v>
      </c>
      <c r="G1863" t="s">
        <v>2022</v>
      </c>
      <c r="H1863">
        <v>179</v>
      </c>
      <c r="I1863">
        <v>9.82</v>
      </c>
      <c r="J1863">
        <v>9.83</v>
      </c>
      <c r="K1863">
        <v>-0.1</v>
      </c>
      <c r="L1863">
        <v>0.63</v>
      </c>
      <c r="M1863" t="s">
        <v>6462</v>
      </c>
      <c r="N1863">
        <v>227.99</v>
      </c>
      <c r="O1863" t="s">
        <v>648</v>
      </c>
      <c r="P1863">
        <v>9.86</v>
      </c>
      <c r="Q1863">
        <v>9.6999999999999993</v>
      </c>
      <c r="R1863">
        <v>9.75</v>
      </c>
      <c r="S1863">
        <v>9.76</v>
      </c>
      <c r="T1863">
        <v>1.64</v>
      </c>
      <c r="U1863">
        <v>0.85</v>
      </c>
      <c r="V1863">
        <v>-77.959999999999994</v>
      </c>
      <c r="W1863">
        <v>-2984</v>
      </c>
      <c r="X1863">
        <v>9.7899999999999991</v>
      </c>
      <c r="Y1863" t="s">
        <v>124</v>
      </c>
      <c r="Z1863" t="s">
        <v>5621</v>
      </c>
      <c r="AA1863">
        <v>0.92</v>
      </c>
      <c r="AB1863">
        <v>3</v>
      </c>
      <c r="AC1863">
        <v>414</v>
      </c>
      <c r="AD1863">
        <v>2.1</v>
      </c>
      <c r="AE1863" t="s">
        <v>1632</v>
      </c>
      <c r="AF1863" t="s">
        <v>3509</v>
      </c>
      <c r="AG1863" t="s">
        <v>3080</v>
      </c>
      <c r="AH1863" t="s">
        <v>3422</v>
      </c>
      <c r="AI1863">
        <v>-0.2</v>
      </c>
      <c r="AJ1863">
        <v>0</v>
      </c>
      <c r="AK1863">
        <v>1.97</v>
      </c>
      <c r="AL1863">
        <v>4.38</v>
      </c>
    </row>
    <row r="1864" spans="1:38" x14ac:dyDescent="0.25">
      <c r="A1864">
        <v>1863</v>
      </c>
      <c r="B1864" t="str">
        <f xml:space="preserve"> "002639"</f>
        <v>002639</v>
      </c>
      <c r="C1864" t="s">
        <v>6463</v>
      </c>
      <c r="D1864">
        <v>10.19</v>
      </c>
      <c r="E1864">
        <v>-3.87</v>
      </c>
      <c r="F1864">
        <v>-0.41</v>
      </c>
      <c r="G1864" t="s">
        <v>1942</v>
      </c>
      <c r="H1864">
        <v>3728</v>
      </c>
      <c r="I1864">
        <v>10.19</v>
      </c>
      <c r="J1864">
        <v>10.199999999999999</v>
      </c>
      <c r="K1864">
        <v>0</v>
      </c>
      <c r="L1864">
        <v>5.27</v>
      </c>
      <c r="M1864" t="s">
        <v>4080</v>
      </c>
      <c r="N1864">
        <v>318.07</v>
      </c>
      <c r="O1864" t="s">
        <v>648</v>
      </c>
      <c r="P1864">
        <v>10.53</v>
      </c>
      <c r="Q1864">
        <v>10.08</v>
      </c>
      <c r="R1864">
        <v>10.5</v>
      </c>
      <c r="S1864">
        <v>10.6</v>
      </c>
      <c r="T1864">
        <v>4.25</v>
      </c>
      <c r="U1864">
        <v>1.1100000000000001</v>
      </c>
      <c r="V1864">
        <v>36.159999999999997</v>
      </c>
      <c r="W1864">
        <v>2687</v>
      </c>
      <c r="X1864">
        <v>10.23</v>
      </c>
      <c r="Y1864" t="s">
        <v>378</v>
      </c>
      <c r="Z1864" t="s">
        <v>748</v>
      </c>
      <c r="AA1864">
        <v>1.88</v>
      </c>
      <c r="AB1864">
        <v>1082</v>
      </c>
      <c r="AC1864">
        <v>978</v>
      </c>
      <c r="AD1864">
        <v>3.03</v>
      </c>
      <c r="AE1864" t="s">
        <v>4961</v>
      </c>
      <c r="AF1864" t="s">
        <v>3509</v>
      </c>
      <c r="AG1864" t="s">
        <v>963</v>
      </c>
      <c r="AH1864" t="s">
        <v>5998</v>
      </c>
      <c r="AI1864">
        <v>-3.87</v>
      </c>
      <c r="AJ1864">
        <v>-1.92</v>
      </c>
      <c r="AK1864">
        <v>14.12</v>
      </c>
      <c r="AL1864">
        <v>29.11</v>
      </c>
    </row>
    <row r="1865" spans="1:38" x14ac:dyDescent="0.25">
      <c r="A1865">
        <v>1864</v>
      </c>
      <c r="B1865" t="str">
        <f xml:space="preserve"> "002882"</f>
        <v>002882</v>
      </c>
      <c r="C1865" t="s">
        <v>6464</v>
      </c>
      <c r="D1865">
        <v>16.16</v>
      </c>
      <c r="E1865">
        <v>2.21</v>
      </c>
      <c r="F1865">
        <v>0.35</v>
      </c>
      <c r="G1865" t="s">
        <v>3050</v>
      </c>
      <c r="H1865">
        <v>748</v>
      </c>
      <c r="I1865">
        <v>16.149999999999999</v>
      </c>
      <c r="J1865">
        <v>16.16</v>
      </c>
      <c r="K1865">
        <v>0.06</v>
      </c>
      <c r="L1865">
        <v>6.95</v>
      </c>
      <c r="M1865" t="s">
        <v>6465</v>
      </c>
      <c r="N1865">
        <v>47.69</v>
      </c>
      <c r="O1865" t="s">
        <v>680</v>
      </c>
      <c r="P1865">
        <v>16.3</v>
      </c>
      <c r="Q1865">
        <v>15.75</v>
      </c>
      <c r="R1865">
        <v>15.9</v>
      </c>
      <c r="S1865">
        <v>15.81</v>
      </c>
      <c r="T1865">
        <v>3.48</v>
      </c>
      <c r="U1865">
        <v>1.03</v>
      </c>
      <c r="V1865">
        <v>-53.49</v>
      </c>
      <c r="W1865">
        <v>-1879</v>
      </c>
      <c r="X1865">
        <v>16.100000000000001</v>
      </c>
      <c r="Y1865" t="s">
        <v>432</v>
      </c>
      <c r="Z1865" t="s">
        <v>1843</v>
      </c>
      <c r="AA1865">
        <v>0.64</v>
      </c>
      <c r="AB1865">
        <v>317</v>
      </c>
      <c r="AC1865">
        <v>637</v>
      </c>
      <c r="AD1865">
        <v>3.98</v>
      </c>
      <c r="AE1865" t="s">
        <v>5453</v>
      </c>
      <c r="AF1865" t="s">
        <v>3509</v>
      </c>
      <c r="AG1865" t="s">
        <v>5802</v>
      </c>
      <c r="AH1865" t="s">
        <v>2683</v>
      </c>
      <c r="AI1865">
        <v>-0.62</v>
      </c>
      <c r="AJ1865">
        <v>4.1900000000000004</v>
      </c>
      <c r="AK1865">
        <v>20.23</v>
      </c>
      <c r="AL1865">
        <v>40.659999999999997</v>
      </c>
    </row>
    <row r="1866" spans="1:38" x14ac:dyDescent="0.25">
      <c r="A1866">
        <v>1865</v>
      </c>
      <c r="B1866" t="str">
        <f xml:space="preserve"> "000420"</f>
        <v>000420</v>
      </c>
      <c r="C1866" t="s">
        <v>6466</v>
      </c>
      <c r="D1866">
        <v>3.48</v>
      </c>
      <c r="E1866">
        <v>0.28999999999999998</v>
      </c>
      <c r="F1866">
        <v>0.01</v>
      </c>
      <c r="G1866" t="s">
        <v>1444</v>
      </c>
      <c r="H1866">
        <v>435</v>
      </c>
      <c r="I1866">
        <v>3.48</v>
      </c>
      <c r="J1866">
        <v>3.49</v>
      </c>
      <c r="K1866">
        <v>0</v>
      </c>
      <c r="L1866">
        <v>0.56000000000000005</v>
      </c>
      <c r="M1866" t="s">
        <v>6467</v>
      </c>
      <c r="N1866">
        <v>59.89</v>
      </c>
      <c r="O1866" t="s">
        <v>1798</v>
      </c>
      <c r="P1866">
        <v>3.49</v>
      </c>
      <c r="Q1866">
        <v>3.45</v>
      </c>
      <c r="R1866">
        <v>3.47</v>
      </c>
      <c r="S1866">
        <v>3.47</v>
      </c>
      <c r="T1866">
        <v>1.1499999999999999</v>
      </c>
      <c r="U1866">
        <v>0.59</v>
      </c>
      <c r="V1866">
        <v>-15.92</v>
      </c>
      <c r="W1866">
        <v>-4873</v>
      </c>
      <c r="X1866">
        <v>3.48</v>
      </c>
      <c r="Y1866" t="s">
        <v>2115</v>
      </c>
      <c r="Z1866" t="s">
        <v>1704</v>
      </c>
      <c r="AA1866">
        <v>1.1000000000000001</v>
      </c>
      <c r="AB1866">
        <v>3042</v>
      </c>
      <c r="AC1866">
        <v>4360</v>
      </c>
      <c r="AD1866">
        <v>2.4900000000000002</v>
      </c>
      <c r="AE1866" t="s">
        <v>1216</v>
      </c>
      <c r="AF1866" t="s">
        <v>4504</v>
      </c>
      <c r="AG1866" t="s">
        <v>3344</v>
      </c>
      <c r="AH1866" t="s">
        <v>585</v>
      </c>
      <c r="AI1866">
        <v>-0.85</v>
      </c>
      <c r="AJ1866">
        <v>-0.85</v>
      </c>
      <c r="AK1866">
        <v>2.2000000000000002</v>
      </c>
      <c r="AL1866">
        <v>5.29</v>
      </c>
    </row>
    <row r="1867" spans="1:38" x14ac:dyDescent="0.25">
      <c r="A1867">
        <v>1866</v>
      </c>
      <c r="B1867" t="str">
        <f xml:space="preserve"> "600133"</f>
        <v>600133</v>
      </c>
      <c r="C1867" t="s">
        <v>6468</v>
      </c>
      <c r="D1867">
        <v>10.81</v>
      </c>
      <c r="E1867">
        <v>2.08</v>
      </c>
      <c r="F1867">
        <v>0.22</v>
      </c>
      <c r="G1867" t="s">
        <v>689</v>
      </c>
      <c r="H1867">
        <v>121</v>
      </c>
      <c r="I1867">
        <v>10.81</v>
      </c>
      <c r="J1867">
        <v>10.82</v>
      </c>
      <c r="K1867">
        <v>0</v>
      </c>
      <c r="L1867">
        <v>2.64</v>
      </c>
      <c r="M1867" t="s">
        <v>2231</v>
      </c>
      <c r="N1867">
        <v>4.8</v>
      </c>
      <c r="O1867" t="s">
        <v>263</v>
      </c>
      <c r="P1867">
        <v>10.85</v>
      </c>
      <c r="Q1867">
        <v>10.52</v>
      </c>
      <c r="R1867">
        <v>10.61</v>
      </c>
      <c r="S1867">
        <v>10.59</v>
      </c>
      <c r="T1867">
        <v>3.12</v>
      </c>
      <c r="U1867">
        <v>1.26</v>
      </c>
      <c r="V1867">
        <v>-25.36</v>
      </c>
      <c r="W1867">
        <v>-2126</v>
      </c>
      <c r="X1867">
        <v>10.7</v>
      </c>
      <c r="Y1867" t="s">
        <v>3666</v>
      </c>
      <c r="Z1867" t="s">
        <v>830</v>
      </c>
      <c r="AA1867">
        <v>0.65</v>
      </c>
      <c r="AB1867">
        <v>304</v>
      </c>
      <c r="AC1867">
        <v>1285</v>
      </c>
      <c r="AD1867">
        <v>2.67</v>
      </c>
      <c r="AE1867" t="s">
        <v>5769</v>
      </c>
      <c r="AF1867" t="s">
        <v>4504</v>
      </c>
      <c r="AG1867" t="s">
        <v>2024</v>
      </c>
      <c r="AH1867" t="s">
        <v>6469</v>
      </c>
      <c r="AI1867">
        <v>0.56000000000000005</v>
      </c>
      <c r="AJ1867">
        <v>4.95</v>
      </c>
      <c r="AK1867">
        <v>6.25</v>
      </c>
      <c r="AL1867">
        <v>13.13</v>
      </c>
    </row>
    <row r="1868" spans="1:38" x14ac:dyDescent="0.25">
      <c r="A1868">
        <v>1867</v>
      </c>
      <c r="B1868" t="str">
        <f xml:space="preserve"> "002423"</f>
        <v>002423</v>
      </c>
      <c r="C1868" t="s">
        <v>6470</v>
      </c>
      <c r="D1868">
        <v>13.61</v>
      </c>
      <c r="E1868">
        <v>-2.72</v>
      </c>
      <c r="F1868">
        <v>-0.38</v>
      </c>
      <c r="G1868" t="s">
        <v>3707</v>
      </c>
      <c r="H1868">
        <v>1922</v>
      </c>
      <c r="I1868">
        <v>13.6</v>
      </c>
      <c r="J1868">
        <v>13.61</v>
      </c>
      <c r="K1868">
        <v>-7.0000000000000007E-2</v>
      </c>
      <c r="L1868">
        <v>1.0900000000000001</v>
      </c>
      <c r="M1868" t="s">
        <v>6471</v>
      </c>
      <c r="N1868">
        <v>-34.92</v>
      </c>
      <c r="O1868" t="s">
        <v>416</v>
      </c>
      <c r="P1868">
        <v>13.83</v>
      </c>
      <c r="Q1868">
        <v>13.57</v>
      </c>
      <c r="R1868">
        <v>13.71</v>
      </c>
      <c r="S1868">
        <v>13.99</v>
      </c>
      <c r="T1868">
        <v>1.86</v>
      </c>
      <c r="U1868">
        <v>0.53</v>
      </c>
      <c r="V1868">
        <v>31.42</v>
      </c>
      <c r="W1868">
        <v>988</v>
      </c>
      <c r="X1868">
        <v>13.68</v>
      </c>
      <c r="Y1868" t="s">
        <v>1984</v>
      </c>
      <c r="Z1868" t="s">
        <v>1349</v>
      </c>
      <c r="AA1868">
        <v>1.95</v>
      </c>
      <c r="AB1868">
        <v>951</v>
      </c>
      <c r="AC1868">
        <v>466</v>
      </c>
      <c r="AD1868">
        <v>4.07</v>
      </c>
      <c r="AE1868" t="s">
        <v>1613</v>
      </c>
      <c r="AF1868" t="s">
        <v>3925</v>
      </c>
      <c r="AG1868" t="s">
        <v>195</v>
      </c>
      <c r="AH1868" t="s">
        <v>219</v>
      </c>
      <c r="AI1868">
        <v>-3.48</v>
      </c>
      <c r="AJ1868">
        <v>-4.1500000000000004</v>
      </c>
      <c r="AK1868">
        <v>4.45</v>
      </c>
      <c r="AL1868">
        <v>11.33</v>
      </c>
    </row>
    <row r="1869" spans="1:38" x14ac:dyDescent="0.25">
      <c r="A1869">
        <v>1868</v>
      </c>
      <c r="B1869" t="str">
        <f xml:space="preserve"> "300381"</f>
        <v>300381</v>
      </c>
      <c r="C1869" t="s">
        <v>6472</v>
      </c>
      <c r="D1869">
        <v>16.82</v>
      </c>
      <c r="E1869">
        <v>1.1399999999999999</v>
      </c>
      <c r="F1869">
        <v>0.19</v>
      </c>
      <c r="G1869" t="s">
        <v>2113</v>
      </c>
      <c r="H1869">
        <v>2104</v>
      </c>
      <c r="I1869">
        <v>16.82</v>
      </c>
      <c r="J1869">
        <v>16.829999999999998</v>
      </c>
      <c r="K1869">
        <v>0</v>
      </c>
      <c r="L1869">
        <v>1.98</v>
      </c>
      <c r="M1869" t="s">
        <v>1635</v>
      </c>
      <c r="N1869">
        <v>163.95</v>
      </c>
      <c r="O1869" t="s">
        <v>622</v>
      </c>
      <c r="P1869">
        <v>17</v>
      </c>
      <c r="Q1869">
        <v>16.309999999999999</v>
      </c>
      <c r="R1869">
        <v>16.510000000000002</v>
      </c>
      <c r="S1869">
        <v>16.63</v>
      </c>
      <c r="T1869">
        <v>4.1500000000000004</v>
      </c>
      <c r="U1869">
        <v>1.29</v>
      </c>
      <c r="V1869">
        <v>11.37</v>
      </c>
      <c r="W1869">
        <v>318</v>
      </c>
      <c r="X1869">
        <v>16.73</v>
      </c>
      <c r="Y1869" t="s">
        <v>2273</v>
      </c>
      <c r="Z1869" t="s">
        <v>1973</v>
      </c>
      <c r="AA1869">
        <v>1.01</v>
      </c>
      <c r="AB1869">
        <v>981</v>
      </c>
      <c r="AC1869">
        <v>81</v>
      </c>
      <c r="AD1869">
        <v>3.61</v>
      </c>
      <c r="AE1869" t="s">
        <v>2164</v>
      </c>
      <c r="AF1869" t="s">
        <v>1002</v>
      </c>
      <c r="AG1869" t="s">
        <v>2264</v>
      </c>
      <c r="AH1869" t="s">
        <v>4563</v>
      </c>
      <c r="AI1869">
        <v>0.9</v>
      </c>
      <c r="AJ1869">
        <v>3.7</v>
      </c>
      <c r="AK1869">
        <v>4.88</v>
      </c>
      <c r="AL1869">
        <v>9.68</v>
      </c>
    </row>
    <row r="1870" spans="1:38" x14ac:dyDescent="0.25">
      <c r="A1870">
        <v>1869</v>
      </c>
      <c r="B1870" t="str">
        <f xml:space="preserve"> "300302"</f>
        <v>300302</v>
      </c>
      <c r="C1870" t="s">
        <v>6473</v>
      </c>
      <c r="D1870">
        <v>16.23</v>
      </c>
      <c r="E1870">
        <v>0.93</v>
      </c>
      <c r="F1870">
        <v>0.15</v>
      </c>
      <c r="G1870" t="s">
        <v>1895</v>
      </c>
      <c r="H1870">
        <v>3725</v>
      </c>
      <c r="I1870">
        <v>16.23</v>
      </c>
      <c r="J1870">
        <v>16.239999999999998</v>
      </c>
      <c r="K1870">
        <v>0.06</v>
      </c>
      <c r="L1870">
        <v>6.48</v>
      </c>
      <c r="M1870" t="s">
        <v>5050</v>
      </c>
      <c r="N1870">
        <v>287.08999999999997</v>
      </c>
      <c r="O1870" t="s">
        <v>893</v>
      </c>
      <c r="P1870">
        <v>16.45</v>
      </c>
      <c r="Q1870">
        <v>15.38</v>
      </c>
      <c r="R1870">
        <v>15.78</v>
      </c>
      <c r="S1870">
        <v>16.079999999999998</v>
      </c>
      <c r="T1870">
        <v>6.65</v>
      </c>
      <c r="U1870">
        <v>1.47</v>
      </c>
      <c r="V1870">
        <v>-30.15</v>
      </c>
      <c r="W1870">
        <v>-820</v>
      </c>
      <c r="X1870">
        <v>15.83</v>
      </c>
      <c r="Y1870" t="s">
        <v>4335</v>
      </c>
      <c r="Z1870" t="s">
        <v>2745</v>
      </c>
      <c r="AA1870">
        <v>1.08</v>
      </c>
      <c r="AB1870">
        <v>127</v>
      </c>
      <c r="AC1870">
        <v>244</v>
      </c>
      <c r="AD1870">
        <v>9.59</v>
      </c>
      <c r="AE1870" t="s">
        <v>1470</v>
      </c>
      <c r="AF1870" t="s">
        <v>1002</v>
      </c>
      <c r="AG1870" t="s">
        <v>4478</v>
      </c>
      <c r="AH1870" t="s">
        <v>567</v>
      </c>
      <c r="AI1870">
        <v>2.66</v>
      </c>
      <c r="AJ1870">
        <v>8.49</v>
      </c>
      <c r="AK1870">
        <v>18.32</v>
      </c>
      <c r="AL1870">
        <v>28.51</v>
      </c>
    </row>
    <row r="1871" spans="1:38" x14ac:dyDescent="0.25">
      <c r="A1871">
        <v>1870</v>
      </c>
      <c r="B1871" t="str">
        <f xml:space="preserve"> "002197"</f>
        <v>002197</v>
      </c>
      <c r="C1871" t="s">
        <v>6474</v>
      </c>
      <c r="D1871">
        <v>13.25</v>
      </c>
      <c r="E1871">
        <v>-1.1200000000000001</v>
      </c>
      <c r="F1871">
        <v>-0.15</v>
      </c>
      <c r="G1871" t="s">
        <v>2307</v>
      </c>
      <c r="H1871">
        <v>958</v>
      </c>
      <c r="I1871">
        <v>13.24</v>
      </c>
      <c r="J1871">
        <v>13.25</v>
      </c>
      <c r="K1871">
        <v>0</v>
      </c>
      <c r="L1871">
        <v>1.82</v>
      </c>
      <c r="M1871" t="s">
        <v>1718</v>
      </c>
      <c r="N1871">
        <v>367.24</v>
      </c>
      <c r="O1871" t="s">
        <v>553</v>
      </c>
      <c r="P1871">
        <v>13.38</v>
      </c>
      <c r="Q1871">
        <v>13.13</v>
      </c>
      <c r="R1871">
        <v>13.24</v>
      </c>
      <c r="S1871">
        <v>13.4</v>
      </c>
      <c r="T1871">
        <v>1.87</v>
      </c>
      <c r="U1871">
        <v>0.81</v>
      </c>
      <c r="V1871">
        <v>-8.32</v>
      </c>
      <c r="W1871">
        <v>-134</v>
      </c>
      <c r="X1871">
        <v>13.19</v>
      </c>
      <c r="Y1871" t="s">
        <v>4980</v>
      </c>
      <c r="Z1871" t="s">
        <v>1374</v>
      </c>
      <c r="AA1871">
        <v>2.0299999999999998</v>
      </c>
      <c r="AB1871">
        <v>20</v>
      </c>
      <c r="AC1871">
        <v>77</v>
      </c>
      <c r="AD1871">
        <v>2.5099999999999998</v>
      </c>
      <c r="AE1871" t="s">
        <v>5642</v>
      </c>
      <c r="AF1871" t="s">
        <v>4345</v>
      </c>
      <c r="AG1871" t="s">
        <v>5826</v>
      </c>
      <c r="AH1871" t="s">
        <v>5454</v>
      </c>
      <c r="AI1871">
        <v>-2.79</v>
      </c>
      <c r="AJ1871">
        <v>2.95</v>
      </c>
      <c r="AK1871">
        <v>6.86</v>
      </c>
      <c r="AL1871">
        <v>13.06</v>
      </c>
    </row>
    <row r="1872" spans="1:38" x14ac:dyDescent="0.25">
      <c r="A1872">
        <v>1871</v>
      </c>
      <c r="B1872" t="str">
        <f xml:space="preserve"> "000099"</f>
        <v>000099</v>
      </c>
      <c r="C1872" t="s">
        <v>6475</v>
      </c>
      <c r="D1872" t="s">
        <v>616</v>
      </c>
      <c r="E1872" t="s">
        <v>616</v>
      </c>
      <c r="F1872" t="s">
        <v>616</v>
      </c>
      <c r="G1872" t="s">
        <v>616</v>
      </c>
      <c r="H1872" t="s">
        <v>616</v>
      </c>
      <c r="I1872" t="s">
        <v>616</v>
      </c>
      <c r="J1872" t="s">
        <v>616</v>
      </c>
      <c r="K1872" t="s">
        <v>616</v>
      </c>
      <c r="L1872" t="s">
        <v>616</v>
      </c>
      <c r="M1872" t="s">
        <v>616</v>
      </c>
      <c r="N1872">
        <v>82.58</v>
      </c>
      <c r="O1872" t="s">
        <v>572</v>
      </c>
      <c r="P1872" t="s">
        <v>616</v>
      </c>
      <c r="Q1872" t="s">
        <v>616</v>
      </c>
      <c r="R1872" t="s">
        <v>616</v>
      </c>
      <c r="S1872">
        <v>11.26</v>
      </c>
      <c r="T1872" t="s">
        <v>616</v>
      </c>
      <c r="U1872" t="s">
        <v>616</v>
      </c>
      <c r="V1872" t="s">
        <v>616</v>
      </c>
      <c r="W1872" t="s">
        <v>616</v>
      </c>
      <c r="X1872" t="s">
        <v>616</v>
      </c>
      <c r="Y1872" t="s">
        <v>616</v>
      </c>
      <c r="Z1872" t="s">
        <v>616</v>
      </c>
      <c r="AA1872" t="s">
        <v>616</v>
      </c>
      <c r="AB1872" t="s">
        <v>616</v>
      </c>
      <c r="AC1872" t="s">
        <v>616</v>
      </c>
      <c r="AD1872">
        <v>2.37</v>
      </c>
      <c r="AE1872" t="s">
        <v>3710</v>
      </c>
      <c r="AF1872" t="s">
        <v>2361</v>
      </c>
      <c r="AG1872" t="s">
        <v>3710</v>
      </c>
      <c r="AH1872" t="s">
        <v>2361</v>
      </c>
      <c r="AI1872">
        <v>0</v>
      </c>
      <c r="AJ1872">
        <v>0</v>
      </c>
      <c r="AK1872">
        <v>0</v>
      </c>
      <c r="AL1872">
        <v>0</v>
      </c>
    </row>
    <row r="1873" spans="1:38" x14ac:dyDescent="0.25">
      <c r="A1873">
        <v>1872</v>
      </c>
      <c r="B1873" t="str">
        <f xml:space="preserve"> "002822"</f>
        <v>002822</v>
      </c>
      <c r="C1873" t="s">
        <v>6476</v>
      </c>
      <c r="D1873">
        <v>11.36</v>
      </c>
      <c r="E1873">
        <v>-0.61</v>
      </c>
      <c r="F1873">
        <v>-7.0000000000000007E-2</v>
      </c>
      <c r="G1873" t="s">
        <v>2120</v>
      </c>
      <c r="H1873">
        <v>1584</v>
      </c>
      <c r="I1873">
        <v>11.36</v>
      </c>
      <c r="J1873">
        <v>11.37</v>
      </c>
      <c r="K1873">
        <v>-0.09</v>
      </c>
      <c r="L1873">
        <v>3.22</v>
      </c>
      <c r="M1873" t="s">
        <v>6477</v>
      </c>
      <c r="N1873">
        <v>51.26</v>
      </c>
      <c r="O1873" t="s">
        <v>2309</v>
      </c>
      <c r="P1873">
        <v>11.48</v>
      </c>
      <c r="Q1873">
        <v>11.3</v>
      </c>
      <c r="R1873">
        <v>11.43</v>
      </c>
      <c r="S1873">
        <v>11.43</v>
      </c>
      <c r="T1873">
        <v>1.57</v>
      </c>
      <c r="U1873">
        <v>1.05</v>
      </c>
      <c r="V1873">
        <v>-10.17</v>
      </c>
      <c r="W1873">
        <v>-280</v>
      </c>
      <c r="X1873">
        <v>11.37</v>
      </c>
      <c r="Y1873" t="s">
        <v>1199</v>
      </c>
      <c r="Z1873" t="s">
        <v>3326</v>
      </c>
      <c r="AA1873">
        <v>1.58</v>
      </c>
      <c r="AB1873">
        <v>158</v>
      </c>
      <c r="AC1873">
        <v>351</v>
      </c>
      <c r="AD1873">
        <v>3.51</v>
      </c>
      <c r="AE1873" t="s">
        <v>477</v>
      </c>
      <c r="AF1873" t="s">
        <v>2361</v>
      </c>
      <c r="AG1873" t="s">
        <v>598</v>
      </c>
      <c r="AH1873" t="s">
        <v>909</v>
      </c>
      <c r="AI1873">
        <v>0.53</v>
      </c>
      <c r="AJ1873">
        <v>3.93</v>
      </c>
      <c r="AK1873">
        <v>11.02</v>
      </c>
      <c r="AL1873">
        <v>18.559999999999999</v>
      </c>
    </row>
    <row r="1874" spans="1:38" x14ac:dyDescent="0.25">
      <c r="A1874">
        <v>1873</v>
      </c>
      <c r="B1874" t="str">
        <f xml:space="preserve"> "300602"</f>
        <v>300602</v>
      </c>
      <c r="C1874" t="s">
        <v>6478</v>
      </c>
      <c r="D1874">
        <v>68.13</v>
      </c>
      <c r="E1874">
        <v>0.34</v>
      </c>
      <c r="F1874">
        <v>0.23</v>
      </c>
      <c r="G1874">
        <v>7514</v>
      </c>
      <c r="H1874">
        <v>191</v>
      </c>
      <c r="I1874">
        <v>68.13</v>
      </c>
      <c r="J1874">
        <v>68.150000000000006</v>
      </c>
      <c r="K1874">
        <v>0</v>
      </c>
      <c r="L1874">
        <v>3.01</v>
      </c>
      <c r="M1874" t="s">
        <v>6479</v>
      </c>
      <c r="N1874">
        <v>94.4</v>
      </c>
      <c r="O1874" t="s">
        <v>380</v>
      </c>
      <c r="P1874">
        <v>69</v>
      </c>
      <c r="Q1874">
        <v>66.81</v>
      </c>
      <c r="R1874">
        <v>67.97</v>
      </c>
      <c r="S1874">
        <v>67.900000000000006</v>
      </c>
      <c r="T1874">
        <v>3.23</v>
      </c>
      <c r="U1874">
        <v>1.23</v>
      </c>
      <c r="V1874">
        <v>68.13</v>
      </c>
      <c r="W1874">
        <v>90</v>
      </c>
      <c r="X1874">
        <v>68.08</v>
      </c>
      <c r="Y1874">
        <v>4521</v>
      </c>
      <c r="Z1874">
        <v>2993</v>
      </c>
      <c r="AA1874">
        <v>1.51</v>
      </c>
      <c r="AB1874">
        <v>35</v>
      </c>
      <c r="AC1874">
        <v>12</v>
      </c>
      <c r="AD1874">
        <v>7.57</v>
      </c>
      <c r="AE1874" t="s">
        <v>4464</v>
      </c>
      <c r="AF1874" t="s">
        <v>6480</v>
      </c>
      <c r="AG1874" t="s">
        <v>5931</v>
      </c>
      <c r="AH1874" t="s">
        <v>909</v>
      </c>
      <c r="AI1874">
        <v>7.29</v>
      </c>
      <c r="AJ1874">
        <v>8.8699999999999992</v>
      </c>
      <c r="AK1874">
        <v>10.14</v>
      </c>
      <c r="AL1874">
        <v>15.22</v>
      </c>
    </row>
    <row r="1875" spans="1:38" x14ac:dyDescent="0.25">
      <c r="A1875">
        <v>1874</v>
      </c>
      <c r="B1875" t="str">
        <f xml:space="preserve"> "300256"</f>
        <v>300256</v>
      </c>
      <c r="C1875" t="s">
        <v>6481</v>
      </c>
      <c r="D1875">
        <v>10.5</v>
      </c>
      <c r="E1875">
        <v>-1.5</v>
      </c>
      <c r="F1875">
        <v>-0.16</v>
      </c>
      <c r="G1875" t="s">
        <v>513</v>
      </c>
      <c r="H1875">
        <v>3454</v>
      </c>
      <c r="I1875">
        <v>10.5</v>
      </c>
      <c r="J1875">
        <v>10.51</v>
      </c>
      <c r="K1875">
        <v>-0.19</v>
      </c>
      <c r="L1875">
        <v>5.72</v>
      </c>
      <c r="M1875" t="s">
        <v>2845</v>
      </c>
      <c r="N1875">
        <v>111.79</v>
      </c>
      <c r="O1875" t="s">
        <v>2128</v>
      </c>
      <c r="P1875">
        <v>11</v>
      </c>
      <c r="Q1875">
        <v>10.45</v>
      </c>
      <c r="R1875">
        <v>10.86</v>
      </c>
      <c r="S1875">
        <v>10.66</v>
      </c>
      <c r="T1875">
        <v>5.16</v>
      </c>
      <c r="U1875">
        <v>1.43</v>
      </c>
      <c r="V1875">
        <v>26.06</v>
      </c>
      <c r="W1875">
        <v>1862</v>
      </c>
      <c r="X1875">
        <v>10.63</v>
      </c>
      <c r="Y1875" t="s">
        <v>1780</v>
      </c>
      <c r="Z1875" t="s">
        <v>384</v>
      </c>
      <c r="AA1875">
        <v>1.54</v>
      </c>
      <c r="AB1875">
        <v>1279</v>
      </c>
      <c r="AC1875">
        <v>10</v>
      </c>
      <c r="AD1875">
        <v>2.0099999999999998</v>
      </c>
      <c r="AE1875" t="s">
        <v>5303</v>
      </c>
      <c r="AF1875" t="s">
        <v>6480</v>
      </c>
      <c r="AG1875" t="s">
        <v>6482</v>
      </c>
      <c r="AH1875" t="s">
        <v>6162</v>
      </c>
      <c r="AI1875">
        <v>-1.32</v>
      </c>
      <c r="AJ1875">
        <v>5</v>
      </c>
      <c r="AK1875">
        <v>12.76</v>
      </c>
      <c r="AL1875">
        <v>25.65</v>
      </c>
    </row>
    <row r="1876" spans="1:38" x14ac:dyDescent="0.25">
      <c r="A1876">
        <v>1875</v>
      </c>
      <c r="B1876" t="str">
        <f xml:space="preserve"> "002741"</f>
        <v>002741</v>
      </c>
      <c r="C1876" t="s">
        <v>6483</v>
      </c>
      <c r="D1876">
        <v>18.16</v>
      </c>
      <c r="E1876">
        <v>2.89</v>
      </c>
      <c r="F1876">
        <v>0.51</v>
      </c>
      <c r="G1876" t="s">
        <v>1878</v>
      </c>
      <c r="H1876">
        <v>1836</v>
      </c>
      <c r="I1876">
        <v>18.149999999999999</v>
      </c>
      <c r="J1876">
        <v>18.16</v>
      </c>
      <c r="K1876">
        <v>0</v>
      </c>
      <c r="L1876">
        <v>2.4500000000000002</v>
      </c>
      <c r="M1876" t="s">
        <v>6484</v>
      </c>
      <c r="N1876">
        <v>71.540000000000006</v>
      </c>
      <c r="O1876" t="s">
        <v>667</v>
      </c>
      <c r="P1876">
        <v>18.18</v>
      </c>
      <c r="Q1876">
        <v>17.399999999999999</v>
      </c>
      <c r="R1876">
        <v>17.649999999999999</v>
      </c>
      <c r="S1876">
        <v>17.649999999999999</v>
      </c>
      <c r="T1876">
        <v>4.42</v>
      </c>
      <c r="U1876">
        <v>1.6</v>
      </c>
      <c r="V1876">
        <v>-93.94</v>
      </c>
      <c r="W1876">
        <v>-4776</v>
      </c>
      <c r="X1876">
        <v>17.96</v>
      </c>
      <c r="Y1876" t="s">
        <v>1869</v>
      </c>
      <c r="Z1876" t="s">
        <v>1704</v>
      </c>
      <c r="AA1876">
        <v>0.43</v>
      </c>
      <c r="AB1876">
        <v>5</v>
      </c>
      <c r="AC1876">
        <v>486</v>
      </c>
      <c r="AD1876">
        <v>8.27</v>
      </c>
      <c r="AE1876" t="s">
        <v>4339</v>
      </c>
      <c r="AF1876" t="s">
        <v>2418</v>
      </c>
      <c r="AG1876" t="s">
        <v>621</v>
      </c>
      <c r="AH1876" t="s">
        <v>1479</v>
      </c>
      <c r="AI1876">
        <v>3.65</v>
      </c>
      <c r="AJ1876">
        <v>6.57</v>
      </c>
      <c r="AK1876">
        <v>6.38</v>
      </c>
      <c r="AL1876">
        <v>10.130000000000001</v>
      </c>
    </row>
    <row r="1877" spans="1:38" x14ac:dyDescent="0.25">
      <c r="A1877">
        <v>1876</v>
      </c>
      <c r="B1877" t="str">
        <f xml:space="preserve"> "000693"</f>
        <v>000693</v>
      </c>
      <c r="C1877" t="s">
        <v>6485</v>
      </c>
      <c r="D1877" t="s">
        <v>616</v>
      </c>
      <c r="E1877" t="s">
        <v>616</v>
      </c>
      <c r="F1877" t="s">
        <v>616</v>
      </c>
      <c r="G1877" t="s">
        <v>616</v>
      </c>
      <c r="H1877" t="s">
        <v>616</v>
      </c>
      <c r="I1877" t="s">
        <v>616</v>
      </c>
      <c r="J1877" t="s">
        <v>616</v>
      </c>
      <c r="K1877" t="s">
        <v>616</v>
      </c>
      <c r="L1877" t="s">
        <v>616</v>
      </c>
      <c r="M1877" t="s">
        <v>616</v>
      </c>
      <c r="N1877">
        <v>-45.37</v>
      </c>
      <c r="O1877" t="s">
        <v>449</v>
      </c>
      <c r="P1877" t="s">
        <v>616</v>
      </c>
      <c r="Q1877" t="s">
        <v>616</v>
      </c>
      <c r="R1877" t="s">
        <v>616</v>
      </c>
      <c r="S1877">
        <v>12.5</v>
      </c>
      <c r="T1877" t="s">
        <v>616</v>
      </c>
      <c r="U1877" t="s">
        <v>616</v>
      </c>
      <c r="V1877" t="s">
        <v>616</v>
      </c>
      <c r="W1877" t="s">
        <v>616</v>
      </c>
      <c r="X1877" t="s">
        <v>616</v>
      </c>
      <c r="Y1877" t="s">
        <v>616</v>
      </c>
      <c r="Z1877" t="s">
        <v>616</v>
      </c>
      <c r="AA1877" t="s">
        <v>616</v>
      </c>
      <c r="AB1877" t="s">
        <v>616</v>
      </c>
      <c r="AC1877" t="s">
        <v>616</v>
      </c>
      <c r="AD1877">
        <v>8.74</v>
      </c>
      <c r="AE1877" t="s">
        <v>5788</v>
      </c>
      <c r="AF1877" t="s">
        <v>1330</v>
      </c>
      <c r="AG1877" t="s">
        <v>1948</v>
      </c>
      <c r="AH1877" t="s">
        <v>6486</v>
      </c>
      <c r="AI1877">
        <v>0</v>
      </c>
      <c r="AJ1877">
        <v>0</v>
      </c>
      <c r="AK1877">
        <v>0</v>
      </c>
      <c r="AL1877">
        <v>0</v>
      </c>
    </row>
    <row r="1878" spans="1:38" x14ac:dyDescent="0.25">
      <c r="A1878">
        <v>1877</v>
      </c>
      <c r="B1878" t="str">
        <f xml:space="preserve"> "002386"</f>
        <v>002386</v>
      </c>
      <c r="C1878" t="s">
        <v>6487</v>
      </c>
      <c r="D1878">
        <v>10.11</v>
      </c>
      <c r="E1878">
        <v>0.6</v>
      </c>
      <c r="F1878">
        <v>0.06</v>
      </c>
      <c r="G1878" t="s">
        <v>2055</v>
      </c>
      <c r="H1878">
        <v>3864</v>
      </c>
      <c r="I1878">
        <v>10.11</v>
      </c>
      <c r="J1878">
        <v>10.119999999999999</v>
      </c>
      <c r="K1878">
        <v>0.2</v>
      </c>
      <c r="L1878">
        <v>2.54</v>
      </c>
      <c r="M1878" t="s">
        <v>1531</v>
      </c>
      <c r="N1878">
        <v>129.56</v>
      </c>
      <c r="O1878" t="s">
        <v>667</v>
      </c>
      <c r="P1878">
        <v>10.18</v>
      </c>
      <c r="Q1878">
        <v>9.99</v>
      </c>
      <c r="R1878">
        <v>10.119999999999999</v>
      </c>
      <c r="S1878">
        <v>10.050000000000001</v>
      </c>
      <c r="T1878">
        <v>1.89</v>
      </c>
      <c r="U1878">
        <v>0.79</v>
      </c>
      <c r="V1878">
        <v>-9.7100000000000009</v>
      </c>
      <c r="W1878">
        <v>-500</v>
      </c>
      <c r="X1878">
        <v>10.07</v>
      </c>
      <c r="Y1878" t="s">
        <v>610</v>
      </c>
      <c r="Z1878" t="s">
        <v>5434</v>
      </c>
      <c r="AA1878">
        <v>0.88</v>
      </c>
      <c r="AB1878">
        <v>546</v>
      </c>
      <c r="AC1878">
        <v>690</v>
      </c>
      <c r="AD1878">
        <v>1.67</v>
      </c>
      <c r="AE1878" t="s">
        <v>1490</v>
      </c>
      <c r="AF1878" t="s">
        <v>1330</v>
      </c>
      <c r="AG1878" t="s">
        <v>1490</v>
      </c>
      <c r="AH1878" t="s">
        <v>1330</v>
      </c>
      <c r="AI1878">
        <v>-6.99</v>
      </c>
      <c r="AJ1878">
        <v>-8.09</v>
      </c>
      <c r="AK1878">
        <v>11.47</v>
      </c>
      <c r="AL1878">
        <v>18.55</v>
      </c>
    </row>
    <row r="1879" spans="1:38" x14ac:dyDescent="0.25">
      <c r="A1879">
        <v>1878</v>
      </c>
      <c r="B1879" t="str">
        <f xml:space="preserve"> "300351"</f>
        <v>300351</v>
      </c>
      <c r="C1879" t="s">
        <v>6488</v>
      </c>
      <c r="D1879">
        <v>17.649999999999999</v>
      </c>
      <c r="E1879">
        <v>1.03</v>
      </c>
      <c r="F1879">
        <v>0.18</v>
      </c>
      <c r="G1879" t="s">
        <v>2950</v>
      </c>
      <c r="H1879">
        <v>632</v>
      </c>
      <c r="I1879">
        <v>17.64</v>
      </c>
      <c r="J1879">
        <v>17.649999999999999</v>
      </c>
      <c r="K1879">
        <v>0</v>
      </c>
      <c r="L1879">
        <v>1.21</v>
      </c>
      <c r="M1879" t="s">
        <v>6489</v>
      </c>
      <c r="N1879">
        <v>50.03</v>
      </c>
      <c r="O1879" t="s">
        <v>253</v>
      </c>
      <c r="P1879">
        <v>17.66</v>
      </c>
      <c r="Q1879">
        <v>17.45</v>
      </c>
      <c r="R1879">
        <v>17.510000000000002</v>
      </c>
      <c r="S1879">
        <v>17.47</v>
      </c>
      <c r="T1879">
        <v>1.2</v>
      </c>
      <c r="U1879">
        <v>0.93</v>
      </c>
      <c r="V1879">
        <v>-25.53</v>
      </c>
      <c r="W1879">
        <v>-451</v>
      </c>
      <c r="X1879">
        <v>17.57</v>
      </c>
      <c r="Y1879" t="s">
        <v>433</v>
      </c>
      <c r="Z1879" t="s">
        <v>1821</v>
      </c>
      <c r="AA1879">
        <v>1.1299999999999999</v>
      </c>
      <c r="AB1879">
        <v>203</v>
      </c>
      <c r="AC1879">
        <v>454</v>
      </c>
      <c r="AD1879">
        <v>2.5099999999999998</v>
      </c>
      <c r="AE1879" t="s">
        <v>5104</v>
      </c>
      <c r="AF1879" t="s">
        <v>1330</v>
      </c>
      <c r="AG1879" t="s">
        <v>1197</v>
      </c>
      <c r="AH1879" t="s">
        <v>6490</v>
      </c>
      <c r="AI1879">
        <v>-0.9</v>
      </c>
      <c r="AJ1879">
        <v>1.44</v>
      </c>
      <c r="AK1879">
        <v>4.41</v>
      </c>
      <c r="AL1879">
        <v>7.74</v>
      </c>
    </row>
    <row r="1880" spans="1:38" x14ac:dyDescent="0.25">
      <c r="A1880">
        <v>1879</v>
      </c>
      <c r="B1880" t="str">
        <f xml:space="preserve"> "603788"</f>
        <v>603788</v>
      </c>
      <c r="C1880" t="s">
        <v>6491</v>
      </c>
      <c r="D1880">
        <v>41.27</v>
      </c>
      <c r="E1880">
        <v>1.1000000000000001</v>
      </c>
      <c r="F1880">
        <v>0.45</v>
      </c>
      <c r="G1880" t="s">
        <v>5621</v>
      </c>
      <c r="H1880">
        <v>3</v>
      </c>
      <c r="I1880">
        <v>41.27</v>
      </c>
      <c r="J1880">
        <v>41.28</v>
      </c>
      <c r="K1880">
        <v>7.0000000000000007E-2</v>
      </c>
      <c r="L1880">
        <v>2.78</v>
      </c>
      <c r="M1880" t="s">
        <v>6492</v>
      </c>
      <c r="N1880">
        <v>28.73</v>
      </c>
      <c r="O1880" t="s">
        <v>169</v>
      </c>
      <c r="P1880">
        <v>41.57</v>
      </c>
      <c r="Q1880">
        <v>40.520000000000003</v>
      </c>
      <c r="R1880">
        <v>40.880000000000003</v>
      </c>
      <c r="S1880">
        <v>40.82</v>
      </c>
      <c r="T1880">
        <v>2.57</v>
      </c>
      <c r="U1880">
        <v>1.71</v>
      </c>
      <c r="V1880">
        <v>-36.380000000000003</v>
      </c>
      <c r="W1880">
        <v>-80</v>
      </c>
      <c r="X1880">
        <v>40.96</v>
      </c>
      <c r="Y1880">
        <v>7381</v>
      </c>
      <c r="Z1880">
        <v>6236</v>
      </c>
      <c r="AA1880">
        <v>1.18</v>
      </c>
      <c r="AB1880">
        <v>16</v>
      </c>
      <c r="AC1880">
        <v>20</v>
      </c>
      <c r="AD1880">
        <v>2.63</v>
      </c>
      <c r="AE1880" t="s">
        <v>608</v>
      </c>
      <c r="AF1880" t="s">
        <v>1596</v>
      </c>
      <c r="AG1880" t="s">
        <v>6493</v>
      </c>
      <c r="AH1880" t="s">
        <v>809</v>
      </c>
      <c r="AI1880">
        <v>0.36</v>
      </c>
      <c r="AJ1880">
        <v>2.13</v>
      </c>
      <c r="AK1880">
        <v>6.14</v>
      </c>
      <c r="AL1880">
        <v>10.91</v>
      </c>
    </row>
    <row r="1881" spans="1:38" x14ac:dyDescent="0.25">
      <c r="A1881">
        <v>1880</v>
      </c>
      <c r="B1881" t="str">
        <f xml:space="preserve"> "300005"</f>
        <v>300005</v>
      </c>
      <c r="C1881" t="s">
        <v>6494</v>
      </c>
      <c r="D1881">
        <v>7.61</v>
      </c>
      <c r="E1881">
        <v>0.93</v>
      </c>
      <c r="F1881">
        <v>7.0000000000000007E-2</v>
      </c>
      <c r="G1881" t="s">
        <v>2303</v>
      </c>
      <c r="H1881">
        <v>1324</v>
      </c>
      <c r="I1881">
        <v>7.6</v>
      </c>
      <c r="J1881">
        <v>7.61</v>
      </c>
      <c r="K1881">
        <v>0</v>
      </c>
      <c r="L1881">
        <v>1.39</v>
      </c>
      <c r="M1881" t="s">
        <v>6495</v>
      </c>
      <c r="N1881">
        <v>42.92</v>
      </c>
      <c r="O1881" t="s">
        <v>1443</v>
      </c>
      <c r="P1881">
        <v>7.62</v>
      </c>
      <c r="Q1881">
        <v>7.48</v>
      </c>
      <c r="R1881">
        <v>7.53</v>
      </c>
      <c r="S1881">
        <v>7.54</v>
      </c>
      <c r="T1881">
        <v>1.86</v>
      </c>
      <c r="U1881">
        <v>1</v>
      </c>
      <c r="V1881">
        <v>31.82</v>
      </c>
      <c r="W1881">
        <v>7128</v>
      </c>
      <c r="X1881">
        <v>7.56</v>
      </c>
      <c r="Y1881" t="s">
        <v>1181</v>
      </c>
      <c r="Z1881" t="s">
        <v>1593</v>
      </c>
      <c r="AA1881">
        <v>0.64</v>
      </c>
      <c r="AB1881">
        <v>516</v>
      </c>
      <c r="AC1881">
        <v>2725</v>
      </c>
      <c r="AD1881">
        <v>2.4900000000000002</v>
      </c>
      <c r="AE1881" t="s">
        <v>3593</v>
      </c>
      <c r="AF1881" t="s">
        <v>1596</v>
      </c>
      <c r="AG1881" t="s">
        <v>5575</v>
      </c>
      <c r="AH1881" t="s">
        <v>526</v>
      </c>
      <c r="AI1881">
        <v>-0.13</v>
      </c>
      <c r="AJ1881">
        <v>2.56</v>
      </c>
      <c r="AK1881">
        <v>3.95</v>
      </c>
      <c r="AL1881">
        <v>8.33</v>
      </c>
    </row>
    <row r="1882" spans="1:38" x14ac:dyDescent="0.25">
      <c r="A1882">
        <v>1881</v>
      </c>
      <c r="B1882" t="str">
        <f xml:space="preserve"> "600529"</f>
        <v>600529</v>
      </c>
      <c r="C1882" t="s">
        <v>6496</v>
      </c>
      <c r="D1882">
        <v>22.34</v>
      </c>
      <c r="E1882">
        <v>-1.06</v>
      </c>
      <c r="F1882">
        <v>-0.24</v>
      </c>
      <c r="G1882" t="s">
        <v>1950</v>
      </c>
      <c r="H1882">
        <v>10</v>
      </c>
      <c r="I1882">
        <v>22.3</v>
      </c>
      <c r="J1882">
        <v>22.41</v>
      </c>
      <c r="K1882">
        <v>0.22</v>
      </c>
      <c r="L1882">
        <v>0.66</v>
      </c>
      <c r="M1882" t="s">
        <v>5688</v>
      </c>
      <c r="N1882">
        <v>25.66</v>
      </c>
      <c r="O1882" t="s">
        <v>1058</v>
      </c>
      <c r="P1882">
        <v>22.71</v>
      </c>
      <c r="Q1882">
        <v>22.17</v>
      </c>
      <c r="R1882">
        <v>22.58</v>
      </c>
      <c r="S1882">
        <v>22.58</v>
      </c>
      <c r="T1882">
        <v>2.39</v>
      </c>
      <c r="U1882">
        <v>0.56999999999999995</v>
      </c>
      <c r="V1882">
        <v>-16.48</v>
      </c>
      <c r="W1882">
        <v>-28</v>
      </c>
      <c r="X1882">
        <v>22.41</v>
      </c>
      <c r="Y1882">
        <v>8963</v>
      </c>
      <c r="Z1882">
        <v>8133</v>
      </c>
      <c r="AA1882">
        <v>1.1000000000000001</v>
      </c>
      <c r="AB1882">
        <v>5</v>
      </c>
      <c r="AC1882">
        <v>2</v>
      </c>
      <c r="AD1882">
        <v>2.2200000000000002</v>
      </c>
      <c r="AE1882" t="s">
        <v>1696</v>
      </c>
      <c r="AF1882" t="s">
        <v>1596</v>
      </c>
      <c r="AG1882" t="s">
        <v>925</v>
      </c>
      <c r="AH1882" t="s">
        <v>5956</v>
      </c>
      <c r="AI1882">
        <v>-0.31</v>
      </c>
      <c r="AJ1882">
        <v>4.6399999999999997</v>
      </c>
      <c r="AK1882">
        <v>3.29</v>
      </c>
      <c r="AL1882">
        <v>6.52</v>
      </c>
    </row>
    <row r="1883" spans="1:38" x14ac:dyDescent="0.25">
      <c r="A1883">
        <v>1882</v>
      </c>
      <c r="B1883" t="str">
        <f xml:space="preserve"> "300190"</f>
        <v>300190</v>
      </c>
      <c r="C1883" t="s">
        <v>6497</v>
      </c>
      <c r="D1883">
        <v>14.99</v>
      </c>
      <c r="E1883">
        <v>6.09</v>
      </c>
      <c r="F1883">
        <v>0.86</v>
      </c>
      <c r="G1883" t="s">
        <v>1771</v>
      </c>
      <c r="H1883">
        <v>1884</v>
      </c>
      <c r="I1883">
        <v>14.99</v>
      </c>
      <c r="J1883">
        <v>15</v>
      </c>
      <c r="K1883">
        <v>-7.0000000000000007E-2</v>
      </c>
      <c r="L1883">
        <v>3.43</v>
      </c>
      <c r="M1883" t="s">
        <v>1485</v>
      </c>
      <c r="N1883">
        <v>48.33</v>
      </c>
      <c r="O1883" t="s">
        <v>1155</v>
      </c>
      <c r="P1883">
        <v>15.39</v>
      </c>
      <c r="Q1883">
        <v>14.09</v>
      </c>
      <c r="R1883">
        <v>14.14</v>
      </c>
      <c r="S1883">
        <v>14.13</v>
      </c>
      <c r="T1883">
        <v>9.1999999999999993</v>
      </c>
      <c r="U1883">
        <v>5.36</v>
      </c>
      <c r="V1883">
        <v>-25.62</v>
      </c>
      <c r="W1883">
        <v>-604</v>
      </c>
      <c r="X1883">
        <v>14.71</v>
      </c>
      <c r="Y1883" t="s">
        <v>3707</v>
      </c>
      <c r="Z1883" t="s">
        <v>2832</v>
      </c>
      <c r="AA1883">
        <v>0.6</v>
      </c>
      <c r="AB1883">
        <v>469</v>
      </c>
      <c r="AC1883">
        <v>405</v>
      </c>
      <c r="AD1883">
        <v>1.92</v>
      </c>
      <c r="AE1883" t="s">
        <v>3242</v>
      </c>
      <c r="AF1883" t="s">
        <v>1596</v>
      </c>
      <c r="AG1883" t="s">
        <v>3924</v>
      </c>
      <c r="AH1883" t="s">
        <v>5878</v>
      </c>
      <c r="AI1883">
        <v>5.49</v>
      </c>
      <c r="AJ1883">
        <v>8</v>
      </c>
      <c r="AK1883">
        <v>4.93</v>
      </c>
      <c r="AL1883">
        <v>6.63</v>
      </c>
    </row>
    <row r="1884" spans="1:38" x14ac:dyDescent="0.25">
      <c r="A1884">
        <v>1883</v>
      </c>
      <c r="B1884" t="str">
        <f xml:space="preserve"> "300034"</f>
        <v>300034</v>
      </c>
      <c r="C1884" t="s">
        <v>6498</v>
      </c>
      <c r="D1884" t="s">
        <v>616</v>
      </c>
      <c r="E1884" t="s">
        <v>616</v>
      </c>
      <c r="F1884" t="s">
        <v>616</v>
      </c>
      <c r="G1884" t="s">
        <v>616</v>
      </c>
      <c r="H1884" t="s">
        <v>616</v>
      </c>
      <c r="I1884" t="s">
        <v>616</v>
      </c>
      <c r="J1884" t="s">
        <v>616</v>
      </c>
      <c r="K1884" t="s">
        <v>616</v>
      </c>
      <c r="L1884" t="s">
        <v>616</v>
      </c>
      <c r="M1884" t="s">
        <v>616</v>
      </c>
      <c r="N1884">
        <v>87.97</v>
      </c>
      <c r="O1884" t="s">
        <v>859</v>
      </c>
      <c r="P1884" t="s">
        <v>616</v>
      </c>
      <c r="Q1884" t="s">
        <v>616</v>
      </c>
      <c r="R1884" t="s">
        <v>616</v>
      </c>
      <c r="S1884">
        <v>16.05</v>
      </c>
      <c r="T1884" t="s">
        <v>616</v>
      </c>
      <c r="U1884" t="s">
        <v>616</v>
      </c>
      <c r="V1884" t="s">
        <v>616</v>
      </c>
      <c r="W1884" t="s">
        <v>616</v>
      </c>
      <c r="X1884" t="s">
        <v>616</v>
      </c>
      <c r="Y1884" t="s">
        <v>616</v>
      </c>
      <c r="Z1884" t="s">
        <v>616</v>
      </c>
      <c r="AA1884" t="s">
        <v>616</v>
      </c>
      <c r="AB1884" t="s">
        <v>616</v>
      </c>
      <c r="AC1884" t="s">
        <v>616</v>
      </c>
      <c r="AD1884">
        <v>5.0999999999999996</v>
      </c>
      <c r="AE1884" t="s">
        <v>5070</v>
      </c>
      <c r="AF1884" t="s">
        <v>3334</v>
      </c>
      <c r="AG1884" t="s">
        <v>1470</v>
      </c>
      <c r="AH1884" t="s">
        <v>6499</v>
      </c>
      <c r="AI1884">
        <v>0</v>
      </c>
      <c r="AJ1884">
        <v>0</v>
      </c>
      <c r="AK1884">
        <v>0</v>
      </c>
      <c r="AL1884">
        <v>0</v>
      </c>
    </row>
    <row r="1885" spans="1:38" x14ac:dyDescent="0.25">
      <c r="A1885">
        <v>1884</v>
      </c>
      <c r="B1885" t="str">
        <f xml:space="preserve"> "002083"</f>
        <v>002083</v>
      </c>
      <c r="C1885" t="s">
        <v>6500</v>
      </c>
      <c r="D1885">
        <v>7.45</v>
      </c>
      <c r="E1885">
        <v>0.4</v>
      </c>
      <c r="F1885">
        <v>0.03</v>
      </c>
      <c r="G1885" t="s">
        <v>1986</v>
      </c>
      <c r="H1885">
        <v>176</v>
      </c>
      <c r="I1885">
        <v>7.44</v>
      </c>
      <c r="J1885">
        <v>7.45</v>
      </c>
      <c r="K1885">
        <v>0</v>
      </c>
      <c r="L1885">
        <v>0.23</v>
      </c>
      <c r="M1885" t="s">
        <v>5101</v>
      </c>
      <c r="N1885">
        <v>13.88</v>
      </c>
      <c r="O1885" t="s">
        <v>1443</v>
      </c>
      <c r="P1885">
        <v>7.46</v>
      </c>
      <c r="Q1885">
        <v>7.4</v>
      </c>
      <c r="R1885">
        <v>7.43</v>
      </c>
      <c r="S1885">
        <v>7.42</v>
      </c>
      <c r="T1885">
        <v>0.81</v>
      </c>
      <c r="U1885">
        <v>0.49</v>
      </c>
      <c r="V1885">
        <v>-50.84</v>
      </c>
      <c r="W1885">
        <v>-4919</v>
      </c>
      <c r="X1885">
        <v>7.43</v>
      </c>
      <c r="Y1885">
        <v>9436</v>
      </c>
      <c r="Z1885" t="s">
        <v>1785</v>
      </c>
      <c r="AA1885">
        <v>0.88</v>
      </c>
      <c r="AB1885">
        <v>176</v>
      </c>
      <c r="AC1885">
        <v>1748</v>
      </c>
      <c r="AD1885">
        <v>2.08</v>
      </c>
      <c r="AE1885" t="s">
        <v>6501</v>
      </c>
      <c r="AF1885" t="s">
        <v>6499</v>
      </c>
      <c r="AG1885" t="s">
        <v>3416</v>
      </c>
      <c r="AH1885" t="s">
        <v>4595</v>
      </c>
      <c r="AI1885">
        <v>0</v>
      </c>
      <c r="AJ1885">
        <v>3.33</v>
      </c>
      <c r="AK1885">
        <v>1.06</v>
      </c>
      <c r="AL1885">
        <v>2.59</v>
      </c>
    </row>
    <row r="1886" spans="1:38" x14ac:dyDescent="0.25">
      <c r="A1886">
        <v>1885</v>
      </c>
      <c r="B1886" t="str">
        <f xml:space="preserve"> "002669"</f>
        <v>002669</v>
      </c>
      <c r="C1886" t="s">
        <v>6502</v>
      </c>
      <c r="D1886" t="s">
        <v>616</v>
      </c>
      <c r="E1886" t="s">
        <v>616</v>
      </c>
      <c r="F1886" t="s">
        <v>616</v>
      </c>
      <c r="G1886" t="s">
        <v>616</v>
      </c>
      <c r="H1886" t="s">
        <v>616</v>
      </c>
      <c r="I1886" t="s">
        <v>616</v>
      </c>
      <c r="J1886" t="s">
        <v>616</v>
      </c>
      <c r="K1886" t="s">
        <v>616</v>
      </c>
      <c r="L1886" t="s">
        <v>616</v>
      </c>
      <c r="M1886" t="s">
        <v>616</v>
      </c>
      <c r="N1886">
        <v>88.73</v>
      </c>
      <c r="O1886" t="s">
        <v>859</v>
      </c>
      <c r="P1886" t="s">
        <v>616</v>
      </c>
      <c r="Q1886" t="s">
        <v>616</v>
      </c>
      <c r="R1886" t="s">
        <v>616</v>
      </c>
      <c r="S1886">
        <v>29.28</v>
      </c>
      <c r="T1886" t="s">
        <v>616</v>
      </c>
      <c r="U1886" t="s">
        <v>616</v>
      </c>
      <c r="V1886" t="s">
        <v>616</v>
      </c>
      <c r="W1886" t="s">
        <v>616</v>
      </c>
      <c r="X1886" t="s">
        <v>616</v>
      </c>
      <c r="Y1886" t="s">
        <v>616</v>
      </c>
      <c r="Z1886" t="s">
        <v>616</v>
      </c>
      <c r="AA1886" t="s">
        <v>616</v>
      </c>
      <c r="AB1886" t="s">
        <v>616</v>
      </c>
      <c r="AC1886" t="s">
        <v>616</v>
      </c>
      <c r="AD1886">
        <v>4.1399999999999997</v>
      </c>
      <c r="AE1886" t="s">
        <v>281</v>
      </c>
      <c r="AF1886" t="s">
        <v>6499</v>
      </c>
      <c r="AG1886" t="s">
        <v>2267</v>
      </c>
      <c r="AH1886" t="s">
        <v>5370</v>
      </c>
      <c r="AI1886">
        <v>0</v>
      </c>
      <c r="AJ1886">
        <v>0</v>
      </c>
      <c r="AK1886">
        <v>0</v>
      </c>
      <c r="AL1886">
        <v>0</v>
      </c>
    </row>
    <row r="1887" spans="1:38" x14ac:dyDescent="0.25">
      <c r="A1887">
        <v>1886</v>
      </c>
      <c r="B1887" t="str">
        <f xml:space="preserve"> "002132"</f>
        <v>002132</v>
      </c>
      <c r="C1887" t="s">
        <v>6503</v>
      </c>
      <c r="D1887">
        <v>5.37</v>
      </c>
      <c r="E1887">
        <v>0.19</v>
      </c>
      <c r="F1887">
        <v>0.01</v>
      </c>
      <c r="G1887" t="s">
        <v>1661</v>
      </c>
      <c r="H1887">
        <v>417</v>
      </c>
      <c r="I1887">
        <v>5.37</v>
      </c>
      <c r="J1887">
        <v>5.38</v>
      </c>
      <c r="K1887">
        <v>0.19</v>
      </c>
      <c r="L1887">
        <v>0.38</v>
      </c>
      <c r="M1887" t="s">
        <v>6504</v>
      </c>
      <c r="N1887">
        <v>44.67</v>
      </c>
      <c r="O1887" t="s">
        <v>1229</v>
      </c>
      <c r="P1887">
        <v>5.4</v>
      </c>
      <c r="Q1887">
        <v>5.28</v>
      </c>
      <c r="R1887">
        <v>5.37</v>
      </c>
      <c r="S1887">
        <v>5.36</v>
      </c>
      <c r="T1887">
        <v>2.2400000000000002</v>
      </c>
      <c r="U1887">
        <v>0.68</v>
      </c>
      <c r="V1887">
        <v>-8.1</v>
      </c>
      <c r="W1887">
        <v>-404</v>
      </c>
      <c r="X1887">
        <v>5.33</v>
      </c>
      <c r="Y1887" t="s">
        <v>3181</v>
      </c>
      <c r="Z1887" t="s">
        <v>713</v>
      </c>
      <c r="AA1887">
        <v>1.3</v>
      </c>
      <c r="AB1887">
        <v>764</v>
      </c>
      <c r="AC1887">
        <v>1027</v>
      </c>
      <c r="AD1887">
        <v>2.4500000000000002</v>
      </c>
      <c r="AE1887" t="s">
        <v>126</v>
      </c>
      <c r="AF1887" t="s">
        <v>2411</v>
      </c>
      <c r="AG1887" t="s">
        <v>707</v>
      </c>
      <c r="AH1887" t="s">
        <v>6037</v>
      </c>
      <c r="AI1887">
        <v>-0.37</v>
      </c>
      <c r="AJ1887">
        <v>-0.92</v>
      </c>
      <c r="AK1887">
        <v>1.61</v>
      </c>
      <c r="AL1887">
        <v>3.2</v>
      </c>
    </row>
    <row r="1888" spans="1:38" x14ac:dyDescent="0.25">
      <c r="A1888">
        <v>1887</v>
      </c>
      <c r="B1888" t="str">
        <f xml:space="preserve"> "600626"</f>
        <v>600626</v>
      </c>
      <c r="C1888" t="s">
        <v>6505</v>
      </c>
      <c r="D1888">
        <v>9.5</v>
      </c>
      <c r="E1888">
        <v>-0.52</v>
      </c>
      <c r="F1888">
        <v>-0.05</v>
      </c>
      <c r="G1888" t="s">
        <v>3039</v>
      </c>
      <c r="H1888">
        <v>44</v>
      </c>
      <c r="I1888">
        <v>9.49</v>
      </c>
      <c r="J1888">
        <v>9.5</v>
      </c>
      <c r="K1888">
        <v>0.11</v>
      </c>
      <c r="L1888">
        <v>0.46</v>
      </c>
      <c r="M1888" t="s">
        <v>6506</v>
      </c>
      <c r="N1888">
        <v>55.23</v>
      </c>
      <c r="O1888" t="s">
        <v>2001</v>
      </c>
      <c r="P1888">
        <v>9.56</v>
      </c>
      <c r="Q1888">
        <v>9.4499999999999993</v>
      </c>
      <c r="R1888">
        <v>9.52</v>
      </c>
      <c r="S1888">
        <v>9.5500000000000007</v>
      </c>
      <c r="T1888">
        <v>1.1499999999999999</v>
      </c>
      <c r="U1888">
        <v>0.89</v>
      </c>
      <c r="V1888">
        <v>16.84</v>
      </c>
      <c r="W1888">
        <v>806</v>
      </c>
      <c r="X1888">
        <v>9.49</v>
      </c>
      <c r="Y1888" t="s">
        <v>3181</v>
      </c>
      <c r="Z1888" t="s">
        <v>1411</v>
      </c>
      <c r="AA1888">
        <v>2</v>
      </c>
      <c r="AB1888">
        <v>9</v>
      </c>
      <c r="AC1888">
        <v>367</v>
      </c>
      <c r="AD1888">
        <v>2.74</v>
      </c>
      <c r="AE1888" t="s">
        <v>6054</v>
      </c>
      <c r="AF1888" t="s">
        <v>2411</v>
      </c>
      <c r="AG1888" t="s">
        <v>6054</v>
      </c>
      <c r="AH1888" t="s">
        <v>2411</v>
      </c>
      <c r="AI1888">
        <v>-0.94</v>
      </c>
      <c r="AJ1888">
        <v>1.39</v>
      </c>
      <c r="AK1888">
        <v>1.47</v>
      </c>
      <c r="AL1888">
        <v>3.06</v>
      </c>
    </row>
    <row r="1889" spans="1:38" x14ac:dyDescent="0.25">
      <c r="A1889">
        <v>1888</v>
      </c>
      <c r="B1889" t="str">
        <f xml:space="preserve"> "300242"</f>
        <v>300242</v>
      </c>
      <c r="C1889" t="s">
        <v>6507</v>
      </c>
      <c r="D1889">
        <v>10.58</v>
      </c>
      <c r="E1889">
        <v>-0.09</v>
      </c>
      <c r="F1889">
        <v>-0.01</v>
      </c>
      <c r="G1889" t="s">
        <v>318</v>
      </c>
      <c r="H1889">
        <v>1598</v>
      </c>
      <c r="I1889">
        <v>10.57</v>
      </c>
      <c r="J1889">
        <v>10.58</v>
      </c>
      <c r="K1889">
        <v>0</v>
      </c>
      <c r="L1889">
        <v>1.27</v>
      </c>
      <c r="M1889" t="s">
        <v>6508</v>
      </c>
      <c r="N1889">
        <v>31.93</v>
      </c>
      <c r="O1889" t="s">
        <v>893</v>
      </c>
      <c r="P1889">
        <v>10.71</v>
      </c>
      <c r="Q1889">
        <v>10.45</v>
      </c>
      <c r="R1889">
        <v>10.53</v>
      </c>
      <c r="S1889">
        <v>10.59</v>
      </c>
      <c r="T1889">
        <v>2.46</v>
      </c>
      <c r="U1889">
        <v>0.56999999999999995</v>
      </c>
      <c r="V1889">
        <v>-38.65</v>
      </c>
      <c r="W1889">
        <v>-1290</v>
      </c>
      <c r="X1889">
        <v>10.55</v>
      </c>
      <c r="Y1889" t="s">
        <v>1661</v>
      </c>
      <c r="Z1889" t="s">
        <v>275</v>
      </c>
      <c r="AA1889">
        <v>1.59</v>
      </c>
      <c r="AB1889">
        <v>93</v>
      </c>
      <c r="AC1889">
        <v>164</v>
      </c>
      <c r="AD1889">
        <v>3.06</v>
      </c>
      <c r="AE1889" t="s">
        <v>4210</v>
      </c>
      <c r="AF1889" t="s">
        <v>2237</v>
      </c>
      <c r="AG1889" t="s">
        <v>1600</v>
      </c>
      <c r="AH1889" t="s">
        <v>1848</v>
      </c>
      <c r="AI1889">
        <v>0.47</v>
      </c>
      <c r="AJ1889">
        <v>-1.1200000000000001</v>
      </c>
      <c r="AK1889">
        <v>6.42</v>
      </c>
      <c r="AL1889">
        <v>12.4</v>
      </c>
    </row>
    <row r="1890" spans="1:38" x14ac:dyDescent="0.25">
      <c r="A1890">
        <v>1889</v>
      </c>
      <c r="B1890" t="str">
        <f xml:space="preserve"> "002362"</f>
        <v>002362</v>
      </c>
      <c r="C1890" t="s">
        <v>6509</v>
      </c>
      <c r="D1890">
        <v>30.99</v>
      </c>
      <c r="E1890">
        <v>0.26</v>
      </c>
      <c r="F1890">
        <v>0.08</v>
      </c>
      <c r="G1890" t="s">
        <v>3471</v>
      </c>
      <c r="H1890">
        <v>2149</v>
      </c>
      <c r="I1890">
        <v>30.99</v>
      </c>
      <c r="J1890">
        <v>31</v>
      </c>
      <c r="K1890">
        <v>-0.19</v>
      </c>
      <c r="L1890">
        <v>4.68</v>
      </c>
      <c r="M1890" t="s">
        <v>3561</v>
      </c>
      <c r="N1890">
        <v>166.93</v>
      </c>
      <c r="O1890" t="s">
        <v>893</v>
      </c>
      <c r="P1890">
        <v>31.38</v>
      </c>
      <c r="Q1890">
        <v>30.6</v>
      </c>
      <c r="R1890">
        <v>30.9</v>
      </c>
      <c r="S1890">
        <v>30.91</v>
      </c>
      <c r="T1890">
        <v>2.52</v>
      </c>
      <c r="U1890">
        <v>0.51</v>
      </c>
      <c r="V1890">
        <v>1.22</v>
      </c>
      <c r="W1890">
        <v>14</v>
      </c>
      <c r="X1890">
        <v>31.02</v>
      </c>
      <c r="Y1890" t="s">
        <v>5073</v>
      </c>
      <c r="Z1890" t="s">
        <v>833</v>
      </c>
      <c r="AA1890">
        <v>1.05</v>
      </c>
      <c r="AB1890">
        <v>251</v>
      </c>
      <c r="AC1890">
        <v>40</v>
      </c>
      <c r="AD1890">
        <v>8.11</v>
      </c>
      <c r="AE1890" t="s">
        <v>3184</v>
      </c>
      <c r="AF1890" t="s">
        <v>2237</v>
      </c>
      <c r="AG1890" t="s">
        <v>3336</v>
      </c>
      <c r="AH1890" t="s">
        <v>3801</v>
      </c>
      <c r="AI1890">
        <v>-4.8499999999999996</v>
      </c>
      <c r="AJ1890">
        <v>-0.67</v>
      </c>
      <c r="AK1890">
        <v>21.18</v>
      </c>
      <c r="AL1890">
        <v>50.82</v>
      </c>
    </row>
    <row r="1891" spans="1:38" x14ac:dyDescent="0.25">
      <c r="A1891">
        <v>1890</v>
      </c>
      <c r="B1891" t="str">
        <f xml:space="preserve"> "300683"</f>
        <v>300683</v>
      </c>
      <c r="C1891" t="s">
        <v>6510</v>
      </c>
      <c r="D1891">
        <v>65.08</v>
      </c>
      <c r="E1891">
        <v>3.37</v>
      </c>
      <c r="F1891">
        <v>2.12</v>
      </c>
      <c r="G1891" t="s">
        <v>1532</v>
      </c>
      <c r="H1891">
        <v>289</v>
      </c>
      <c r="I1891">
        <v>65.08</v>
      </c>
      <c r="J1891">
        <v>65.09</v>
      </c>
      <c r="K1891">
        <v>0.02</v>
      </c>
      <c r="L1891">
        <v>12.89</v>
      </c>
      <c r="M1891" t="s">
        <v>1914</v>
      </c>
      <c r="N1891">
        <v>48.36</v>
      </c>
      <c r="O1891" t="s">
        <v>392</v>
      </c>
      <c r="P1891">
        <v>65.58</v>
      </c>
      <c r="Q1891">
        <v>63.01</v>
      </c>
      <c r="R1891">
        <v>63.1</v>
      </c>
      <c r="S1891">
        <v>62.96</v>
      </c>
      <c r="T1891">
        <v>4.08</v>
      </c>
      <c r="U1891">
        <v>1.92</v>
      </c>
      <c r="V1891">
        <v>17.7</v>
      </c>
      <c r="W1891">
        <v>40</v>
      </c>
      <c r="X1891">
        <v>64.760000000000005</v>
      </c>
      <c r="Y1891" t="s">
        <v>2370</v>
      </c>
      <c r="Z1891" t="s">
        <v>3696</v>
      </c>
      <c r="AA1891">
        <v>0.62</v>
      </c>
      <c r="AB1891">
        <v>35</v>
      </c>
      <c r="AC1891">
        <v>45</v>
      </c>
      <c r="AD1891">
        <v>4.3</v>
      </c>
      <c r="AE1891" t="s">
        <v>2611</v>
      </c>
      <c r="AF1891" t="s">
        <v>2237</v>
      </c>
      <c r="AG1891" t="s">
        <v>6300</v>
      </c>
      <c r="AH1891" t="s">
        <v>3026</v>
      </c>
      <c r="AI1891">
        <v>2.36</v>
      </c>
      <c r="AJ1891">
        <v>6.18</v>
      </c>
      <c r="AK1891">
        <v>26.17</v>
      </c>
      <c r="AL1891">
        <v>46.54</v>
      </c>
    </row>
    <row r="1892" spans="1:38" x14ac:dyDescent="0.25">
      <c r="A1892">
        <v>1891</v>
      </c>
      <c r="B1892" t="str">
        <f xml:space="preserve"> "300363"</f>
        <v>300363</v>
      </c>
      <c r="C1892" t="s">
        <v>6511</v>
      </c>
      <c r="D1892">
        <v>15.82</v>
      </c>
      <c r="E1892">
        <v>1.93</v>
      </c>
      <c r="F1892">
        <v>0.3</v>
      </c>
      <c r="G1892" t="s">
        <v>6512</v>
      </c>
      <c r="H1892">
        <v>1870</v>
      </c>
      <c r="I1892">
        <v>15.82</v>
      </c>
      <c r="J1892">
        <v>15.83</v>
      </c>
      <c r="K1892">
        <v>0.64</v>
      </c>
      <c r="L1892">
        <v>2.19</v>
      </c>
      <c r="M1892" t="s">
        <v>2179</v>
      </c>
      <c r="N1892">
        <v>56.39</v>
      </c>
      <c r="O1892" t="s">
        <v>392</v>
      </c>
      <c r="P1892">
        <v>15.98</v>
      </c>
      <c r="Q1892">
        <v>15.37</v>
      </c>
      <c r="R1892">
        <v>15.5</v>
      </c>
      <c r="S1892">
        <v>15.52</v>
      </c>
      <c r="T1892">
        <v>3.93</v>
      </c>
      <c r="U1892">
        <v>0.95</v>
      </c>
      <c r="V1892">
        <v>49.94</v>
      </c>
      <c r="W1892">
        <v>894</v>
      </c>
      <c r="X1892">
        <v>15.76</v>
      </c>
      <c r="Y1892" t="s">
        <v>3190</v>
      </c>
      <c r="Z1892" t="s">
        <v>2032</v>
      </c>
      <c r="AA1892">
        <v>0.86</v>
      </c>
      <c r="AB1892">
        <v>207</v>
      </c>
      <c r="AC1892">
        <v>10</v>
      </c>
      <c r="AD1892">
        <v>5.04</v>
      </c>
      <c r="AE1892" t="s">
        <v>5453</v>
      </c>
      <c r="AF1892" t="s">
        <v>6513</v>
      </c>
      <c r="AG1892" t="s">
        <v>5328</v>
      </c>
      <c r="AH1892" t="s">
        <v>6514</v>
      </c>
      <c r="AI1892">
        <v>4.01</v>
      </c>
      <c r="AJ1892">
        <v>8.8800000000000008</v>
      </c>
      <c r="AK1892">
        <v>7.75</v>
      </c>
      <c r="AL1892">
        <v>13.68</v>
      </c>
    </row>
    <row r="1893" spans="1:38" x14ac:dyDescent="0.25">
      <c r="A1893">
        <v>1892</v>
      </c>
      <c r="B1893" t="str">
        <f xml:space="preserve"> "002432"</f>
        <v>002432</v>
      </c>
      <c r="C1893" t="s">
        <v>6515</v>
      </c>
      <c r="D1893">
        <v>15.51</v>
      </c>
      <c r="E1893">
        <v>7.41</v>
      </c>
      <c r="F1893">
        <v>1.07</v>
      </c>
      <c r="G1893" t="s">
        <v>6516</v>
      </c>
      <c r="H1893">
        <v>9259</v>
      </c>
      <c r="I1893">
        <v>15.5</v>
      </c>
      <c r="J1893">
        <v>15.51</v>
      </c>
      <c r="K1893">
        <v>-0.26</v>
      </c>
      <c r="L1893">
        <v>21.28</v>
      </c>
      <c r="M1893" t="s">
        <v>803</v>
      </c>
      <c r="N1893">
        <v>-70.11</v>
      </c>
      <c r="O1893" t="s">
        <v>1552</v>
      </c>
      <c r="P1893">
        <v>15.88</v>
      </c>
      <c r="Q1893">
        <v>13.86</v>
      </c>
      <c r="R1893">
        <v>14</v>
      </c>
      <c r="S1893">
        <v>14.44</v>
      </c>
      <c r="T1893">
        <v>13.99</v>
      </c>
      <c r="U1893">
        <v>4.3099999999999996</v>
      </c>
      <c r="V1893">
        <v>-56.24</v>
      </c>
      <c r="W1893">
        <v>-3529</v>
      </c>
      <c r="X1893">
        <v>15.2</v>
      </c>
      <c r="Y1893" t="s">
        <v>6517</v>
      </c>
      <c r="Z1893" t="s">
        <v>2882</v>
      </c>
      <c r="AA1893">
        <v>0.87</v>
      </c>
      <c r="AB1893">
        <v>977</v>
      </c>
      <c r="AC1893">
        <v>2312</v>
      </c>
      <c r="AD1893">
        <v>4.5999999999999996</v>
      </c>
      <c r="AE1893" t="s">
        <v>3300</v>
      </c>
      <c r="AF1893" t="s">
        <v>5179</v>
      </c>
      <c r="AG1893" t="s">
        <v>3300</v>
      </c>
      <c r="AH1893" t="s">
        <v>5179</v>
      </c>
      <c r="AI1893">
        <v>29.9</v>
      </c>
      <c r="AJ1893">
        <v>47.15</v>
      </c>
      <c r="AK1893">
        <v>41.4</v>
      </c>
      <c r="AL1893">
        <v>46</v>
      </c>
    </row>
    <row r="1894" spans="1:38" x14ac:dyDescent="0.25">
      <c r="A1894">
        <v>1893</v>
      </c>
      <c r="B1894" t="str">
        <f xml:space="preserve"> "603595"</f>
        <v>603595</v>
      </c>
      <c r="C1894" t="s">
        <v>6518</v>
      </c>
      <c r="D1894">
        <v>67.12</v>
      </c>
      <c r="E1894">
        <v>0.4</v>
      </c>
      <c r="F1894">
        <v>0.27</v>
      </c>
      <c r="G1894">
        <v>7756</v>
      </c>
      <c r="H1894">
        <v>32</v>
      </c>
      <c r="I1894">
        <v>67.150000000000006</v>
      </c>
      <c r="J1894">
        <v>67.28</v>
      </c>
      <c r="K1894">
        <v>0.03</v>
      </c>
      <c r="L1894">
        <v>3.1</v>
      </c>
      <c r="M1894" t="s">
        <v>6311</v>
      </c>
      <c r="N1894">
        <v>72.16</v>
      </c>
      <c r="O1894" t="s">
        <v>859</v>
      </c>
      <c r="P1894">
        <v>68.5</v>
      </c>
      <c r="Q1894">
        <v>66.53</v>
      </c>
      <c r="R1894">
        <v>66.53</v>
      </c>
      <c r="S1894">
        <v>66.849999999999994</v>
      </c>
      <c r="T1894">
        <v>2.95</v>
      </c>
      <c r="U1894">
        <v>0.75</v>
      </c>
      <c r="V1894">
        <v>68.569999999999993</v>
      </c>
      <c r="W1894">
        <v>205</v>
      </c>
      <c r="X1894">
        <v>67.56</v>
      </c>
      <c r="Y1894">
        <v>4178</v>
      </c>
      <c r="Z1894">
        <v>3578</v>
      </c>
      <c r="AA1894">
        <v>1.17</v>
      </c>
      <c r="AB1894">
        <v>20</v>
      </c>
      <c r="AC1894">
        <v>14</v>
      </c>
      <c r="AD1894">
        <v>11.18</v>
      </c>
      <c r="AE1894" t="s">
        <v>4464</v>
      </c>
      <c r="AF1894" t="s">
        <v>5179</v>
      </c>
      <c r="AG1894" t="s">
        <v>5931</v>
      </c>
      <c r="AH1894" t="s">
        <v>3026</v>
      </c>
      <c r="AI1894">
        <v>-2.46</v>
      </c>
      <c r="AJ1894">
        <v>0.49</v>
      </c>
      <c r="AK1894">
        <v>9.4499999999999993</v>
      </c>
      <c r="AL1894">
        <v>23.75</v>
      </c>
    </row>
    <row r="1895" spans="1:38" x14ac:dyDescent="0.25">
      <c r="A1895">
        <v>1894</v>
      </c>
      <c r="B1895" t="str">
        <f xml:space="preserve"> "300431"</f>
        <v>300431</v>
      </c>
      <c r="C1895" t="s">
        <v>6519</v>
      </c>
      <c r="D1895" t="s">
        <v>616</v>
      </c>
      <c r="E1895" t="s">
        <v>616</v>
      </c>
      <c r="F1895" t="s">
        <v>616</v>
      </c>
      <c r="G1895" t="s">
        <v>616</v>
      </c>
      <c r="H1895" t="s">
        <v>616</v>
      </c>
      <c r="I1895" t="s">
        <v>616</v>
      </c>
      <c r="J1895" t="s">
        <v>616</v>
      </c>
      <c r="K1895" t="s">
        <v>616</v>
      </c>
      <c r="L1895" t="s">
        <v>616</v>
      </c>
      <c r="M1895" t="s">
        <v>616</v>
      </c>
      <c r="N1895">
        <v>213.23</v>
      </c>
      <c r="O1895" t="s">
        <v>1126</v>
      </c>
      <c r="P1895" t="s">
        <v>616</v>
      </c>
      <c r="Q1895" t="s">
        <v>616</v>
      </c>
      <c r="R1895" t="s">
        <v>616</v>
      </c>
      <c r="S1895">
        <v>20.2</v>
      </c>
      <c r="T1895" t="s">
        <v>616</v>
      </c>
      <c r="U1895" t="s">
        <v>616</v>
      </c>
      <c r="V1895" t="s">
        <v>616</v>
      </c>
      <c r="W1895" t="s">
        <v>616</v>
      </c>
      <c r="X1895" t="s">
        <v>616</v>
      </c>
      <c r="Y1895" t="s">
        <v>616</v>
      </c>
      <c r="Z1895" t="s">
        <v>616</v>
      </c>
      <c r="AA1895" t="s">
        <v>616</v>
      </c>
      <c r="AB1895" t="s">
        <v>616</v>
      </c>
      <c r="AC1895" t="s">
        <v>616</v>
      </c>
      <c r="AD1895">
        <v>7.43</v>
      </c>
      <c r="AE1895" t="s">
        <v>1624</v>
      </c>
      <c r="AF1895" t="s">
        <v>5179</v>
      </c>
      <c r="AG1895" t="s">
        <v>1354</v>
      </c>
      <c r="AH1895" t="s">
        <v>348</v>
      </c>
      <c r="AI1895">
        <v>0</v>
      </c>
      <c r="AJ1895">
        <v>0</v>
      </c>
      <c r="AK1895">
        <v>0</v>
      </c>
      <c r="AL1895">
        <v>0</v>
      </c>
    </row>
    <row r="1896" spans="1:38" x14ac:dyDescent="0.25">
      <c r="A1896">
        <v>1895</v>
      </c>
      <c r="B1896" t="str">
        <f xml:space="preserve"> "603018"</f>
        <v>603018</v>
      </c>
      <c r="C1896" t="s">
        <v>6520</v>
      </c>
      <c r="D1896">
        <v>31.68</v>
      </c>
      <c r="E1896">
        <v>0.67</v>
      </c>
      <c r="F1896">
        <v>0.21</v>
      </c>
      <c r="G1896">
        <v>9618</v>
      </c>
      <c r="H1896">
        <v>6</v>
      </c>
      <c r="I1896">
        <v>31.68</v>
      </c>
      <c r="J1896">
        <v>31.69</v>
      </c>
      <c r="K1896">
        <v>0</v>
      </c>
      <c r="L1896">
        <v>0.76</v>
      </c>
      <c r="M1896" t="s">
        <v>6521</v>
      </c>
      <c r="N1896">
        <v>27.77</v>
      </c>
      <c r="O1896" t="s">
        <v>263</v>
      </c>
      <c r="P1896">
        <v>31.68</v>
      </c>
      <c r="Q1896">
        <v>31.33</v>
      </c>
      <c r="R1896">
        <v>31.42</v>
      </c>
      <c r="S1896">
        <v>31.47</v>
      </c>
      <c r="T1896">
        <v>1.1100000000000001</v>
      </c>
      <c r="U1896">
        <v>1</v>
      </c>
      <c r="V1896">
        <v>65.13</v>
      </c>
      <c r="W1896">
        <v>381</v>
      </c>
      <c r="X1896">
        <v>31.51</v>
      </c>
      <c r="Y1896">
        <v>5233</v>
      </c>
      <c r="Z1896">
        <v>4385</v>
      </c>
      <c r="AA1896">
        <v>1.19</v>
      </c>
      <c r="AB1896">
        <v>3</v>
      </c>
      <c r="AC1896">
        <v>20</v>
      </c>
      <c r="AD1896">
        <v>3.42</v>
      </c>
      <c r="AE1896" t="s">
        <v>1853</v>
      </c>
      <c r="AF1896" t="s">
        <v>524</v>
      </c>
      <c r="AG1896" t="s">
        <v>3361</v>
      </c>
      <c r="AH1896" t="s">
        <v>1127</v>
      </c>
      <c r="AI1896">
        <v>-1.1200000000000001</v>
      </c>
      <c r="AJ1896">
        <v>-0.25</v>
      </c>
      <c r="AK1896">
        <v>2.23</v>
      </c>
      <c r="AL1896">
        <v>4.5999999999999996</v>
      </c>
    </row>
    <row r="1897" spans="1:38" x14ac:dyDescent="0.25">
      <c r="A1897">
        <v>1896</v>
      </c>
      <c r="B1897" t="str">
        <f xml:space="preserve"> "300096"</f>
        <v>300096</v>
      </c>
      <c r="C1897" t="s">
        <v>6522</v>
      </c>
      <c r="D1897">
        <v>15.58</v>
      </c>
      <c r="E1897">
        <v>3.45</v>
      </c>
      <c r="F1897">
        <v>0.52</v>
      </c>
      <c r="G1897" t="s">
        <v>1270</v>
      </c>
      <c r="H1897">
        <v>1611</v>
      </c>
      <c r="I1897">
        <v>15.57</v>
      </c>
      <c r="J1897">
        <v>15.58</v>
      </c>
      <c r="K1897">
        <v>-0.45</v>
      </c>
      <c r="L1897">
        <v>2.72</v>
      </c>
      <c r="M1897" t="s">
        <v>3976</v>
      </c>
      <c r="N1897">
        <v>-81.58</v>
      </c>
      <c r="O1897" t="s">
        <v>893</v>
      </c>
      <c r="P1897">
        <v>15.65</v>
      </c>
      <c r="Q1897">
        <v>15</v>
      </c>
      <c r="R1897">
        <v>15.05</v>
      </c>
      <c r="S1897">
        <v>15.06</v>
      </c>
      <c r="T1897">
        <v>4.32</v>
      </c>
      <c r="U1897">
        <v>1.88</v>
      </c>
      <c r="V1897">
        <v>-46.79</v>
      </c>
      <c r="W1897">
        <v>-656</v>
      </c>
      <c r="X1897">
        <v>15.34</v>
      </c>
      <c r="Y1897" t="s">
        <v>3189</v>
      </c>
      <c r="Z1897" t="s">
        <v>4481</v>
      </c>
      <c r="AA1897">
        <v>0.45</v>
      </c>
      <c r="AB1897">
        <v>59</v>
      </c>
      <c r="AC1897">
        <v>843</v>
      </c>
      <c r="AD1897">
        <v>10.02</v>
      </c>
      <c r="AE1897" t="s">
        <v>2233</v>
      </c>
      <c r="AF1897" t="s">
        <v>524</v>
      </c>
      <c r="AG1897" t="s">
        <v>787</v>
      </c>
      <c r="AH1897" t="s">
        <v>1979</v>
      </c>
      <c r="AI1897">
        <v>-2.0699999999999998</v>
      </c>
      <c r="AJ1897">
        <v>1.96</v>
      </c>
      <c r="AK1897">
        <v>5.22</v>
      </c>
      <c r="AL1897">
        <v>9.9600000000000009</v>
      </c>
    </row>
    <row r="1898" spans="1:38" x14ac:dyDescent="0.25">
      <c r="A1898">
        <v>1897</v>
      </c>
      <c r="B1898" t="str">
        <f xml:space="preserve"> "600983"</f>
        <v>600983</v>
      </c>
      <c r="C1898" t="s">
        <v>6523</v>
      </c>
      <c r="D1898">
        <v>8.74</v>
      </c>
      <c r="E1898">
        <v>0</v>
      </c>
      <c r="F1898">
        <v>0</v>
      </c>
      <c r="G1898" t="s">
        <v>4237</v>
      </c>
      <c r="H1898">
        <v>253</v>
      </c>
      <c r="I1898">
        <v>8.74</v>
      </c>
      <c r="J1898">
        <v>8.75</v>
      </c>
      <c r="K1898">
        <v>-0.11</v>
      </c>
      <c r="L1898">
        <v>0.28999999999999998</v>
      </c>
      <c r="M1898" t="s">
        <v>6524</v>
      </c>
      <c r="N1898">
        <v>-39</v>
      </c>
      <c r="O1898" t="s">
        <v>215</v>
      </c>
      <c r="P1898">
        <v>8.77</v>
      </c>
      <c r="Q1898">
        <v>8.67</v>
      </c>
      <c r="R1898">
        <v>8.68</v>
      </c>
      <c r="S1898">
        <v>8.74</v>
      </c>
      <c r="T1898">
        <v>1.1399999999999999</v>
      </c>
      <c r="U1898">
        <v>0.77</v>
      </c>
      <c r="V1898">
        <v>-3.82</v>
      </c>
      <c r="W1898">
        <v>-103</v>
      </c>
      <c r="X1898">
        <v>8.7200000000000006</v>
      </c>
      <c r="Y1898">
        <v>8534</v>
      </c>
      <c r="Z1898">
        <v>6923</v>
      </c>
      <c r="AA1898">
        <v>1.23</v>
      </c>
      <c r="AB1898">
        <v>104</v>
      </c>
      <c r="AC1898">
        <v>197</v>
      </c>
      <c r="AD1898">
        <v>1.74</v>
      </c>
      <c r="AE1898" t="s">
        <v>4071</v>
      </c>
      <c r="AF1898" t="s">
        <v>524</v>
      </c>
      <c r="AG1898" t="s">
        <v>4908</v>
      </c>
      <c r="AH1898" t="s">
        <v>6525</v>
      </c>
      <c r="AI1898">
        <v>0.46</v>
      </c>
      <c r="AJ1898">
        <v>1.75</v>
      </c>
      <c r="AK1898">
        <v>1.1200000000000001</v>
      </c>
      <c r="AL1898">
        <v>2.1800000000000002</v>
      </c>
    </row>
    <row r="1899" spans="1:38" x14ac:dyDescent="0.25">
      <c r="A1899">
        <v>1898</v>
      </c>
      <c r="B1899" t="str">
        <f xml:space="preserve"> "600805"</f>
        <v>600805</v>
      </c>
      <c r="C1899" t="s">
        <v>6526</v>
      </c>
      <c r="D1899">
        <v>7.87</v>
      </c>
      <c r="E1899">
        <v>0.51</v>
      </c>
      <c r="F1899">
        <v>0.04</v>
      </c>
      <c r="G1899" t="s">
        <v>2398</v>
      </c>
      <c r="H1899">
        <v>4</v>
      </c>
      <c r="I1899">
        <v>7.86</v>
      </c>
      <c r="J1899">
        <v>7.87</v>
      </c>
      <c r="K1899">
        <v>0.13</v>
      </c>
      <c r="L1899">
        <v>0.43</v>
      </c>
      <c r="M1899" t="s">
        <v>6527</v>
      </c>
      <c r="N1899">
        <v>391.82</v>
      </c>
      <c r="O1899" t="s">
        <v>3277</v>
      </c>
      <c r="P1899">
        <v>7.88</v>
      </c>
      <c r="Q1899">
        <v>7.79</v>
      </c>
      <c r="R1899">
        <v>7.83</v>
      </c>
      <c r="S1899">
        <v>7.83</v>
      </c>
      <c r="T1899">
        <v>1.1499999999999999</v>
      </c>
      <c r="U1899">
        <v>0.57999999999999996</v>
      </c>
      <c r="V1899">
        <v>-19.27</v>
      </c>
      <c r="W1899">
        <v>-1097</v>
      </c>
      <c r="X1899">
        <v>7.83</v>
      </c>
      <c r="Y1899" t="s">
        <v>3326</v>
      </c>
      <c r="Z1899" t="s">
        <v>2126</v>
      </c>
      <c r="AA1899">
        <v>1.03</v>
      </c>
      <c r="AB1899">
        <v>16</v>
      </c>
      <c r="AC1899">
        <v>852</v>
      </c>
      <c r="AD1899">
        <v>1.03</v>
      </c>
      <c r="AE1899" t="s">
        <v>6528</v>
      </c>
      <c r="AF1899" t="s">
        <v>524</v>
      </c>
      <c r="AG1899" t="s">
        <v>6529</v>
      </c>
      <c r="AH1899" t="s">
        <v>5323</v>
      </c>
      <c r="AI1899">
        <v>-0.63</v>
      </c>
      <c r="AJ1899">
        <v>1.94</v>
      </c>
      <c r="AK1899">
        <v>1.56</v>
      </c>
      <c r="AL1899">
        <v>4.16</v>
      </c>
    </row>
    <row r="1900" spans="1:38" x14ac:dyDescent="0.25">
      <c r="A1900">
        <v>1899</v>
      </c>
      <c r="B1900" t="str">
        <f xml:space="preserve"> "603776"</f>
        <v>603776</v>
      </c>
      <c r="C1900" t="s">
        <v>6530</v>
      </c>
      <c r="D1900">
        <v>69.58</v>
      </c>
      <c r="E1900">
        <v>0.99</v>
      </c>
      <c r="F1900">
        <v>0.68</v>
      </c>
      <c r="G1900" t="s">
        <v>3950</v>
      </c>
      <c r="H1900">
        <v>1</v>
      </c>
      <c r="I1900">
        <v>69.59</v>
      </c>
      <c r="J1900">
        <v>69.599999999999994</v>
      </c>
      <c r="K1900">
        <v>-0.11</v>
      </c>
      <c r="L1900">
        <v>6.42</v>
      </c>
      <c r="M1900" t="s">
        <v>1314</v>
      </c>
      <c r="N1900">
        <v>54.43</v>
      </c>
      <c r="O1900" t="s">
        <v>253</v>
      </c>
      <c r="P1900">
        <v>69.900000000000006</v>
      </c>
      <c r="Q1900">
        <v>68.099999999999994</v>
      </c>
      <c r="R1900">
        <v>68.099999999999994</v>
      </c>
      <c r="S1900">
        <v>68.900000000000006</v>
      </c>
      <c r="T1900">
        <v>2.61</v>
      </c>
      <c r="U1900">
        <v>0.59</v>
      </c>
      <c r="V1900">
        <v>-43.84</v>
      </c>
      <c r="W1900">
        <v>-64</v>
      </c>
      <c r="X1900">
        <v>69.38</v>
      </c>
      <c r="Y1900">
        <v>7030</v>
      </c>
      <c r="Z1900">
        <v>8383</v>
      </c>
      <c r="AA1900">
        <v>0.84</v>
      </c>
      <c r="AB1900">
        <v>3</v>
      </c>
      <c r="AC1900">
        <v>19</v>
      </c>
      <c r="AD1900">
        <v>5.65</v>
      </c>
      <c r="AE1900" t="s">
        <v>4331</v>
      </c>
      <c r="AF1900" t="s">
        <v>6531</v>
      </c>
      <c r="AG1900" t="s">
        <v>6532</v>
      </c>
      <c r="AH1900" t="s">
        <v>1375</v>
      </c>
      <c r="AI1900">
        <v>-5.56</v>
      </c>
      <c r="AJ1900">
        <v>-5.17</v>
      </c>
      <c r="AK1900">
        <v>30.36</v>
      </c>
      <c r="AL1900">
        <v>60.51</v>
      </c>
    </row>
    <row r="1901" spans="1:38" x14ac:dyDescent="0.25">
      <c r="A1901">
        <v>1900</v>
      </c>
      <c r="B1901" t="str">
        <f xml:space="preserve"> "002441"</f>
        <v>002441</v>
      </c>
      <c r="C1901" t="s">
        <v>6533</v>
      </c>
      <c r="D1901">
        <v>12.35</v>
      </c>
      <c r="E1901">
        <v>1.81</v>
      </c>
      <c r="F1901">
        <v>0.22</v>
      </c>
      <c r="G1901" t="s">
        <v>151</v>
      </c>
      <c r="H1901">
        <v>485</v>
      </c>
      <c r="I1901">
        <v>12.35</v>
      </c>
      <c r="J1901">
        <v>12.36</v>
      </c>
      <c r="K1901">
        <v>-0.08</v>
      </c>
      <c r="L1901">
        <v>1.26</v>
      </c>
      <c r="M1901" t="s">
        <v>6534</v>
      </c>
      <c r="N1901">
        <v>25.82</v>
      </c>
      <c r="O1901" t="s">
        <v>680</v>
      </c>
      <c r="P1901">
        <v>12.41</v>
      </c>
      <c r="Q1901">
        <v>12.09</v>
      </c>
      <c r="R1901">
        <v>12.19</v>
      </c>
      <c r="S1901">
        <v>12.13</v>
      </c>
      <c r="T1901">
        <v>2.64</v>
      </c>
      <c r="U1901">
        <v>1.1599999999999999</v>
      </c>
      <c r="V1901">
        <v>-62.72</v>
      </c>
      <c r="W1901">
        <v>-2170</v>
      </c>
      <c r="X1901">
        <v>12.26</v>
      </c>
      <c r="Y1901" t="s">
        <v>4788</v>
      </c>
      <c r="Z1901" t="s">
        <v>1189</v>
      </c>
      <c r="AA1901">
        <v>0.73</v>
      </c>
      <c r="AB1901">
        <v>208</v>
      </c>
      <c r="AC1901">
        <v>432</v>
      </c>
      <c r="AD1901">
        <v>1.9</v>
      </c>
      <c r="AE1901" t="s">
        <v>2293</v>
      </c>
      <c r="AF1901" t="s">
        <v>6531</v>
      </c>
      <c r="AG1901" t="s">
        <v>4560</v>
      </c>
      <c r="AH1901" t="s">
        <v>6017</v>
      </c>
      <c r="AI1901">
        <v>-0.08</v>
      </c>
      <c r="AJ1901">
        <v>2.66</v>
      </c>
      <c r="AK1901">
        <v>3.32</v>
      </c>
      <c r="AL1901">
        <v>6.68</v>
      </c>
    </row>
    <row r="1902" spans="1:38" x14ac:dyDescent="0.25">
      <c r="A1902">
        <v>1901</v>
      </c>
      <c r="B1902" t="str">
        <f xml:space="preserve"> "000777"</f>
        <v>000777</v>
      </c>
      <c r="C1902" t="s">
        <v>6535</v>
      </c>
      <c r="D1902">
        <v>17.41</v>
      </c>
      <c r="E1902">
        <v>0.69</v>
      </c>
      <c r="F1902">
        <v>0.12</v>
      </c>
      <c r="G1902" t="s">
        <v>1661</v>
      </c>
      <c r="H1902">
        <v>1130</v>
      </c>
      <c r="I1902">
        <v>17.399999999999999</v>
      </c>
      <c r="J1902">
        <v>17.41</v>
      </c>
      <c r="K1902">
        <v>0</v>
      </c>
      <c r="L1902">
        <v>1.02</v>
      </c>
      <c r="M1902" t="s">
        <v>6536</v>
      </c>
      <c r="N1902">
        <v>1448.45</v>
      </c>
      <c r="O1902" t="s">
        <v>648</v>
      </c>
      <c r="P1902">
        <v>17.52</v>
      </c>
      <c r="Q1902">
        <v>17.2</v>
      </c>
      <c r="R1902">
        <v>17.29</v>
      </c>
      <c r="S1902">
        <v>17.29</v>
      </c>
      <c r="T1902">
        <v>1.85</v>
      </c>
      <c r="U1902">
        <v>1.1599999999999999</v>
      </c>
      <c r="V1902">
        <v>3.91</v>
      </c>
      <c r="W1902">
        <v>59</v>
      </c>
      <c r="X1902">
        <v>17.34</v>
      </c>
      <c r="Y1902" t="s">
        <v>1508</v>
      </c>
      <c r="Z1902" t="s">
        <v>2444</v>
      </c>
      <c r="AA1902">
        <v>0.66</v>
      </c>
      <c r="AB1902">
        <v>271</v>
      </c>
      <c r="AC1902">
        <v>371</v>
      </c>
      <c r="AD1902">
        <v>5.36</v>
      </c>
      <c r="AE1902" t="s">
        <v>6537</v>
      </c>
      <c r="AF1902" t="s">
        <v>6531</v>
      </c>
      <c r="AG1902" t="s">
        <v>6537</v>
      </c>
      <c r="AH1902" t="s">
        <v>6531</v>
      </c>
      <c r="AI1902">
        <v>0.35</v>
      </c>
      <c r="AJ1902">
        <v>0.93</v>
      </c>
      <c r="AK1902">
        <v>2.82</v>
      </c>
      <c r="AL1902">
        <v>5.39</v>
      </c>
    </row>
    <row r="1903" spans="1:38" x14ac:dyDescent="0.25">
      <c r="A1903">
        <v>1902</v>
      </c>
      <c r="B1903" t="str">
        <f xml:space="preserve"> "300127"</f>
        <v>300127</v>
      </c>
      <c r="C1903" t="s">
        <v>6538</v>
      </c>
      <c r="D1903">
        <v>20.65</v>
      </c>
      <c r="E1903">
        <v>0.19</v>
      </c>
      <c r="F1903">
        <v>0.04</v>
      </c>
      <c r="G1903" t="s">
        <v>2870</v>
      </c>
      <c r="H1903">
        <v>1120</v>
      </c>
      <c r="I1903">
        <v>20.65</v>
      </c>
      <c r="J1903">
        <v>20.66</v>
      </c>
      <c r="K1903">
        <v>-0.1</v>
      </c>
      <c r="L1903">
        <v>1.7</v>
      </c>
      <c r="M1903" t="s">
        <v>6539</v>
      </c>
      <c r="N1903">
        <v>30.22</v>
      </c>
      <c r="O1903" t="s">
        <v>380</v>
      </c>
      <c r="P1903">
        <v>20.76</v>
      </c>
      <c r="Q1903">
        <v>20.399999999999999</v>
      </c>
      <c r="R1903">
        <v>20.66</v>
      </c>
      <c r="S1903">
        <v>20.61</v>
      </c>
      <c r="T1903">
        <v>1.75</v>
      </c>
      <c r="U1903">
        <v>0.52</v>
      </c>
      <c r="V1903">
        <v>-15.42</v>
      </c>
      <c r="W1903">
        <v>-216</v>
      </c>
      <c r="X1903">
        <v>20.63</v>
      </c>
      <c r="Y1903" t="s">
        <v>1986</v>
      </c>
      <c r="Z1903" t="s">
        <v>1340</v>
      </c>
      <c r="AA1903">
        <v>1.1000000000000001</v>
      </c>
      <c r="AB1903">
        <v>167</v>
      </c>
      <c r="AC1903">
        <v>130</v>
      </c>
      <c r="AD1903">
        <v>5.9</v>
      </c>
      <c r="AE1903" t="s">
        <v>3150</v>
      </c>
      <c r="AF1903" t="s">
        <v>1311</v>
      </c>
      <c r="AG1903" t="s">
        <v>764</v>
      </c>
      <c r="AH1903" t="s">
        <v>5010</v>
      </c>
      <c r="AI1903">
        <v>-6.01</v>
      </c>
      <c r="AJ1903">
        <v>-2.13</v>
      </c>
      <c r="AK1903">
        <v>8.4700000000000006</v>
      </c>
      <c r="AL1903">
        <v>17.97</v>
      </c>
    </row>
    <row r="1904" spans="1:38" x14ac:dyDescent="0.25">
      <c r="A1904">
        <v>1903</v>
      </c>
      <c r="B1904" t="str">
        <f xml:space="preserve"> "603533"</f>
        <v>603533</v>
      </c>
      <c r="C1904" t="s">
        <v>6540</v>
      </c>
      <c r="D1904">
        <v>16.64</v>
      </c>
      <c r="E1904">
        <v>9.98</v>
      </c>
      <c r="F1904">
        <v>1.51</v>
      </c>
      <c r="G1904">
        <v>863</v>
      </c>
      <c r="H1904">
        <v>10</v>
      </c>
      <c r="I1904">
        <v>16.64</v>
      </c>
      <c r="J1904" t="s">
        <v>616</v>
      </c>
      <c r="K1904">
        <v>0</v>
      </c>
      <c r="L1904">
        <v>0.21</v>
      </c>
      <c r="M1904" t="s">
        <v>6541</v>
      </c>
      <c r="N1904">
        <v>49.04</v>
      </c>
      <c r="O1904" t="s">
        <v>1126</v>
      </c>
      <c r="P1904">
        <v>16.64</v>
      </c>
      <c r="Q1904">
        <v>16.64</v>
      </c>
      <c r="R1904">
        <v>16.64</v>
      </c>
      <c r="S1904">
        <v>15.13</v>
      </c>
      <c r="T1904">
        <v>0</v>
      </c>
      <c r="U1904">
        <v>2.57</v>
      </c>
      <c r="V1904">
        <v>100</v>
      </c>
      <c r="W1904" t="s">
        <v>1583</v>
      </c>
      <c r="X1904">
        <v>16.64</v>
      </c>
      <c r="Y1904">
        <v>863</v>
      </c>
      <c r="Z1904">
        <v>0</v>
      </c>
      <c r="AA1904">
        <v>1</v>
      </c>
      <c r="AB1904" t="s">
        <v>207</v>
      </c>
      <c r="AC1904">
        <v>0</v>
      </c>
      <c r="AD1904">
        <v>7.16</v>
      </c>
      <c r="AE1904" t="s">
        <v>1922</v>
      </c>
      <c r="AF1904" t="s">
        <v>1311</v>
      </c>
      <c r="AG1904" t="s">
        <v>4365</v>
      </c>
      <c r="AH1904" t="s">
        <v>1412</v>
      </c>
      <c r="AI1904">
        <v>33.119999999999997</v>
      </c>
      <c r="AJ1904">
        <v>77.209999999999994</v>
      </c>
      <c r="AK1904">
        <v>0.38</v>
      </c>
      <c r="AL1904">
        <v>0.62</v>
      </c>
    </row>
    <row r="1905" spans="1:38" x14ac:dyDescent="0.25">
      <c r="A1905">
        <v>1904</v>
      </c>
      <c r="B1905" t="str">
        <f xml:space="preserve"> "000908"</f>
        <v>000908</v>
      </c>
      <c r="C1905" t="s">
        <v>6542</v>
      </c>
      <c r="D1905">
        <v>7.58</v>
      </c>
      <c r="E1905">
        <v>-0.13</v>
      </c>
      <c r="F1905">
        <v>-0.01</v>
      </c>
      <c r="G1905" t="s">
        <v>6292</v>
      </c>
      <c r="H1905">
        <v>559</v>
      </c>
      <c r="I1905">
        <v>7.58</v>
      </c>
      <c r="J1905">
        <v>7.59</v>
      </c>
      <c r="K1905">
        <v>0</v>
      </c>
      <c r="L1905">
        <v>0.32</v>
      </c>
      <c r="M1905" t="s">
        <v>6543</v>
      </c>
      <c r="N1905">
        <v>56.8</v>
      </c>
      <c r="O1905" t="s">
        <v>392</v>
      </c>
      <c r="P1905">
        <v>7.65</v>
      </c>
      <c r="Q1905">
        <v>7.56</v>
      </c>
      <c r="R1905">
        <v>7.59</v>
      </c>
      <c r="S1905">
        <v>7.59</v>
      </c>
      <c r="T1905">
        <v>1.19</v>
      </c>
      <c r="U1905">
        <v>0.52</v>
      </c>
      <c r="V1905">
        <v>-12.75</v>
      </c>
      <c r="W1905">
        <v>-472</v>
      </c>
      <c r="X1905">
        <v>7.6</v>
      </c>
      <c r="Y1905" t="s">
        <v>2284</v>
      </c>
      <c r="Z1905">
        <v>7199</v>
      </c>
      <c r="AA1905">
        <v>1.44</v>
      </c>
      <c r="AB1905">
        <v>364</v>
      </c>
      <c r="AC1905">
        <v>238</v>
      </c>
      <c r="AD1905">
        <v>2.93</v>
      </c>
      <c r="AE1905" t="s">
        <v>2969</v>
      </c>
      <c r="AF1905" t="s">
        <v>1311</v>
      </c>
      <c r="AG1905" t="s">
        <v>3494</v>
      </c>
      <c r="AH1905" t="s">
        <v>6544</v>
      </c>
      <c r="AI1905">
        <v>-0.39</v>
      </c>
      <c r="AJ1905">
        <v>3.84</v>
      </c>
      <c r="AK1905">
        <v>1.67</v>
      </c>
      <c r="AL1905">
        <v>3.37</v>
      </c>
    </row>
    <row r="1906" spans="1:38" x14ac:dyDescent="0.25">
      <c r="A1906">
        <v>1905</v>
      </c>
      <c r="B1906" t="str">
        <f xml:space="preserve"> "300577"</f>
        <v>300577</v>
      </c>
      <c r="C1906" t="s">
        <v>6545</v>
      </c>
      <c r="D1906">
        <v>55.22</v>
      </c>
      <c r="E1906">
        <v>4.84</v>
      </c>
      <c r="F1906">
        <v>2.5499999999999998</v>
      </c>
      <c r="G1906" t="s">
        <v>2089</v>
      </c>
      <c r="H1906">
        <v>440</v>
      </c>
      <c r="I1906">
        <v>55.22</v>
      </c>
      <c r="J1906">
        <v>55.23</v>
      </c>
      <c r="K1906">
        <v>0</v>
      </c>
      <c r="L1906">
        <v>4</v>
      </c>
      <c r="M1906" t="s">
        <v>6546</v>
      </c>
      <c r="N1906">
        <v>53.67</v>
      </c>
      <c r="O1906" t="s">
        <v>1443</v>
      </c>
      <c r="P1906">
        <v>55.28</v>
      </c>
      <c r="Q1906">
        <v>52</v>
      </c>
      <c r="R1906">
        <v>52.4</v>
      </c>
      <c r="S1906">
        <v>52.67</v>
      </c>
      <c r="T1906">
        <v>6.23</v>
      </c>
      <c r="U1906">
        <v>1.43</v>
      </c>
      <c r="V1906">
        <v>59.11</v>
      </c>
      <c r="W1906">
        <v>159</v>
      </c>
      <c r="X1906">
        <v>53.93</v>
      </c>
      <c r="Y1906">
        <v>4421</v>
      </c>
      <c r="Z1906">
        <v>7571</v>
      </c>
      <c r="AA1906">
        <v>0.57999999999999996</v>
      </c>
      <c r="AB1906">
        <v>169</v>
      </c>
      <c r="AC1906">
        <v>2</v>
      </c>
      <c r="AD1906">
        <v>14.98</v>
      </c>
      <c r="AE1906" t="s">
        <v>3574</v>
      </c>
      <c r="AF1906" t="s">
        <v>1311</v>
      </c>
      <c r="AG1906" t="s">
        <v>6547</v>
      </c>
      <c r="AH1906" t="s">
        <v>2999</v>
      </c>
      <c r="AI1906">
        <v>1.23</v>
      </c>
      <c r="AJ1906">
        <v>0.66</v>
      </c>
      <c r="AK1906">
        <v>9.94</v>
      </c>
      <c r="AL1906">
        <v>18</v>
      </c>
    </row>
    <row r="1907" spans="1:38" x14ac:dyDescent="0.25">
      <c r="A1907">
        <v>1906</v>
      </c>
      <c r="B1907" t="str">
        <f xml:space="preserve"> "600636"</f>
        <v>600636</v>
      </c>
      <c r="C1907" t="s">
        <v>6548</v>
      </c>
      <c r="D1907">
        <v>14.92</v>
      </c>
      <c r="E1907">
        <v>0.47</v>
      </c>
      <c r="F1907">
        <v>7.0000000000000007E-2</v>
      </c>
      <c r="G1907" t="s">
        <v>2298</v>
      </c>
      <c r="H1907">
        <v>20</v>
      </c>
      <c r="I1907">
        <v>14.91</v>
      </c>
      <c r="J1907">
        <v>14.93</v>
      </c>
      <c r="K1907">
        <v>-0.13</v>
      </c>
      <c r="L1907">
        <v>0.72</v>
      </c>
      <c r="M1907" t="s">
        <v>6549</v>
      </c>
      <c r="N1907">
        <v>31.69</v>
      </c>
      <c r="O1907" t="s">
        <v>667</v>
      </c>
      <c r="P1907">
        <v>14.96</v>
      </c>
      <c r="Q1907">
        <v>14.72</v>
      </c>
      <c r="R1907">
        <v>14.75</v>
      </c>
      <c r="S1907">
        <v>14.85</v>
      </c>
      <c r="T1907">
        <v>1.62</v>
      </c>
      <c r="U1907">
        <v>0.75</v>
      </c>
      <c r="V1907">
        <v>-64.16</v>
      </c>
      <c r="W1907">
        <v>-953</v>
      </c>
      <c r="X1907">
        <v>14.89</v>
      </c>
      <c r="Y1907" t="s">
        <v>125</v>
      </c>
      <c r="Z1907" t="s">
        <v>125</v>
      </c>
      <c r="AA1907">
        <v>1</v>
      </c>
      <c r="AB1907">
        <v>38</v>
      </c>
      <c r="AC1907">
        <v>98</v>
      </c>
      <c r="AD1907">
        <v>2.58</v>
      </c>
      <c r="AE1907" t="s">
        <v>252</v>
      </c>
      <c r="AF1907" t="s">
        <v>1311</v>
      </c>
      <c r="AG1907" t="s">
        <v>5765</v>
      </c>
      <c r="AH1907" t="s">
        <v>4485</v>
      </c>
      <c r="AI1907">
        <v>3.32</v>
      </c>
      <c r="AJ1907">
        <v>6.27</v>
      </c>
      <c r="AK1907">
        <v>3.19</v>
      </c>
      <c r="AL1907">
        <v>5.49</v>
      </c>
    </row>
    <row r="1908" spans="1:38" x14ac:dyDescent="0.25">
      <c r="A1908">
        <v>1907</v>
      </c>
      <c r="B1908" t="str">
        <f xml:space="preserve"> "002181"</f>
        <v>002181</v>
      </c>
      <c r="C1908" t="s">
        <v>6550</v>
      </c>
      <c r="D1908">
        <v>5.74</v>
      </c>
      <c r="E1908">
        <v>1.06</v>
      </c>
      <c r="F1908">
        <v>0.06</v>
      </c>
      <c r="G1908" t="s">
        <v>6551</v>
      </c>
      <c r="H1908">
        <v>2962</v>
      </c>
      <c r="I1908">
        <v>5.74</v>
      </c>
      <c r="J1908">
        <v>5.75</v>
      </c>
      <c r="K1908">
        <v>0</v>
      </c>
      <c r="L1908">
        <v>0.38</v>
      </c>
      <c r="M1908" t="s">
        <v>6552</v>
      </c>
      <c r="N1908">
        <v>-66.44</v>
      </c>
      <c r="O1908" t="s">
        <v>1126</v>
      </c>
      <c r="P1908">
        <v>5.75</v>
      </c>
      <c r="Q1908">
        <v>5.66</v>
      </c>
      <c r="R1908">
        <v>5.67</v>
      </c>
      <c r="S1908">
        <v>5.68</v>
      </c>
      <c r="T1908">
        <v>1.58</v>
      </c>
      <c r="U1908">
        <v>0.87</v>
      </c>
      <c r="V1908">
        <v>-23.9</v>
      </c>
      <c r="W1908">
        <v>-2225</v>
      </c>
      <c r="X1908">
        <v>5.73</v>
      </c>
      <c r="Y1908" t="s">
        <v>2061</v>
      </c>
      <c r="Z1908" t="s">
        <v>2786</v>
      </c>
      <c r="AA1908">
        <v>0.78</v>
      </c>
      <c r="AB1908">
        <v>602</v>
      </c>
      <c r="AC1908">
        <v>1565</v>
      </c>
      <c r="AD1908">
        <v>1.78</v>
      </c>
      <c r="AE1908" t="s">
        <v>1572</v>
      </c>
      <c r="AF1908" t="s">
        <v>5267</v>
      </c>
      <c r="AG1908" t="s">
        <v>2756</v>
      </c>
      <c r="AH1908" t="s">
        <v>372</v>
      </c>
      <c r="AI1908">
        <v>1.41</v>
      </c>
      <c r="AJ1908">
        <v>5.51</v>
      </c>
      <c r="AK1908">
        <v>1.74</v>
      </c>
      <c r="AL1908">
        <v>2.59</v>
      </c>
    </row>
    <row r="1909" spans="1:38" x14ac:dyDescent="0.25">
      <c r="A1909">
        <v>1908</v>
      </c>
      <c r="B1909" t="str">
        <f xml:space="preserve"> "600576"</f>
        <v>600576</v>
      </c>
      <c r="C1909" t="s">
        <v>6553</v>
      </c>
      <c r="D1909">
        <v>10.220000000000001</v>
      </c>
      <c r="E1909">
        <v>0.39</v>
      </c>
      <c r="F1909">
        <v>0.04</v>
      </c>
      <c r="G1909" t="s">
        <v>3180</v>
      </c>
      <c r="H1909">
        <v>67</v>
      </c>
      <c r="I1909">
        <v>10.199999999999999</v>
      </c>
      <c r="J1909">
        <v>10.210000000000001</v>
      </c>
      <c r="K1909">
        <v>0</v>
      </c>
      <c r="L1909">
        <v>0.8</v>
      </c>
      <c r="M1909" t="s">
        <v>6554</v>
      </c>
      <c r="N1909">
        <v>85.97</v>
      </c>
      <c r="O1909" t="s">
        <v>1126</v>
      </c>
      <c r="P1909">
        <v>10.25</v>
      </c>
      <c r="Q1909">
        <v>10.14</v>
      </c>
      <c r="R1909">
        <v>10.199999999999999</v>
      </c>
      <c r="S1909">
        <v>10.18</v>
      </c>
      <c r="T1909">
        <v>1.08</v>
      </c>
      <c r="U1909">
        <v>0.62</v>
      </c>
      <c r="V1909">
        <v>0.15</v>
      </c>
      <c r="W1909">
        <v>3</v>
      </c>
      <c r="X1909">
        <v>10.199999999999999</v>
      </c>
      <c r="Y1909" t="s">
        <v>3062</v>
      </c>
      <c r="Z1909" t="s">
        <v>3158</v>
      </c>
      <c r="AA1909">
        <v>1.08</v>
      </c>
      <c r="AB1909">
        <v>147</v>
      </c>
      <c r="AC1909">
        <v>13</v>
      </c>
      <c r="AD1909">
        <v>3.41</v>
      </c>
      <c r="AE1909" t="s">
        <v>6555</v>
      </c>
      <c r="AF1909" t="s">
        <v>5267</v>
      </c>
      <c r="AG1909" t="s">
        <v>4754</v>
      </c>
      <c r="AH1909" t="s">
        <v>526</v>
      </c>
      <c r="AI1909">
        <v>-0.97</v>
      </c>
      <c r="AJ1909">
        <v>0.28999999999999998</v>
      </c>
      <c r="AK1909">
        <v>3.32</v>
      </c>
      <c r="AL1909">
        <v>7.21</v>
      </c>
    </row>
    <row r="1910" spans="1:38" x14ac:dyDescent="0.25">
      <c r="A1910">
        <v>1909</v>
      </c>
      <c r="B1910" t="str">
        <f xml:space="preserve"> "600229"</f>
        <v>600229</v>
      </c>
      <c r="C1910" t="s">
        <v>6556</v>
      </c>
      <c r="D1910">
        <v>9.49</v>
      </c>
      <c r="E1910">
        <v>0.64</v>
      </c>
      <c r="F1910">
        <v>0.06</v>
      </c>
      <c r="G1910" t="s">
        <v>1381</v>
      </c>
      <c r="H1910">
        <v>114</v>
      </c>
      <c r="I1910">
        <v>9.49</v>
      </c>
      <c r="J1910">
        <v>9.5</v>
      </c>
      <c r="K1910">
        <v>0</v>
      </c>
      <c r="L1910">
        <v>0.47</v>
      </c>
      <c r="M1910" t="s">
        <v>6557</v>
      </c>
      <c r="N1910">
        <v>24.05</v>
      </c>
      <c r="O1910" t="s">
        <v>1126</v>
      </c>
      <c r="P1910">
        <v>9.5399999999999991</v>
      </c>
      <c r="Q1910">
        <v>9.34</v>
      </c>
      <c r="R1910">
        <v>9.34</v>
      </c>
      <c r="S1910">
        <v>9.43</v>
      </c>
      <c r="T1910">
        <v>2.12</v>
      </c>
      <c r="U1910">
        <v>0.76</v>
      </c>
      <c r="V1910">
        <v>-16.02</v>
      </c>
      <c r="W1910">
        <v>-400</v>
      </c>
      <c r="X1910">
        <v>9.4700000000000006</v>
      </c>
      <c r="Y1910">
        <v>8035</v>
      </c>
      <c r="Z1910" t="s">
        <v>2232</v>
      </c>
      <c r="AA1910">
        <v>0.66</v>
      </c>
      <c r="AB1910">
        <v>3</v>
      </c>
      <c r="AC1910">
        <v>60</v>
      </c>
      <c r="AD1910">
        <v>3.07</v>
      </c>
      <c r="AE1910" t="s">
        <v>6558</v>
      </c>
      <c r="AF1910" t="s">
        <v>5267</v>
      </c>
      <c r="AG1910" t="s">
        <v>2233</v>
      </c>
      <c r="AH1910" t="s">
        <v>760</v>
      </c>
      <c r="AI1910">
        <v>-0.84</v>
      </c>
      <c r="AJ1910">
        <v>2.2599999999999998</v>
      </c>
      <c r="AK1910">
        <v>1.52</v>
      </c>
      <c r="AL1910">
        <v>3.55</v>
      </c>
    </row>
    <row r="1911" spans="1:38" x14ac:dyDescent="0.25">
      <c r="A1911">
        <v>1910</v>
      </c>
      <c r="B1911" t="str">
        <f xml:space="preserve"> "600724"</f>
        <v>600724</v>
      </c>
      <c r="C1911" t="s">
        <v>6559</v>
      </c>
      <c r="D1911">
        <v>4.6100000000000003</v>
      </c>
      <c r="E1911">
        <v>0.44</v>
      </c>
      <c r="F1911">
        <v>0.02</v>
      </c>
      <c r="G1911" t="s">
        <v>2126</v>
      </c>
      <c r="H1911">
        <v>30</v>
      </c>
      <c r="I1911">
        <v>4.6100000000000003</v>
      </c>
      <c r="J1911">
        <v>4.62</v>
      </c>
      <c r="K1911">
        <v>0</v>
      </c>
      <c r="L1911">
        <v>0.13</v>
      </c>
      <c r="M1911" t="s">
        <v>6560</v>
      </c>
      <c r="N1911">
        <v>42.95</v>
      </c>
      <c r="O1911" t="s">
        <v>244</v>
      </c>
      <c r="P1911">
        <v>4.62</v>
      </c>
      <c r="Q1911">
        <v>4.57</v>
      </c>
      <c r="R1911">
        <v>4.5999999999999996</v>
      </c>
      <c r="S1911">
        <v>4.59</v>
      </c>
      <c r="T1911">
        <v>1.0900000000000001</v>
      </c>
      <c r="U1911">
        <v>0.8</v>
      </c>
      <c r="V1911">
        <v>-22.03</v>
      </c>
      <c r="W1911">
        <v>-1472</v>
      </c>
      <c r="X1911">
        <v>4.6100000000000003</v>
      </c>
      <c r="Y1911">
        <v>7898</v>
      </c>
      <c r="Z1911" t="s">
        <v>75</v>
      </c>
      <c r="AA1911">
        <v>0.78</v>
      </c>
      <c r="AB1911">
        <v>141</v>
      </c>
      <c r="AC1911">
        <v>2025</v>
      </c>
      <c r="AD1911">
        <v>2.5</v>
      </c>
      <c r="AE1911" t="s">
        <v>2387</v>
      </c>
      <c r="AF1911" t="s">
        <v>5267</v>
      </c>
      <c r="AG1911" t="s">
        <v>2100</v>
      </c>
      <c r="AH1911" t="s">
        <v>5267</v>
      </c>
      <c r="AI1911">
        <v>-0.43</v>
      </c>
      <c r="AJ1911">
        <v>1.54</v>
      </c>
      <c r="AK1911">
        <v>0.44</v>
      </c>
      <c r="AL1911">
        <v>0.91</v>
      </c>
    </row>
    <row r="1912" spans="1:38" x14ac:dyDescent="0.25">
      <c r="A1912">
        <v>1911</v>
      </c>
      <c r="B1912" t="str">
        <f xml:space="preserve"> "600722"</f>
        <v>600722</v>
      </c>
      <c r="C1912" t="s">
        <v>6561</v>
      </c>
      <c r="D1912">
        <v>9.7899999999999991</v>
      </c>
      <c r="E1912">
        <v>0.62</v>
      </c>
      <c r="F1912">
        <v>0.06</v>
      </c>
      <c r="G1912" t="s">
        <v>1334</v>
      </c>
      <c r="H1912">
        <v>5</v>
      </c>
      <c r="I1912">
        <v>9.7799999999999994</v>
      </c>
      <c r="J1912">
        <v>9.7899999999999991</v>
      </c>
      <c r="K1912">
        <v>-0.1</v>
      </c>
      <c r="L1912">
        <v>0.55000000000000004</v>
      </c>
      <c r="M1912" t="s">
        <v>6562</v>
      </c>
      <c r="N1912">
        <v>156.27000000000001</v>
      </c>
      <c r="O1912" t="s">
        <v>667</v>
      </c>
      <c r="P1912">
        <v>9.8000000000000007</v>
      </c>
      <c r="Q1912">
        <v>9.66</v>
      </c>
      <c r="R1912">
        <v>9.76</v>
      </c>
      <c r="S1912">
        <v>9.73</v>
      </c>
      <c r="T1912">
        <v>1.44</v>
      </c>
      <c r="U1912">
        <v>0.87</v>
      </c>
      <c r="V1912">
        <v>-44.25</v>
      </c>
      <c r="W1912">
        <v>-2351</v>
      </c>
      <c r="X1912">
        <v>9.73</v>
      </c>
      <c r="Y1912" t="s">
        <v>6292</v>
      </c>
      <c r="Z1912" t="s">
        <v>3892</v>
      </c>
      <c r="AA1912">
        <v>0.9</v>
      </c>
      <c r="AB1912">
        <v>538</v>
      </c>
      <c r="AC1912">
        <v>434</v>
      </c>
      <c r="AD1912">
        <v>7.38</v>
      </c>
      <c r="AE1912" t="s">
        <v>4102</v>
      </c>
      <c r="AF1912" t="s">
        <v>5267</v>
      </c>
      <c r="AG1912" t="s">
        <v>4102</v>
      </c>
      <c r="AH1912" t="s">
        <v>5267</v>
      </c>
      <c r="AI1912">
        <v>0.31</v>
      </c>
      <c r="AJ1912">
        <v>2.62</v>
      </c>
      <c r="AK1912">
        <v>1.83</v>
      </c>
      <c r="AL1912">
        <v>3.68</v>
      </c>
    </row>
    <row r="1913" spans="1:38" x14ac:dyDescent="0.25">
      <c r="A1913">
        <v>1912</v>
      </c>
      <c r="B1913" t="str">
        <f xml:space="preserve"> "002471"</f>
        <v>002471</v>
      </c>
      <c r="C1913" t="s">
        <v>6563</v>
      </c>
      <c r="D1913">
        <v>5.25</v>
      </c>
      <c r="E1913">
        <v>0.19</v>
      </c>
      <c r="F1913">
        <v>0.01</v>
      </c>
      <c r="G1913" t="s">
        <v>371</v>
      </c>
      <c r="H1913">
        <v>1151</v>
      </c>
      <c r="I1913">
        <v>5.25</v>
      </c>
      <c r="J1913">
        <v>5.26</v>
      </c>
      <c r="K1913">
        <v>-0.19</v>
      </c>
      <c r="L1913">
        <v>0.9</v>
      </c>
      <c r="M1913" t="s">
        <v>6564</v>
      </c>
      <c r="N1913">
        <v>78.64</v>
      </c>
      <c r="O1913" t="s">
        <v>680</v>
      </c>
      <c r="P1913">
        <v>5.31</v>
      </c>
      <c r="Q1913">
        <v>5.2</v>
      </c>
      <c r="R1913">
        <v>5.25</v>
      </c>
      <c r="S1913">
        <v>5.24</v>
      </c>
      <c r="T1913">
        <v>2.1</v>
      </c>
      <c r="U1913">
        <v>0.4</v>
      </c>
      <c r="V1913">
        <v>-5.71</v>
      </c>
      <c r="W1913">
        <v>-671</v>
      </c>
      <c r="X1913">
        <v>5.24</v>
      </c>
      <c r="Y1913" t="s">
        <v>4097</v>
      </c>
      <c r="Z1913" t="s">
        <v>927</v>
      </c>
      <c r="AA1913">
        <v>1.33</v>
      </c>
      <c r="AB1913">
        <v>38</v>
      </c>
      <c r="AC1913">
        <v>1926</v>
      </c>
      <c r="AD1913">
        <v>3.61</v>
      </c>
      <c r="AE1913" t="s">
        <v>1483</v>
      </c>
      <c r="AF1913" t="s">
        <v>5267</v>
      </c>
      <c r="AG1913" t="s">
        <v>126</v>
      </c>
      <c r="AH1913" t="s">
        <v>3983</v>
      </c>
      <c r="AI1913">
        <v>-6.75</v>
      </c>
      <c r="AJ1913">
        <v>-6.75</v>
      </c>
      <c r="AK1913">
        <v>6.43</v>
      </c>
      <c r="AL1913">
        <v>6.43</v>
      </c>
    </row>
    <row r="1914" spans="1:38" x14ac:dyDescent="0.25">
      <c r="A1914">
        <v>1913</v>
      </c>
      <c r="B1914" t="str">
        <f xml:space="preserve"> "600129"</f>
        <v>600129</v>
      </c>
      <c r="C1914" t="s">
        <v>6565</v>
      </c>
      <c r="D1914">
        <v>15.57</v>
      </c>
      <c r="E1914">
        <v>0.06</v>
      </c>
      <c r="F1914">
        <v>0.01</v>
      </c>
      <c r="G1914" t="s">
        <v>1416</v>
      </c>
      <c r="H1914">
        <v>54</v>
      </c>
      <c r="I1914">
        <v>15.58</v>
      </c>
      <c r="J1914">
        <v>15.59</v>
      </c>
      <c r="K1914">
        <v>0.26</v>
      </c>
      <c r="L1914">
        <v>0.51</v>
      </c>
      <c r="M1914" t="s">
        <v>6566</v>
      </c>
      <c r="N1914">
        <v>95.64</v>
      </c>
      <c r="O1914" t="s">
        <v>392</v>
      </c>
      <c r="P1914">
        <v>15.76</v>
      </c>
      <c r="Q1914">
        <v>15.35</v>
      </c>
      <c r="R1914">
        <v>15.46</v>
      </c>
      <c r="S1914">
        <v>15.56</v>
      </c>
      <c r="T1914">
        <v>2.63</v>
      </c>
      <c r="U1914">
        <v>0.99</v>
      </c>
      <c r="V1914">
        <v>-23.08</v>
      </c>
      <c r="W1914">
        <v>-130</v>
      </c>
      <c r="X1914">
        <v>15.6</v>
      </c>
      <c r="Y1914">
        <v>9847</v>
      </c>
      <c r="Z1914" t="s">
        <v>2232</v>
      </c>
      <c r="AA1914">
        <v>0.81</v>
      </c>
      <c r="AB1914">
        <v>46</v>
      </c>
      <c r="AC1914">
        <v>43</v>
      </c>
      <c r="AD1914">
        <v>5.79</v>
      </c>
      <c r="AE1914" t="s">
        <v>4998</v>
      </c>
      <c r="AF1914" t="s">
        <v>5143</v>
      </c>
      <c r="AG1914" t="s">
        <v>4998</v>
      </c>
      <c r="AH1914" t="s">
        <v>5143</v>
      </c>
      <c r="AI1914">
        <v>1.3</v>
      </c>
      <c r="AJ1914">
        <v>7.31</v>
      </c>
      <c r="AK1914">
        <v>1.76</v>
      </c>
      <c r="AL1914">
        <v>3.11</v>
      </c>
    </row>
    <row r="1915" spans="1:38" x14ac:dyDescent="0.25">
      <c r="A1915">
        <v>1914</v>
      </c>
      <c r="B1915" t="str">
        <f xml:space="preserve"> "002163"</f>
        <v>002163</v>
      </c>
      <c r="C1915" t="s">
        <v>6567</v>
      </c>
      <c r="D1915">
        <v>8.27</v>
      </c>
      <c r="E1915">
        <v>1.6</v>
      </c>
      <c r="F1915">
        <v>0.13</v>
      </c>
      <c r="G1915" t="s">
        <v>442</v>
      </c>
      <c r="H1915">
        <v>1036</v>
      </c>
      <c r="I1915">
        <v>8.26</v>
      </c>
      <c r="J1915">
        <v>8.27</v>
      </c>
      <c r="K1915">
        <v>0</v>
      </c>
      <c r="L1915">
        <v>1.43</v>
      </c>
      <c r="M1915" t="s">
        <v>6568</v>
      </c>
      <c r="N1915">
        <v>-83.62</v>
      </c>
      <c r="O1915" t="s">
        <v>1058</v>
      </c>
      <c r="P1915">
        <v>8.33</v>
      </c>
      <c r="Q1915">
        <v>8.1</v>
      </c>
      <c r="R1915">
        <v>8.11</v>
      </c>
      <c r="S1915">
        <v>8.14</v>
      </c>
      <c r="T1915">
        <v>2.83</v>
      </c>
      <c r="U1915">
        <v>1.91</v>
      </c>
      <c r="V1915">
        <v>-11.1</v>
      </c>
      <c r="W1915">
        <v>-705</v>
      </c>
      <c r="X1915">
        <v>8.26</v>
      </c>
      <c r="Y1915" t="s">
        <v>5066</v>
      </c>
      <c r="Z1915" t="s">
        <v>682</v>
      </c>
      <c r="AA1915">
        <v>0.59</v>
      </c>
      <c r="AB1915">
        <v>120</v>
      </c>
      <c r="AC1915">
        <v>670</v>
      </c>
      <c r="AD1915">
        <v>9.39</v>
      </c>
      <c r="AE1915" t="s">
        <v>3035</v>
      </c>
      <c r="AF1915" t="s">
        <v>5143</v>
      </c>
      <c r="AG1915" t="s">
        <v>2544</v>
      </c>
      <c r="AH1915" t="s">
        <v>6569</v>
      </c>
      <c r="AI1915">
        <v>2.99</v>
      </c>
      <c r="AJ1915">
        <v>4.68</v>
      </c>
      <c r="AK1915">
        <v>3.3</v>
      </c>
      <c r="AL1915">
        <v>5.17</v>
      </c>
    </row>
    <row r="1916" spans="1:38" x14ac:dyDescent="0.25">
      <c r="A1916">
        <v>1915</v>
      </c>
      <c r="B1916" t="str">
        <f xml:space="preserve"> "300627"</f>
        <v>300627</v>
      </c>
      <c r="C1916" t="s">
        <v>6570</v>
      </c>
      <c r="D1916">
        <v>55.7</v>
      </c>
      <c r="E1916">
        <v>-2.4500000000000002</v>
      </c>
      <c r="F1916">
        <v>-1.4</v>
      </c>
      <c r="G1916" t="s">
        <v>1887</v>
      </c>
      <c r="H1916">
        <v>428</v>
      </c>
      <c r="I1916">
        <v>55.7</v>
      </c>
      <c r="J1916">
        <v>55.72</v>
      </c>
      <c r="K1916">
        <v>-0.3</v>
      </c>
      <c r="L1916">
        <v>7.67</v>
      </c>
      <c r="M1916" t="s">
        <v>2239</v>
      </c>
      <c r="N1916">
        <v>97.12</v>
      </c>
      <c r="O1916" t="s">
        <v>553</v>
      </c>
      <c r="P1916">
        <v>56.77</v>
      </c>
      <c r="Q1916">
        <v>55.31</v>
      </c>
      <c r="R1916">
        <v>55.61</v>
      </c>
      <c r="S1916">
        <v>57.1</v>
      </c>
      <c r="T1916">
        <v>2.56</v>
      </c>
      <c r="U1916">
        <v>1.18</v>
      </c>
      <c r="V1916">
        <v>-65.510000000000005</v>
      </c>
      <c r="W1916">
        <v>-206</v>
      </c>
      <c r="X1916">
        <v>55.84</v>
      </c>
      <c r="Y1916" t="s">
        <v>2280</v>
      </c>
      <c r="Z1916" t="s">
        <v>2800</v>
      </c>
      <c r="AA1916">
        <v>1.18</v>
      </c>
      <c r="AB1916">
        <v>19</v>
      </c>
      <c r="AC1916">
        <v>1</v>
      </c>
      <c r="AD1916">
        <v>9.86</v>
      </c>
      <c r="AE1916" t="s">
        <v>60</v>
      </c>
      <c r="AF1916" t="s">
        <v>6569</v>
      </c>
      <c r="AG1916" t="s">
        <v>6571</v>
      </c>
      <c r="AH1916" t="s">
        <v>2999</v>
      </c>
      <c r="AI1916">
        <v>-7.32</v>
      </c>
      <c r="AJ1916">
        <v>-5.9</v>
      </c>
      <c r="AK1916">
        <v>20.9</v>
      </c>
      <c r="AL1916">
        <v>40.06</v>
      </c>
    </row>
    <row r="1917" spans="1:38" x14ac:dyDescent="0.25">
      <c r="A1917">
        <v>1916</v>
      </c>
      <c r="B1917" t="str">
        <f xml:space="preserve"> "600121"</f>
        <v>600121</v>
      </c>
      <c r="C1917" t="s">
        <v>6572</v>
      </c>
      <c r="D1917">
        <v>6.53</v>
      </c>
      <c r="E1917">
        <v>0.15</v>
      </c>
      <c r="F1917">
        <v>0.01</v>
      </c>
      <c r="G1917" t="s">
        <v>1547</v>
      </c>
      <c r="H1917">
        <v>40</v>
      </c>
      <c r="I1917">
        <v>6.53</v>
      </c>
      <c r="J1917">
        <v>6.54</v>
      </c>
      <c r="K1917">
        <v>0.15</v>
      </c>
      <c r="L1917">
        <v>0.42</v>
      </c>
      <c r="M1917" t="s">
        <v>6573</v>
      </c>
      <c r="N1917">
        <v>8.17</v>
      </c>
      <c r="O1917" t="s">
        <v>150</v>
      </c>
      <c r="P1917">
        <v>6.57</v>
      </c>
      <c r="Q1917">
        <v>6.47</v>
      </c>
      <c r="R1917">
        <v>6.52</v>
      </c>
      <c r="S1917">
        <v>6.52</v>
      </c>
      <c r="T1917">
        <v>1.53</v>
      </c>
      <c r="U1917">
        <v>0.59</v>
      </c>
      <c r="V1917">
        <v>-24.58</v>
      </c>
      <c r="W1917">
        <v>-1136</v>
      </c>
      <c r="X1917">
        <v>6.52</v>
      </c>
      <c r="Y1917" t="s">
        <v>432</v>
      </c>
      <c r="Z1917" t="s">
        <v>3483</v>
      </c>
      <c r="AA1917">
        <v>1.05</v>
      </c>
      <c r="AB1917">
        <v>51</v>
      </c>
      <c r="AC1917">
        <v>484</v>
      </c>
      <c r="AD1917">
        <v>2.08</v>
      </c>
      <c r="AE1917" t="s">
        <v>1766</v>
      </c>
      <c r="AF1917" t="s">
        <v>6574</v>
      </c>
      <c r="AG1917" t="s">
        <v>1766</v>
      </c>
      <c r="AH1917" t="s">
        <v>6574</v>
      </c>
      <c r="AI1917">
        <v>-0.15</v>
      </c>
      <c r="AJ1917">
        <v>-1.06</v>
      </c>
      <c r="AK1917">
        <v>1.9</v>
      </c>
      <c r="AL1917">
        <v>3.93</v>
      </c>
    </row>
    <row r="1918" spans="1:38" x14ac:dyDescent="0.25">
      <c r="A1918">
        <v>1917</v>
      </c>
      <c r="B1918" t="str">
        <f xml:space="preserve"> "600526"</f>
        <v>600526</v>
      </c>
      <c r="C1918" t="s">
        <v>6575</v>
      </c>
      <c r="D1918">
        <v>12.11</v>
      </c>
      <c r="E1918">
        <v>9.99</v>
      </c>
      <c r="F1918">
        <v>1.1000000000000001</v>
      </c>
      <c r="G1918" t="s">
        <v>457</v>
      </c>
      <c r="H1918">
        <v>73</v>
      </c>
      <c r="I1918">
        <v>12.11</v>
      </c>
      <c r="J1918" t="s">
        <v>616</v>
      </c>
      <c r="K1918">
        <v>0</v>
      </c>
      <c r="L1918">
        <v>9.33</v>
      </c>
      <c r="M1918" t="s">
        <v>4970</v>
      </c>
      <c r="N1918">
        <v>92.51</v>
      </c>
      <c r="O1918" t="s">
        <v>2647</v>
      </c>
      <c r="P1918">
        <v>12.11</v>
      </c>
      <c r="Q1918">
        <v>10.95</v>
      </c>
      <c r="R1918">
        <v>11.05</v>
      </c>
      <c r="S1918">
        <v>11.01</v>
      </c>
      <c r="T1918">
        <v>10.54</v>
      </c>
      <c r="U1918">
        <v>5.27</v>
      </c>
      <c r="V1918">
        <v>100</v>
      </c>
      <c r="W1918" t="s">
        <v>1879</v>
      </c>
      <c r="X1918">
        <v>11.7</v>
      </c>
      <c r="Y1918" t="s">
        <v>235</v>
      </c>
      <c r="Z1918" t="s">
        <v>308</v>
      </c>
      <c r="AA1918">
        <v>0.77</v>
      </c>
      <c r="AB1918" t="s">
        <v>2476</v>
      </c>
      <c r="AC1918">
        <v>0</v>
      </c>
      <c r="AD1918">
        <v>2.61</v>
      </c>
      <c r="AE1918" t="s">
        <v>6576</v>
      </c>
      <c r="AF1918" t="s">
        <v>6574</v>
      </c>
      <c r="AG1918" t="s">
        <v>2164</v>
      </c>
      <c r="AH1918" t="s">
        <v>2046</v>
      </c>
      <c r="AI1918">
        <v>8.1300000000000008</v>
      </c>
      <c r="AJ1918">
        <v>13.5</v>
      </c>
      <c r="AK1918">
        <v>12.59</v>
      </c>
      <c r="AL1918">
        <v>18.190000000000001</v>
      </c>
    </row>
    <row r="1919" spans="1:38" x14ac:dyDescent="0.25">
      <c r="A1919">
        <v>1918</v>
      </c>
      <c r="B1919" t="str">
        <f xml:space="preserve"> "600439"</f>
        <v>600439</v>
      </c>
      <c r="C1919" t="s">
        <v>6577</v>
      </c>
      <c r="D1919">
        <v>5.85</v>
      </c>
      <c r="E1919">
        <v>-0.51</v>
      </c>
      <c r="F1919">
        <v>-0.03</v>
      </c>
      <c r="G1919" t="s">
        <v>1524</v>
      </c>
      <c r="H1919">
        <v>14</v>
      </c>
      <c r="I1919">
        <v>5.84</v>
      </c>
      <c r="J1919">
        <v>5.85</v>
      </c>
      <c r="K1919">
        <v>0</v>
      </c>
      <c r="L1919">
        <v>0.39</v>
      </c>
      <c r="M1919" t="s">
        <v>6578</v>
      </c>
      <c r="N1919">
        <v>31.47</v>
      </c>
      <c r="O1919" t="s">
        <v>5499</v>
      </c>
      <c r="P1919">
        <v>5.88</v>
      </c>
      <c r="Q1919">
        <v>5.8</v>
      </c>
      <c r="R1919">
        <v>5.88</v>
      </c>
      <c r="S1919">
        <v>5.88</v>
      </c>
      <c r="T1919">
        <v>1.36</v>
      </c>
      <c r="U1919">
        <v>0.7</v>
      </c>
      <c r="V1919">
        <v>21.72</v>
      </c>
      <c r="W1919">
        <v>3444</v>
      </c>
      <c r="X1919">
        <v>5.84</v>
      </c>
      <c r="Y1919" t="s">
        <v>2099</v>
      </c>
      <c r="Z1919" t="s">
        <v>3130</v>
      </c>
      <c r="AA1919">
        <v>1.64</v>
      </c>
      <c r="AB1919">
        <v>414</v>
      </c>
      <c r="AC1919">
        <v>1519</v>
      </c>
      <c r="AD1919">
        <v>2.79</v>
      </c>
      <c r="AE1919" t="s">
        <v>2756</v>
      </c>
      <c r="AF1919" t="s">
        <v>3162</v>
      </c>
      <c r="AG1919" t="s">
        <v>2756</v>
      </c>
      <c r="AH1919" t="s">
        <v>3162</v>
      </c>
      <c r="AI1919">
        <v>-1.68</v>
      </c>
      <c r="AJ1919">
        <v>-2.17</v>
      </c>
      <c r="AK1919">
        <v>1.1399999999999999</v>
      </c>
      <c r="AL1919">
        <v>3.22</v>
      </c>
    </row>
    <row r="1920" spans="1:38" x14ac:dyDescent="0.25">
      <c r="A1920">
        <v>1919</v>
      </c>
      <c r="B1920" t="str">
        <f xml:space="preserve"> "000605"</f>
        <v>000605</v>
      </c>
      <c r="C1920" t="s">
        <v>6579</v>
      </c>
      <c r="D1920">
        <v>26.27</v>
      </c>
      <c r="E1920">
        <v>3.55</v>
      </c>
      <c r="F1920">
        <v>0.9</v>
      </c>
      <c r="G1920" t="s">
        <v>3960</v>
      </c>
      <c r="H1920">
        <v>2814</v>
      </c>
      <c r="I1920">
        <v>26.27</v>
      </c>
      <c r="J1920">
        <v>26.28</v>
      </c>
      <c r="K1920">
        <v>0.15</v>
      </c>
      <c r="L1920">
        <v>4.6900000000000004</v>
      </c>
      <c r="M1920" t="s">
        <v>1197</v>
      </c>
      <c r="N1920">
        <v>112.7</v>
      </c>
      <c r="O1920" t="s">
        <v>2085</v>
      </c>
      <c r="P1920">
        <v>26.49</v>
      </c>
      <c r="Q1920">
        <v>25.29</v>
      </c>
      <c r="R1920">
        <v>25.42</v>
      </c>
      <c r="S1920">
        <v>25.37</v>
      </c>
      <c r="T1920">
        <v>4.7300000000000004</v>
      </c>
      <c r="U1920">
        <v>1.37</v>
      </c>
      <c r="V1920">
        <v>52.3</v>
      </c>
      <c r="W1920">
        <v>1487</v>
      </c>
      <c r="X1920">
        <v>26.01</v>
      </c>
      <c r="Y1920" t="s">
        <v>3213</v>
      </c>
      <c r="Z1920" t="s">
        <v>6580</v>
      </c>
      <c r="AA1920">
        <v>0.56000000000000005</v>
      </c>
      <c r="AB1920">
        <v>403</v>
      </c>
      <c r="AC1920">
        <v>159</v>
      </c>
      <c r="AD1920">
        <v>3.39</v>
      </c>
      <c r="AE1920" t="s">
        <v>5050</v>
      </c>
      <c r="AF1920" t="s">
        <v>3162</v>
      </c>
      <c r="AG1920" t="s">
        <v>1935</v>
      </c>
      <c r="AH1920" t="s">
        <v>5770</v>
      </c>
      <c r="AI1920">
        <v>-1.02</v>
      </c>
      <c r="AJ1920">
        <v>-1.0900000000000001</v>
      </c>
      <c r="AK1920">
        <v>11.49</v>
      </c>
      <c r="AL1920">
        <v>21.79</v>
      </c>
    </row>
    <row r="1921" spans="1:38" x14ac:dyDescent="0.25">
      <c r="A1921">
        <v>1920</v>
      </c>
      <c r="B1921" t="str">
        <f xml:space="preserve"> "002229"</f>
        <v>002229</v>
      </c>
      <c r="C1921" t="s">
        <v>6581</v>
      </c>
      <c r="D1921">
        <v>13.16</v>
      </c>
      <c r="E1921">
        <v>4.8600000000000003</v>
      </c>
      <c r="F1921">
        <v>0.61</v>
      </c>
      <c r="G1921" t="s">
        <v>92</v>
      </c>
      <c r="H1921" t="s">
        <v>2241</v>
      </c>
      <c r="I1921">
        <v>13.16</v>
      </c>
      <c r="J1921">
        <v>13.17</v>
      </c>
      <c r="K1921">
        <v>0.23</v>
      </c>
      <c r="L1921">
        <v>13.78</v>
      </c>
      <c r="M1921" t="s">
        <v>4717</v>
      </c>
      <c r="N1921">
        <v>-199.07</v>
      </c>
      <c r="O1921" t="s">
        <v>1874</v>
      </c>
      <c r="P1921">
        <v>13.81</v>
      </c>
      <c r="Q1921">
        <v>12.25</v>
      </c>
      <c r="R1921">
        <v>12.48</v>
      </c>
      <c r="S1921">
        <v>12.55</v>
      </c>
      <c r="T1921">
        <v>12.43</v>
      </c>
      <c r="U1921">
        <v>3.75</v>
      </c>
      <c r="V1921">
        <v>65.44</v>
      </c>
      <c r="W1921">
        <v>3690</v>
      </c>
      <c r="X1921">
        <v>13.09</v>
      </c>
      <c r="Y1921" t="s">
        <v>307</v>
      </c>
      <c r="Z1921" t="s">
        <v>4765</v>
      </c>
      <c r="AA1921">
        <v>1.1299999999999999</v>
      </c>
      <c r="AB1921">
        <v>777</v>
      </c>
      <c r="AC1921">
        <v>103</v>
      </c>
      <c r="AD1921">
        <v>4.1100000000000003</v>
      </c>
      <c r="AE1921" t="s">
        <v>1613</v>
      </c>
      <c r="AF1921" t="s">
        <v>3162</v>
      </c>
      <c r="AG1921" t="s">
        <v>4391</v>
      </c>
      <c r="AH1921" t="s">
        <v>6582</v>
      </c>
      <c r="AI1921">
        <v>9.76</v>
      </c>
      <c r="AJ1921">
        <v>14.43</v>
      </c>
      <c r="AK1921">
        <v>25.4</v>
      </c>
      <c r="AL1921">
        <v>32.159999999999997</v>
      </c>
    </row>
    <row r="1922" spans="1:38" x14ac:dyDescent="0.25">
      <c r="A1922">
        <v>1921</v>
      </c>
      <c r="B1922" t="str">
        <f xml:space="preserve"> "002114"</f>
        <v>002114</v>
      </c>
      <c r="C1922" t="s">
        <v>6583</v>
      </c>
      <c r="D1922">
        <v>20.45</v>
      </c>
      <c r="E1922">
        <v>0.1</v>
      </c>
      <c r="F1922">
        <v>0.02</v>
      </c>
      <c r="G1922" t="s">
        <v>1961</v>
      </c>
      <c r="H1922">
        <v>406</v>
      </c>
      <c r="I1922">
        <v>20.45</v>
      </c>
      <c r="J1922">
        <v>20.46</v>
      </c>
      <c r="K1922">
        <v>-0.05</v>
      </c>
      <c r="L1922">
        <v>0.88</v>
      </c>
      <c r="M1922" t="s">
        <v>6584</v>
      </c>
      <c r="N1922">
        <v>424.15</v>
      </c>
      <c r="O1922" t="s">
        <v>449</v>
      </c>
      <c r="P1922">
        <v>20.5</v>
      </c>
      <c r="Q1922">
        <v>20.309999999999999</v>
      </c>
      <c r="R1922">
        <v>20.309999999999999</v>
      </c>
      <c r="S1922">
        <v>20.43</v>
      </c>
      <c r="T1922">
        <v>0.93</v>
      </c>
      <c r="U1922">
        <v>0.56999999999999995</v>
      </c>
      <c r="V1922">
        <v>-10.73</v>
      </c>
      <c r="W1922">
        <v>-173</v>
      </c>
      <c r="X1922">
        <v>20.41</v>
      </c>
      <c r="Y1922" t="s">
        <v>2518</v>
      </c>
      <c r="Z1922" t="s">
        <v>5181</v>
      </c>
      <c r="AA1922">
        <v>1.26</v>
      </c>
      <c r="AB1922">
        <v>353</v>
      </c>
      <c r="AC1922">
        <v>178</v>
      </c>
      <c r="AD1922">
        <v>3.77</v>
      </c>
      <c r="AE1922" t="s">
        <v>3150</v>
      </c>
      <c r="AF1922" t="s">
        <v>3983</v>
      </c>
      <c r="AG1922" t="s">
        <v>2333</v>
      </c>
      <c r="AH1922" t="s">
        <v>6233</v>
      </c>
      <c r="AI1922">
        <v>-1.35</v>
      </c>
      <c r="AJ1922">
        <v>-0.44</v>
      </c>
      <c r="AK1922">
        <v>3.85</v>
      </c>
      <c r="AL1922">
        <v>8.68</v>
      </c>
    </row>
    <row r="1923" spans="1:38" x14ac:dyDescent="0.25">
      <c r="A1923">
        <v>1922</v>
      </c>
      <c r="B1923" t="str">
        <f xml:space="preserve"> "002781"</f>
        <v>002781</v>
      </c>
      <c r="C1923" t="s">
        <v>6585</v>
      </c>
      <c r="D1923" t="s">
        <v>616</v>
      </c>
      <c r="E1923" t="s">
        <v>616</v>
      </c>
      <c r="F1923" t="s">
        <v>616</v>
      </c>
      <c r="G1923" t="s">
        <v>616</v>
      </c>
      <c r="H1923" t="s">
        <v>616</v>
      </c>
      <c r="I1923" t="s">
        <v>616</v>
      </c>
      <c r="J1923" t="s">
        <v>616</v>
      </c>
      <c r="K1923" t="s">
        <v>616</v>
      </c>
      <c r="L1923" t="s">
        <v>616</v>
      </c>
      <c r="M1923" t="s">
        <v>616</v>
      </c>
      <c r="N1923">
        <v>47.43</v>
      </c>
      <c r="O1923" t="s">
        <v>263</v>
      </c>
      <c r="P1923" t="s">
        <v>616</v>
      </c>
      <c r="Q1923" t="s">
        <v>616</v>
      </c>
      <c r="R1923" t="s">
        <v>616</v>
      </c>
      <c r="S1923">
        <v>29.39</v>
      </c>
      <c r="T1923" t="s">
        <v>616</v>
      </c>
      <c r="U1923" t="s">
        <v>616</v>
      </c>
      <c r="V1923" t="s">
        <v>616</v>
      </c>
      <c r="W1923" t="s">
        <v>616</v>
      </c>
      <c r="X1923" t="s">
        <v>616</v>
      </c>
      <c r="Y1923" t="s">
        <v>616</v>
      </c>
      <c r="Z1923" t="s">
        <v>616</v>
      </c>
      <c r="AA1923" t="s">
        <v>616</v>
      </c>
      <c r="AB1923" t="s">
        <v>616</v>
      </c>
      <c r="AC1923" t="s">
        <v>616</v>
      </c>
      <c r="AD1923">
        <v>3.92</v>
      </c>
      <c r="AE1923" t="s">
        <v>845</v>
      </c>
      <c r="AF1923" t="s">
        <v>3983</v>
      </c>
      <c r="AG1923" t="s">
        <v>6586</v>
      </c>
      <c r="AH1923" t="s">
        <v>1030</v>
      </c>
      <c r="AI1923">
        <v>0</v>
      </c>
      <c r="AJ1923">
        <v>0</v>
      </c>
      <c r="AK1923">
        <v>0</v>
      </c>
      <c r="AL1923">
        <v>0</v>
      </c>
    </row>
    <row r="1924" spans="1:38" x14ac:dyDescent="0.25">
      <c r="A1924">
        <v>1923</v>
      </c>
      <c r="B1924" t="str">
        <f xml:space="preserve"> "603166"</f>
        <v>603166</v>
      </c>
      <c r="C1924" t="s">
        <v>6587</v>
      </c>
      <c r="D1924">
        <v>11.16</v>
      </c>
      <c r="E1924">
        <v>0.09</v>
      </c>
      <c r="F1924">
        <v>0.01</v>
      </c>
      <c r="G1924" t="s">
        <v>928</v>
      </c>
      <c r="H1924">
        <v>3</v>
      </c>
      <c r="I1924">
        <v>11.13</v>
      </c>
      <c r="J1924">
        <v>11.14</v>
      </c>
      <c r="K1924">
        <v>-0.09</v>
      </c>
      <c r="L1924">
        <v>2.17</v>
      </c>
      <c r="M1924" t="s">
        <v>6588</v>
      </c>
      <c r="N1924">
        <v>40.130000000000003</v>
      </c>
      <c r="O1924" t="s">
        <v>169</v>
      </c>
      <c r="P1924">
        <v>11.18</v>
      </c>
      <c r="Q1924">
        <v>11.01</v>
      </c>
      <c r="R1924">
        <v>11.17</v>
      </c>
      <c r="S1924">
        <v>11.15</v>
      </c>
      <c r="T1924">
        <v>1.52</v>
      </c>
      <c r="U1924">
        <v>0.92</v>
      </c>
      <c r="V1924">
        <v>-46.63</v>
      </c>
      <c r="W1924">
        <v>-607</v>
      </c>
      <c r="X1924">
        <v>11.08</v>
      </c>
      <c r="Y1924" t="s">
        <v>1340</v>
      </c>
      <c r="Z1924" t="s">
        <v>603</v>
      </c>
      <c r="AA1924">
        <v>1.29</v>
      </c>
      <c r="AB1924">
        <v>68</v>
      </c>
      <c r="AC1924">
        <v>32</v>
      </c>
      <c r="AD1924">
        <v>3.21</v>
      </c>
      <c r="AE1924" t="s">
        <v>6280</v>
      </c>
      <c r="AF1924" t="s">
        <v>3983</v>
      </c>
      <c r="AG1924" t="s">
        <v>598</v>
      </c>
      <c r="AH1924" t="s">
        <v>1375</v>
      </c>
      <c r="AI1924">
        <v>-1.33</v>
      </c>
      <c r="AJ1924">
        <v>4.2</v>
      </c>
      <c r="AK1924">
        <v>6.22</v>
      </c>
      <c r="AL1924">
        <v>14.02</v>
      </c>
    </row>
    <row r="1925" spans="1:38" x14ac:dyDescent="0.25">
      <c r="A1925">
        <v>1924</v>
      </c>
      <c r="B1925" t="str">
        <f xml:space="preserve"> "000514"</f>
        <v>000514</v>
      </c>
      <c r="C1925" t="s">
        <v>6589</v>
      </c>
      <c r="D1925">
        <v>7.83</v>
      </c>
      <c r="E1925">
        <v>1.82</v>
      </c>
      <c r="F1925">
        <v>0.14000000000000001</v>
      </c>
      <c r="G1925" t="s">
        <v>1353</v>
      </c>
      <c r="H1925">
        <v>1723</v>
      </c>
      <c r="I1925">
        <v>7.83</v>
      </c>
      <c r="J1925">
        <v>7.84</v>
      </c>
      <c r="K1925">
        <v>0</v>
      </c>
      <c r="L1925">
        <v>1.18</v>
      </c>
      <c r="M1925" t="s">
        <v>6590</v>
      </c>
      <c r="N1925">
        <v>70.260000000000005</v>
      </c>
      <c r="O1925" t="s">
        <v>244</v>
      </c>
      <c r="P1925">
        <v>7.94</v>
      </c>
      <c r="Q1925">
        <v>7.76</v>
      </c>
      <c r="R1925">
        <v>7.79</v>
      </c>
      <c r="S1925">
        <v>7.69</v>
      </c>
      <c r="T1925">
        <v>2.34</v>
      </c>
      <c r="U1925">
        <v>2.08</v>
      </c>
      <c r="V1925">
        <v>-31.73</v>
      </c>
      <c r="W1925">
        <v>-3358</v>
      </c>
      <c r="X1925">
        <v>7.85</v>
      </c>
      <c r="Y1925" t="s">
        <v>3331</v>
      </c>
      <c r="Z1925" t="s">
        <v>2889</v>
      </c>
      <c r="AA1925">
        <v>0.72</v>
      </c>
      <c r="AB1925">
        <v>124</v>
      </c>
      <c r="AC1925">
        <v>2738</v>
      </c>
      <c r="AD1925">
        <v>2.23</v>
      </c>
      <c r="AE1925" t="s">
        <v>4392</v>
      </c>
      <c r="AF1925" t="s">
        <v>3983</v>
      </c>
      <c r="AG1925" t="s">
        <v>4392</v>
      </c>
      <c r="AH1925" t="s">
        <v>3983</v>
      </c>
      <c r="AI1925">
        <v>1.1599999999999999</v>
      </c>
      <c r="AJ1925">
        <v>3.57</v>
      </c>
      <c r="AK1925">
        <v>2.37</v>
      </c>
      <c r="AL1925">
        <v>4.03</v>
      </c>
    </row>
    <row r="1926" spans="1:38" x14ac:dyDescent="0.25">
      <c r="A1926">
        <v>1925</v>
      </c>
      <c r="B1926" t="str">
        <f xml:space="preserve"> "600653"</f>
        <v>600653</v>
      </c>
      <c r="C1926" t="s">
        <v>6591</v>
      </c>
      <c r="D1926">
        <v>3.39</v>
      </c>
      <c r="E1926">
        <v>0.3</v>
      </c>
      <c r="F1926">
        <v>0.01</v>
      </c>
      <c r="G1926" t="s">
        <v>282</v>
      </c>
      <c r="H1926">
        <v>59</v>
      </c>
      <c r="I1926">
        <v>3.38</v>
      </c>
      <c r="J1926">
        <v>3.39</v>
      </c>
      <c r="K1926">
        <v>0.3</v>
      </c>
      <c r="L1926">
        <v>0.49</v>
      </c>
      <c r="M1926" t="s">
        <v>6592</v>
      </c>
      <c r="N1926">
        <v>-18.91</v>
      </c>
      <c r="O1926" t="s">
        <v>3277</v>
      </c>
      <c r="P1926">
        <v>3.4</v>
      </c>
      <c r="Q1926">
        <v>3.36</v>
      </c>
      <c r="R1926">
        <v>3.37</v>
      </c>
      <c r="S1926">
        <v>3.38</v>
      </c>
      <c r="T1926">
        <v>1.18</v>
      </c>
      <c r="U1926">
        <v>0.55000000000000004</v>
      </c>
      <c r="V1926">
        <v>-9.4700000000000006</v>
      </c>
      <c r="W1926">
        <v>-3479</v>
      </c>
      <c r="X1926">
        <v>3.38</v>
      </c>
      <c r="Y1926" t="s">
        <v>2406</v>
      </c>
      <c r="Z1926" t="s">
        <v>1181</v>
      </c>
      <c r="AA1926">
        <v>1.44</v>
      </c>
      <c r="AB1926">
        <v>5686</v>
      </c>
      <c r="AC1926">
        <v>2822</v>
      </c>
      <c r="AD1926">
        <v>2.99</v>
      </c>
      <c r="AE1926" t="s">
        <v>931</v>
      </c>
      <c r="AF1926" t="s">
        <v>6593</v>
      </c>
      <c r="AG1926" t="s">
        <v>2314</v>
      </c>
      <c r="AH1926" t="s">
        <v>502</v>
      </c>
      <c r="AI1926">
        <v>-0.59</v>
      </c>
      <c r="AJ1926">
        <v>2.11</v>
      </c>
      <c r="AK1926">
        <v>2.4300000000000002</v>
      </c>
      <c r="AL1926">
        <v>4.9400000000000004</v>
      </c>
    </row>
    <row r="1927" spans="1:38" x14ac:dyDescent="0.25">
      <c r="A1927">
        <v>1926</v>
      </c>
      <c r="B1927" t="str">
        <f xml:space="preserve"> "300236"</f>
        <v>300236</v>
      </c>
      <c r="C1927" t="s">
        <v>6594</v>
      </c>
      <c r="D1927">
        <v>34.049999999999997</v>
      </c>
      <c r="E1927">
        <v>1.43</v>
      </c>
      <c r="F1927">
        <v>0.48</v>
      </c>
      <c r="G1927" t="s">
        <v>1796</v>
      </c>
      <c r="H1927">
        <v>744</v>
      </c>
      <c r="I1927">
        <v>34.049999999999997</v>
      </c>
      <c r="J1927">
        <v>34.06</v>
      </c>
      <c r="K1927">
        <v>0.15</v>
      </c>
      <c r="L1927">
        <v>3.05</v>
      </c>
      <c r="M1927" t="s">
        <v>6595</v>
      </c>
      <c r="N1927">
        <v>95.07</v>
      </c>
      <c r="O1927" t="s">
        <v>859</v>
      </c>
      <c r="P1927">
        <v>34.380000000000003</v>
      </c>
      <c r="Q1927">
        <v>33.71</v>
      </c>
      <c r="R1927">
        <v>33.729999999999997</v>
      </c>
      <c r="S1927">
        <v>33.57</v>
      </c>
      <c r="T1927">
        <v>2</v>
      </c>
      <c r="U1927">
        <v>0.71</v>
      </c>
      <c r="V1927">
        <v>80.680000000000007</v>
      </c>
      <c r="W1927">
        <v>660</v>
      </c>
      <c r="X1927">
        <v>34.06</v>
      </c>
      <c r="Y1927" t="s">
        <v>2089</v>
      </c>
      <c r="Z1927" t="s">
        <v>4590</v>
      </c>
      <c r="AA1927">
        <v>0.79</v>
      </c>
      <c r="AB1927">
        <v>76</v>
      </c>
      <c r="AC1927">
        <v>32</v>
      </c>
      <c r="AD1927">
        <v>5.33</v>
      </c>
      <c r="AE1927" t="s">
        <v>629</v>
      </c>
      <c r="AF1927" t="s">
        <v>6593</v>
      </c>
      <c r="AG1927" t="s">
        <v>6596</v>
      </c>
      <c r="AH1927" t="s">
        <v>3615</v>
      </c>
      <c r="AI1927">
        <v>-2.04</v>
      </c>
      <c r="AJ1927">
        <v>2.16</v>
      </c>
      <c r="AK1927">
        <v>9.8800000000000008</v>
      </c>
      <c r="AL1927">
        <v>24.48</v>
      </c>
    </row>
    <row r="1928" spans="1:38" x14ac:dyDescent="0.25">
      <c r="A1928">
        <v>1927</v>
      </c>
      <c r="B1928" t="str">
        <f xml:space="preserve"> "603586"</f>
        <v>603586</v>
      </c>
      <c r="C1928" t="s">
        <v>6597</v>
      </c>
      <c r="D1928">
        <v>31.5</v>
      </c>
      <c r="E1928">
        <v>1.06</v>
      </c>
      <c r="F1928">
        <v>0.33</v>
      </c>
      <c r="G1928" t="s">
        <v>1579</v>
      </c>
      <c r="H1928">
        <v>2</v>
      </c>
      <c r="I1928">
        <v>31.49</v>
      </c>
      <c r="J1928">
        <v>31.5</v>
      </c>
      <c r="K1928">
        <v>0.06</v>
      </c>
      <c r="L1928">
        <v>2.61</v>
      </c>
      <c r="M1928" t="s">
        <v>6598</v>
      </c>
      <c r="N1928">
        <v>32.549999999999997</v>
      </c>
      <c r="O1928" t="s">
        <v>169</v>
      </c>
      <c r="P1928">
        <v>31.66</v>
      </c>
      <c r="Q1928">
        <v>31.01</v>
      </c>
      <c r="R1928">
        <v>31.05</v>
      </c>
      <c r="S1928">
        <v>31.17</v>
      </c>
      <c r="T1928">
        <v>2.09</v>
      </c>
      <c r="U1928">
        <v>1.02</v>
      </c>
      <c r="V1928">
        <v>28</v>
      </c>
      <c r="W1928">
        <v>210</v>
      </c>
      <c r="X1928">
        <v>31.45</v>
      </c>
      <c r="Y1928">
        <v>7393</v>
      </c>
      <c r="Z1928">
        <v>6312</v>
      </c>
      <c r="AA1928">
        <v>1.17</v>
      </c>
      <c r="AB1928">
        <v>10</v>
      </c>
      <c r="AC1928">
        <v>104</v>
      </c>
      <c r="AD1928">
        <v>3.23</v>
      </c>
      <c r="AE1928" t="s">
        <v>2519</v>
      </c>
      <c r="AF1928" t="s">
        <v>6593</v>
      </c>
      <c r="AG1928" t="s">
        <v>6599</v>
      </c>
      <c r="AH1928" t="s">
        <v>1889</v>
      </c>
      <c r="AI1928">
        <v>-0.88</v>
      </c>
      <c r="AJ1928">
        <v>2.37</v>
      </c>
      <c r="AK1928">
        <v>7.93</v>
      </c>
      <c r="AL1928">
        <v>15.43</v>
      </c>
    </row>
    <row r="1929" spans="1:38" x14ac:dyDescent="0.25">
      <c r="A1929">
        <v>1928</v>
      </c>
      <c r="B1929" t="str">
        <f xml:space="preserve"> "002334"</f>
        <v>002334</v>
      </c>
      <c r="C1929" t="s">
        <v>6600</v>
      </c>
      <c r="D1929">
        <v>8.7200000000000006</v>
      </c>
      <c r="E1929">
        <v>-0.23</v>
      </c>
      <c r="F1929">
        <v>-0.02</v>
      </c>
      <c r="G1929" t="s">
        <v>4843</v>
      </c>
      <c r="H1929">
        <v>794</v>
      </c>
      <c r="I1929">
        <v>8.7200000000000006</v>
      </c>
      <c r="J1929">
        <v>8.73</v>
      </c>
      <c r="K1929">
        <v>0</v>
      </c>
      <c r="L1929">
        <v>0.73</v>
      </c>
      <c r="M1929" t="s">
        <v>6601</v>
      </c>
      <c r="N1929">
        <v>36.24</v>
      </c>
      <c r="O1929" t="s">
        <v>680</v>
      </c>
      <c r="P1929">
        <v>8.77</v>
      </c>
      <c r="Q1929">
        <v>8.6</v>
      </c>
      <c r="R1929">
        <v>8.65</v>
      </c>
      <c r="S1929">
        <v>8.74</v>
      </c>
      <c r="T1929">
        <v>1.95</v>
      </c>
      <c r="U1929">
        <v>0.35</v>
      </c>
      <c r="V1929">
        <v>-31.44</v>
      </c>
      <c r="W1929">
        <v>-1060</v>
      </c>
      <c r="X1929">
        <v>8.69</v>
      </c>
      <c r="Y1929" t="s">
        <v>1420</v>
      </c>
      <c r="Z1929" t="s">
        <v>658</v>
      </c>
      <c r="AA1929">
        <v>1.0900000000000001</v>
      </c>
      <c r="AB1929">
        <v>99</v>
      </c>
      <c r="AC1929">
        <v>194</v>
      </c>
      <c r="AD1929">
        <v>3.96</v>
      </c>
      <c r="AE1929" t="s">
        <v>5711</v>
      </c>
      <c r="AF1929" t="s">
        <v>6602</v>
      </c>
      <c r="AG1929" t="s">
        <v>2954</v>
      </c>
      <c r="AH1929" t="s">
        <v>6603</v>
      </c>
      <c r="AI1929">
        <v>-3.22</v>
      </c>
      <c r="AJ1929">
        <v>-4.07</v>
      </c>
      <c r="AK1929">
        <v>5.27</v>
      </c>
      <c r="AL1929">
        <v>11.09</v>
      </c>
    </row>
    <row r="1930" spans="1:38" x14ac:dyDescent="0.25">
      <c r="A1930">
        <v>1929</v>
      </c>
      <c r="B1930" t="str">
        <f xml:space="preserve"> "002538"</f>
        <v>002538</v>
      </c>
      <c r="C1930" t="s">
        <v>6604</v>
      </c>
      <c r="D1930">
        <v>9.17</v>
      </c>
      <c r="E1930">
        <v>1.44</v>
      </c>
      <c r="F1930">
        <v>0.13</v>
      </c>
      <c r="G1930" t="s">
        <v>3700</v>
      </c>
      <c r="H1930">
        <v>841</v>
      </c>
      <c r="I1930">
        <v>9.16</v>
      </c>
      <c r="J1930">
        <v>9.17</v>
      </c>
      <c r="K1930">
        <v>-0.11</v>
      </c>
      <c r="L1930">
        <v>1.08</v>
      </c>
      <c r="M1930" t="s">
        <v>6605</v>
      </c>
      <c r="N1930">
        <v>36.229999999999997</v>
      </c>
      <c r="O1930" t="s">
        <v>1936</v>
      </c>
      <c r="P1930">
        <v>9.2200000000000006</v>
      </c>
      <c r="Q1930">
        <v>9.0500000000000007</v>
      </c>
      <c r="R1930">
        <v>9.0500000000000007</v>
      </c>
      <c r="S1930">
        <v>9.0399999999999991</v>
      </c>
      <c r="T1930">
        <v>1.88</v>
      </c>
      <c r="U1930">
        <v>1.92</v>
      </c>
      <c r="V1930">
        <v>-66.61</v>
      </c>
      <c r="W1930">
        <v>-5080</v>
      </c>
      <c r="X1930">
        <v>9.17</v>
      </c>
      <c r="Y1930" t="s">
        <v>659</v>
      </c>
      <c r="Z1930" t="s">
        <v>710</v>
      </c>
      <c r="AA1930">
        <v>0.67</v>
      </c>
      <c r="AB1930">
        <v>309</v>
      </c>
      <c r="AC1930">
        <v>454</v>
      </c>
      <c r="AD1930">
        <v>2.06</v>
      </c>
      <c r="AE1930" t="s">
        <v>6325</v>
      </c>
      <c r="AF1930" t="s">
        <v>6602</v>
      </c>
      <c r="AG1930" t="s">
        <v>1866</v>
      </c>
      <c r="AH1930" t="s">
        <v>3375</v>
      </c>
      <c r="AI1930">
        <v>1.78</v>
      </c>
      <c r="AJ1930">
        <v>3.03</v>
      </c>
      <c r="AK1930">
        <v>2.57</v>
      </c>
      <c r="AL1930">
        <v>3.88</v>
      </c>
    </row>
    <row r="1931" spans="1:38" x14ac:dyDescent="0.25">
      <c r="A1931">
        <v>1930</v>
      </c>
      <c r="B1931" t="str">
        <f xml:space="preserve"> "600168"</f>
        <v>600168</v>
      </c>
      <c r="C1931" t="s">
        <v>6606</v>
      </c>
      <c r="D1931">
        <v>9.2799999999999994</v>
      </c>
      <c r="E1931">
        <v>3.57</v>
      </c>
      <c r="F1931">
        <v>0.32</v>
      </c>
      <c r="G1931" t="s">
        <v>3469</v>
      </c>
      <c r="H1931">
        <v>5</v>
      </c>
      <c r="I1931">
        <v>9.27</v>
      </c>
      <c r="J1931">
        <v>9.2799999999999994</v>
      </c>
      <c r="K1931">
        <v>0.11</v>
      </c>
      <c r="L1931">
        <v>2.2200000000000002</v>
      </c>
      <c r="M1931" t="s">
        <v>2106</v>
      </c>
      <c r="N1931">
        <v>19.899999999999999</v>
      </c>
      <c r="O1931" t="s">
        <v>2085</v>
      </c>
      <c r="P1931">
        <v>9.32</v>
      </c>
      <c r="Q1931">
        <v>8.9499999999999993</v>
      </c>
      <c r="R1931">
        <v>8.9499999999999993</v>
      </c>
      <c r="S1931">
        <v>8.9600000000000009</v>
      </c>
      <c r="T1931">
        <v>4.13</v>
      </c>
      <c r="U1931">
        <v>4.16</v>
      </c>
      <c r="V1931">
        <v>-28.39</v>
      </c>
      <c r="W1931">
        <v>-1685</v>
      </c>
      <c r="X1931">
        <v>9.19</v>
      </c>
      <c r="Y1931" t="s">
        <v>3404</v>
      </c>
      <c r="Z1931" t="s">
        <v>6607</v>
      </c>
      <c r="AA1931">
        <v>0.61</v>
      </c>
      <c r="AB1931">
        <v>514</v>
      </c>
      <c r="AC1931">
        <v>10</v>
      </c>
      <c r="AD1931">
        <v>1.42</v>
      </c>
      <c r="AE1931" t="s">
        <v>6054</v>
      </c>
      <c r="AF1931" t="s">
        <v>6608</v>
      </c>
      <c r="AG1931" t="s">
        <v>6054</v>
      </c>
      <c r="AH1931" t="s">
        <v>6608</v>
      </c>
      <c r="AI1931">
        <v>2.65</v>
      </c>
      <c r="AJ1931">
        <v>5.0999999999999996</v>
      </c>
      <c r="AK1931">
        <v>3.37</v>
      </c>
      <c r="AL1931">
        <v>4.88</v>
      </c>
    </row>
    <row r="1932" spans="1:38" x14ac:dyDescent="0.25">
      <c r="A1932">
        <v>1931</v>
      </c>
      <c r="B1932" t="str">
        <f xml:space="preserve"> "603599"</f>
        <v>603599</v>
      </c>
      <c r="C1932" t="s">
        <v>6609</v>
      </c>
      <c r="D1932">
        <v>17.489999999999998</v>
      </c>
      <c r="E1932">
        <v>-0.23</v>
      </c>
      <c r="F1932">
        <v>-0.04</v>
      </c>
      <c r="G1932" t="s">
        <v>1950</v>
      </c>
      <c r="H1932">
        <v>2</v>
      </c>
      <c r="I1932">
        <v>17.48</v>
      </c>
      <c r="J1932">
        <v>17.489999999999998</v>
      </c>
      <c r="K1932">
        <v>0</v>
      </c>
      <c r="L1932">
        <v>1.26</v>
      </c>
      <c r="M1932" t="s">
        <v>6610</v>
      </c>
      <c r="N1932">
        <v>20.73</v>
      </c>
      <c r="O1932" t="s">
        <v>2060</v>
      </c>
      <c r="P1932">
        <v>17.68</v>
      </c>
      <c r="Q1932">
        <v>17.45</v>
      </c>
      <c r="R1932">
        <v>17.489999999999998</v>
      </c>
      <c r="S1932">
        <v>17.53</v>
      </c>
      <c r="T1932">
        <v>1.31</v>
      </c>
      <c r="U1932">
        <v>0.56999999999999995</v>
      </c>
      <c r="V1932">
        <v>-22.67</v>
      </c>
      <c r="W1932">
        <v>-299</v>
      </c>
      <c r="X1932">
        <v>17.559999999999999</v>
      </c>
      <c r="Y1932">
        <v>8744</v>
      </c>
      <c r="Z1932">
        <v>8391</v>
      </c>
      <c r="AA1932">
        <v>1.04</v>
      </c>
      <c r="AB1932">
        <v>143</v>
      </c>
      <c r="AC1932">
        <v>13</v>
      </c>
      <c r="AD1932">
        <v>2.62</v>
      </c>
      <c r="AE1932" t="s">
        <v>5978</v>
      </c>
      <c r="AF1932" t="s">
        <v>6608</v>
      </c>
      <c r="AG1932" t="s">
        <v>1757</v>
      </c>
      <c r="AH1932" t="s">
        <v>1184</v>
      </c>
      <c r="AI1932">
        <v>-0.17</v>
      </c>
      <c r="AJ1932">
        <v>4.92</v>
      </c>
      <c r="AK1932">
        <v>5.05</v>
      </c>
      <c r="AL1932">
        <v>12.29</v>
      </c>
    </row>
    <row r="1933" spans="1:38" x14ac:dyDescent="0.25">
      <c r="A1933">
        <v>1932</v>
      </c>
      <c r="B1933" t="str">
        <f xml:space="preserve"> "603558"</f>
        <v>603558</v>
      </c>
      <c r="C1933" t="s">
        <v>6611</v>
      </c>
      <c r="D1933">
        <v>16.350000000000001</v>
      </c>
      <c r="E1933">
        <v>-0.06</v>
      </c>
      <c r="F1933">
        <v>-0.01</v>
      </c>
      <c r="G1933" t="s">
        <v>75</v>
      </c>
      <c r="H1933">
        <v>5</v>
      </c>
      <c r="I1933">
        <v>16.350000000000001</v>
      </c>
      <c r="J1933">
        <v>16.36</v>
      </c>
      <c r="K1933">
        <v>0.12</v>
      </c>
      <c r="L1933">
        <v>0.89</v>
      </c>
      <c r="M1933" t="s">
        <v>6612</v>
      </c>
      <c r="N1933">
        <v>50.56</v>
      </c>
      <c r="O1933" t="s">
        <v>1443</v>
      </c>
      <c r="P1933">
        <v>16.46</v>
      </c>
      <c r="Q1933">
        <v>16.28</v>
      </c>
      <c r="R1933">
        <v>16.399999999999999</v>
      </c>
      <c r="S1933">
        <v>16.36</v>
      </c>
      <c r="T1933">
        <v>1.1000000000000001</v>
      </c>
      <c r="U1933">
        <v>0.78</v>
      </c>
      <c r="V1933">
        <v>15.36</v>
      </c>
      <c r="W1933">
        <v>103</v>
      </c>
      <c r="X1933">
        <v>16.38</v>
      </c>
      <c r="Y1933">
        <v>5340</v>
      </c>
      <c r="Z1933">
        <v>4905</v>
      </c>
      <c r="AA1933">
        <v>1.0900000000000001</v>
      </c>
      <c r="AB1933">
        <v>58</v>
      </c>
      <c r="AC1933">
        <v>2</v>
      </c>
      <c r="AD1933">
        <v>2.0299999999999998</v>
      </c>
      <c r="AE1933" t="s">
        <v>4660</v>
      </c>
      <c r="AF1933" t="s">
        <v>6608</v>
      </c>
      <c r="AG1933" t="s">
        <v>2748</v>
      </c>
      <c r="AH1933" t="s">
        <v>1981</v>
      </c>
      <c r="AI1933">
        <v>-0.3</v>
      </c>
      <c r="AJ1933">
        <v>2.77</v>
      </c>
      <c r="AK1933">
        <v>3.25</v>
      </c>
      <c r="AL1933">
        <v>6.55</v>
      </c>
    </row>
    <row r="1934" spans="1:38" x14ac:dyDescent="0.25">
      <c r="A1934">
        <v>1933</v>
      </c>
      <c r="B1934" t="str">
        <f xml:space="preserve"> "002582"</f>
        <v>002582</v>
      </c>
      <c r="C1934" t="s">
        <v>6613</v>
      </c>
      <c r="D1934">
        <v>12.76</v>
      </c>
      <c r="E1934">
        <v>0.55000000000000004</v>
      </c>
      <c r="F1934">
        <v>7.0000000000000007E-2</v>
      </c>
      <c r="G1934" t="s">
        <v>2273</v>
      </c>
      <c r="H1934">
        <v>470</v>
      </c>
      <c r="I1934">
        <v>12.76</v>
      </c>
      <c r="J1934">
        <v>12.77</v>
      </c>
      <c r="K1934">
        <v>0</v>
      </c>
      <c r="L1934">
        <v>1.35</v>
      </c>
      <c r="M1934" t="s">
        <v>6289</v>
      </c>
      <c r="N1934">
        <v>47.89</v>
      </c>
      <c r="O1934" t="s">
        <v>622</v>
      </c>
      <c r="P1934">
        <v>12.86</v>
      </c>
      <c r="Q1934">
        <v>12.7</v>
      </c>
      <c r="R1934">
        <v>12.7</v>
      </c>
      <c r="S1934">
        <v>12.69</v>
      </c>
      <c r="T1934">
        <v>1.26</v>
      </c>
      <c r="U1934">
        <v>0.44</v>
      </c>
      <c r="V1934">
        <v>27.6</v>
      </c>
      <c r="W1934">
        <v>1138</v>
      </c>
      <c r="X1934">
        <v>12.77</v>
      </c>
      <c r="Y1934" t="s">
        <v>3130</v>
      </c>
      <c r="Z1934" t="s">
        <v>2365</v>
      </c>
      <c r="AA1934">
        <v>1.1299999999999999</v>
      </c>
      <c r="AB1934">
        <v>175</v>
      </c>
      <c r="AC1934">
        <v>114</v>
      </c>
      <c r="AD1934">
        <v>2.0299999999999998</v>
      </c>
      <c r="AE1934" t="s">
        <v>4648</v>
      </c>
      <c r="AF1934" t="s">
        <v>6608</v>
      </c>
      <c r="AG1934" t="s">
        <v>4080</v>
      </c>
      <c r="AH1934" t="s">
        <v>3355</v>
      </c>
      <c r="AI1934">
        <v>-0.7</v>
      </c>
      <c r="AJ1934">
        <v>4.25</v>
      </c>
      <c r="AK1934">
        <v>6.93</v>
      </c>
      <c r="AL1934">
        <v>16.63</v>
      </c>
    </row>
    <row r="1935" spans="1:38" x14ac:dyDescent="0.25">
      <c r="A1935">
        <v>1934</v>
      </c>
      <c r="B1935" t="str">
        <f xml:space="preserve"> "600713"</f>
        <v>600713</v>
      </c>
      <c r="C1935" t="s">
        <v>6614</v>
      </c>
      <c r="D1935">
        <v>7.33</v>
      </c>
      <c r="E1935">
        <v>1.1000000000000001</v>
      </c>
      <c r="F1935">
        <v>0.08</v>
      </c>
      <c r="G1935" t="s">
        <v>2957</v>
      </c>
      <c r="H1935">
        <v>34</v>
      </c>
      <c r="I1935">
        <v>7.33</v>
      </c>
      <c r="J1935">
        <v>7.34</v>
      </c>
      <c r="K1935">
        <v>0.27</v>
      </c>
      <c r="L1935">
        <v>1.05</v>
      </c>
      <c r="M1935" t="s">
        <v>6615</v>
      </c>
      <c r="N1935">
        <v>29.27</v>
      </c>
      <c r="O1935" t="s">
        <v>392</v>
      </c>
      <c r="P1935">
        <v>7.38</v>
      </c>
      <c r="Q1935">
        <v>7.25</v>
      </c>
      <c r="R1935">
        <v>7.25</v>
      </c>
      <c r="S1935">
        <v>7.25</v>
      </c>
      <c r="T1935">
        <v>1.79</v>
      </c>
      <c r="U1935">
        <v>1.46</v>
      </c>
      <c r="V1935">
        <v>-67.39</v>
      </c>
      <c r="W1935">
        <v>-7958</v>
      </c>
      <c r="X1935">
        <v>7.34</v>
      </c>
      <c r="Y1935" t="s">
        <v>2932</v>
      </c>
      <c r="Z1935" t="s">
        <v>656</v>
      </c>
      <c r="AA1935">
        <v>0.46</v>
      </c>
      <c r="AB1935">
        <v>8</v>
      </c>
      <c r="AC1935">
        <v>811</v>
      </c>
      <c r="AD1935">
        <v>2.44</v>
      </c>
      <c r="AE1935" t="s">
        <v>3186</v>
      </c>
      <c r="AF1935" t="s">
        <v>6608</v>
      </c>
      <c r="AG1935" t="s">
        <v>3846</v>
      </c>
      <c r="AH1935" t="s">
        <v>4539</v>
      </c>
      <c r="AI1935">
        <v>1.1000000000000001</v>
      </c>
      <c r="AJ1935">
        <v>4.42</v>
      </c>
      <c r="AK1935">
        <v>2.69</v>
      </c>
      <c r="AL1935">
        <v>4.6500000000000004</v>
      </c>
    </row>
    <row r="1936" spans="1:38" x14ac:dyDescent="0.25">
      <c r="A1936">
        <v>1935</v>
      </c>
      <c r="B1936" t="str">
        <f xml:space="preserve"> "002556"</f>
        <v>002556</v>
      </c>
      <c r="C1936" t="s">
        <v>6616</v>
      </c>
      <c r="D1936">
        <v>9.16</v>
      </c>
      <c r="E1936">
        <v>2.58</v>
      </c>
      <c r="F1936">
        <v>0.23</v>
      </c>
      <c r="G1936" t="s">
        <v>4107</v>
      </c>
      <c r="H1936">
        <v>7238</v>
      </c>
      <c r="I1936">
        <v>9.15</v>
      </c>
      <c r="J1936">
        <v>9.16</v>
      </c>
      <c r="K1936">
        <v>0</v>
      </c>
      <c r="L1936">
        <v>3.87</v>
      </c>
      <c r="M1936" t="s">
        <v>4126</v>
      </c>
      <c r="N1936">
        <v>36.020000000000003</v>
      </c>
      <c r="O1936" t="s">
        <v>622</v>
      </c>
      <c r="P1936">
        <v>9.25</v>
      </c>
      <c r="Q1936">
        <v>8.8800000000000008</v>
      </c>
      <c r="R1936">
        <v>8.92</v>
      </c>
      <c r="S1936">
        <v>8.93</v>
      </c>
      <c r="T1936">
        <v>4.1399999999999997</v>
      </c>
      <c r="U1936">
        <v>1.08</v>
      </c>
      <c r="V1936">
        <v>-81.209999999999994</v>
      </c>
      <c r="W1936" t="s">
        <v>224</v>
      </c>
      <c r="X1936">
        <v>9.1</v>
      </c>
      <c r="Y1936" t="s">
        <v>3073</v>
      </c>
      <c r="Z1936" t="s">
        <v>280</v>
      </c>
      <c r="AA1936">
        <v>0.78</v>
      </c>
      <c r="AB1936">
        <v>533</v>
      </c>
      <c r="AC1936">
        <v>7052</v>
      </c>
      <c r="AD1936">
        <v>2.93</v>
      </c>
      <c r="AE1936" t="s">
        <v>6325</v>
      </c>
      <c r="AF1936" t="s">
        <v>6617</v>
      </c>
      <c r="AG1936" t="s">
        <v>4008</v>
      </c>
      <c r="AH1936" t="s">
        <v>3375</v>
      </c>
      <c r="AI1936">
        <v>2.35</v>
      </c>
      <c r="AJ1936">
        <v>11.03</v>
      </c>
      <c r="AK1936">
        <v>12.74</v>
      </c>
      <c r="AL1936">
        <v>21.85</v>
      </c>
    </row>
    <row r="1937" spans="1:38" x14ac:dyDescent="0.25">
      <c r="A1937">
        <v>1936</v>
      </c>
      <c r="B1937" t="str">
        <f xml:space="preserve"> "300424"</f>
        <v>300424</v>
      </c>
      <c r="C1937" t="s">
        <v>6618</v>
      </c>
      <c r="D1937">
        <v>27.37</v>
      </c>
      <c r="E1937">
        <v>-1.3</v>
      </c>
      <c r="F1937">
        <v>-0.36</v>
      </c>
      <c r="G1937" t="s">
        <v>507</v>
      </c>
      <c r="H1937">
        <v>234</v>
      </c>
      <c r="I1937">
        <v>27.37</v>
      </c>
      <c r="J1937">
        <v>27.38</v>
      </c>
      <c r="K1937">
        <v>-0.04</v>
      </c>
      <c r="L1937">
        <v>1.58</v>
      </c>
      <c r="M1937" t="s">
        <v>6619</v>
      </c>
      <c r="N1937">
        <v>151.06</v>
      </c>
      <c r="O1937" t="s">
        <v>926</v>
      </c>
      <c r="P1937">
        <v>27.6</v>
      </c>
      <c r="Q1937">
        <v>27.05</v>
      </c>
      <c r="R1937">
        <v>27.59</v>
      </c>
      <c r="S1937">
        <v>27.73</v>
      </c>
      <c r="T1937">
        <v>1.98</v>
      </c>
      <c r="U1937">
        <v>0.69</v>
      </c>
      <c r="V1937">
        <v>26.16</v>
      </c>
      <c r="W1937">
        <v>123</v>
      </c>
      <c r="X1937">
        <v>27.29</v>
      </c>
      <c r="Y1937" t="s">
        <v>1785</v>
      </c>
      <c r="Z1937">
        <v>8861</v>
      </c>
      <c r="AA1937">
        <v>1.2</v>
      </c>
      <c r="AB1937">
        <v>74</v>
      </c>
      <c r="AC1937">
        <v>53</v>
      </c>
      <c r="AD1937">
        <v>7.56</v>
      </c>
      <c r="AE1937" t="s">
        <v>2521</v>
      </c>
      <c r="AF1937" t="s">
        <v>6617</v>
      </c>
      <c r="AG1937" t="s">
        <v>734</v>
      </c>
      <c r="AH1937" t="s">
        <v>4411</v>
      </c>
      <c r="AI1937">
        <v>1.26</v>
      </c>
      <c r="AJ1937">
        <v>-1.3</v>
      </c>
      <c r="AK1937">
        <v>6.83</v>
      </c>
      <c r="AL1937">
        <v>13</v>
      </c>
    </row>
    <row r="1938" spans="1:38" x14ac:dyDescent="0.25">
      <c r="A1938">
        <v>1937</v>
      </c>
      <c r="B1938" t="str">
        <f xml:space="preserve"> "603616"</f>
        <v>603616</v>
      </c>
      <c r="C1938" t="s">
        <v>6620</v>
      </c>
      <c r="D1938">
        <v>22.37</v>
      </c>
      <c r="E1938">
        <v>3.9</v>
      </c>
      <c r="F1938">
        <v>0.84</v>
      </c>
      <c r="G1938" t="s">
        <v>442</v>
      </c>
      <c r="H1938">
        <v>40</v>
      </c>
      <c r="I1938">
        <v>22.37</v>
      </c>
      <c r="J1938">
        <v>22.38</v>
      </c>
      <c r="K1938">
        <v>0</v>
      </c>
      <c r="L1938">
        <v>7.78</v>
      </c>
      <c r="M1938" t="s">
        <v>925</v>
      </c>
      <c r="N1938">
        <v>-114.19</v>
      </c>
      <c r="O1938" t="s">
        <v>562</v>
      </c>
      <c r="P1938">
        <v>23.45</v>
      </c>
      <c r="Q1938">
        <v>21.37</v>
      </c>
      <c r="R1938">
        <v>21.39</v>
      </c>
      <c r="S1938">
        <v>21.53</v>
      </c>
      <c r="T1938">
        <v>9.66</v>
      </c>
      <c r="U1938">
        <v>1.67</v>
      </c>
      <c r="V1938">
        <v>-25.93</v>
      </c>
      <c r="W1938">
        <v>-266</v>
      </c>
      <c r="X1938">
        <v>22.38</v>
      </c>
      <c r="Y1938" t="s">
        <v>882</v>
      </c>
      <c r="Z1938" t="s">
        <v>1630</v>
      </c>
      <c r="AA1938">
        <v>0.82</v>
      </c>
      <c r="AB1938">
        <v>2</v>
      </c>
      <c r="AC1938">
        <v>4</v>
      </c>
      <c r="AD1938">
        <v>8.15</v>
      </c>
      <c r="AE1938" t="s">
        <v>6621</v>
      </c>
      <c r="AF1938" t="s">
        <v>6241</v>
      </c>
      <c r="AG1938" t="s">
        <v>2523</v>
      </c>
      <c r="AH1938" t="s">
        <v>854</v>
      </c>
      <c r="AI1938">
        <v>2.33</v>
      </c>
      <c r="AJ1938">
        <v>2.1</v>
      </c>
      <c r="AK1938">
        <v>17.100000000000001</v>
      </c>
      <c r="AL1938">
        <v>31.09</v>
      </c>
    </row>
    <row r="1939" spans="1:38" x14ac:dyDescent="0.25">
      <c r="A1939">
        <v>1938</v>
      </c>
      <c r="B1939" t="str">
        <f xml:space="preserve"> "300258"</f>
        <v>300258</v>
      </c>
      <c r="C1939" t="s">
        <v>6622</v>
      </c>
      <c r="D1939">
        <v>16.18</v>
      </c>
      <c r="E1939">
        <v>0.56000000000000005</v>
      </c>
      <c r="F1939">
        <v>0.09</v>
      </c>
      <c r="G1939" t="s">
        <v>121</v>
      </c>
      <c r="H1939">
        <v>291</v>
      </c>
      <c r="I1939">
        <v>16.18</v>
      </c>
      <c r="J1939">
        <v>16.190000000000001</v>
      </c>
      <c r="K1939">
        <v>-0.06</v>
      </c>
      <c r="L1939">
        <v>0.74</v>
      </c>
      <c r="M1939" t="s">
        <v>6623</v>
      </c>
      <c r="N1939">
        <v>26.22</v>
      </c>
      <c r="O1939" t="s">
        <v>169</v>
      </c>
      <c r="P1939">
        <v>16.350000000000001</v>
      </c>
      <c r="Q1939">
        <v>16.02</v>
      </c>
      <c r="R1939">
        <v>16.079999999999998</v>
      </c>
      <c r="S1939">
        <v>16.09</v>
      </c>
      <c r="T1939">
        <v>2.0499999999999998</v>
      </c>
      <c r="U1939">
        <v>0.7</v>
      </c>
      <c r="V1939">
        <v>-64.400000000000006</v>
      </c>
      <c r="W1939">
        <v>-1259</v>
      </c>
      <c r="X1939">
        <v>16.22</v>
      </c>
      <c r="Y1939" t="s">
        <v>1869</v>
      </c>
      <c r="Z1939" t="s">
        <v>3590</v>
      </c>
      <c r="AA1939">
        <v>0.69</v>
      </c>
      <c r="AB1939">
        <v>33</v>
      </c>
      <c r="AC1939">
        <v>654</v>
      </c>
      <c r="AD1939">
        <v>4.25</v>
      </c>
      <c r="AE1939" t="s">
        <v>2626</v>
      </c>
      <c r="AF1939" t="s">
        <v>217</v>
      </c>
      <c r="AG1939" t="s">
        <v>6624</v>
      </c>
      <c r="AH1939" t="s">
        <v>1844</v>
      </c>
      <c r="AI1939">
        <v>-1.82</v>
      </c>
      <c r="AJ1939">
        <v>1.06</v>
      </c>
      <c r="AK1939">
        <v>2.86</v>
      </c>
      <c r="AL1939">
        <v>6.07</v>
      </c>
    </row>
    <row r="1940" spans="1:38" x14ac:dyDescent="0.25">
      <c r="A1940">
        <v>1939</v>
      </c>
      <c r="B1940" t="str">
        <f xml:space="preserve"> "300562"</f>
        <v>300562</v>
      </c>
      <c r="C1940" t="s">
        <v>6625</v>
      </c>
      <c r="D1940">
        <v>34.69</v>
      </c>
      <c r="E1940">
        <v>9.5</v>
      </c>
      <c r="F1940">
        <v>3.01</v>
      </c>
      <c r="G1940" t="s">
        <v>459</v>
      </c>
      <c r="H1940" t="s">
        <v>75</v>
      </c>
      <c r="I1940">
        <v>34.67</v>
      </c>
      <c r="J1940">
        <v>34.69</v>
      </c>
      <c r="K1940">
        <v>-0.46</v>
      </c>
      <c r="L1940">
        <v>42.18</v>
      </c>
      <c r="M1940" t="s">
        <v>5968</v>
      </c>
      <c r="N1940">
        <v>-220.91</v>
      </c>
      <c r="O1940" t="s">
        <v>1552</v>
      </c>
      <c r="P1940">
        <v>34.85</v>
      </c>
      <c r="Q1940">
        <v>33.58</v>
      </c>
      <c r="R1940">
        <v>34</v>
      </c>
      <c r="S1940">
        <v>31.68</v>
      </c>
      <c r="T1940">
        <v>4.01</v>
      </c>
      <c r="U1940">
        <v>6.2</v>
      </c>
      <c r="V1940">
        <v>-96.49</v>
      </c>
      <c r="W1940">
        <v>-4678</v>
      </c>
      <c r="X1940">
        <v>34.450000000000003</v>
      </c>
      <c r="Y1940" t="s">
        <v>194</v>
      </c>
      <c r="Z1940" t="s">
        <v>6230</v>
      </c>
      <c r="AA1940">
        <v>1.66</v>
      </c>
      <c r="AB1940">
        <v>3</v>
      </c>
      <c r="AC1940">
        <v>166</v>
      </c>
      <c r="AD1940">
        <v>13.66</v>
      </c>
      <c r="AE1940" t="s">
        <v>957</v>
      </c>
      <c r="AF1940" t="s">
        <v>217</v>
      </c>
      <c r="AG1940" t="s">
        <v>6626</v>
      </c>
      <c r="AH1940" t="s">
        <v>1778</v>
      </c>
      <c r="AI1940">
        <v>32.51</v>
      </c>
      <c r="AJ1940">
        <v>50.96</v>
      </c>
      <c r="AK1940">
        <v>55.87</v>
      </c>
      <c r="AL1940">
        <v>76.2</v>
      </c>
    </row>
    <row r="1941" spans="1:38" x14ac:dyDescent="0.25">
      <c r="A1941">
        <v>1940</v>
      </c>
      <c r="B1941" t="str">
        <f xml:space="preserve"> "600318"</f>
        <v>600318</v>
      </c>
      <c r="C1941" t="s">
        <v>6627</v>
      </c>
      <c r="D1941">
        <v>13.53</v>
      </c>
      <c r="E1941">
        <v>1.58</v>
      </c>
      <c r="F1941">
        <v>0.21</v>
      </c>
      <c r="G1941" t="s">
        <v>3702</v>
      </c>
      <c r="H1941">
        <v>400</v>
      </c>
      <c r="I1941">
        <v>13.51</v>
      </c>
      <c r="J1941">
        <v>13.55</v>
      </c>
      <c r="K1941">
        <v>0.15</v>
      </c>
      <c r="L1941">
        <v>0.82</v>
      </c>
      <c r="M1941" t="s">
        <v>6628</v>
      </c>
      <c r="N1941">
        <v>82.56</v>
      </c>
      <c r="O1941" t="s">
        <v>482</v>
      </c>
      <c r="P1941">
        <v>13.55</v>
      </c>
      <c r="Q1941">
        <v>13.21</v>
      </c>
      <c r="R1941">
        <v>13.32</v>
      </c>
      <c r="S1941">
        <v>13.32</v>
      </c>
      <c r="T1941">
        <v>2.5499999999999998</v>
      </c>
      <c r="U1941">
        <v>1.55</v>
      </c>
      <c r="V1941">
        <v>-13.92</v>
      </c>
      <c r="W1941">
        <v>-237</v>
      </c>
      <c r="X1941">
        <v>13.45</v>
      </c>
      <c r="Y1941" t="s">
        <v>2551</v>
      </c>
      <c r="Z1941" t="s">
        <v>2862</v>
      </c>
      <c r="AA1941">
        <v>0.53</v>
      </c>
      <c r="AB1941">
        <v>30</v>
      </c>
      <c r="AC1941">
        <v>74</v>
      </c>
      <c r="AD1941">
        <v>4.99</v>
      </c>
      <c r="AE1941" t="s">
        <v>2618</v>
      </c>
      <c r="AF1941" t="s">
        <v>217</v>
      </c>
      <c r="AG1941" t="s">
        <v>2618</v>
      </c>
      <c r="AH1941" t="s">
        <v>217</v>
      </c>
      <c r="AI1941">
        <v>0.37</v>
      </c>
      <c r="AJ1941">
        <v>1.35</v>
      </c>
      <c r="AK1941">
        <v>1.74</v>
      </c>
      <c r="AL1941">
        <v>3.47</v>
      </c>
    </row>
    <row r="1942" spans="1:38" x14ac:dyDescent="0.25">
      <c r="A1942">
        <v>1941</v>
      </c>
      <c r="B1942" t="str">
        <f xml:space="preserve"> "600452"</f>
        <v>600452</v>
      </c>
      <c r="C1942" t="s">
        <v>6629</v>
      </c>
      <c r="D1942">
        <v>40.92</v>
      </c>
      <c r="E1942">
        <v>1.26</v>
      </c>
      <c r="F1942">
        <v>0.51</v>
      </c>
      <c r="G1942">
        <v>6882</v>
      </c>
      <c r="H1942">
        <v>2</v>
      </c>
      <c r="I1942">
        <v>40.96</v>
      </c>
      <c r="J1942">
        <v>40.97</v>
      </c>
      <c r="K1942">
        <v>7.0000000000000007E-2</v>
      </c>
      <c r="L1942">
        <v>0.43</v>
      </c>
      <c r="M1942" t="s">
        <v>6630</v>
      </c>
      <c r="N1942">
        <v>27.34</v>
      </c>
      <c r="O1942" t="s">
        <v>186</v>
      </c>
      <c r="P1942">
        <v>41.11</v>
      </c>
      <c r="Q1942">
        <v>40.299999999999997</v>
      </c>
      <c r="R1942">
        <v>40.380000000000003</v>
      </c>
      <c r="S1942">
        <v>40.409999999999997</v>
      </c>
      <c r="T1942">
        <v>2</v>
      </c>
      <c r="U1942">
        <v>0.85</v>
      </c>
      <c r="V1942">
        <v>-7.48</v>
      </c>
      <c r="W1942">
        <v>-24</v>
      </c>
      <c r="X1942">
        <v>40.770000000000003</v>
      </c>
      <c r="Y1942">
        <v>3419</v>
      </c>
      <c r="Z1942">
        <v>3463</v>
      </c>
      <c r="AA1942">
        <v>0.99</v>
      </c>
      <c r="AB1942">
        <v>13</v>
      </c>
      <c r="AC1942">
        <v>7</v>
      </c>
      <c r="AD1942">
        <v>6.05</v>
      </c>
      <c r="AE1942" t="s">
        <v>4326</v>
      </c>
      <c r="AF1942" t="s">
        <v>217</v>
      </c>
      <c r="AG1942" t="s">
        <v>4326</v>
      </c>
      <c r="AH1942" t="s">
        <v>217</v>
      </c>
      <c r="AI1942">
        <v>0.61</v>
      </c>
      <c r="AJ1942">
        <v>1.61</v>
      </c>
      <c r="AK1942">
        <v>1.63</v>
      </c>
      <c r="AL1942">
        <v>2.98</v>
      </c>
    </row>
    <row r="1943" spans="1:38" x14ac:dyDescent="0.25">
      <c r="A1943">
        <v>1942</v>
      </c>
      <c r="B1943" t="str">
        <f xml:space="preserve"> "603618"</f>
        <v>603618</v>
      </c>
      <c r="C1943" t="s">
        <v>6631</v>
      </c>
      <c r="D1943">
        <v>9.5299999999999994</v>
      </c>
      <c r="E1943">
        <v>0.32</v>
      </c>
      <c r="F1943">
        <v>0.03</v>
      </c>
      <c r="G1943" t="s">
        <v>1704</v>
      </c>
      <c r="H1943">
        <v>10</v>
      </c>
      <c r="I1943">
        <v>9.52</v>
      </c>
      <c r="J1943">
        <v>9.5299999999999994</v>
      </c>
      <c r="K1943">
        <v>0.11</v>
      </c>
      <c r="L1943">
        <v>0.85</v>
      </c>
      <c r="M1943" t="s">
        <v>6632</v>
      </c>
      <c r="N1943">
        <v>64.900000000000006</v>
      </c>
      <c r="O1943" t="s">
        <v>680</v>
      </c>
      <c r="P1943">
        <v>9.56</v>
      </c>
      <c r="Q1943">
        <v>9.4600000000000009</v>
      </c>
      <c r="R1943">
        <v>9.51</v>
      </c>
      <c r="S1943">
        <v>9.5</v>
      </c>
      <c r="T1943">
        <v>1.05</v>
      </c>
      <c r="U1943">
        <v>0.8</v>
      </c>
      <c r="V1943">
        <v>15.34</v>
      </c>
      <c r="W1943">
        <v>470</v>
      </c>
      <c r="X1943">
        <v>9.5</v>
      </c>
      <c r="Y1943" t="s">
        <v>480</v>
      </c>
      <c r="Z1943" t="s">
        <v>1726</v>
      </c>
      <c r="AA1943">
        <v>1.03</v>
      </c>
      <c r="AB1943">
        <v>356</v>
      </c>
      <c r="AC1943">
        <v>50</v>
      </c>
      <c r="AD1943">
        <v>2.91</v>
      </c>
      <c r="AE1943" t="s">
        <v>3672</v>
      </c>
      <c r="AF1943" t="s">
        <v>217</v>
      </c>
      <c r="AG1943" t="s">
        <v>4168</v>
      </c>
      <c r="AH1943" t="s">
        <v>1123</v>
      </c>
      <c r="AI1943">
        <v>-1.55</v>
      </c>
      <c r="AJ1943">
        <v>1.06</v>
      </c>
      <c r="AK1943">
        <v>2.78</v>
      </c>
      <c r="AL1943">
        <v>6.15</v>
      </c>
    </row>
    <row r="1944" spans="1:38" x14ac:dyDescent="0.25">
      <c r="A1944">
        <v>1943</v>
      </c>
      <c r="B1944" t="str">
        <f xml:space="preserve"> "600363"</f>
        <v>600363</v>
      </c>
      <c r="C1944" t="s">
        <v>6633</v>
      </c>
      <c r="D1944">
        <v>14.76</v>
      </c>
      <c r="E1944">
        <v>-0.4</v>
      </c>
      <c r="F1944">
        <v>-0.06</v>
      </c>
      <c r="G1944" t="s">
        <v>6634</v>
      </c>
      <c r="H1944">
        <v>49</v>
      </c>
      <c r="I1944">
        <v>14.76</v>
      </c>
      <c r="J1944">
        <v>14.77</v>
      </c>
      <c r="K1944">
        <v>7.0000000000000007E-2</v>
      </c>
      <c r="L1944">
        <v>1.56</v>
      </c>
      <c r="M1944" t="s">
        <v>2611</v>
      </c>
      <c r="N1944">
        <v>28.31</v>
      </c>
      <c r="O1944" t="s">
        <v>380</v>
      </c>
      <c r="P1944">
        <v>14.98</v>
      </c>
      <c r="Q1944">
        <v>14.69</v>
      </c>
      <c r="R1944">
        <v>14.75</v>
      </c>
      <c r="S1944">
        <v>14.82</v>
      </c>
      <c r="T1944">
        <v>1.96</v>
      </c>
      <c r="U1944">
        <v>0.57999999999999996</v>
      </c>
      <c r="V1944">
        <v>23.46</v>
      </c>
      <c r="W1944">
        <v>1291</v>
      </c>
      <c r="X1944">
        <v>14.83</v>
      </c>
      <c r="Y1944" t="s">
        <v>624</v>
      </c>
      <c r="Z1944" t="s">
        <v>2193</v>
      </c>
      <c r="AA1944">
        <v>1.38</v>
      </c>
      <c r="AB1944">
        <v>10</v>
      </c>
      <c r="AC1944">
        <v>370</v>
      </c>
      <c r="AD1944">
        <v>3.06</v>
      </c>
      <c r="AE1944" t="s">
        <v>879</v>
      </c>
      <c r="AF1944" t="s">
        <v>217</v>
      </c>
      <c r="AG1944" t="s">
        <v>879</v>
      </c>
      <c r="AH1944" t="s">
        <v>217</v>
      </c>
      <c r="AI1944">
        <v>-2.57</v>
      </c>
      <c r="AJ1944">
        <v>1.3</v>
      </c>
      <c r="AK1944">
        <v>5.66</v>
      </c>
      <c r="AL1944">
        <v>14.98</v>
      </c>
    </row>
    <row r="1945" spans="1:38" x14ac:dyDescent="0.25">
      <c r="A1945">
        <v>1944</v>
      </c>
      <c r="B1945" t="str">
        <f xml:space="preserve"> "000616"</f>
        <v>000616</v>
      </c>
      <c r="C1945" t="s">
        <v>6635</v>
      </c>
      <c r="D1945">
        <v>4.57</v>
      </c>
      <c r="E1945">
        <v>-0.44</v>
      </c>
      <c r="F1945">
        <v>-0.02</v>
      </c>
      <c r="G1945" t="s">
        <v>778</v>
      </c>
      <c r="H1945">
        <v>4008</v>
      </c>
      <c r="I1945">
        <v>4.57</v>
      </c>
      <c r="J1945">
        <v>4.58</v>
      </c>
      <c r="K1945">
        <v>0.22</v>
      </c>
      <c r="L1945">
        <v>0.93</v>
      </c>
      <c r="M1945" t="s">
        <v>6636</v>
      </c>
      <c r="N1945">
        <v>84.71</v>
      </c>
      <c r="O1945" t="s">
        <v>244</v>
      </c>
      <c r="P1945">
        <v>4.62</v>
      </c>
      <c r="Q1945">
        <v>4.54</v>
      </c>
      <c r="R1945">
        <v>4.58</v>
      </c>
      <c r="S1945">
        <v>4.59</v>
      </c>
      <c r="T1945">
        <v>1.74</v>
      </c>
      <c r="U1945">
        <v>0.72</v>
      </c>
      <c r="V1945">
        <v>6.08</v>
      </c>
      <c r="W1945">
        <v>1586</v>
      </c>
      <c r="X1945">
        <v>4.57</v>
      </c>
      <c r="Y1945" t="s">
        <v>6334</v>
      </c>
      <c r="Z1945" t="s">
        <v>2643</v>
      </c>
      <c r="AA1945">
        <v>1.34</v>
      </c>
      <c r="AB1945">
        <v>313</v>
      </c>
      <c r="AC1945">
        <v>2167</v>
      </c>
      <c r="AD1945">
        <v>1.64</v>
      </c>
      <c r="AE1945" t="s">
        <v>2246</v>
      </c>
      <c r="AF1945" t="s">
        <v>2482</v>
      </c>
      <c r="AG1945" t="s">
        <v>2246</v>
      </c>
      <c r="AH1945" t="s">
        <v>2482</v>
      </c>
      <c r="AI1945">
        <v>-0.87</v>
      </c>
      <c r="AJ1945">
        <v>2.4700000000000002</v>
      </c>
      <c r="AK1945">
        <v>4.22</v>
      </c>
      <c r="AL1945">
        <v>7.36</v>
      </c>
    </row>
    <row r="1946" spans="1:38" x14ac:dyDescent="0.25">
      <c r="A1946">
        <v>1945</v>
      </c>
      <c r="B1946" t="str">
        <f xml:space="preserve"> "600419"</f>
        <v>600419</v>
      </c>
      <c r="C1946" t="s">
        <v>6637</v>
      </c>
      <c r="D1946">
        <v>63.1</v>
      </c>
      <c r="E1946">
        <v>-2.62</v>
      </c>
      <c r="F1946">
        <v>-1.7</v>
      </c>
      <c r="G1946">
        <v>8407</v>
      </c>
      <c r="H1946">
        <v>9</v>
      </c>
      <c r="I1946">
        <v>63.2</v>
      </c>
      <c r="J1946">
        <v>63.22</v>
      </c>
      <c r="K1946">
        <v>0.06</v>
      </c>
      <c r="L1946">
        <v>0.94</v>
      </c>
      <c r="M1946" t="s">
        <v>6191</v>
      </c>
      <c r="N1946">
        <v>54.59</v>
      </c>
      <c r="O1946" t="s">
        <v>406</v>
      </c>
      <c r="P1946">
        <v>65.8</v>
      </c>
      <c r="Q1946">
        <v>62.99</v>
      </c>
      <c r="R1946">
        <v>64.7</v>
      </c>
      <c r="S1946">
        <v>64.8</v>
      </c>
      <c r="T1946">
        <v>4.34</v>
      </c>
      <c r="U1946">
        <v>0.53</v>
      </c>
      <c r="V1946">
        <v>-78.06</v>
      </c>
      <c r="W1946">
        <v>-185</v>
      </c>
      <c r="X1946">
        <v>63.95</v>
      </c>
      <c r="Y1946">
        <v>5461</v>
      </c>
      <c r="Z1946">
        <v>2946</v>
      </c>
      <c r="AA1946">
        <v>1.85</v>
      </c>
      <c r="AB1946">
        <v>1</v>
      </c>
      <c r="AC1946">
        <v>3</v>
      </c>
      <c r="AD1946">
        <v>8.19</v>
      </c>
      <c r="AE1946" t="s">
        <v>1718</v>
      </c>
      <c r="AF1946" t="s">
        <v>1867</v>
      </c>
      <c r="AG1946" t="s">
        <v>6638</v>
      </c>
      <c r="AH1946" t="s">
        <v>1957</v>
      </c>
      <c r="AI1946">
        <v>0.38</v>
      </c>
      <c r="AJ1946">
        <v>7.79</v>
      </c>
      <c r="AK1946">
        <v>3.68</v>
      </c>
      <c r="AL1946">
        <v>9.8800000000000008</v>
      </c>
    </row>
    <row r="1947" spans="1:38" x14ac:dyDescent="0.25">
      <c r="A1947">
        <v>1946</v>
      </c>
      <c r="B1947" t="str">
        <f xml:space="preserve"> "300415"</f>
        <v>300415</v>
      </c>
      <c r="C1947" t="s">
        <v>6639</v>
      </c>
      <c r="D1947">
        <v>15.12</v>
      </c>
      <c r="E1947">
        <v>0.2</v>
      </c>
      <c r="F1947">
        <v>0.03</v>
      </c>
      <c r="G1947" t="s">
        <v>5428</v>
      </c>
      <c r="H1947">
        <v>1402</v>
      </c>
      <c r="I1947">
        <v>15.11</v>
      </c>
      <c r="J1947">
        <v>15.12</v>
      </c>
      <c r="K1947">
        <v>0</v>
      </c>
      <c r="L1947">
        <v>3.43</v>
      </c>
      <c r="M1947" t="s">
        <v>1333</v>
      </c>
      <c r="N1947">
        <v>24.48</v>
      </c>
      <c r="O1947" t="s">
        <v>648</v>
      </c>
      <c r="P1947">
        <v>15.26</v>
      </c>
      <c r="Q1947">
        <v>14.82</v>
      </c>
      <c r="R1947">
        <v>15.1</v>
      </c>
      <c r="S1947">
        <v>15.09</v>
      </c>
      <c r="T1947">
        <v>2.92</v>
      </c>
      <c r="U1947">
        <v>1.35</v>
      </c>
      <c r="V1947">
        <v>-17.600000000000001</v>
      </c>
      <c r="W1947">
        <v>-222</v>
      </c>
      <c r="X1947">
        <v>15.09</v>
      </c>
      <c r="Y1947" t="s">
        <v>4096</v>
      </c>
      <c r="Z1947" t="s">
        <v>875</v>
      </c>
      <c r="AA1947">
        <v>1.02</v>
      </c>
      <c r="AB1947">
        <v>27</v>
      </c>
      <c r="AC1947">
        <v>112</v>
      </c>
      <c r="AD1947">
        <v>7.02</v>
      </c>
      <c r="AE1947" t="s">
        <v>5565</v>
      </c>
      <c r="AF1947" t="s">
        <v>1867</v>
      </c>
      <c r="AG1947" t="s">
        <v>3908</v>
      </c>
      <c r="AH1947" t="s">
        <v>6640</v>
      </c>
      <c r="AI1947">
        <v>5</v>
      </c>
      <c r="AJ1947">
        <v>9.7200000000000006</v>
      </c>
      <c r="AK1947">
        <v>12.34</v>
      </c>
      <c r="AL1947">
        <v>16.149999999999999</v>
      </c>
    </row>
    <row r="1948" spans="1:38" x14ac:dyDescent="0.25">
      <c r="A1948">
        <v>1947</v>
      </c>
      <c r="B1948" t="str">
        <f xml:space="preserve"> "000811"</f>
        <v>000811</v>
      </c>
      <c r="C1948" t="s">
        <v>6641</v>
      </c>
      <c r="D1948">
        <v>10</v>
      </c>
      <c r="E1948">
        <v>-0.6</v>
      </c>
      <c r="F1948">
        <v>-0.06</v>
      </c>
      <c r="G1948" t="s">
        <v>442</v>
      </c>
      <c r="H1948">
        <v>1589</v>
      </c>
      <c r="I1948">
        <v>9.99</v>
      </c>
      <c r="J1948">
        <v>10</v>
      </c>
      <c r="K1948">
        <v>0</v>
      </c>
      <c r="L1948">
        <v>1.91</v>
      </c>
      <c r="M1948" t="s">
        <v>485</v>
      </c>
      <c r="N1948">
        <v>22.4</v>
      </c>
      <c r="O1948" t="s">
        <v>648</v>
      </c>
      <c r="P1948">
        <v>10.15</v>
      </c>
      <c r="Q1948">
        <v>9.91</v>
      </c>
      <c r="R1948">
        <v>10.11</v>
      </c>
      <c r="S1948">
        <v>10.06</v>
      </c>
      <c r="T1948">
        <v>2.39</v>
      </c>
      <c r="U1948">
        <v>1.33</v>
      </c>
      <c r="V1948">
        <v>-3.96</v>
      </c>
      <c r="W1948">
        <v>-281</v>
      </c>
      <c r="X1948">
        <v>9.99</v>
      </c>
      <c r="Y1948" t="s">
        <v>226</v>
      </c>
      <c r="Z1948" t="s">
        <v>3607</v>
      </c>
      <c r="AA1948">
        <v>1.65</v>
      </c>
      <c r="AB1948">
        <v>1201</v>
      </c>
      <c r="AC1948">
        <v>1763</v>
      </c>
      <c r="AD1948">
        <v>2.6</v>
      </c>
      <c r="AE1948" t="s">
        <v>858</v>
      </c>
      <c r="AF1948" t="s">
        <v>1867</v>
      </c>
      <c r="AG1948" t="s">
        <v>815</v>
      </c>
      <c r="AH1948" t="s">
        <v>5081</v>
      </c>
      <c r="AI1948">
        <v>3.52</v>
      </c>
      <c r="AJ1948">
        <v>5.49</v>
      </c>
      <c r="AK1948">
        <v>6.32</v>
      </c>
      <c r="AL1948">
        <v>9.06</v>
      </c>
    </row>
    <row r="1949" spans="1:38" x14ac:dyDescent="0.25">
      <c r="A1949">
        <v>1948</v>
      </c>
      <c r="B1949" t="str">
        <f xml:space="preserve"> "600890"</f>
        <v>600890</v>
      </c>
      <c r="C1949" t="s">
        <v>6642</v>
      </c>
      <c r="D1949" t="s">
        <v>616</v>
      </c>
      <c r="E1949" t="s">
        <v>616</v>
      </c>
      <c r="F1949" t="s">
        <v>616</v>
      </c>
      <c r="G1949" t="s">
        <v>616</v>
      </c>
      <c r="H1949" t="s">
        <v>616</v>
      </c>
      <c r="I1949" t="s">
        <v>616</v>
      </c>
      <c r="J1949" t="s">
        <v>616</v>
      </c>
      <c r="K1949" t="s">
        <v>616</v>
      </c>
      <c r="L1949" t="s">
        <v>616</v>
      </c>
      <c r="M1949" t="s">
        <v>616</v>
      </c>
      <c r="N1949">
        <v>-179.17</v>
      </c>
      <c r="O1949" t="s">
        <v>1229</v>
      </c>
      <c r="P1949" t="s">
        <v>616</v>
      </c>
      <c r="Q1949" t="s">
        <v>616</v>
      </c>
      <c r="R1949" t="s">
        <v>616</v>
      </c>
      <c r="S1949">
        <v>11.27</v>
      </c>
      <c r="T1949" t="s">
        <v>616</v>
      </c>
      <c r="U1949" t="s">
        <v>616</v>
      </c>
      <c r="V1949" t="s">
        <v>616</v>
      </c>
      <c r="W1949" t="s">
        <v>616</v>
      </c>
      <c r="X1949" t="s">
        <v>616</v>
      </c>
      <c r="Y1949" t="s">
        <v>616</v>
      </c>
      <c r="Z1949" t="s">
        <v>616</v>
      </c>
      <c r="AA1949" t="s">
        <v>616</v>
      </c>
      <c r="AB1949" t="s">
        <v>616</v>
      </c>
      <c r="AC1949" t="s">
        <v>616</v>
      </c>
      <c r="AD1949">
        <v>24.39</v>
      </c>
      <c r="AE1949" t="s">
        <v>2655</v>
      </c>
      <c r="AF1949" t="s">
        <v>1867</v>
      </c>
      <c r="AG1949" t="s">
        <v>2655</v>
      </c>
      <c r="AH1949" t="s">
        <v>1867</v>
      </c>
      <c r="AI1949">
        <v>0</v>
      </c>
      <c r="AJ1949">
        <v>0</v>
      </c>
      <c r="AK1949">
        <v>0</v>
      </c>
      <c r="AL1949">
        <v>0</v>
      </c>
    </row>
    <row r="1950" spans="1:38" x14ac:dyDescent="0.25">
      <c r="A1950">
        <v>1949</v>
      </c>
      <c r="B1950" t="str">
        <f xml:space="preserve"> "300102"</f>
        <v>300102</v>
      </c>
      <c r="C1950" t="s">
        <v>6643</v>
      </c>
      <c r="D1950">
        <v>9.26</v>
      </c>
      <c r="E1950">
        <v>0.76</v>
      </c>
      <c r="F1950">
        <v>7.0000000000000007E-2</v>
      </c>
      <c r="G1950" t="s">
        <v>2003</v>
      </c>
      <c r="H1950" t="s">
        <v>1685</v>
      </c>
      <c r="I1950">
        <v>9.26</v>
      </c>
      <c r="J1950">
        <v>9.27</v>
      </c>
      <c r="K1950">
        <v>1.0900000000000001</v>
      </c>
      <c r="L1950">
        <v>1.85</v>
      </c>
      <c r="M1950" t="s">
        <v>2179</v>
      </c>
      <c r="N1950">
        <v>32.049999999999997</v>
      </c>
      <c r="O1950" t="s">
        <v>380</v>
      </c>
      <c r="P1950">
        <v>9.26</v>
      </c>
      <c r="Q1950">
        <v>9.07</v>
      </c>
      <c r="R1950">
        <v>9.1999999999999993</v>
      </c>
      <c r="S1950">
        <v>9.19</v>
      </c>
      <c r="T1950">
        <v>2.0699999999999998</v>
      </c>
      <c r="U1950">
        <v>0.76</v>
      </c>
      <c r="V1950">
        <v>23.93</v>
      </c>
      <c r="W1950">
        <v>2381</v>
      </c>
      <c r="X1950">
        <v>9.15</v>
      </c>
      <c r="Y1950" t="s">
        <v>399</v>
      </c>
      <c r="Z1950" t="s">
        <v>1937</v>
      </c>
      <c r="AA1950">
        <v>1.02</v>
      </c>
      <c r="AB1950">
        <v>207</v>
      </c>
      <c r="AC1950">
        <v>628</v>
      </c>
      <c r="AD1950">
        <v>2.5099999999999998</v>
      </c>
      <c r="AE1950" t="s">
        <v>1722</v>
      </c>
      <c r="AF1950" t="s">
        <v>5686</v>
      </c>
      <c r="AG1950" t="s">
        <v>5169</v>
      </c>
      <c r="AH1950" t="s">
        <v>6233</v>
      </c>
      <c r="AI1950">
        <v>-1.07</v>
      </c>
      <c r="AJ1950">
        <v>2.89</v>
      </c>
      <c r="AK1950">
        <v>5.89</v>
      </c>
      <c r="AL1950">
        <v>14</v>
      </c>
    </row>
    <row r="1951" spans="1:38" x14ac:dyDescent="0.25">
      <c r="A1951">
        <v>1950</v>
      </c>
      <c r="B1951" t="str">
        <f xml:space="preserve"> "002683"</f>
        <v>002683</v>
      </c>
      <c r="C1951" t="s">
        <v>6644</v>
      </c>
      <c r="D1951">
        <v>9.3000000000000007</v>
      </c>
      <c r="E1951">
        <v>-0.43</v>
      </c>
      <c r="F1951">
        <v>-0.04</v>
      </c>
      <c r="G1951" t="s">
        <v>3559</v>
      </c>
      <c r="H1951">
        <v>715</v>
      </c>
      <c r="I1951">
        <v>9.2899999999999991</v>
      </c>
      <c r="J1951">
        <v>9.3000000000000007</v>
      </c>
      <c r="K1951">
        <v>0.32</v>
      </c>
      <c r="L1951">
        <v>0.75</v>
      </c>
      <c r="M1951" t="s">
        <v>6645</v>
      </c>
      <c r="N1951">
        <v>40.56</v>
      </c>
      <c r="O1951" t="s">
        <v>667</v>
      </c>
      <c r="P1951">
        <v>9.42</v>
      </c>
      <c r="Q1951">
        <v>9.24</v>
      </c>
      <c r="R1951">
        <v>9.3000000000000007</v>
      </c>
      <c r="S1951">
        <v>9.34</v>
      </c>
      <c r="T1951">
        <v>1.93</v>
      </c>
      <c r="U1951">
        <v>0.76</v>
      </c>
      <c r="V1951">
        <v>-27.3</v>
      </c>
      <c r="W1951">
        <v>-1223</v>
      </c>
      <c r="X1951">
        <v>9.3000000000000007</v>
      </c>
      <c r="Y1951" t="s">
        <v>1207</v>
      </c>
      <c r="Z1951" t="s">
        <v>1578</v>
      </c>
      <c r="AA1951">
        <v>1.6</v>
      </c>
      <c r="AB1951">
        <v>20</v>
      </c>
      <c r="AC1951">
        <v>119</v>
      </c>
      <c r="AD1951">
        <v>2.2400000000000002</v>
      </c>
      <c r="AE1951" t="s">
        <v>4008</v>
      </c>
      <c r="AF1951" t="s">
        <v>5686</v>
      </c>
      <c r="AG1951" t="s">
        <v>5873</v>
      </c>
      <c r="AH1951" t="s">
        <v>5159</v>
      </c>
      <c r="AI1951">
        <v>-1.38</v>
      </c>
      <c r="AJ1951">
        <v>0</v>
      </c>
      <c r="AK1951">
        <v>2.31</v>
      </c>
      <c r="AL1951">
        <v>5.68</v>
      </c>
    </row>
    <row r="1952" spans="1:38" x14ac:dyDescent="0.25">
      <c r="A1952">
        <v>1951</v>
      </c>
      <c r="B1952" t="str">
        <f xml:space="preserve"> "002604"</f>
        <v>002604</v>
      </c>
      <c r="C1952" t="s">
        <v>6646</v>
      </c>
      <c r="D1952">
        <v>10.87</v>
      </c>
      <c r="E1952">
        <v>-2.5099999999999998</v>
      </c>
      <c r="F1952">
        <v>-0.28000000000000003</v>
      </c>
      <c r="G1952" t="s">
        <v>360</v>
      </c>
      <c r="H1952">
        <v>3117</v>
      </c>
      <c r="I1952">
        <v>10.86</v>
      </c>
      <c r="J1952">
        <v>10.87</v>
      </c>
      <c r="K1952">
        <v>0</v>
      </c>
      <c r="L1952">
        <v>4.28</v>
      </c>
      <c r="M1952" t="s">
        <v>1640</v>
      </c>
      <c r="N1952">
        <v>53.54</v>
      </c>
      <c r="O1952" t="s">
        <v>406</v>
      </c>
      <c r="P1952">
        <v>11.1</v>
      </c>
      <c r="Q1952">
        <v>10.77</v>
      </c>
      <c r="R1952">
        <v>11.1</v>
      </c>
      <c r="S1952">
        <v>11.15</v>
      </c>
      <c r="T1952">
        <v>2.96</v>
      </c>
      <c r="U1952">
        <v>0.77</v>
      </c>
      <c r="V1952">
        <v>-5.56</v>
      </c>
      <c r="W1952">
        <v>-388</v>
      </c>
      <c r="X1952">
        <v>10.89</v>
      </c>
      <c r="Y1952" t="s">
        <v>1772</v>
      </c>
      <c r="Z1952" t="s">
        <v>384</v>
      </c>
      <c r="AA1952">
        <v>1.5</v>
      </c>
      <c r="AB1952">
        <v>986</v>
      </c>
      <c r="AC1952">
        <v>995</v>
      </c>
      <c r="AD1952">
        <v>2.09</v>
      </c>
      <c r="AE1952" t="s">
        <v>477</v>
      </c>
      <c r="AF1952" t="s">
        <v>5686</v>
      </c>
      <c r="AG1952" t="s">
        <v>6647</v>
      </c>
      <c r="AH1952" t="s">
        <v>5969</v>
      </c>
      <c r="AI1952">
        <v>-3.63</v>
      </c>
      <c r="AJ1952">
        <v>-0.37</v>
      </c>
      <c r="AK1952">
        <v>12.77</v>
      </c>
      <c r="AL1952">
        <v>32.01</v>
      </c>
    </row>
    <row r="1953" spans="1:38" x14ac:dyDescent="0.25">
      <c r="A1953">
        <v>1952</v>
      </c>
      <c r="B1953" t="str">
        <f xml:space="preserve"> "002069"</f>
        <v>002069</v>
      </c>
      <c r="C1953" t="s">
        <v>6648</v>
      </c>
      <c r="D1953">
        <v>9.16</v>
      </c>
      <c r="E1953">
        <v>0.11</v>
      </c>
      <c r="F1953">
        <v>0.01</v>
      </c>
      <c r="G1953" t="s">
        <v>125</v>
      </c>
      <c r="H1953">
        <v>128</v>
      </c>
      <c r="I1953">
        <v>9.16</v>
      </c>
      <c r="J1953">
        <v>9.17</v>
      </c>
      <c r="K1953">
        <v>0</v>
      </c>
      <c r="L1953">
        <v>0.22</v>
      </c>
      <c r="M1953" t="s">
        <v>6649</v>
      </c>
      <c r="N1953">
        <v>105.83</v>
      </c>
      <c r="O1953" t="s">
        <v>622</v>
      </c>
      <c r="P1953">
        <v>9.18</v>
      </c>
      <c r="Q1953">
        <v>9.08</v>
      </c>
      <c r="R1953">
        <v>9.15</v>
      </c>
      <c r="S1953">
        <v>9.15</v>
      </c>
      <c r="T1953">
        <v>1.0900000000000001</v>
      </c>
      <c r="U1953">
        <v>0.5</v>
      </c>
      <c r="V1953">
        <v>-36.72</v>
      </c>
      <c r="W1953">
        <v>-1434</v>
      </c>
      <c r="X1953">
        <v>9.14</v>
      </c>
      <c r="Y1953">
        <v>7843</v>
      </c>
      <c r="Z1953">
        <v>7419</v>
      </c>
      <c r="AA1953">
        <v>1.06</v>
      </c>
      <c r="AB1953">
        <v>148</v>
      </c>
      <c r="AC1953">
        <v>743</v>
      </c>
      <c r="AD1953">
        <v>5.9</v>
      </c>
      <c r="AE1953" t="s">
        <v>5380</v>
      </c>
      <c r="AF1953" t="s">
        <v>372</v>
      </c>
      <c r="AG1953" t="s">
        <v>3672</v>
      </c>
      <c r="AH1953" t="s">
        <v>200</v>
      </c>
      <c r="AI1953">
        <v>0.44</v>
      </c>
      <c r="AJ1953">
        <v>3.85</v>
      </c>
      <c r="AK1953">
        <v>1.26</v>
      </c>
      <c r="AL1953">
        <v>2.44</v>
      </c>
    </row>
    <row r="1954" spans="1:38" x14ac:dyDescent="0.25">
      <c r="A1954">
        <v>1953</v>
      </c>
      <c r="B1954" t="str">
        <f xml:space="preserve"> "300427"</f>
        <v>300427</v>
      </c>
      <c r="C1954" t="s">
        <v>6650</v>
      </c>
      <c r="D1954">
        <v>18.47</v>
      </c>
      <c r="E1954">
        <v>-3.9</v>
      </c>
      <c r="F1954">
        <v>-0.75</v>
      </c>
      <c r="G1954" t="s">
        <v>1237</v>
      </c>
      <c r="H1954">
        <v>2753</v>
      </c>
      <c r="I1954">
        <v>18.46</v>
      </c>
      <c r="J1954">
        <v>18.47</v>
      </c>
      <c r="K1954">
        <v>0</v>
      </c>
      <c r="L1954">
        <v>13.8</v>
      </c>
      <c r="M1954" t="s">
        <v>149</v>
      </c>
      <c r="N1954">
        <v>227.26</v>
      </c>
      <c r="O1954" t="s">
        <v>680</v>
      </c>
      <c r="P1954">
        <v>19.5</v>
      </c>
      <c r="Q1954">
        <v>18.350000000000001</v>
      </c>
      <c r="R1954">
        <v>18.46</v>
      </c>
      <c r="S1954">
        <v>19.22</v>
      </c>
      <c r="T1954">
        <v>5.98</v>
      </c>
      <c r="U1954">
        <v>1.63</v>
      </c>
      <c r="V1954">
        <v>-7.56</v>
      </c>
      <c r="W1954">
        <v>-169</v>
      </c>
      <c r="X1954">
        <v>18.78</v>
      </c>
      <c r="Y1954" t="s">
        <v>187</v>
      </c>
      <c r="Z1954" t="s">
        <v>2752</v>
      </c>
      <c r="AA1954">
        <v>1.4</v>
      </c>
      <c r="AB1954">
        <v>258</v>
      </c>
      <c r="AC1954">
        <v>225</v>
      </c>
      <c r="AD1954">
        <v>3.66</v>
      </c>
      <c r="AE1954" t="s">
        <v>82</v>
      </c>
      <c r="AF1954" t="s">
        <v>372</v>
      </c>
      <c r="AG1954" t="s">
        <v>6651</v>
      </c>
      <c r="AH1954" t="s">
        <v>2856</v>
      </c>
      <c r="AI1954">
        <v>9.48</v>
      </c>
      <c r="AJ1954">
        <v>12.21</v>
      </c>
      <c r="AK1954">
        <v>51.16</v>
      </c>
      <c r="AL1954">
        <v>56.04</v>
      </c>
    </row>
    <row r="1955" spans="1:38" x14ac:dyDescent="0.25">
      <c r="A1955">
        <v>1954</v>
      </c>
      <c r="B1955" t="str">
        <f xml:space="preserve"> "000537"</f>
        <v>000537</v>
      </c>
      <c r="C1955" t="s">
        <v>6652</v>
      </c>
      <c r="D1955">
        <v>12.7</v>
      </c>
      <c r="E1955">
        <v>-1.24</v>
      </c>
      <c r="F1955">
        <v>-0.16</v>
      </c>
      <c r="G1955" t="s">
        <v>1627</v>
      </c>
      <c r="H1955">
        <v>2456</v>
      </c>
      <c r="I1955">
        <v>12.7</v>
      </c>
      <c r="J1955">
        <v>12.71</v>
      </c>
      <c r="K1955">
        <v>0.16</v>
      </c>
      <c r="L1955">
        <v>2.42</v>
      </c>
      <c r="M1955" t="s">
        <v>1820</v>
      </c>
      <c r="N1955">
        <v>121.64</v>
      </c>
      <c r="O1955" t="s">
        <v>244</v>
      </c>
      <c r="P1955">
        <v>13.21</v>
      </c>
      <c r="Q1955">
        <v>12.65</v>
      </c>
      <c r="R1955">
        <v>12.72</v>
      </c>
      <c r="S1955">
        <v>12.86</v>
      </c>
      <c r="T1955">
        <v>4.3499999999999996</v>
      </c>
      <c r="U1955">
        <v>0.52</v>
      </c>
      <c r="V1955">
        <v>15.33</v>
      </c>
      <c r="W1955">
        <v>344</v>
      </c>
      <c r="X1955">
        <v>12.84</v>
      </c>
      <c r="Y1955" t="s">
        <v>6653</v>
      </c>
      <c r="Z1955" t="s">
        <v>1660</v>
      </c>
      <c r="AA1955">
        <v>1.29</v>
      </c>
      <c r="AB1955">
        <v>82</v>
      </c>
      <c r="AC1955">
        <v>87</v>
      </c>
      <c r="AD1955">
        <v>2.88</v>
      </c>
      <c r="AE1955" t="s">
        <v>3982</v>
      </c>
      <c r="AF1955" t="s">
        <v>372</v>
      </c>
      <c r="AG1955" t="s">
        <v>3982</v>
      </c>
      <c r="AH1955" t="s">
        <v>372</v>
      </c>
      <c r="AI1955">
        <v>-1.55</v>
      </c>
      <c r="AJ1955">
        <v>1.03</v>
      </c>
      <c r="AK1955">
        <v>9.6999999999999993</v>
      </c>
      <c r="AL1955">
        <v>25.45</v>
      </c>
    </row>
    <row r="1956" spans="1:38" x14ac:dyDescent="0.25">
      <c r="A1956">
        <v>1955</v>
      </c>
      <c r="B1956" t="str">
        <f xml:space="preserve"> "300195"</f>
        <v>300195</v>
      </c>
      <c r="C1956" t="s">
        <v>6654</v>
      </c>
      <c r="D1956">
        <v>15.02</v>
      </c>
      <c r="E1956">
        <v>-7.0000000000000007E-2</v>
      </c>
      <c r="F1956">
        <v>-0.01</v>
      </c>
      <c r="G1956" t="s">
        <v>3590</v>
      </c>
      <c r="H1956">
        <v>207</v>
      </c>
      <c r="I1956">
        <v>15.01</v>
      </c>
      <c r="J1956">
        <v>15.02</v>
      </c>
      <c r="K1956">
        <v>-7.0000000000000007E-2</v>
      </c>
      <c r="L1956">
        <v>0.8</v>
      </c>
      <c r="M1956" t="s">
        <v>6655</v>
      </c>
      <c r="N1956">
        <v>44.38</v>
      </c>
      <c r="O1956" t="s">
        <v>648</v>
      </c>
      <c r="P1956">
        <v>15.04</v>
      </c>
      <c r="Q1956">
        <v>14.92</v>
      </c>
      <c r="R1956">
        <v>14.95</v>
      </c>
      <c r="S1956">
        <v>15.03</v>
      </c>
      <c r="T1956">
        <v>0.8</v>
      </c>
      <c r="U1956">
        <v>0.87</v>
      </c>
      <c r="V1956">
        <v>-7.61</v>
      </c>
      <c r="W1956">
        <v>-87</v>
      </c>
      <c r="X1956">
        <v>14.99</v>
      </c>
      <c r="Y1956">
        <v>8545</v>
      </c>
      <c r="Z1956">
        <v>7983</v>
      </c>
      <c r="AA1956">
        <v>1.07</v>
      </c>
      <c r="AB1956">
        <v>271</v>
      </c>
      <c r="AC1956">
        <v>25</v>
      </c>
      <c r="AD1956">
        <v>1.65</v>
      </c>
      <c r="AE1956" t="s">
        <v>3300</v>
      </c>
      <c r="AF1956" t="s">
        <v>372</v>
      </c>
      <c r="AG1956" t="s">
        <v>2964</v>
      </c>
      <c r="AH1956" t="s">
        <v>364</v>
      </c>
      <c r="AI1956">
        <v>0.4</v>
      </c>
      <c r="AJ1956">
        <v>3.59</v>
      </c>
      <c r="AK1956">
        <v>2.73</v>
      </c>
      <c r="AL1956">
        <v>5.38</v>
      </c>
    </row>
    <row r="1957" spans="1:38" x14ac:dyDescent="0.25">
      <c r="A1957">
        <v>1956</v>
      </c>
      <c r="B1957" t="str">
        <f xml:space="preserve"> "300388"</f>
        <v>300388</v>
      </c>
      <c r="C1957" t="s">
        <v>6656</v>
      </c>
      <c r="D1957">
        <v>21.29</v>
      </c>
      <c r="E1957">
        <v>3.96</v>
      </c>
      <c r="F1957">
        <v>0.81</v>
      </c>
      <c r="G1957" t="s">
        <v>337</v>
      </c>
      <c r="H1957">
        <v>2409</v>
      </c>
      <c r="I1957">
        <v>21.28</v>
      </c>
      <c r="J1957">
        <v>21.29</v>
      </c>
      <c r="K1957">
        <v>0.05</v>
      </c>
      <c r="L1957">
        <v>3.75</v>
      </c>
      <c r="M1957" t="s">
        <v>1197</v>
      </c>
      <c r="N1957">
        <v>53.67</v>
      </c>
      <c r="O1957" t="s">
        <v>1155</v>
      </c>
      <c r="P1957">
        <v>21.68</v>
      </c>
      <c r="Q1957">
        <v>20.37</v>
      </c>
      <c r="R1957">
        <v>20.5</v>
      </c>
      <c r="S1957">
        <v>20.48</v>
      </c>
      <c r="T1957">
        <v>6.4</v>
      </c>
      <c r="U1957">
        <v>3.98</v>
      </c>
      <c r="V1957">
        <v>-33.549999999999997</v>
      </c>
      <c r="W1957">
        <v>-897</v>
      </c>
      <c r="X1957">
        <v>21.18</v>
      </c>
      <c r="Y1957" t="s">
        <v>3606</v>
      </c>
      <c r="Z1957" t="s">
        <v>6657</v>
      </c>
      <c r="AA1957">
        <v>0.63</v>
      </c>
      <c r="AB1957">
        <v>546</v>
      </c>
      <c r="AC1957">
        <v>29</v>
      </c>
      <c r="AD1957">
        <v>4.1500000000000004</v>
      </c>
      <c r="AE1957" t="s">
        <v>3548</v>
      </c>
      <c r="AF1957" t="s">
        <v>372</v>
      </c>
      <c r="AG1957" t="s">
        <v>950</v>
      </c>
      <c r="AH1957" t="s">
        <v>4301</v>
      </c>
      <c r="AI1957">
        <v>3.85</v>
      </c>
      <c r="AJ1957">
        <v>6.66</v>
      </c>
      <c r="AK1957">
        <v>5.37</v>
      </c>
      <c r="AL1957">
        <v>8.4600000000000009</v>
      </c>
    </row>
    <row r="1958" spans="1:38" x14ac:dyDescent="0.25">
      <c r="A1958">
        <v>1957</v>
      </c>
      <c r="B1958" t="str">
        <f xml:space="preserve"> "600661"</f>
        <v>600661</v>
      </c>
      <c r="C1958" t="s">
        <v>6658</v>
      </c>
      <c r="D1958">
        <v>22.7</v>
      </c>
      <c r="E1958">
        <v>-0.96</v>
      </c>
      <c r="F1958">
        <v>-0.22</v>
      </c>
      <c r="G1958" t="s">
        <v>2202</v>
      </c>
      <c r="H1958">
        <v>1</v>
      </c>
      <c r="I1958">
        <v>22.67</v>
      </c>
      <c r="J1958">
        <v>22.68</v>
      </c>
      <c r="K1958">
        <v>-0.09</v>
      </c>
      <c r="L1958">
        <v>0.91</v>
      </c>
      <c r="M1958" t="s">
        <v>6659</v>
      </c>
      <c r="N1958">
        <v>76.91</v>
      </c>
      <c r="O1958" t="s">
        <v>807</v>
      </c>
      <c r="P1958">
        <v>22.92</v>
      </c>
      <c r="Q1958">
        <v>22.6</v>
      </c>
      <c r="R1958">
        <v>22.85</v>
      </c>
      <c r="S1958">
        <v>22.92</v>
      </c>
      <c r="T1958">
        <v>1.4</v>
      </c>
      <c r="U1958">
        <v>0.87</v>
      </c>
      <c r="V1958">
        <v>-40.869999999999997</v>
      </c>
      <c r="W1958">
        <v>-528</v>
      </c>
      <c r="X1958">
        <v>22.71</v>
      </c>
      <c r="Y1958" t="s">
        <v>1114</v>
      </c>
      <c r="Z1958">
        <v>8743</v>
      </c>
      <c r="AA1958">
        <v>1.68</v>
      </c>
      <c r="AB1958">
        <v>29</v>
      </c>
      <c r="AC1958">
        <v>56</v>
      </c>
      <c r="AD1958">
        <v>4.37</v>
      </c>
      <c r="AE1958" t="s">
        <v>1622</v>
      </c>
      <c r="AF1958" t="s">
        <v>6660</v>
      </c>
      <c r="AG1958" t="s">
        <v>2208</v>
      </c>
      <c r="AH1958" t="s">
        <v>4574</v>
      </c>
      <c r="AI1958">
        <v>1.93</v>
      </c>
      <c r="AJ1958">
        <v>5.58</v>
      </c>
      <c r="AK1958">
        <v>3.57</v>
      </c>
      <c r="AL1958">
        <v>6.12</v>
      </c>
    </row>
    <row r="1959" spans="1:38" x14ac:dyDescent="0.25">
      <c r="A1959">
        <v>1958</v>
      </c>
      <c r="B1959" t="str">
        <f xml:space="preserve"> "600449"</f>
        <v>600449</v>
      </c>
      <c r="C1959" t="s">
        <v>6661</v>
      </c>
      <c r="D1959">
        <v>13.59</v>
      </c>
      <c r="E1959">
        <v>1.42</v>
      </c>
      <c r="F1959">
        <v>0.19</v>
      </c>
      <c r="G1959" t="s">
        <v>498</v>
      </c>
      <c r="H1959">
        <v>78</v>
      </c>
      <c r="I1959">
        <v>13.58</v>
      </c>
      <c r="J1959">
        <v>13.6</v>
      </c>
      <c r="K1959">
        <v>0.3</v>
      </c>
      <c r="L1959">
        <v>2.29</v>
      </c>
      <c r="M1959" t="s">
        <v>1862</v>
      </c>
      <c r="N1959">
        <v>28.69</v>
      </c>
      <c r="O1959" t="s">
        <v>562</v>
      </c>
      <c r="P1959">
        <v>13.6</v>
      </c>
      <c r="Q1959">
        <v>13.13</v>
      </c>
      <c r="R1959">
        <v>13.39</v>
      </c>
      <c r="S1959">
        <v>13.4</v>
      </c>
      <c r="T1959">
        <v>3.51</v>
      </c>
      <c r="U1959">
        <v>0.64</v>
      </c>
      <c r="V1959">
        <v>4.4800000000000004</v>
      </c>
      <c r="W1959">
        <v>58</v>
      </c>
      <c r="X1959">
        <v>13.34</v>
      </c>
      <c r="Y1959" t="s">
        <v>2447</v>
      </c>
      <c r="Z1959" t="s">
        <v>4198</v>
      </c>
      <c r="AA1959">
        <v>1.21</v>
      </c>
      <c r="AB1959">
        <v>129</v>
      </c>
      <c r="AC1959">
        <v>255</v>
      </c>
      <c r="AD1959">
        <v>1.5</v>
      </c>
      <c r="AE1959" t="s">
        <v>1584</v>
      </c>
      <c r="AF1959" t="s">
        <v>6660</v>
      </c>
      <c r="AG1959" t="s">
        <v>1584</v>
      </c>
      <c r="AH1959" t="s">
        <v>6660</v>
      </c>
      <c r="AI1959">
        <v>-1.38</v>
      </c>
      <c r="AJ1959">
        <v>5.68</v>
      </c>
      <c r="AK1959">
        <v>8.84</v>
      </c>
      <c r="AL1959">
        <v>20.07</v>
      </c>
    </row>
    <row r="1960" spans="1:38" x14ac:dyDescent="0.25">
      <c r="A1960">
        <v>1959</v>
      </c>
      <c r="B1960" t="str">
        <f xml:space="preserve"> "600819"</f>
        <v>600819</v>
      </c>
      <c r="C1960" t="s">
        <v>6662</v>
      </c>
      <c r="D1960">
        <v>6.95</v>
      </c>
      <c r="E1960">
        <v>0.57999999999999996</v>
      </c>
      <c r="F1960">
        <v>0.04</v>
      </c>
      <c r="G1960" t="s">
        <v>2932</v>
      </c>
      <c r="H1960">
        <v>6</v>
      </c>
      <c r="I1960">
        <v>6.94</v>
      </c>
      <c r="J1960">
        <v>6.95</v>
      </c>
      <c r="K1960">
        <v>-0.43</v>
      </c>
      <c r="L1960">
        <v>0.31</v>
      </c>
      <c r="M1960" t="s">
        <v>6663</v>
      </c>
      <c r="N1960">
        <v>189.14</v>
      </c>
      <c r="O1960" t="s">
        <v>1058</v>
      </c>
      <c r="P1960">
        <v>6.98</v>
      </c>
      <c r="Q1960">
        <v>6.9</v>
      </c>
      <c r="R1960">
        <v>6.92</v>
      </c>
      <c r="S1960">
        <v>6.91</v>
      </c>
      <c r="T1960">
        <v>1.1599999999999999</v>
      </c>
      <c r="U1960">
        <v>0.54</v>
      </c>
      <c r="V1960">
        <v>-2.71</v>
      </c>
      <c r="W1960">
        <v>-120</v>
      </c>
      <c r="X1960">
        <v>6.96</v>
      </c>
      <c r="Y1960" t="s">
        <v>3041</v>
      </c>
      <c r="Z1960" t="s">
        <v>2089</v>
      </c>
      <c r="AA1960">
        <v>0.91</v>
      </c>
      <c r="AB1960">
        <v>60</v>
      </c>
      <c r="AC1960">
        <v>44</v>
      </c>
      <c r="AD1960">
        <v>2.19</v>
      </c>
      <c r="AE1960" t="s">
        <v>3132</v>
      </c>
      <c r="AF1960" t="s">
        <v>6660</v>
      </c>
      <c r="AG1960" t="s">
        <v>4471</v>
      </c>
      <c r="AH1960" t="s">
        <v>6664</v>
      </c>
      <c r="AI1960">
        <v>-0.14000000000000001</v>
      </c>
      <c r="AJ1960">
        <v>3.73</v>
      </c>
      <c r="AK1960">
        <v>1.96</v>
      </c>
      <c r="AL1960">
        <v>3.16</v>
      </c>
    </row>
    <row r="1961" spans="1:38" x14ac:dyDescent="0.25">
      <c r="A1961">
        <v>1960</v>
      </c>
      <c r="B1961" t="str">
        <f xml:space="preserve"> "600707"</f>
        <v>600707</v>
      </c>
      <c r="C1961" t="s">
        <v>6665</v>
      </c>
      <c r="D1961">
        <v>8.81</v>
      </c>
      <c r="E1961">
        <v>0</v>
      </c>
      <c r="F1961">
        <v>0</v>
      </c>
      <c r="G1961" t="s">
        <v>2431</v>
      </c>
      <c r="H1961">
        <v>210</v>
      </c>
      <c r="I1961">
        <v>8.8000000000000007</v>
      </c>
      <c r="J1961">
        <v>8.81</v>
      </c>
      <c r="K1961">
        <v>-0.11</v>
      </c>
      <c r="L1961">
        <v>1</v>
      </c>
      <c r="M1961" t="s">
        <v>6666</v>
      </c>
      <c r="N1961">
        <v>-43.92</v>
      </c>
      <c r="O1961" t="s">
        <v>380</v>
      </c>
      <c r="P1961">
        <v>8.86</v>
      </c>
      <c r="Q1961">
        <v>8.7100000000000009</v>
      </c>
      <c r="R1961">
        <v>8.77</v>
      </c>
      <c r="S1961">
        <v>8.81</v>
      </c>
      <c r="T1961">
        <v>1.7</v>
      </c>
      <c r="U1961">
        <v>0.53</v>
      </c>
      <c r="V1961">
        <v>-21.28</v>
      </c>
      <c r="W1961">
        <v>-1056</v>
      </c>
      <c r="X1961">
        <v>8.8000000000000007</v>
      </c>
      <c r="Y1961" t="s">
        <v>3702</v>
      </c>
      <c r="Z1961" t="s">
        <v>2559</v>
      </c>
      <c r="AA1961">
        <v>1.17</v>
      </c>
      <c r="AB1961">
        <v>225</v>
      </c>
      <c r="AC1961">
        <v>134</v>
      </c>
      <c r="AD1961">
        <v>5.3</v>
      </c>
      <c r="AE1961" t="s">
        <v>5203</v>
      </c>
      <c r="AF1961" t="s">
        <v>5151</v>
      </c>
      <c r="AG1961" t="s">
        <v>4167</v>
      </c>
      <c r="AH1961" t="s">
        <v>2362</v>
      </c>
      <c r="AI1961">
        <v>-2</v>
      </c>
      <c r="AJ1961">
        <v>0</v>
      </c>
      <c r="AK1961">
        <v>4.26</v>
      </c>
      <c r="AL1961">
        <v>10.41</v>
      </c>
    </row>
    <row r="1962" spans="1:38" x14ac:dyDescent="0.25">
      <c r="A1962">
        <v>1961</v>
      </c>
      <c r="B1962" t="str">
        <f xml:space="preserve"> "002689"</f>
        <v>002689</v>
      </c>
      <c r="C1962" t="s">
        <v>6667</v>
      </c>
      <c r="D1962">
        <v>6.84</v>
      </c>
      <c r="E1962">
        <v>2.5499999999999998</v>
      </c>
      <c r="F1962">
        <v>0.17</v>
      </c>
      <c r="G1962" t="s">
        <v>6668</v>
      </c>
      <c r="H1962">
        <v>7184</v>
      </c>
      <c r="I1962">
        <v>6.83</v>
      </c>
      <c r="J1962">
        <v>6.84</v>
      </c>
      <c r="K1962">
        <v>0</v>
      </c>
      <c r="L1962">
        <v>0.95</v>
      </c>
      <c r="M1962" t="s">
        <v>6669</v>
      </c>
      <c r="N1962">
        <v>92.42</v>
      </c>
      <c r="O1962" t="s">
        <v>648</v>
      </c>
      <c r="P1962">
        <v>6.95</v>
      </c>
      <c r="Q1962">
        <v>6.56</v>
      </c>
      <c r="R1962">
        <v>6.66</v>
      </c>
      <c r="S1962">
        <v>6.67</v>
      </c>
      <c r="T1962">
        <v>5.85</v>
      </c>
      <c r="U1962">
        <v>1.78</v>
      </c>
      <c r="V1962">
        <v>-69.78</v>
      </c>
      <c r="W1962" t="s">
        <v>6670</v>
      </c>
      <c r="X1962">
        <v>6.73</v>
      </c>
      <c r="Y1962" t="s">
        <v>1719</v>
      </c>
      <c r="Z1962" t="s">
        <v>1356</v>
      </c>
      <c r="AA1962">
        <v>0.71</v>
      </c>
      <c r="AB1962">
        <v>651</v>
      </c>
      <c r="AC1962">
        <v>4798</v>
      </c>
      <c r="AD1962">
        <v>4.41</v>
      </c>
      <c r="AE1962" t="s">
        <v>3979</v>
      </c>
      <c r="AF1962" t="s">
        <v>5151</v>
      </c>
      <c r="AG1962" t="s">
        <v>6671</v>
      </c>
      <c r="AH1962" t="s">
        <v>5796</v>
      </c>
      <c r="AI1962">
        <v>2.2400000000000002</v>
      </c>
      <c r="AJ1962">
        <v>5.07</v>
      </c>
      <c r="AK1962">
        <v>2.0699999999999998</v>
      </c>
      <c r="AL1962">
        <v>3.62</v>
      </c>
    </row>
    <row r="1963" spans="1:38" x14ac:dyDescent="0.25">
      <c r="A1963">
        <v>1962</v>
      </c>
      <c r="B1963" t="str">
        <f xml:space="preserve"> "000561"</f>
        <v>000561</v>
      </c>
      <c r="C1963" t="s">
        <v>6672</v>
      </c>
      <c r="D1963">
        <v>10.74</v>
      </c>
      <c r="E1963">
        <v>-2.54</v>
      </c>
      <c r="F1963">
        <v>-0.28000000000000003</v>
      </c>
      <c r="G1963" t="s">
        <v>2636</v>
      </c>
      <c r="H1963">
        <v>2427</v>
      </c>
      <c r="I1963">
        <v>10.74</v>
      </c>
      <c r="J1963">
        <v>10.75</v>
      </c>
      <c r="K1963">
        <v>-0.09</v>
      </c>
      <c r="L1963">
        <v>1.68</v>
      </c>
      <c r="M1963" t="s">
        <v>1120</v>
      </c>
      <c r="N1963">
        <v>196.89</v>
      </c>
      <c r="O1963" t="s">
        <v>580</v>
      </c>
      <c r="P1963">
        <v>11.02</v>
      </c>
      <c r="Q1963">
        <v>10.67</v>
      </c>
      <c r="R1963">
        <v>11.02</v>
      </c>
      <c r="S1963">
        <v>11.02</v>
      </c>
      <c r="T1963">
        <v>3.18</v>
      </c>
      <c r="U1963">
        <v>0.67</v>
      </c>
      <c r="V1963">
        <v>49.7</v>
      </c>
      <c r="W1963">
        <v>2772</v>
      </c>
      <c r="X1963">
        <v>10.82</v>
      </c>
      <c r="Y1963" t="s">
        <v>489</v>
      </c>
      <c r="Z1963" t="s">
        <v>3039</v>
      </c>
      <c r="AA1963">
        <v>2.02</v>
      </c>
      <c r="AB1963">
        <v>1486</v>
      </c>
      <c r="AC1963">
        <v>762</v>
      </c>
      <c r="AD1963">
        <v>5.31</v>
      </c>
      <c r="AE1963" t="s">
        <v>5234</v>
      </c>
      <c r="AF1963" t="s">
        <v>5151</v>
      </c>
      <c r="AG1963" t="s">
        <v>5521</v>
      </c>
      <c r="AH1963" t="s">
        <v>4301</v>
      </c>
      <c r="AI1963">
        <v>-3.68</v>
      </c>
      <c r="AJ1963">
        <v>-2.81</v>
      </c>
      <c r="AK1963">
        <v>4.78</v>
      </c>
      <c r="AL1963">
        <v>14.24</v>
      </c>
    </row>
    <row r="1964" spans="1:38" x14ac:dyDescent="0.25">
      <c r="A1964">
        <v>1963</v>
      </c>
      <c r="B1964" t="str">
        <f xml:space="preserve"> "002768"</f>
        <v>002768</v>
      </c>
      <c r="C1964" t="s">
        <v>6673</v>
      </c>
      <c r="D1964">
        <v>27.03</v>
      </c>
      <c r="E1964">
        <v>0.11</v>
      </c>
      <c r="F1964">
        <v>0.03</v>
      </c>
      <c r="G1964" t="s">
        <v>4590</v>
      </c>
      <c r="H1964">
        <v>32</v>
      </c>
      <c r="I1964">
        <v>27.03</v>
      </c>
      <c r="J1964">
        <v>27.06</v>
      </c>
      <c r="K1964">
        <v>0</v>
      </c>
      <c r="L1964">
        <v>1.73</v>
      </c>
      <c r="M1964" t="s">
        <v>6674</v>
      </c>
      <c r="N1964">
        <v>36.270000000000003</v>
      </c>
      <c r="O1964" t="s">
        <v>667</v>
      </c>
      <c r="P1964">
        <v>27.2</v>
      </c>
      <c r="Q1964">
        <v>26.77</v>
      </c>
      <c r="R1964">
        <v>27</v>
      </c>
      <c r="S1964">
        <v>27</v>
      </c>
      <c r="T1964">
        <v>1.59</v>
      </c>
      <c r="U1964">
        <v>1.1299999999999999</v>
      </c>
      <c r="V1964">
        <v>-15.57</v>
      </c>
      <c r="W1964">
        <v>-118</v>
      </c>
      <c r="X1964">
        <v>27.04</v>
      </c>
      <c r="Y1964">
        <v>4311</v>
      </c>
      <c r="Z1964" t="s">
        <v>1836</v>
      </c>
      <c r="AA1964">
        <v>0.4</v>
      </c>
      <c r="AB1964">
        <v>4</v>
      </c>
      <c r="AC1964">
        <v>172</v>
      </c>
      <c r="AD1964">
        <v>6.9</v>
      </c>
      <c r="AE1964" t="s">
        <v>2521</v>
      </c>
      <c r="AF1964" t="s">
        <v>5151</v>
      </c>
      <c r="AG1964" t="s">
        <v>6675</v>
      </c>
      <c r="AH1964" t="s">
        <v>3284</v>
      </c>
      <c r="AI1964">
        <v>0.52</v>
      </c>
      <c r="AJ1964">
        <v>3.96</v>
      </c>
      <c r="AK1964">
        <v>4.0999999999999996</v>
      </c>
      <c r="AL1964">
        <v>9.4</v>
      </c>
    </row>
    <row r="1965" spans="1:38" x14ac:dyDescent="0.25">
      <c r="A1965">
        <v>1964</v>
      </c>
      <c r="B1965" t="str">
        <f xml:space="preserve"> "600695"</f>
        <v>600695</v>
      </c>
      <c r="C1965" t="s">
        <v>6676</v>
      </c>
      <c r="D1965">
        <v>9.11</v>
      </c>
      <c r="E1965">
        <v>0.11</v>
      </c>
      <c r="F1965">
        <v>0.01</v>
      </c>
      <c r="G1965" t="s">
        <v>2346</v>
      </c>
      <c r="H1965">
        <v>10</v>
      </c>
      <c r="I1965">
        <v>9.08</v>
      </c>
      <c r="J1965">
        <v>9.11</v>
      </c>
      <c r="K1965">
        <v>-0.11</v>
      </c>
      <c r="L1965">
        <v>1.3</v>
      </c>
      <c r="M1965" t="s">
        <v>6677</v>
      </c>
      <c r="N1965">
        <v>252.25</v>
      </c>
      <c r="O1965" t="s">
        <v>482</v>
      </c>
      <c r="P1965">
        <v>9.2100000000000009</v>
      </c>
      <c r="Q1965">
        <v>8.8699999999999992</v>
      </c>
      <c r="R1965">
        <v>9.11</v>
      </c>
      <c r="S1965">
        <v>9.1</v>
      </c>
      <c r="T1965">
        <v>3.74</v>
      </c>
      <c r="U1965">
        <v>0.34</v>
      </c>
      <c r="V1965">
        <v>-52.66</v>
      </c>
      <c r="W1965">
        <v>-334</v>
      </c>
      <c r="X1965">
        <v>9.07</v>
      </c>
      <c r="Y1965" t="s">
        <v>1454</v>
      </c>
      <c r="Z1965" t="s">
        <v>3914</v>
      </c>
      <c r="AA1965">
        <v>0.77</v>
      </c>
      <c r="AB1965">
        <v>87</v>
      </c>
      <c r="AC1965">
        <v>118</v>
      </c>
      <c r="AD1965">
        <v>9.2100000000000009</v>
      </c>
      <c r="AE1965" t="s">
        <v>5380</v>
      </c>
      <c r="AF1965" t="s">
        <v>2362</v>
      </c>
      <c r="AG1965" t="s">
        <v>1343</v>
      </c>
      <c r="AH1965" t="s">
        <v>5489</v>
      </c>
      <c r="AI1965">
        <v>2.4700000000000002</v>
      </c>
      <c r="AJ1965">
        <v>7.94</v>
      </c>
      <c r="AK1965">
        <v>6.53</v>
      </c>
      <c r="AL1965">
        <v>20.45</v>
      </c>
    </row>
    <row r="1966" spans="1:38" x14ac:dyDescent="0.25">
      <c r="A1966">
        <v>1965</v>
      </c>
      <c r="B1966" t="str">
        <f xml:space="preserve"> "600351"</f>
        <v>600351</v>
      </c>
      <c r="C1966" t="s">
        <v>6678</v>
      </c>
      <c r="D1966">
        <v>8.23</v>
      </c>
      <c r="E1966">
        <v>0.49</v>
      </c>
      <c r="F1966">
        <v>0.04</v>
      </c>
      <c r="G1966" t="s">
        <v>2266</v>
      </c>
      <c r="H1966">
        <v>100</v>
      </c>
      <c r="I1966">
        <v>8.2100000000000009</v>
      </c>
      <c r="J1966">
        <v>8.2200000000000006</v>
      </c>
      <c r="K1966">
        <v>0.24</v>
      </c>
      <c r="L1966">
        <v>0.51</v>
      </c>
      <c r="M1966" t="s">
        <v>4028</v>
      </c>
      <c r="N1966">
        <v>30.23</v>
      </c>
      <c r="O1966" t="s">
        <v>392</v>
      </c>
      <c r="P1966">
        <v>8.27</v>
      </c>
      <c r="Q1966">
        <v>8.17</v>
      </c>
      <c r="R1966">
        <v>8.19</v>
      </c>
      <c r="S1966">
        <v>8.19</v>
      </c>
      <c r="T1966">
        <v>1.22</v>
      </c>
      <c r="U1966">
        <v>0.45</v>
      </c>
      <c r="V1966">
        <v>40.19</v>
      </c>
      <c r="W1966">
        <v>1920</v>
      </c>
      <c r="X1966">
        <v>8.2200000000000006</v>
      </c>
      <c r="Y1966" t="s">
        <v>4374</v>
      </c>
      <c r="Z1966" t="s">
        <v>3519</v>
      </c>
      <c r="AA1966">
        <v>1.19</v>
      </c>
      <c r="AB1966">
        <v>86</v>
      </c>
      <c r="AC1966">
        <v>186</v>
      </c>
      <c r="AD1966">
        <v>2.39</v>
      </c>
      <c r="AE1966" t="s">
        <v>5238</v>
      </c>
      <c r="AF1966" t="s">
        <v>2362</v>
      </c>
      <c r="AG1966" t="s">
        <v>4328</v>
      </c>
      <c r="AH1966" t="s">
        <v>2371</v>
      </c>
      <c r="AI1966">
        <v>1.23</v>
      </c>
      <c r="AJ1966">
        <v>5.24</v>
      </c>
      <c r="AK1966">
        <v>4.17</v>
      </c>
      <c r="AL1966">
        <v>6.2</v>
      </c>
    </row>
    <row r="1967" spans="1:38" x14ac:dyDescent="0.25">
      <c r="A1967">
        <v>1966</v>
      </c>
      <c r="B1967" t="str">
        <f xml:space="preserve"> "002528"</f>
        <v>002528</v>
      </c>
      <c r="C1967" t="s">
        <v>6679</v>
      </c>
      <c r="D1967">
        <v>6.19</v>
      </c>
      <c r="E1967">
        <v>-0.32</v>
      </c>
      <c r="F1967">
        <v>-0.02</v>
      </c>
      <c r="G1967" t="s">
        <v>710</v>
      </c>
      <c r="H1967">
        <v>558</v>
      </c>
      <c r="I1967">
        <v>6.18</v>
      </c>
      <c r="J1967">
        <v>6.19</v>
      </c>
      <c r="K1967">
        <v>0</v>
      </c>
      <c r="L1967">
        <v>0.56999999999999995</v>
      </c>
      <c r="M1967" t="s">
        <v>6680</v>
      </c>
      <c r="N1967">
        <v>122.68</v>
      </c>
      <c r="O1967" t="s">
        <v>205</v>
      </c>
      <c r="P1967">
        <v>6.23</v>
      </c>
      <c r="Q1967">
        <v>6.16</v>
      </c>
      <c r="R1967">
        <v>6.18</v>
      </c>
      <c r="S1967">
        <v>6.21</v>
      </c>
      <c r="T1967">
        <v>1.1299999999999999</v>
      </c>
      <c r="U1967">
        <v>0.54</v>
      </c>
      <c r="V1967">
        <v>14.93</v>
      </c>
      <c r="W1967">
        <v>1630</v>
      </c>
      <c r="X1967">
        <v>6.19</v>
      </c>
      <c r="Y1967" t="s">
        <v>3948</v>
      </c>
      <c r="Z1967" t="s">
        <v>3946</v>
      </c>
      <c r="AA1967">
        <v>1.68</v>
      </c>
      <c r="AB1967">
        <v>1487</v>
      </c>
      <c r="AC1967">
        <v>225</v>
      </c>
      <c r="AD1967">
        <v>2.29</v>
      </c>
      <c r="AE1967" t="s">
        <v>2066</v>
      </c>
      <c r="AF1967" t="s">
        <v>2362</v>
      </c>
      <c r="AG1967" t="s">
        <v>3916</v>
      </c>
      <c r="AH1967" t="s">
        <v>2046</v>
      </c>
      <c r="AI1967">
        <v>-1.28</v>
      </c>
      <c r="AJ1967">
        <v>3.17</v>
      </c>
      <c r="AK1967">
        <v>2.25</v>
      </c>
      <c r="AL1967">
        <v>5.83</v>
      </c>
    </row>
    <row r="1968" spans="1:38" x14ac:dyDescent="0.25">
      <c r="A1968">
        <v>1967</v>
      </c>
      <c r="B1968" t="str">
        <f xml:space="preserve"> "300319"</f>
        <v>300319</v>
      </c>
      <c r="C1968" t="s">
        <v>6681</v>
      </c>
      <c r="D1968">
        <v>9.19</v>
      </c>
      <c r="E1968">
        <v>-0.65</v>
      </c>
      <c r="F1968">
        <v>-0.06</v>
      </c>
      <c r="G1968" t="s">
        <v>197</v>
      </c>
      <c r="H1968">
        <v>706</v>
      </c>
      <c r="I1968">
        <v>9.18</v>
      </c>
      <c r="J1968">
        <v>9.19</v>
      </c>
      <c r="K1968">
        <v>0</v>
      </c>
      <c r="L1968">
        <v>1.33</v>
      </c>
      <c r="M1968" t="s">
        <v>6682</v>
      </c>
      <c r="N1968">
        <v>74.83</v>
      </c>
      <c r="O1968" t="s">
        <v>380</v>
      </c>
      <c r="P1968">
        <v>9.31</v>
      </c>
      <c r="Q1968">
        <v>9.1199999999999992</v>
      </c>
      <c r="R1968">
        <v>9.31</v>
      </c>
      <c r="S1968">
        <v>9.25</v>
      </c>
      <c r="T1968">
        <v>2.0499999999999998</v>
      </c>
      <c r="U1968">
        <v>0.35</v>
      </c>
      <c r="V1968">
        <v>68.63</v>
      </c>
      <c r="W1968">
        <v>5821</v>
      </c>
      <c r="X1968">
        <v>9.1999999999999993</v>
      </c>
      <c r="Y1968" t="s">
        <v>915</v>
      </c>
      <c r="Z1968" t="s">
        <v>275</v>
      </c>
      <c r="AA1968">
        <v>1.52</v>
      </c>
      <c r="AB1968">
        <v>663</v>
      </c>
      <c r="AC1968">
        <v>252</v>
      </c>
      <c r="AD1968">
        <v>2.89</v>
      </c>
      <c r="AE1968" t="s">
        <v>3364</v>
      </c>
      <c r="AF1968" t="s">
        <v>2933</v>
      </c>
      <c r="AG1968" t="s">
        <v>195</v>
      </c>
      <c r="AH1968" t="s">
        <v>2903</v>
      </c>
      <c r="AI1968">
        <v>-3.77</v>
      </c>
      <c r="AJ1968">
        <v>0.22</v>
      </c>
      <c r="AK1968">
        <v>6.89</v>
      </c>
      <c r="AL1968">
        <v>20.21</v>
      </c>
    </row>
    <row r="1969" spans="1:38" x14ac:dyDescent="0.25">
      <c r="A1969">
        <v>1968</v>
      </c>
      <c r="B1969" t="str">
        <f xml:space="preserve"> "600855"</f>
        <v>600855</v>
      </c>
      <c r="C1969" t="s">
        <v>6683</v>
      </c>
      <c r="D1969">
        <v>19.510000000000002</v>
      </c>
      <c r="E1969">
        <v>-0.66</v>
      </c>
      <c r="F1969">
        <v>-0.13</v>
      </c>
      <c r="G1969" t="s">
        <v>885</v>
      </c>
      <c r="H1969">
        <v>10</v>
      </c>
      <c r="I1969">
        <v>19.510000000000002</v>
      </c>
      <c r="J1969">
        <v>19.52</v>
      </c>
      <c r="K1969">
        <v>0</v>
      </c>
      <c r="L1969">
        <v>0.97</v>
      </c>
      <c r="M1969" t="s">
        <v>6684</v>
      </c>
      <c r="N1969">
        <v>26030.41</v>
      </c>
      <c r="O1969" t="s">
        <v>205</v>
      </c>
      <c r="P1969">
        <v>19.61</v>
      </c>
      <c r="Q1969">
        <v>19.399999999999999</v>
      </c>
      <c r="R1969">
        <v>19.559999999999999</v>
      </c>
      <c r="S1969">
        <v>19.64</v>
      </c>
      <c r="T1969">
        <v>1.07</v>
      </c>
      <c r="U1969">
        <v>0.64</v>
      </c>
      <c r="V1969">
        <v>-38.840000000000003</v>
      </c>
      <c r="W1969">
        <v>-563</v>
      </c>
      <c r="X1969">
        <v>19.47</v>
      </c>
      <c r="Y1969" t="s">
        <v>1724</v>
      </c>
      <c r="Z1969" t="s">
        <v>2002</v>
      </c>
      <c r="AA1969">
        <v>1.86</v>
      </c>
      <c r="AB1969">
        <v>109</v>
      </c>
      <c r="AC1969">
        <v>119</v>
      </c>
      <c r="AD1969">
        <v>7.48</v>
      </c>
      <c r="AE1969" t="s">
        <v>1624</v>
      </c>
      <c r="AF1969" t="s">
        <v>2933</v>
      </c>
      <c r="AG1969" t="s">
        <v>1417</v>
      </c>
      <c r="AH1969" t="s">
        <v>5796</v>
      </c>
      <c r="AI1969">
        <v>0.67</v>
      </c>
      <c r="AJ1969">
        <v>3.83</v>
      </c>
      <c r="AK1969">
        <v>4.8099999999999996</v>
      </c>
      <c r="AL1969">
        <v>8.6199999999999992</v>
      </c>
    </row>
    <row r="1970" spans="1:38" x14ac:dyDescent="0.25">
      <c r="A1970">
        <v>1969</v>
      </c>
      <c r="B1970" t="str">
        <f xml:space="preserve"> "002706"</f>
        <v>002706</v>
      </c>
      <c r="C1970" t="s">
        <v>6685</v>
      </c>
      <c r="D1970">
        <v>12.34</v>
      </c>
      <c r="E1970">
        <v>0.16</v>
      </c>
      <c r="F1970">
        <v>0.02</v>
      </c>
      <c r="G1970" t="s">
        <v>4399</v>
      </c>
      <c r="H1970">
        <v>185</v>
      </c>
      <c r="I1970">
        <v>12.33</v>
      </c>
      <c r="J1970">
        <v>12.34</v>
      </c>
      <c r="K1970">
        <v>0.08</v>
      </c>
      <c r="L1970">
        <v>0.39</v>
      </c>
      <c r="M1970" t="s">
        <v>6686</v>
      </c>
      <c r="N1970">
        <v>29.11</v>
      </c>
      <c r="O1970" t="s">
        <v>680</v>
      </c>
      <c r="P1970">
        <v>12.43</v>
      </c>
      <c r="Q1970">
        <v>12.3</v>
      </c>
      <c r="R1970">
        <v>12.33</v>
      </c>
      <c r="S1970">
        <v>12.32</v>
      </c>
      <c r="T1970">
        <v>1.06</v>
      </c>
      <c r="U1970">
        <v>0.69</v>
      </c>
      <c r="V1970">
        <v>-52.07</v>
      </c>
      <c r="W1970">
        <v>-906</v>
      </c>
      <c r="X1970">
        <v>12.36</v>
      </c>
      <c r="Y1970">
        <v>4542</v>
      </c>
      <c r="Z1970">
        <v>9731</v>
      </c>
      <c r="AA1970">
        <v>0.47</v>
      </c>
      <c r="AB1970">
        <v>157</v>
      </c>
      <c r="AC1970">
        <v>8</v>
      </c>
      <c r="AD1970">
        <v>4.04</v>
      </c>
      <c r="AE1970" t="s">
        <v>4119</v>
      </c>
      <c r="AF1970" t="s">
        <v>2933</v>
      </c>
      <c r="AG1970" t="s">
        <v>474</v>
      </c>
      <c r="AH1970" t="s">
        <v>6687</v>
      </c>
      <c r="AI1970">
        <v>-1.52</v>
      </c>
      <c r="AJ1970">
        <v>3.18</v>
      </c>
      <c r="AK1970">
        <v>1.38</v>
      </c>
      <c r="AL1970">
        <v>3.22</v>
      </c>
    </row>
    <row r="1971" spans="1:38" x14ac:dyDescent="0.25">
      <c r="A1971">
        <v>1970</v>
      </c>
      <c r="B1971" t="str">
        <f xml:space="preserve"> "603843"</f>
        <v>603843</v>
      </c>
      <c r="C1971" t="s">
        <v>6688</v>
      </c>
      <c r="D1971">
        <v>16.170000000000002</v>
      </c>
      <c r="E1971">
        <v>-1.82</v>
      </c>
      <c r="F1971">
        <v>-0.3</v>
      </c>
      <c r="G1971" t="s">
        <v>2143</v>
      </c>
      <c r="H1971">
        <v>10</v>
      </c>
      <c r="I1971">
        <v>16.16</v>
      </c>
      <c r="J1971">
        <v>16.170000000000002</v>
      </c>
      <c r="K1971">
        <v>-0.37</v>
      </c>
      <c r="L1971">
        <v>2.42</v>
      </c>
      <c r="M1971" t="s">
        <v>6689</v>
      </c>
      <c r="N1971">
        <v>187.47</v>
      </c>
      <c r="O1971" t="s">
        <v>263</v>
      </c>
      <c r="P1971">
        <v>16.7</v>
      </c>
      <c r="Q1971">
        <v>16.149999999999999</v>
      </c>
      <c r="R1971">
        <v>16.489999999999998</v>
      </c>
      <c r="S1971">
        <v>16.47</v>
      </c>
      <c r="T1971">
        <v>3.34</v>
      </c>
      <c r="U1971">
        <v>0.76</v>
      </c>
      <c r="V1971">
        <v>-19.22</v>
      </c>
      <c r="W1971">
        <v>-147</v>
      </c>
      <c r="X1971">
        <v>16.36</v>
      </c>
      <c r="Y1971" t="s">
        <v>2966</v>
      </c>
      <c r="Z1971" t="s">
        <v>113</v>
      </c>
      <c r="AA1971">
        <v>1.1599999999999999</v>
      </c>
      <c r="AB1971">
        <v>84</v>
      </c>
      <c r="AC1971">
        <v>116</v>
      </c>
      <c r="AD1971">
        <v>5.34</v>
      </c>
      <c r="AE1971" t="s">
        <v>1000</v>
      </c>
      <c r="AF1971" t="s">
        <v>2933</v>
      </c>
      <c r="AG1971" t="s">
        <v>1088</v>
      </c>
      <c r="AH1971" t="s">
        <v>364</v>
      </c>
      <c r="AI1971">
        <v>-0.12</v>
      </c>
      <c r="AJ1971">
        <v>8.6</v>
      </c>
      <c r="AK1971">
        <v>7.65</v>
      </c>
      <c r="AL1971">
        <v>18.21</v>
      </c>
    </row>
    <row r="1972" spans="1:38" x14ac:dyDescent="0.25">
      <c r="A1972">
        <v>1971</v>
      </c>
      <c r="B1972" t="str">
        <f xml:space="preserve"> "002226"</f>
        <v>002226</v>
      </c>
      <c r="C1972" t="s">
        <v>6690</v>
      </c>
      <c r="D1972" t="s">
        <v>616</v>
      </c>
      <c r="E1972" t="s">
        <v>616</v>
      </c>
      <c r="F1972" t="s">
        <v>616</v>
      </c>
      <c r="G1972" t="s">
        <v>616</v>
      </c>
      <c r="H1972" t="s">
        <v>616</v>
      </c>
      <c r="I1972" t="s">
        <v>616</v>
      </c>
      <c r="J1972" t="s">
        <v>616</v>
      </c>
      <c r="K1972" t="s">
        <v>616</v>
      </c>
      <c r="L1972" t="s">
        <v>616</v>
      </c>
      <c r="M1972" t="s">
        <v>616</v>
      </c>
      <c r="N1972">
        <v>51.24</v>
      </c>
      <c r="O1972" t="s">
        <v>667</v>
      </c>
      <c r="P1972" t="s">
        <v>616</v>
      </c>
      <c r="Q1972" t="s">
        <v>616</v>
      </c>
      <c r="R1972" t="s">
        <v>616</v>
      </c>
      <c r="S1972">
        <v>7.09</v>
      </c>
      <c r="T1972" t="s">
        <v>616</v>
      </c>
      <c r="U1972" t="s">
        <v>616</v>
      </c>
      <c r="V1972" t="s">
        <v>616</v>
      </c>
      <c r="W1972" t="s">
        <v>616</v>
      </c>
      <c r="X1972" t="s">
        <v>616</v>
      </c>
      <c r="Y1972" t="s">
        <v>616</v>
      </c>
      <c r="Z1972" t="s">
        <v>616</v>
      </c>
      <c r="AA1972" t="s">
        <v>616</v>
      </c>
      <c r="AB1972" t="s">
        <v>616</v>
      </c>
      <c r="AC1972" t="s">
        <v>616</v>
      </c>
      <c r="AD1972">
        <v>1.79</v>
      </c>
      <c r="AE1972" t="s">
        <v>5331</v>
      </c>
      <c r="AF1972" t="s">
        <v>6691</v>
      </c>
      <c r="AG1972" t="s">
        <v>2281</v>
      </c>
      <c r="AH1972" t="s">
        <v>3323</v>
      </c>
      <c r="AI1972">
        <v>0</v>
      </c>
      <c r="AJ1972">
        <v>0</v>
      </c>
      <c r="AK1972">
        <v>0</v>
      </c>
      <c r="AL1972">
        <v>0</v>
      </c>
    </row>
    <row r="1973" spans="1:38" x14ac:dyDescent="0.25">
      <c r="A1973">
        <v>1972</v>
      </c>
      <c r="B1973" t="str">
        <f xml:space="preserve"> "002070"</f>
        <v>002070</v>
      </c>
      <c r="C1973" t="s">
        <v>6692</v>
      </c>
      <c r="D1973" t="s">
        <v>616</v>
      </c>
      <c r="E1973" t="s">
        <v>616</v>
      </c>
      <c r="F1973" t="s">
        <v>616</v>
      </c>
      <c r="G1973" t="s">
        <v>616</v>
      </c>
      <c r="H1973" t="s">
        <v>616</v>
      </c>
      <c r="I1973" t="s">
        <v>616</v>
      </c>
      <c r="J1973" t="s">
        <v>616</v>
      </c>
      <c r="K1973" t="s">
        <v>616</v>
      </c>
      <c r="L1973" t="s">
        <v>616</v>
      </c>
      <c r="M1973" t="s">
        <v>616</v>
      </c>
      <c r="N1973">
        <v>-46.81</v>
      </c>
      <c r="O1973" t="s">
        <v>1443</v>
      </c>
      <c r="P1973" t="s">
        <v>616</v>
      </c>
      <c r="Q1973" t="s">
        <v>616</v>
      </c>
      <c r="R1973" t="s">
        <v>616</v>
      </c>
      <c r="S1973">
        <v>10.17</v>
      </c>
      <c r="T1973" t="s">
        <v>616</v>
      </c>
      <c r="U1973" t="s">
        <v>616</v>
      </c>
      <c r="V1973" t="s">
        <v>616</v>
      </c>
      <c r="W1973" t="s">
        <v>616</v>
      </c>
      <c r="X1973" t="s">
        <v>616</v>
      </c>
      <c r="Y1973" t="s">
        <v>616</v>
      </c>
      <c r="Z1973" t="s">
        <v>616</v>
      </c>
      <c r="AA1973" t="s">
        <v>616</v>
      </c>
      <c r="AB1973" t="s">
        <v>616</v>
      </c>
      <c r="AC1973" t="s">
        <v>616</v>
      </c>
      <c r="AD1973">
        <v>11</v>
      </c>
      <c r="AE1973" t="s">
        <v>4215</v>
      </c>
      <c r="AF1973" t="s">
        <v>6691</v>
      </c>
      <c r="AG1973" t="s">
        <v>4513</v>
      </c>
      <c r="AH1973" t="s">
        <v>5454</v>
      </c>
      <c r="AI1973">
        <v>0</v>
      </c>
      <c r="AJ1973">
        <v>0</v>
      </c>
      <c r="AK1973">
        <v>0</v>
      </c>
      <c r="AL1973">
        <v>0</v>
      </c>
    </row>
    <row r="1974" spans="1:38" x14ac:dyDescent="0.25">
      <c r="A1974">
        <v>1973</v>
      </c>
      <c r="B1974" t="str">
        <f xml:space="preserve"> "002003"</f>
        <v>002003</v>
      </c>
      <c r="C1974" t="s">
        <v>6693</v>
      </c>
      <c r="D1974">
        <v>11.07</v>
      </c>
      <c r="E1974">
        <v>0.36</v>
      </c>
      <c r="F1974">
        <v>0.04</v>
      </c>
      <c r="G1974" t="s">
        <v>884</v>
      </c>
      <c r="H1974">
        <v>572</v>
      </c>
      <c r="I1974">
        <v>11.07</v>
      </c>
      <c r="J1974">
        <v>11.08</v>
      </c>
      <c r="K1974">
        <v>0</v>
      </c>
      <c r="L1974">
        <v>0.41</v>
      </c>
      <c r="M1974" t="s">
        <v>6694</v>
      </c>
      <c r="N1974">
        <v>19.78</v>
      </c>
      <c r="O1974" t="s">
        <v>1443</v>
      </c>
      <c r="P1974">
        <v>11.09</v>
      </c>
      <c r="Q1974">
        <v>10.97</v>
      </c>
      <c r="R1974">
        <v>11.03</v>
      </c>
      <c r="S1974">
        <v>11.03</v>
      </c>
      <c r="T1974">
        <v>1.0900000000000001</v>
      </c>
      <c r="U1974">
        <v>0.88</v>
      </c>
      <c r="V1974">
        <v>-16.04</v>
      </c>
      <c r="W1974">
        <v>-560</v>
      </c>
      <c r="X1974">
        <v>11.03</v>
      </c>
      <c r="Y1974">
        <v>9248</v>
      </c>
      <c r="Z1974" t="s">
        <v>1685</v>
      </c>
      <c r="AA1974">
        <v>0.92</v>
      </c>
      <c r="AB1974">
        <v>137</v>
      </c>
      <c r="AC1974">
        <v>207</v>
      </c>
      <c r="AD1974">
        <v>2.97</v>
      </c>
      <c r="AE1974" t="s">
        <v>3782</v>
      </c>
      <c r="AF1974" t="s">
        <v>4595</v>
      </c>
      <c r="AG1974" t="s">
        <v>998</v>
      </c>
      <c r="AH1974" t="s">
        <v>2971</v>
      </c>
      <c r="AI1974">
        <v>1.19</v>
      </c>
      <c r="AJ1974">
        <v>3.46</v>
      </c>
      <c r="AK1974">
        <v>1.35</v>
      </c>
      <c r="AL1974">
        <v>2.73</v>
      </c>
    </row>
    <row r="1975" spans="1:38" x14ac:dyDescent="0.25">
      <c r="A1975">
        <v>1974</v>
      </c>
      <c r="B1975" t="str">
        <f xml:space="preserve"> "603959"</f>
        <v>603959</v>
      </c>
      <c r="C1975" t="s">
        <v>6695</v>
      </c>
      <c r="D1975">
        <v>28.8</v>
      </c>
      <c r="E1975">
        <v>2.2400000000000002</v>
      </c>
      <c r="F1975">
        <v>0.63</v>
      </c>
      <c r="G1975" t="s">
        <v>2002</v>
      </c>
      <c r="H1975">
        <v>5</v>
      </c>
      <c r="I1975">
        <v>28.78</v>
      </c>
      <c r="J1975">
        <v>28.8</v>
      </c>
      <c r="K1975">
        <v>-7.0000000000000007E-2</v>
      </c>
      <c r="L1975">
        <v>1.05</v>
      </c>
      <c r="M1975" t="s">
        <v>6696</v>
      </c>
      <c r="N1975">
        <v>155.35</v>
      </c>
      <c r="O1975" t="s">
        <v>263</v>
      </c>
      <c r="P1975">
        <v>28.82</v>
      </c>
      <c r="Q1975">
        <v>28.08</v>
      </c>
      <c r="R1975">
        <v>28.22</v>
      </c>
      <c r="S1975">
        <v>28.17</v>
      </c>
      <c r="T1975">
        <v>2.63</v>
      </c>
      <c r="U1975">
        <v>0.48</v>
      </c>
      <c r="V1975">
        <v>-71.69</v>
      </c>
      <c r="W1975">
        <v>-314</v>
      </c>
      <c r="X1975">
        <v>28.51</v>
      </c>
      <c r="Y1975">
        <v>4203</v>
      </c>
      <c r="Z1975">
        <v>6998</v>
      </c>
      <c r="AA1975">
        <v>0.6</v>
      </c>
      <c r="AB1975">
        <v>39</v>
      </c>
      <c r="AC1975">
        <v>172</v>
      </c>
      <c r="AD1975">
        <v>7.41</v>
      </c>
      <c r="AE1975" t="s">
        <v>3123</v>
      </c>
      <c r="AF1975" t="s">
        <v>4595</v>
      </c>
      <c r="AG1975" t="s">
        <v>1635</v>
      </c>
      <c r="AH1975" t="s">
        <v>2108</v>
      </c>
      <c r="AI1975">
        <v>1.23</v>
      </c>
      <c r="AJ1975">
        <v>3.49</v>
      </c>
      <c r="AK1975">
        <v>4.22</v>
      </c>
      <c r="AL1975">
        <v>12.11</v>
      </c>
    </row>
    <row r="1976" spans="1:38" x14ac:dyDescent="0.25">
      <c r="A1976">
        <v>1975</v>
      </c>
      <c r="B1976" t="str">
        <f xml:space="preserve"> "002062"</f>
        <v>002062</v>
      </c>
      <c r="C1976" t="s">
        <v>6697</v>
      </c>
      <c r="D1976">
        <v>5.85</v>
      </c>
      <c r="E1976">
        <v>0.17</v>
      </c>
      <c r="F1976">
        <v>0.01</v>
      </c>
      <c r="G1976" t="s">
        <v>468</v>
      </c>
      <c r="H1976">
        <v>324</v>
      </c>
      <c r="I1976">
        <v>5.84</v>
      </c>
      <c r="J1976">
        <v>5.85</v>
      </c>
      <c r="K1976">
        <v>0</v>
      </c>
      <c r="L1976">
        <v>0.22</v>
      </c>
      <c r="M1976" t="s">
        <v>6698</v>
      </c>
      <c r="N1976">
        <v>26.75</v>
      </c>
      <c r="O1976" t="s">
        <v>263</v>
      </c>
      <c r="P1976">
        <v>5.86</v>
      </c>
      <c r="Q1976">
        <v>5.82</v>
      </c>
      <c r="R1976">
        <v>5.84</v>
      </c>
      <c r="S1976">
        <v>5.84</v>
      </c>
      <c r="T1976">
        <v>0.68</v>
      </c>
      <c r="U1976">
        <v>0.6</v>
      </c>
      <c r="V1976">
        <v>-17.09</v>
      </c>
      <c r="W1976">
        <v>-1571</v>
      </c>
      <c r="X1976">
        <v>5.84</v>
      </c>
      <c r="Y1976" t="s">
        <v>1114</v>
      </c>
      <c r="Z1976">
        <v>6562</v>
      </c>
      <c r="AA1976">
        <v>2.2400000000000002</v>
      </c>
      <c r="AB1976">
        <v>681</v>
      </c>
      <c r="AC1976">
        <v>1175</v>
      </c>
      <c r="AD1976">
        <v>2.4900000000000002</v>
      </c>
      <c r="AE1976" t="s">
        <v>2501</v>
      </c>
      <c r="AF1976" t="s">
        <v>4595</v>
      </c>
      <c r="AG1976" t="s">
        <v>6024</v>
      </c>
      <c r="AH1976" t="s">
        <v>6233</v>
      </c>
      <c r="AI1976">
        <v>-0.34</v>
      </c>
      <c r="AJ1976">
        <v>2.09</v>
      </c>
      <c r="AK1976">
        <v>1.1399999999999999</v>
      </c>
      <c r="AL1976">
        <v>2.08</v>
      </c>
    </row>
    <row r="1977" spans="1:38" x14ac:dyDescent="0.25">
      <c r="A1977">
        <v>1976</v>
      </c>
      <c r="B1977" t="str">
        <f xml:space="preserve"> "300348"</f>
        <v>300348</v>
      </c>
      <c r="C1977" t="s">
        <v>6699</v>
      </c>
      <c r="D1977">
        <v>21.54</v>
      </c>
      <c r="E1977">
        <v>1.1299999999999999</v>
      </c>
      <c r="F1977">
        <v>0.24</v>
      </c>
      <c r="G1977" t="s">
        <v>3266</v>
      </c>
      <c r="H1977">
        <v>248</v>
      </c>
      <c r="I1977">
        <v>21.52</v>
      </c>
      <c r="J1977">
        <v>21.54</v>
      </c>
      <c r="K1977">
        <v>-0.05</v>
      </c>
      <c r="L1977">
        <v>1.36</v>
      </c>
      <c r="M1977" t="s">
        <v>6700</v>
      </c>
      <c r="N1977">
        <v>170.75</v>
      </c>
      <c r="O1977" t="s">
        <v>893</v>
      </c>
      <c r="P1977">
        <v>21.68</v>
      </c>
      <c r="Q1977">
        <v>20.95</v>
      </c>
      <c r="R1977">
        <v>21.2</v>
      </c>
      <c r="S1977">
        <v>21.3</v>
      </c>
      <c r="T1977">
        <v>3.43</v>
      </c>
      <c r="U1977">
        <v>0.77</v>
      </c>
      <c r="V1977">
        <v>-17.260000000000002</v>
      </c>
      <c r="W1977">
        <v>-247</v>
      </c>
      <c r="X1977">
        <v>21.34</v>
      </c>
      <c r="Y1977" t="s">
        <v>2800</v>
      </c>
      <c r="Z1977" t="s">
        <v>1579</v>
      </c>
      <c r="AA1977">
        <v>0.77</v>
      </c>
      <c r="AB1977">
        <v>15</v>
      </c>
      <c r="AC1977">
        <v>273</v>
      </c>
      <c r="AD1977">
        <v>6.57</v>
      </c>
      <c r="AE1977" t="s">
        <v>4522</v>
      </c>
      <c r="AF1977" t="s">
        <v>4595</v>
      </c>
      <c r="AG1977" t="s">
        <v>1710</v>
      </c>
      <c r="AH1977" t="s">
        <v>3290</v>
      </c>
      <c r="AI1977">
        <v>-1.06</v>
      </c>
      <c r="AJ1977">
        <v>4.72</v>
      </c>
      <c r="AK1977">
        <v>4.57</v>
      </c>
      <c r="AL1977">
        <v>10.18</v>
      </c>
    </row>
    <row r="1978" spans="1:38" x14ac:dyDescent="0.25">
      <c r="A1978">
        <v>1977</v>
      </c>
      <c r="B1978" t="str">
        <f xml:space="preserve"> "600360"</f>
        <v>600360</v>
      </c>
      <c r="C1978" t="s">
        <v>6701</v>
      </c>
      <c r="D1978">
        <v>8.73</v>
      </c>
      <c r="E1978">
        <v>0.34</v>
      </c>
      <c r="F1978">
        <v>0.03</v>
      </c>
      <c r="G1978" t="s">
        <v>132</v>
      </c>
      <c r="H1978">
        <v>93</v>
      </c>
      <c r="I1978">
        <v>8.7200000000000006</v>
      </c>
      <c r="J1978">
        <v>8.73</v>
      </c>
      <c r="K1978">
        <v>0.34</v>
      </c>
      <c r="L1978">
        <v>1.59</v>
      </c>
      <c r="M1978" t="s">
        <v>2179</v>
      </c>
      <c r="N1978">
        <v>94.26</v>
      </c>
      <c r="O1978" t="s">
        <v>380</v>
      </c>
      <c r="P1978">
        <v>8.7899999999999991</v>
      </c>
      <c r="Q1978">
        <v>8.6</v>
      </c>
      <c r="R1978">
        <v>8.67</v>
      </c>
      <c r="S1978">
        <v>8.6999999999999993</v>
      </c>
      <c r="T1978">
        <v>2.1800000000000002</v>
      </c>
      <c r="U1978">
        <v>0.51</v>
      </c>
      <c r="V1978">
        <v>-61.41</v>
      </c>
      <c r="W1978">
        <v>-2081</v>
      </c>
      <c r="X1978">
        <v>8.69</v>
      </c>
      <c r="Y1978" t="s">
        <v>2541</v>
      </c>
      <c r="Z1978" t="s">
        <v>336</v>
      </c>
      <c r="AA1978">
        <v>1.49</v>
      </c>
      <c r="AB1978">
        <v>190</v>
      </c>
      <c r="AC1978">
        <v>676</v>
      </c>
      <c r="AD1978">
        <v>3.14</v>
      </c>
      <c r="AE1978" t="s">
        <v>4206</v>
      </c>
      <c r="AF1978" t="s">
        <v>4595</v>
      </c>
      <c r="AG1978" t="s">
        <v>4206</v>
      </c>
      <c r="AH1978" t="s">
        <v>4595</v>
      </c>
      <c r="AI1978">
        <v>-4.28</v>
      </c>
      <c r="AJ1978">
        <v>0.23</v>
      </c>
      <c r="AK1978">
        <v>6.62</v>
      </c>
      <c r="AL1978">
        <v>17.11</v>
      </c>
    </row>
    <row r="1979" spans="1:38" x14ac:dyDescent="0.25">
      <c r="A1979">
        <v>1978</v>
      </c>
      <c r="B1979" t="str">
        <f xml:space="preserve"> "300511"</f>
        <v>300511</v>
      </c>
      <c r="C1979" t="s">
        <v>6702</v>
      </c>
      <c r="D1979">
        <v>28.2</v>
      </c>
      <c r="E1979">
        <v>0.43</v>
      </c>
      <c r="F1979">
        <v>0.12</v>
      </c>
      <c r="G1979" t="s">
        <v>2370</v>
      </c>
      <c r="H1979">
        <v>245</v>
      </c>
      <c r="I1979">
        <v>28.19</v>
      </c>
      <c r="J1979">
        <v>28.2</v>
      </c>
      <c r="K1979">
        <v>0</v>
      </c>
      <c r="L1979">
        <v>1.34</v>
      </c>
      <c r="M1979" t="s">
        <v>5667</v>
      </c>
      <c r="N1979">
        <v>79.97</v>
      </c>
      <c r="O1979" t="s">
        <v>622</v>
      </c>
      <c r="P1979">
        <v>28.5</v>
      </c>
      <c r="Q1979">
        <v>27.86</v>
      </c>
      <c r="R1979">
        <v>28.1</v>
      </c>
      <c r="S1979">
        <v>28.08</v>
      </c>
      <c r="T1979">
        <v>2.2799999999999998</v>
      </c>
      <c r="U1979">
        <v>0.7</v>
      </c>
      <c r="V1979">
        <v>-62.11</v>
      </c>
      <c r="W1979">
        <v>-433</v>
      </c>
      <c r="X1979">
        <v>28.2</v>
      </c>
      <c r="Y1979">
        <v>7485</v>
      </c>
      <c r="Z1979">
        <v>5308</v>
      </c>
      <c r="AA1979">
        <v>1.41</v>
      </c>
      <c r="AB1979">
        <v>5</v>
      </c>
      <c r="AC1979">
        <v>94</v>
      </c>
      <c r="AD1979">
        <v>4.8</v>
      </c>
      <c r="AE1979" t="s">
        <v>3884</v>
      </c>
      <c r="AF1979" t="s">
        <v>4595</v>
      </c>
      <c r="AG1979" t="s">
        <v>6703</v>
      </c>
      <c r="AH1979" t="s">
        <v>1053</v>
      </c>
      <c r="AI1979">
        <v>-1.78</v>
      </c>
      <c r="AJ1979">
        <v>2.58</v>
      </c>
      <c r="AK1979">
        <v>4.6900000000000004</v>
      </c>
      <c r="AL1979">
        <v>10.97</v>
      </c>
    </row>
    <row r="1980" spans="1:38" x14ac:dyDescent="0.25">
      <c r="A1980">
        <v>1979</v>
      </c>
      <c r="B1980" t="str">
        <f xml:space="preserve"> "002355"</f>
        <v>002355</v>
      </c>
      <c r="C1980" t="s">
        <v>6704</v>
      </c>
      <c r="D1980">
        <v>12.54</v>
      </c>
      <c r="E1980">
        <v>-2.56</v>
      </c>
      <c r="F1980">
        <v>-0.33</v>
      </c>
      <c r="G1980" t="s">
        <v>132</v>
      </c>
      <c r="H1980">
        <v>2303</v>
      </c>
      <c r="I1980">
        <v>12.54</v>
      </c>
      <c r="J1980">
        <v>12.55</v>
      </c>
      <c r="K1980">
        <v>-0.08</v>
      </c>
      <c r="L1980">
        <v>3.99</v>
      </c>
      <c r="M1980" t="s">
        <v>598</v>
      </c>
      <c r="N1980">
        <v>80.510000000000005</v>
      </c>
      <c r="O1980" t="s">
        <v>169</v>
      </c>
      <c r="P1980">
        <v>12.98</v>
      </c>
      <c r="Q1980">
        <v>12.51</v>
      </c>
      <c r="R1980">
        <v>12.75</v>
      </c>
      <c r="S1980">
        <v>12.87</v>
      </c>
      <c r="T1980">
        <v>3.65</v>
      </c>
      <c r="U1980">
        <v>0.56000000000000005</v>
      </c>
      <c r="V1980">
        <v>16.600000000000001</v>
      </c>
      <c r="W1980">
        <v>908</v>
      </c>
      <c r="X1980">
        <v>12.67</v>
      </c>
      <c r="Y1980" t="s">
        <v>5236</v>
      </c>
      <c r="Z1980" t="s">
        <v>3702</v>
      </c>
      <c r="AA1980">
        <v>1.96</v>
      </c>
      <c r="AB1980">
        <v>181</v>
      </c>
      <c r="AC1980">
        <v>1335</v>
      </c>
      <c r="AD1980">
        <v>3.13</v>
      </c>
      <c r="AE1980" t="s">
        <v>6705</v>
      </c>
      <c r="AF1980" t="s">
        <v>5796</v>
      </c>
      <c r="AG1980" t="s">
        <v>5328</v>
      </c>
      <c r="AH1980" t="s">
        <v>1817</v>
      </c>
      <c r="AI1980">
        <v>-2.56</v>
      </c>
      <c r="AJ1980">
        <v>2.2799999999999998</v>
      </c>
      <c r="AK1980">
        <v>23.65</v>
      </c>
      <c r="AL1980">
        <v>39.82</v>
      </c>
    </row>
    <row r="1981" spans="1:38" x14ac:dyDescent="0.25">
      <c r="A1981">
        <v>1980</v>
      </c>
      <c r="B1981" t="str">
        <f xml:space="preserve"> "300484"</f>
        <v>300484</v>
      </c>
      <c r="C1981" t="s">
        <v>6706</v>
      </c>
      <c r="D1981">
        <v>30.96</v>
      </c>
      <c r="E1981">
        <v>-0.45</v>
      </c>
      <c r="F1981">
        <v>-0.14000000000000001</v>
      </c>
      <c r="G1981" t="s">
        <v>3941</v>
      </c>
      <c r="H1981">
        <v>132</v>
      </c>
      <c r="I1981">
        <v>30.96</v>
      </c>
      <c r="J1981">
        <v>30.98</v>
      </c>
      <c r="K1981">
        <v>0.03</v>
      </c>
      <c r="L1981">
        <v>1.22</v>
      </c>
      <c r="M1981" t="s">
        <v>6707</v>
      </c>
      <c r="N1981">
        <v>45.45</v>
      </c>
      <c r="O1981" t="s">
        <v>680</v>
      </c>
      <c r="P1981">
        <v>31.44</v>
      </c>
      <c r="Q1981">
        <v>30.82</v>
      </c>
      <c r="R1981">
        <v>31.15</v>
      </c>
      <c r="S1981">
        <v>31.1</v>
      </c>
      <c r="T1981">
        <v>1.99</v>
      </c>
      <c r="U1981">
        <v>0.49</v>
      </c>
      <c r="V1981">
        <v>60.17</v>
      </c>
      <c r="W1981">
        <v>281</v>
      </c>
      <c r="X1981">
        <v>30.96</v>
      </c>
      <c r="Y1981">
        <v>6611</v>
      </c>
      <c r="Z1981">
        <v>4869</v>
      </c>
      <c r="AA1981">
        <v>1.36</v>
      </c>
      <c r="AB1981">
        <v>163</v>
      </c>
      <c r="AC1981">
        <v>10</v>
      </c>
      <c r="AD1981">
        <v>9.92</v>
      </c>
      <c r="AE1981" t="s">
        <v>2964</v>
      </c>
      <c r="AF1981" t="s">
        <v>5796</v>
      </c>
      <c r="AG1981" t="s">
        <v>6708</v>
      </c>
      <c r="AH1981" t="s">
        <v>2795</v>
      </c>
      <c r="AI1981">
        <v>-1.78</v>
      </c>
      <c r="AJ1981">
        <v>-6.07</v>
      </c>
      <c r="AK1981">
        <v>6.17</v>
      </c>
      <c r="AL1981">
        <v>13.8</v>
      </c>
    </row>
    <row r="1982" spans="1:38" x14ac:dyDescent="0.25">
      <c r="A1982">
        <v>1981</v>
      </c>
      <c r="B1982" t="str">
        <f xml:space="preserve"> "000821"</f>
        <v>000821</v>
      </c>
      <c r="C1982" t="s">
        <v>6709</v>
      </c>
      <c r="D1982">
        <v>13.47</v>
      </c>
      <c r="E1982">
        <v>0.22</v>
      </c>
      <c r="F1982">
        <v>0.03</v>
      </c>
      <c r="G1982" t="s">
        <v>2181</v>
      </c>
      <c r="H1982">
        <v>253</v>
      </c>
      <c r="I1982">
        <v>13.46</v>
      </c>
      <c r="J1982">
        <v>13.47</v>
      </c>
      <c r="K1982">
        <v>7.0000000000000007E-2</v>
      </c>
      <c r="L1982">
        <v>1.28</v>
      </c>
      <c r="M1982" t="s">
        <v>6710</v>
      </c>
      <c r="N1982">
        <v>45.11</v>
      </c>
      <c r="O1982" t="s">
        <v>648</v>
      </c>
      <c r="P1982">
        <v>13.51</v>
      </c>
      <c r="Q1982">
        <v>13.3</v>
      </c>
      <c r="R1982">
        <v>13.36</v>
      </c>
      <c r="S1982">
        <v>13.44</v>
      </c>
      <c r="T1982">
        <v>1.56</v>
      </c>
      <c r="U1982">
        <v>0.96</v>
      </c>
      <c r="V1982">
        <v>-39.409999999999997</v>
      </c>
      <c r="W1982">
        <v>-1050</v>
      </c>
      <c r="X1982">
        <v>13.41</v>
      </c>
      <c r="Y1982" t="s">
        <v>3387</v>
      </c>
      <c r="Z1982" t="s">
        <v>3357</v>
      </c>
      <c r="AA1982">
        <v>0.78</v>
      </c>
      <c r="AB1982">
        <v>146</v>
      </c>
      <c r="AC1982">
        <v>82</v>
      </c>
      <c r="AD1982">
        <v>3.58</v>
      </c>
      <c r="AE1982" t="s">
        <v>1584</v>
      </c>
      <c r="AF1982" t="s">
        <v>5796</v>
      </c>
      <c r="AG1982" t="s">
        <v>2198</v>
      </c>
      <c r="AH1982" t="s">
        <v>6443</v>
      </c>
      <c r="AI1982">
        <v>0.97</v>
      </c>
      <c r="AJ1982">
        <v>5.48</v>
      </c>
      <c r="AK1982">
        <v>4.53</v>
      </c>
      <c r="AL1982">
        <v>7.94</v>
      </c>
    </row>
    <row r="1983" spans="1:38" x14ac:dyDescent="0.25">
      <c r="A1983">
        <v>1982</v>
      </c>
      <c r="B1983" t="str">
        <f xml:space="preserve"> "300691"</f>
        <v>300691</v>
      </c>
      <c r="C1983" t="s">
        <v>6711</v>
      </c>
      <c r="D1983">
        <v>75.180000000000007</v>
      </c>
      <c r="E1983">
        <v>-0.9</v>
      </c>
      <c r="F1983">
        <v>-0.68</v>
      </c>
      <c r="G1983" t="s">
        <v>1114</v>
      </c>
      <c r="H1983">
        <v>163</v>
      </c>
      <c r="I1983">
        <v>75.12</v>
      </c>
      <c r="J1983">
        <v>75.180000000000007</v>
      </c>
      <c r="K1983">
        <v>-0.15</v>
      </c>
      <c r="L1983">
        <v>6.85</v>
      </c>
      <c r="M1983" t="s">
        <v>679</v>
      </c>
      <c r="N1983">
        <v>304.55</v>
      </c>
      <c r="O1983" t="s">
        <v>380</v>
      </c>
      <c r="P1983">
        <v>75.97</v>
      </c>
      <c r="Q1983">
        <v>73.510000000000005</v>
      </c>
      <c r="R1983">
        <v>75.790000000000006</v>
      </c>
      <c r="S1983">
        <v>75.86</v>
      </c>
      <c r="T1983">
        <v>3.24</v>
      </c>
      <c r="U1983">
        <v>0.79</v>
      </c>
      <c r="V1983">
        <v>31.62</v>
      </c>
      <c r="W1983">
        <v>42</v>
      </c>
      <c r="X1983">
        <v>74.94</v>
      </c>
      <c r="Y1983">
        <v>9509</v>
      </c>
      <c r="Z1983">
        <v>5157</v>
      </c>
      <c r="AA1983">
        <v>1.84</v>
      </c>
      <c r="AB1983">
        <v>14</v>
      </c>
      <c r="AC1983">
        <v>24</v>
      </c>
      <c r="AD1983">
        <v>9.2899999999999991</v>
      </c>
      <c r="AE1983" t="s">
        <v>6712</v>
      </c>
      <c r="AF1983" t="s">
        <v>4535</v>
      </c>
      <c r="AG1983" t="s">
        <v>6713</v>
      </c>
      <c r="AH1983" t="s">
        <v>3071</v>
      </c>
      <c r="AI1983">
        <v>-4.38</v>
      </c>
      <c r="AJ1983">
        <v>2.27</v>
      </c>
      <c r="AK1983">
        <v>23.68</v>
      </c>
      <c r="AL1983">
        <v>50.2</v>
      </c>
    </row>
    <row r="1984" spans="1:38" x14ac:dyDescent="0.25">
      <c r="A1984">
        <v>1983</v>
      </c>
      <c r="B1984" t="str">
        <f xml:space="preserve"> "600691"</f>
        <v>600691</v>
      </c>
      <c r="C1984" t="s">
        <v>6714</v>
      </c>
      <c r="D1984">
        <v>3.66</v>
      </c>
      <c r="E1984">
        <v>-0.27</v>
      </c>
      <c r="F1984">
        <v>-0.01</v>
      </c>
      <c r="G1984" t="s">
        <v>360</v>
      </c>
      <c r="H1984">
        <v>58</v>
      </c>
      <c r="I1984">
        <v>3.65</v>
      </c>
      <c r="J1984">
        <v>3.66</v>
      </c>
      <c r="K1984">
        <v>0</v>
      </c>
      <c r="L1984">
        <v>1.21</v>
      </c>
      <c r="M1984" t="s">
        <v>6715</v>
      </c>
      <c r="N1984">
        <v>52.69</v>
      </c>
      <c r="O1984" t="s">
        <v>1936</v>
      </c>
      <c r="P1984">
        <v>3.68</v>
      </c>
      <c r="Q1984">
        <v>3.61</v>
      </c>
      <c r="R1984">
        <v>3.67</v>
      </c>
      <c r="S1984">
        <v>3.67</v>
      </c>
      <c r="T1984">
        <v>1.91</v>
      </c>
      <c r="U1984">
        <v>0.56000000000000005</v>
      </c>
      <c r="V1984">
        <v>19.14</v>
      </c>
      <c r="W1984">
        <v>6687</v>
      </c>
      <c r="X1984">
        <v>3.64</v>
      </c>
      <c r="Y1984" t="s">
        <v>363</v>
      </c>
      <c r="Z1984" t="s">
        <v>1448</v>
      </c>
      <c r="AA1984">
        <v>1.06</v>
      </c>
      <c r="AB1984">
        <v>777</v>
      </c>
      <c r="AC1984">
        <v>1187</v>
      </c>
      <c r="AD1984">
        <v>1.71</v>
      </c>
      <c r="AE1984" t="s">
        <v>2050</v>
      </c>
      <c r="AF1984" t="s">
        <v>4535</v>
      </c>
      <c r="AG1984" t="s">
        <v>2050</v>
      </c>
      <c r="AH1984" t="s">
        <v>4535</v>
      </c>
      <c r="AI1984">
        <v>-2.66</v>
      </c>
      <c r="AJ1984">
        <v>-5.67</v>
      </c>
      <c r="AK1984">
        <v>4.5199999999999996</v>
      </c>
      <c r="AL1984">
        <v>12.05</v>
      </c>
    </row>
    <row r="1985" spans="1:38" x14ac:dyDescent="0.25">
      <c r="A1985">
        <v>1984</v>
      </c>
      <c r="B1985" t="str">
        <f xml:space="preserve"> "603378"</f>
        <v>603378</v>
      </c>
      <c r="C1985" t="s">
        <v>6716</v>
      </c>
      <c r="D1985">
        <v>33</v>
      </c>
      <c r="E1985">
        <v>10</v>
      </c>
      <c r="F1985">
        <v>3</v>
      </c>
      <c r="G1985">
        <v>8921</v>
      </c>
      <c r="H1985">
        <v>10</v>
      </c>
      <c r="I1985">
        <v>33</v>
      </c>
      <c r="J1985" t="s">
        <v>616</v>
      </c>
      <c r="K1985">
        <v>0</v>
      </c>
      <c r="L1985">
        <v>1.82</v>
      </c>
      <c r="M1985" t="s">
        <v>6717</v>
      </c>
      <c r="N1985">
        <v>88.58</v>
      </c>
      <c r="O1985" t="s">
        <v>667</v>
      </c>
      <c r="P1985">
        <v>33</v>
      </c>
      <c r="Q1985">
        <v>33</v>
      </c>
      <c r="R1985">
        <v>33</v>
      </c>
      <c r="S1985">
        <v>30</v>
      </c>
      <c r="T1985">
        <v>0</v>
      </c>
      <c r="U1985">
        <v>16.100000000000001</v>
      </c>
      <c r="V1985">
        <v>100</v>
      </c>
      <c r="W1985" t="s">
        <v>3946</v>
      </c>
      <c r="X1985">
        <v>33</v>
      </c>
      <c r="Y1985">
        <v>8921</v>
      </c>
      <c r="Z1985">
        <v>0</v>
      </c>
      <c r="AA1985">
        <v>1</v>
      </c>
      <c r="AB1985" t="s">
        <v>4303</v>
      </c>
      <c r="AC1985">
        <v>0</v>
      </c>
      <c r="AD1985">
        <v>5.31</v>
      </c>
      <c r="AE1985" t="s">
        <v>1935</v>
      </c>
      <c r="AF1985" t="s">
        <v>4535</v>
      </c>
      <c r="AG1985" t="s">
        <v>6493</v>
      </c>
      <c r="AH1985" t="s">
        <v>2648</v>
      </c>
      <c r="AI1985">
        <v>33.119999999999997</v>
      </c>
      <c r="AJ1985">
        <v>77.13</v>
      </c>
      <c r="AK1985">
        <v>2.2799999999999998</v>
      </c>
      <c r="AL1985">
        <v>2.39</v>
      </c>
    </row>
    <row r="1986" spans="1:38" x14ac:dyDescent="0.25">
      <c r="A1986">
        <v>1985</v>
      </c>
      <c r="B1986" t="str">
        <f xml:space="preserve"> "300434"</f>
        <v>300434</v>
      </c>
      <c r="C1986" t="s">
        <v>6718</v>
      </c>
      <c r="D1986">
        <v>28.79</v>
      </c>
      <c r="E1986">
        <v>1.02</v>
      </c>
      <c r="F1986">
        <v>0.28999999999999998</v>
      </c>
      <c r="G1986">
        <v>3444</v>
      </c>
      <c r="H1986">
        <v>130</v>
      </c>
      <c r="I1986">
        <v>28.78</v>
      </c>
      <c r="J1986">
        <v>28.79</v>
      </c>
      <c r="K1986">
        <v>0.03</v>
      </c>
      <c r="L1986">
        <v>0.87</v>
      </c>
      <c r="M1986" t="s">
        <v>6719</v>
      </c>
      <c r="N1986">
        <v>231.64</v>
      </c>
      <c r="O1986" t="s">
        <v>648</v>
      </c>
      <c r="P1986">
        <v>28.89</v>
      </c>
      <c r="Q1986">
        <v>28.38</v>
      </c>
      <c r="R1986">
        <v>28.38</v>
      </c>
      <c r="S1986">
        <v>28.5</v>
      </c>
      <c r="T1986">
        <v>1.79</v>
      </c>
      <c r="U1986">
        <v>0.56000000000000005</v>
      </c>
      <c r="V1986">
        <v>-23.48</v>
      </c>
      <c r="W1986">
        <v>-127</v>
      </c>
      <c r="X1986">
        <v>28.72</v>
      </c>
      <c r="Y1986">
        <v>1531</v>
      </c>
      <c r="Z1986">
        <v>1913</v>
      </c>
      <c r="AA1986">
        <v>0.8</v>
      </c>
      <c r="AB1986">
        <v>13</v>
      </c>
      <c r="AC1986">
        <v>123</v>
      </c>
      <c r="AD1986">
        <v>1.91</v>
      </c>
      <c r="AE1986" t="s">
        <v>5840</v>
      </c>
      <c r="AF1986" t="s">
        <v>4535</v>
      </c>
      <c r="AG1986" t="s">
        <v>6720</v>
      </c>
      <c r="AH1986" t="s">
        <v>357</v>
      </c>
      <c r="AI1986">
        <v>-0.59</v>
      </c>
      <c r="AJ1986">
        <v>2.09</v>
      </c>
      <c r="AK1986">
        <v>3.79</v>
      </c>
      <c r="AL1986">
        <v>8.64</v>
      </c>
    </row>
    <row r="1987" spans="1:38" x14ac:dyDescent="0.25">
      <c r="A1987">
        <v>1986</v>
      </c>
      <c r="B1987" t="str">
        <f xml:space="preserve"> "603085"</f>
        <v>603085</v>
      </c>
      <c r="C1987" t="s">
        <v>6721</v>
      </c>
      <c r="D1987">
        <v>28.69</v>
      </c>
      <c r="E1987">
        <v>-0.8</v>
      </c>
      <c r="F1987">
        <v>-0.23</v>
      </c>
      <c r="G1987">
        <v>4103</v>
      </c>
      <c r="H1987">
        <v>10</v>
      </c>
      <c r="I1987">
        <v>28.67</v>
      </c>
      <c r="J1987">
        <v>28.71</v>
      </c>
      <c r="K1987">
        <v>-0.45</v>
      </c>
      <c r="L1987">
        <v>0.52</v>
      </c>
      <c r="M1987" t="s">
        <v>6722</v>
      </c>
      <c r="N1987">
        <v>115.25</v>
      </c>
      <c r="O1987" t="s">
        <v>2647</v>
      </c>
      <c r="P1987">
        <v>29.05</v>
      </c>
      <c r="Q1987">
        <v>28.6</v>
      </c>
      <c r="R1987">
        <v>28.6</v>
      </c>
      <c r="S1987">
        <v>28.92</v>
      </c>
      <c r="T1987">
        <v>1.56</v>
      </c>
      <c r="U1987">
        <v>0.49</v>
      </c>
      <c r="V1987">
        <v>-27.34</v>
      </c>
      <c r="W1987">
        <v>-149</v>
      </c>
      <c r="X1987">
        <v>28.71</v>
      </c>
      <c r="Y1987">
        <v>2485</v>
      </c>
      <c r="Z1987">
        <v>1618</v>
      </c>
      <c r="AA1987">
        <v>1.54</v>
      </c>
      <c r="AB1987">
        <v>36</v>
      </c>
      <c r="AC1987">
        <v>94</v>
      </c>
      <c r="AD1987">
        <v>6.84</v>
      </c>
      <c r="AE1987" t="s">
        <v>3123</v>
      </c>
      <c r="AF1987" t="s">
        <v>3375</v>
      </c>
      <c r="AG1987" t="s">
        <v>4822</v>
      </c>
      <c r="AH1987" t="s">
        <v>5418</v>
      </c>
      <c r="AI1987">
        <v>-1.65</v>
      </c>
      <c r="AJ1987">
        <v>1.7</v>
      </c>
      <c r="AK1987">
        <v>2.35</v>
      </c>
      <c r="AL1987">
        <v>5.88</v>
      </c>
    </row>
    <row r="1988" spans="1:38" x14ac:dyDescent="0.25">
      <c r="A1988">
        <v>1987</v>
      </c>
      <c r="B1988" t="str">
        <f xml:space="preserve"> "603998"</f>
        <v>603998</v>
      </c>
      <c r="C1988" t="s">
        <v>6723</v>
      </c>
      <c r="D1988">
        <v>14.9</v>
      </c>
      <c r="E1988">
        <v>7.0000000000000007E-2</v>
      </c>
      <c r="F1988">
        <v>0.01</v>
      </c>
      <c r="G1988" t="s">
        <v>3946</v>
      </c>
      <c r="H1988">
        <v>10</v>
      </c>
      <c r="I1988">
        <v>14.9</v>
      </c>
      <c r="J1988">
        <v>14.91</v>
      </c>
      <c r="K1988">
        <v>-0.13</v>
      </c>
      <c r="L1988">
        <v>0.62</v>
      </c>
      <c r="M1988" t="s">
        <v>6724</v>
      </c>
      <c r="N1988">
        <v>69.31</v>
      </c>
      <c r="O1988" t="s">
        <v>392</v>
      </c>
      <c r="P1988">
        <v>14.96</v>
      </c>
      <c r="Q1988">
        <v>14.58</v>
      </c>
      <c r="R1988">
        <v>14.95</v>
      </c>
      <c r="S1988">
        <v>14.89</v>
      </c>
      <c r="T1988">
        <v>2.5499999999999998</v>
      </c>
      <c r="U1988">
        <v>0.69</v>
      </c>
      <c r="V1988">
        <v>31.57</v>
      </c>
      <c r="W1988">
        <v>279</v>
      </c>
      <c r="X1988">
        <v>14.76</v>
      </c>
      <c r="Y1988">
        <v>7131</v>
      </c>
      <c r="Z1988">
        <v>9629</v>
      </c>
      <c r="AA1988">
        <v>0.74</v>
      </c>
      <c r="AB1988">
        <v>1</v>
      </c>
      <c r="AC1988">
        <v>70</v>
      </c>
      <c r="AD1988">
        <v>6.62</v>
      </c>
      <c r="AE1988" t="s">
        <v>2302</v>
      </c>
      <c r="AF1988" t="s">
        <v>3375</v>
      </c>
      <c r="AG1988" t="s">
        <v>6725</v>
      </c>
      <c r="AH1988" t="s">
        <v>1748</v>
      </c>
      <c r="AI1988">
        <v>-3.06</v>
      </c>
      <c r="AJ1988">
        <v>-1.32</v>
      </c>
      <c r="AK1988">
        <v>2.74</v>
      </c>
      <c r="AL1988">
        <v>5.16</v>
      </c>
    </row>
    <row r="1989" spans="1:38" x14ac:dyDescent="0.25">
      <c r="A1989">
        <v>1988</v>
      </c>
      <c r="B1989" t="str">
        <f xml:space="preserve"> "600220"</f>
        <v>600220</v>
      </c>
      <c r="C1989" t="s">
        <v>6726</v>
      </c>
      <c r="D1989">
        <v>3.6</v>
      </c>
      <c r="E1989">
        <v>0.56000000000000005</v>
      </c>
      <c r="F1989">
        <v>0.02</v>
      </c>
      <c r="G1989" t="s">
        <v>3135</v>
      </c>
      <c r="H1989">
        <v>2</v>
      </c>
      <c r="I1989">
        <v>3.59</v>
      </c>
      <c r="J1989">
        <v>3.6</v>
      </c>
      <c r="K1989">
        <v>0</v>
      </c>
      <c r="L1989">
        <v>0.5</v>
      </c>
      <c r="M1989" t="s">
        <v>6727</v>
      </c>
      <c r="N1989">
        <v>90.97</v>
      </c>
      <c r="O1989" t="s">
        <v>1443</v>
      </c>
      <c r="P1989">
        <v>3.61</v>
      </c>
      <c r="Q1989">
        <v>3.56</v>
      </c>
      <c r="R1989">
        <v>3.58</v>
      </c>
      <c r="S1989">
        <v>3.58</v>
      </c>
      <c r="T1989">
        <v>1.4</v>
      </c>
      <c r="U1989">
        <v>0.69</v>
      </c>
      <c r="V1989">
        <v>-10.07</v>
      </c>
      <c r="W1989">
        <v>-3674</v>
      </c>
      <c r="X1989">
        <v>3.59</v>
      </c>
      <c r="Y1989" t="s">
        <v>3559</v>
      </c>
      <c r="Z1989" t="s">
        <v>2673</v>
      </c>
      <c r="AA1989">
        <v>0.95</v>
      </c>
      <c r="AB1989">
        <v>3048</v>
      </c>
      <c r="AC1989">
        <v>3075</v>
      </c>
      <c r="AD1989">
        <v>3.23</v>
      </c>
      <c r="AE1989" t="s">
        <v>1713</v>
      </c>
      <c r="AF1989" t="s">
        <v>3375</v>
      </c>
      <c r="AG1989" t="s">
        <v>1713</v>
      </c>
      <c r="AH1989" t="s">
        <v>3375</v>
      </c>
      <c r="AI1989">
        <v>-0.83</v>
      </c>
      <c r="AJ1989">
        <v>1.69</v>
      </c>
      <c r="AK1989">
        <v>1.8</v>
      </c>
      <c r="AL1989">
        <v>4.09</v>
      </c>
    </row>
    <row r="1990" spans="1:38" x14ac:dyDescent="0.25">
      <c r="A1990">
        <v>1989</v>
      </c>
      <c r="B1990" t="str">
        <f xml:space="preserve"> "002198"</f>
        <v>002198</v>
      </c>
      <c r="C1990" t="s">
        <v>6728</v>
      </c>
      <c r="D1990">
        <v>12.65</v>
      </c>
      <c r="E1990">
        <v>-0.08</v>
      </c>
      <c r="F1990">
        <v>-0.01</v>
      </c>
      <c r="G1990">
        <v>8398</v>
      </c>
      <c r="H1990">
        <v>500</v>
      </c>
      <c r="I1990">
        <v>12.64</v>
      </c>
      <c r="J1990">
        <v>12.65</v>
      </c>
      <c r="K1990">
        <v>0</v>
      </c>
      <c r="L1990">
        <v>0.18</v>
      </c>
      <c r="M1990" t="s">
        <v>6729</v>
      </c>
      <c r="N1990">
        <v>324.27</v>
      </c>
      <c r="O1990" t="s">
        <v>392</v>
      </c>
      <c r="P1990">
        <v>12.66</v>
      </c>
      <c r="Q1990">
        <v>12.6</v>
      </c>
      <c r="R1990">
        <v>12.66</v>
      </c>
      <c r="S1990">
        <v>12.66</v>
      </c>
      <c r="T1990">
        <v>0.47</v>
      </c>
      <c r="U1990">
        <v>0.42</v>
      </c>
      <c r="V1990">
        <v>-47.52</v>
      </c>
      <c r="W1990">
        <v>-1619</v>
      </c>
      <c r="X1990">
        <v>12.63</v>
      </c>
      <c r="Y1990">
        <v>4703</v>
      </c>
      <c r="Z1990">
        <v>3695</v>
      </c>
      <c r="AA1990">
        <v>1.27</v>
      </c>
      <c r="AB1990">
        <v>63</v>
      </c>
      <c r="AC1990">
        <v>671</v>
      </c>
      <c r="AD1990">
        <v>6.59</v>
      </c>
      <c r="AE1990" t="s">
        <v>522</v>
      </c>
      <c r="AF1990" t="s">
        <v>3375</v>
      </c>
      <c r="AG1990" t="s">
        <v>3545</v>
      </c>
      <c r="AH1990" t="s">
        <v>6157</v>
      </c>
      <c r="AI1990">
        <v>-0.32</v>
      </c>
      <c r="AJ1990">
        <v>0.16</v>
      </c>
      <c r="AK1990">
        <v>0.89</v>
      </c>
      <c r="AL1990">
        <v>2.34</v>
      </c>
    </row>
    <row r="1991" spans="1:38" x14ac:dyDescent="0.25">
      <c r="A1991">
        <v>1990</v>
      </c>
      <c r="B1991" t="str">
        <f xml:space="preserve"> "002218"</f>
        <v>002218</v>
      </c>
      <c r="C1991" t="s">
        <v>6730</v>
      </c>
      <c r="D1991">
        <v>5.19</v>
      </c>
      <c r="E1991">
        <v>-0.56999999999999995</v>
      </c>
      <c r="F1991">
        <v>-0.03</v>
      </c>
      <c r="G1991" t="s">
        <v>235</v>
      </c>
      <c r="H1991">
        <v>1545</v>
      </c>
      <c r="I1991">
        <v>5.19</v>
      </c>
      <c r="J1991">
        <v>5.2</v>
      </c>
      <c r="K1991">
        <v>0</v>
      </c>
      <c r="L1991">
        <v>1.36</v>
      </c>
      <c r="M1991" t="s">
        <v>6731</v>
      </c>
      <c r="N1991">
        <v>36.840000000000003</v>
      </c>
      <c r="O1991" t="s">
        <v>380</v>
      </c>
      <c r="P1991">
        <v>5.23</v>
      </c>
      <c r="Q1991">
        <v>5.13</v>
      </c>
      <c r="R1991">
        <v>5.2</v>
      </c>
      <c r="S1991">
        <v>5.22</v>
      </c>
      <c r="T1991">
        <v>1.92</v>
      </c>
      <c r="U1991">
        <v>0.81</v>
      </c>
      <c r="V1991">
        <v>-10.27</v>
      </c>
      <c r="W1991">
        <v>-2509</v>
      </c>
      <c r="X1991">
        <v>5.17</v>
      </c>
      <c r="Y1991" t="s">
        <v>3135</v>
      </c>
      <c r="Z1991" t="s">
        <v>1196</v>
      </c>
      <c r="AA1991">
        <v>1.1599999999999999</v>
      </c>
      <c r="AB1991">
        <v>2121</v>
      </c>
      <c r="AC1991">
        <v>2614</v>
      </c>
      <c r="AD1991">
        <v>2.33</v>
      </c>
      <c r="AE1991" t="s">
        <v>361</v>
      </c>
      <c r="AF1991" t="s">
        <v>3375</v>
      </c>
      <c r="AG1991" t="s">
        <v>1115</v>
      </c>
      <c r="AH1991" t="s">
        <v>6732</v>
      </c>
      <c r="AI1991">
        <v>1.96</v>
      </c>
      <c r="AJ1991">
        <v>4.6399999999999997</v>
      </c>
      <c r="AK1991">
        <v>6.32</v>
      </c>
      <c r="AL1991">
        <v>9.74</v>
      </c>
    </row>
    <row r="1992" spans="1:38" x14ac:dyDescent="0.25">
      <c r="A1992">
        <v>1991</v>
      </c>
      <c r="B1992" t="str">
        <f xml:space="preserve"> "600533"</f>
        <v>600533</v>
      </c>
      <c r="C1992" t="s">
        <v>6733</v>
      </c>
      <c r="D1992">
        <v>6.11</v>
      </c>
      <c r="E1992">
        <v>0.49</v>
      </c>
      <c r="F1992">
        <v>0.03</v>
      </c>
      <c r="G1992" t="s">
        <v>2147</v>
      </c>
      <c r="H1992">
        <v>11</v>
      </c>
      <c r="I1992">
        <v>6.1</v>
      </c>
      <c r="J1992">
        <v>6.12</v>
      </c>
      <c r="K1992">
        <v>0.16</v>
      </c>
      <c r="L1992">
        <v>0.38</v>
      </c>
      <c r="M1992" t="s">
        <v>6734</v>
      </c>
      <c r="N1992">
        <v>47.35</v>
      </c>
      <c r="O1992" t="s">
        <v>244</v>
      </c>
      <c r="P1992">
        <v>6.12</v>
      </c>
      <c r="Q1992">
        <v>6.05</v>
      </c>
      <c r="R1992">
        <v>6.06</v>
      </c>
      <c r="S1992">
        <v>6.08</v>
      </c>
      <c r="T1992">
        <v>1.1499999999999999</v>
      </c>
      <c r="U1992">
        <v>0.4</v>
      </c>
      <c r="V1992">
        <v>-37.619999999999997</v>
      </c>
      <c r="W1992">
        <v>-3245</v>
      </c>
      <c r="X1992">
        <v>6.09</v>
      </c>
      <c r="Y1992" t="s">
        <v>1745</v>
      </c>
      <c r="Z1992" t="s">
        <v>1113</v>
      </c>
      <c r="AA1992">
        <v>1.26</v>
      </c>
      <c r="AB1992">
        <v>461</v>
      </c>
      <c r="AC1992">
        <v>1602</v>
      </c>
      <c r="AD1992">
        <v>1.62</v>
      </c>
      <c r="AE1992" t="s">
        <v>2066</v>
      </c>
      <c r="AF1992" t="s">
        <v>3375</v>
      </c>
      <c r="AG1992" t="s">
        <v>2066</v>
      </c>
      <c r="AH1992" t="s">
        <v>3375</v>
      </c>
      <c r="AI1992">
        <v>-0.81</v>
      </c>
      <c r="AJ1992">
        <v>1.66</v>
      </c>
      <c r="AK1992">
        <v>2.35</v>
      </c>
      <c r="AL1992">
        <v>5.09</v>
      </c>
    </row>
    <row r="1993" spans="1:38" x14ac:dyDescent="0.25">
      <c r="A1993">
        <v>1992</v>
      </c>
      <c r="B1993" t="str">
        <f xml:space="preserve"> "000759"</f>
        <v>000759</v>
      </c>
      <c r="C1993" t="s">
        <v>6735</v>
      </c>
      <c r="D1993">
        <v>9.42</v>
      </c>
      <c r="E1993">
        <v>-1.05</v>
      </c>
      <c r="F1993">
        <v>-0.1</v>
      </c>
      <c r="G1993" t="s">
        <v>698</v>
      </c>
      <c r="H1993">
        <v>121</v>
      </c>
      <c r="I1993">
        <v>9.42</v>
      </c>
      <c r="J1993">
        <v>9.43</v>
      </c>
      <c r="K1993">
        <v>0.21</v>
      </c>
      <c r="L1993">
        <v>0.71</v>
      </c>
      <c r="M1993" t="s">
        <v>6736</v>
      </c>
      <c r="N1993">
        <v>23.55</v>
      </c>
      <c r="O1993" t="s">
        <v>532</v>
      </c>
      <c r="P1993">
        <v>9.58</v>
      </c>
      <c r="Q1993">
        <v>9.39</v>
      </c>
      <c r="R1993">
        <v>9.52</v>
      </c>
      <c r="S1993">
        <v>9.52</v>
      </c>
      <c r="T1993">
        <v>2</v>
      </c>
      <c r="U1993">
        <v>0.94</v>
      </c>
      <c r="V1993">
        <v>33.619999999999997</v>
      </c>
      <c r="W1993">
        <v>924</v>
      </c>
      <c r="X1993">
        <v>9.4700000000000006</v>
      </c>
      <c r="Y1993" t="s">
        <v>2298</v>
      </c>
      <c r="Z1993" t="s">
        <v>6292</v>
      </c>
      <c r="AA1993">
        <v>1.73</v>
      </c>
      <c r="AB1993">
        <v>267</v>
      </c>
      <c r="AC1993">
        <v>14</v>
      </c>
      <c r="AD1993">
        <v>2.1</v>
      </c>
      <c r="AE1993" t="s">
        <v>2195</v>
      </c>
      <c r="AF1993" t="s">
        <v>3375</v>
      </c>
      <c r="AG1993" t="s">
        <v>2195</v>
      </c>
      <c r="AH1993" t="s">
        <v>5270</v>
      </c>
      <c r="AI1993">
        <v>1.95</v>
      </c>
      <c r="AJ1993">
        <v>-0.74</v>
      </c>
      <c r="AK1993">
        <v>2.69</v>
      </c>
      <c r="AL1993">
        <v>4.46</v>
      </c>
    </row>
    <row r="1994" spans="1:38" x14ac:dyDescent="0.25">
      <c r="A1994">
        <v>1993</v>
      </c>
      <c r="B1994" t="str">
        <f xml:space="preserve"> "000856"</f>
        <v>000856</v>
      </c>
      <c r="C1994" t="s">
        <v>6737</v>
      </c>
      <c r="D1994">
        <v>28.26</v>
      </c>
      <c r="E1994">
        <v>2.21</v>
      </c>
      <c r="F1994">
        <v>0.61</v>
      </c>
      <c r="G1994" t="s">
        <v>1772</v>
      </c>
      <c r="H1994">
        <v>3347</v>
      </c>
      <c r="I1994">
        <v>28.25</v>
      </c>
      <c r="J1994">
        <v>28.26</v>
      </c>
      <c r="K1994">
        <v>0.04</v>
      </c>
      <c r="L1994">
        <v>5.62</v>
      </c>
      <c r="M1994" t="s">
        <v>874</v>
      </c>
      <c r="N1994">
        <v>653.47</v>
      </c>
      <c r="O1994" t="s">
        <v>2647</v>
      </c>
      <c r="P1994">
        <v>28.55</v>
      </c>
      <c r="Q1994">
        <v>27.52</v>
      </c>
      <c r="R1994">
        <v>27.77</v>
      </c>
      <c r="S1994">
        <v>27.65</v>
      </c>
      <c r="T1994">
        <v>3.73</v>
      </c>
      <c r="U1994">
        <v>1.19</v>
      </c>
      <c r="V1994">
        <v>-27.36</v>
      </c>
      <c r="W1994">
        <v>-422</v>
      </c>
      <c r="X1994">
        <v>28.05</v>
      </c>
      <c r="Y1994" t="s">
        <v>2272</v>
      </c>
      <c r="Z1994" t="s">
        <v>2780</v>
      </c>
      <c r="AA1994">
        <v>0.72</v>
      </c>
      <c r="AB1994">
        <v>162</v>
      </c>
      <c r="AC1994">
        <v>62</v>
      </c>
      <c r="AD1994">
        <v>21.57</v>
      </c>
      <c r="AE1994" t="s">
        <v>764</v>
      </c>
      <c r="AF1994" t="s">
        <v>3375</v>
      </c>
      <c r="AG1994" t="s">
        <v>764</v>
      </c>
      <c r="AH1994" t="s">
        <v>3375</v>
      </c>
      <c r="AI1994">
        <v>-0.84</v>
      </c>
      <c r="AJ1994">
        <v>2.76</v>
      </c>
      <c r="AK1994">
        <v>13.96</v>
      </c>
      <c r="AL1994">
        <v>29.23</v>
      </c>
    </row>
    <row r="1995" spans="1:38" x14ac:dyDescent="0.25">
      <c r="A1995">
        <v>1994</v>
      </c>
      <c r="B1995" t="str">
        <f xml:space="preserve"> "603003"</f>
        <v>603003</v>
      </c>
      <c r="C1995" t="s">
        <v>6738</v>
      </c>
      <c r="D1995">
        <v>14.54</v>
      </c>
      <c r="E1995">
        <v>0.14000000000000001</v>
      </c>
      <c r="F1995">
        <v>0.02</v>
      </c>
      <c r="G1995" t="s">
        <v>1886</v>
      </c>
      <c r="H1995">
        <v>7</v>
      </c>
      <c r="I1995">
        <v>14.51</v>
      </c>
      <c r="J1995">
        <v>14.52</v>
      </c>
      <c r="K1995">
        <v>0.41</v>
      </c>
      <c r="L1995">
        <v>0.4</v>
      </c>
      <c r="M1995" t="s">
        <v>6300</v>
      </c>
      <c r="N1995">
        <v>111.79</v>
      </c>
      <c r="O1995" t="s">
        <v>61</v>
      </c>
      <c r="P1995">
        <v>14.58</v>
      </c>
      <c r="Q1995">
        <v>14.4</v>
      </c>
      <c r="R1995">
        <v>14.58</v>
      </c>
      <c r="S1995">
        <v>14.52</v>
      </c>
      <c r="T1995">
        <v>1.24</v>
      </c>
      <c r="U1995">
        <v>0.73</v>
      </c>
      <c r="V1995">
        <v>10.76</v>
      </c>
      <c r="W1995">
        <v>88</v>
      </c>
      <c r="X1995">
        <v>14.47</v>
      </c>
      <c r="Y1995" t="s">
        <v>1785</v>
      </c>
      <c r="Z1995">
        <v>7190</v>
      </c>
      <c r="AA1995">
        <v>1.48</v>
      </c>
      <c r="AB1995">
        <v>269</v>
      </c>
      <c r="AC1995">
        <v>6</v>
      </c>
      <c r="AD1995">
        <v>1.55</v>
      </c>
      <c r="AE1995" t="s">
        <v>5031</v>
      </c>
      <c r="AF1995" t="s">
        <v>5270</v>
      </c>
      <c r="AG1995" t="s">
        <v>5031</v>
      </c>
      <c r="AH1995" t="s">
        <v>5270</v>
      </c>
      <c r="AI1995">
        <v>1.82</v>
      </c>
      <c r="AJ1995">
        <v>2.61</v>
      </c>
      <c r="AK1995">
        <v>1.63</v>
      </c>
      <c r="AL1995">
        <v>3.17</v>
      </c>
    </row>
    <row r="1996" spans="1:38" x14ac:dyDescent="0.25">
      <c r="A1996">
        <v>1995</v>
      </c>
      <c r="B1996" t="str">
        <f xml:space="preserve"> "600892"</f>
        <v>600892</v>
      </c>
      <c r="C1996" t="s">
        <v>6739</v>
      </c>
      <c r="D1996">
        <v>11.45</v>
      </c>
      <c r="E1996">
        <v>-0.26</v>
      </c>
      <c r="F1996">
        <v>-0.03</v>
      </c>
      <c r="G1996" t="s">
        <v>928</v>
      </c>
      <c r="H1996">
        <v>1</v>
      </c>
      <c r="I1996">
        <v>11.43</v>
      </c>
      <c r="J1996">
        <v>11.44</v>
      </c>
      <c r="K1996">
        <v>0.17</v>
      </c>
      <c r="L1996">
        <v>1.3</v>
      </c>
      <c r="M1996" t="s">
        <v>6740</v>
      </c>
      <c r="N1996">
        <v>92.05</v>
      </c>
      <c r="O1996" t="s">
        <v>1126</v>
      </c>
      <c r="P1996">
        <v>11.7</v>
      </c>
      <c r="Q1996">
        <v>11.32</v>
      </c>
      <c r="R1996">
        <v>11.41</v>
      </c>
      <c r="S1996">
        <v>11.48</v>
      </c>
      <c r="T1996">
        <v>3.31</v>
      </c>
      <c r="U1996">
        <v>0.76</v>
      </c>
      <c r="V1996">
        <v>17.45</v>
      </c>
      <c r="W1996">
        <v>181</v>
      </c>
      <c r="X1996">
        <v>11.49</v>
      </c>
      <c r="Y1996" t="s">
        <v>3387</v>
      </c>
      <c r="Z1996" t="s">
        <v>1077</v>
      </c>
      <c r="AA1996">
        <v>1.47</v>
      </c>
      <c r="AB1996">
        <v>93</v>
      </c>
      <c r="AC1996">
        <v>164</v>
      </c>
      <c r="AD1996">
        <v>3.76</v>
      </c>
      <c r="AE1996" t="s">
        <v>4885</v>
      </c>
      <c r="AF1996" t="s">
        <v>5270</v>
      </c>
      <c r="AG1996" t="s">
        <v>5050</v>
      </c>
      <c r="AH1996" t="s">
        <v>6741</v>
      </c>
      <c r="AI1996">
        <v>0.62</v>
      </c>
      <c r="AJ1996">
        <v>3.15</v>
      </c>
      <c r="AK1996">
        <v>6.66</v>
      </c>
      <c r="AL1996">
        <v>9.81</v>
      </c>
    </row>
    <row r="1997" spans="1:38" x14ac:dyDescent="0.25">
      <c r="A1997">
        <v>1996</v>
      </c>
      <c r="B1997" t="str">
        <f xml:space="preserve"> "002348"</f>
        <v>002348</v>
      </c>
      <c r="C1997" t="s">
        <v>6742</v>
      </c>
      <c r="D1997">
        <v>6.76</v>
      </c>
      <c r="E1997">
        <v>-0.15</v>
      </c>
      <c r="F1997">
        <v>-0.01</v>
      </c>
      <c r="G1997" t="s">
        <v>1012</v>
      </c>
      <c r="H1997">
        <v>1887</v>
      </c>
      <c r="I1997">
        <v>6.75</v>
      </c>
      <c r="J1997">
        <v>6.76</v>
      </c>
      <c r="K1997">
        <v>-0.44</v>
      </c>
      <c r="L1997">
        <v>1.08</v>
      </c>
      <c r="M1997" t="s">
        <v>6743</v>
      </c>
      <c r="N1997">
        <v>105.17</v>
      </c>
      <c r="O1997" t="s">
        <v>807</v>
      </c>
      <c r="P1997">
        <v>6.9</v>
      </c>
      <c r="Q1997">
        <v>6.73</v>
      </c>
      <c r="R1997">
        <v>6.75</v>
      </c>
      <c r="S1997">
        <v>6.77</v>
      </c>
      <c r="T1997">
        <v>2.5099999999999998</v>
      </c>
      <c r="U1997">
        <v>1.89</v>
      </c>
      <c r="V1997">
        <v>-40.24</v>
      </c>
      <c r="W1997">
        <v>-3531</v>
      </c>
      <c r="X1997">
        <v>6.8</v>
      </c>
      <c r="Y1997" t="s">
        <v>4802</v>
      </c>
      <c r="Z1997" t="s">
        <v>2409</v>
      </c>
      <c r="AA1997">
        <v>1.18</v>
      </c>
      <c r="AB1997">
        <v>1448</v>
      </c>
      <c r="AC1997">
        <v>163</v>
      </c>
      <c r="AD1997">
        <v>5.12</v>
      </c>
      <c r="AE1997" t="s">
        <v>6744</v>
      </c>
      <c r="AF1997" t="s">
        <v>2553</v>
      </c>
      <c r="AG1997" t="s">
        <v>5425</v>
      </c>
      <c r="AH1997" t="s">
        <v>537</v>
      </c>
      <c r="AI1997">
        <v>-0.59</v>
      </c>
      <c r="AJ1997">
        <v>1.96</v>
      </c>
      <c r="AK1997">
        <v>2.4300000000000002</v>
      </c>
      <c r="AL1997">
        <v>3.91</v>
      </c>
    </row>
    <row r="1998" spans="1:38" x14ac:dyDescent="0.25">
      <c r="A1998">
        <v>1997</v>
      </c>
      <c r="B1998" t="str">
        <f xml:space="preserve"> "000530"</f>
        <v>000530</v>
      </c>
      <c r="C1998" t="s">
        <v>6745</v>
      </c>
      <c r="D1998">
        <v>7.47</v>
      </c>
      <c r="E1998">
        <v>-0.66</v>
      </c>
      <c r="F1998">
        <v>-0.05</v>
      </c>
      <c r="G1998" t="s">
        <v>104</v>
      </c>
      <c r="H1998">
        <v>978</v>
      </c>
      <c r="I1998">
        <v>7.47</v>
      </c>
      <c r="J1998">
        <v>7.48</v>
      </c>
      <c r="K1998">
        <v>0.13</v>
      </c>
      <c r="L1998">
        <v>1.27</v>
      </c>
      <c r="M1998" t="s">
        <v>6746</v>
      </c>
      <c r="N1998">
        <v>32.56</v>
      </c>
      <c r="O1998" t="s">
        <v>648</v>
      </c>
      <c r="P1998">
        <v>7.54</v>
      </c>
      <c r="Q1998">
        <v>7.4</v>
      </c>
      <c r="R1998">
        <v>7.54</v>
      </c>
      <c r="S1998">
        <v>7.52</v>
      </c>
      <c r="T1998">
        <v>1.86</v>
      </c>
      <c r="U1998">
        <v>1.26</v>
      </c>
      <c r="V1998">
        <v>-8.4</v>
      </c>
      <c r="W1998">
        <v>-511</v>
      </c>
      <c r="X1998">
        <v>7.45</v>
      </c>
      <c r="Y1998" t="s">
        <v>2181</v>
      </c>
      <c r="Z1998" t="s">
        <v>2298</v>
      </c>
      <c r="AA1998">
        <v>1.45</v>
      </c>
      <c r="AB1998">
        <v>128</v>
      </c>
      <c r="AC1998">
        <v>1616</v>
      </c>
      <c r="AD1998">
        <v>1.93</v>
      </c>
      <c r="AE1998" t="s">
        <v>2980</v>
      </c>
      <c r="AF1998" t="s">
        <v>2553</v>
      </c>
      <c r="AG1998" t="s">
        <v>6430</v>
      </c>
      <c r="AH1998" t="s">
        <v>1828</v>
      </c>
      <c r="AI1998">
        <v>-0.8</v>
      </c>
      <c r="AJ1998">
        <v>2.75</v>
      </c>
      <c r="AK1998">
        <v>3.22</v>
      </c>
      <c r="AL1998">
        <v>6.31</v>
      </c>
    </row>
    <row r="1999" spans="1:38" x14ac:dyDescent="0.25">
      <c r="A1999">
        <v>1998</v>
      </c>
      <c r="B1999" t="str">
        <f xml:space="preserve"> "002282"</f>
        <v>002282</v>
      </c>
      <c r="C1999" t="s">
        <v>6747</v>
      </c>
      <c r="D1999">
        <v>18.920000000000002</v>
      </c>
      <c r="E1999">
        <v>1.28</v>
      </c>
      <c r="F1999">
        <v>0.24</v>
      </c>
      <c r="G1999" t="s">
        <v>2693</v>
      </c>
      <c r="H1999">
        <v>747</v>
      </c>
      <c r="I1999">
        <v>18.91</v>
      </c>
      <c r="J1999">
        <v>18.920000000000002</v>
      </c>
      <c r="K1999">
        <v>0</v>
      </c>
      <c r="L1999">
        <v>2.75</v>
      </c>
      <c r="M1999" t="s">
        <v>6748</v>
      </c>
      <c r="N1999">
        <v>70.760000000000005</v>
      </c>
      <c r="O1999" t="s">
        <v>648</v>
      </c>
      <c r="P1999">
        <v>18.96</v>
      </c>
      <c r="Q1999">
        <v>18.600000000000001</v>
      </c>
      <c r="R1999">
        <v>18.72</v>
      </c>
      <c r="S1999">
        <v>18.68</v>
      </c>
      <c r="T1999">
        <v>1.93</v>
      </c>
      <c r="U1999">
        <v>0.99</v>
      </c>
      <c r="V1999">
        <v>-32.020000000000003</v>
      </c>
      <c r="W1999">
        <v>-583</v>
      </c>
      <c r="X1999">
        <v>18.84</v>
      </c>
      <c r="Y1999" t="s">
        <v>6749</v>
      </c>
      <c r="Z1999" t="s">
        <v>1276</v>
      </c>
      <c r="AA1999">
        <v>0.78</v>
      </c>
      <c r="AB1999">
        <v>236</v>
      </c>
      <c r="AC1999">
        <v>123</v>
      </c>
      <c r="AD1999">
        <v>7.62</v>
      </c>
      <c r="AE1999" t="s">
        <v>3261</v>
      </c>
      <c r="AF1999" t="s">
        <v>2553</v>
      </c>
      <c r="AG1999" t="s">
        <v>2267</v>
      </c>
      <c r="AH1999" t="s">
        <v>3829</v>
      </c>
      <c r="AI1999">
        <v>0</v>
      </c>
      <c r="AJ1999">
        <v>3.84</v>
      </c>
      <c r="AK1999">
        <v>7.5</v>
      </c>
      <c r="AL1999">
        <v>16.61</v>
      </c>
    </row>
    <row r="2000" spans="1:38" x14ac:dyDescent="0.25">
      <c r="A2000">
        <v>1999</v>
      </c>
      <c r="B2000" t="str">
        <f xml:space="preserve"> "002777"</f>
        <v>002777</v>
      </c>
      <c r="C2000" t="s">
        <v>6750</v>
      </c>
      <c r="D2000">
        <v>39.979999999999997</v>
      </c>
      <c r="E2000">
        <v>5.77</v>
      </c>
      <c r="F2000">
        <v>2.1800000000000002</v>
      </c>
      <c r="G2000" t="s">
        <v>885</v>
      </c>
      <c r="H2000">
        <v>282</v>
      </c>
      <c r="I2000">
        <v>39.979999999999997</v>
      </c>
      <c r="J2000">
        <v>39.99</v>
      </c>
      <c r="K2000">
        <v>0.05</v>
      </c>
      <c r="L2000">
        <v>5.36</v>
      </c>
      <c r="M2000" t="s">
        <v>315</v>
      </c>
      <c r="N2000">
        <v>91.5</v>
      </c>
      <c r="O2000" t="s">
        <v>553</v>
      </c>
      <c r="P2000">
        <v>40.67</v>
      </c>
      <c r="Q2000">
        <v>37.299999999999997</v>
      </c>
      <c r="R2000">
        <v>37.71</v>
      </c>
      <c r="S2000">
        <v>37.799999999999997</v>
      </c>
      <c r="T2000">
        <v>8.92</v>
      </c>
      <c r="U2000">
        <v>2.54</v>
      </c>
      <c r="V2000">
        <v>61.15</v>
      </c>
      <c r="W2000">
        <v>469</v>
      </c>
      <c r="X2000">
        <v>39.4</v>
      </c>
      <c r="Y2000" t="s">
        <v>4399</v>
      </c>
      <c r="Z2000" t="s">
        <v>1886</v>
      </c>
      <c r="AA2000">
        <v>0.8</v>
      </c>
      <c r="AB2000">
        <v>80</v>
      </c>
      <c r="AC2000">
        <v>25</v>
      </c>
      <c r="AD2000">
        <v>14.15</v>
      </c>
      <c r="AE2000" t="s">
        <v>4326</v>
      </c>
      <c r="AF2000" t="s">
        <v>2553</v>
      </c>
      <c r="AG2000" t="s">
        <v>6751</v>
      </c>
      <c r="AH2000" t="s">
        <v>2062</v>
      </c>
      <c r="AI2000">
        <v>5.66</v>
      </c>
      <c r="AJ2000">
        <v>8.08</v>
      </c>
      <c r="AK2000">
        <v>9.44</v>
      </c>
      <c r="AL2000">
        <v>15.9</v>
      </c>
    </row>
    <row r="2001" spans="1:38" x14ac:dyDescent="0.25">
      <c r="A2001">
        <v>2000</v>
      </c>
      <c r="B2001" t="str">
        <f xml:space="preserve"> "300066"</f>
        <v>300066</v>
      </c>
      <c r="C2001" t="s">
        <v>6752</v>
      </c>
      <c r="D2001">
        <v>6.14</v>
      </c>
      <c r="E2001">
        <v>1.1499999999999999</v>
      </c>
      <c r="F2001">
        <v>7.0000000000000007E-2</v>
      </c>
      <c r="G2001" t="s">
        <v>582</v>
      </c>
      <c r="H2001">
        <v>5000</v>
      </c>
      <c r="I2001">
        <v>6.14</v>
      </c>
      <c r="J2001">
        <v>6.15</v>
      </c>
      <c r="K2001">
        <v>0</v>
      </c>
      <c r="L2001">
        <v>4.13</v>
      </c>
      <c r="M2001" t="s">
        <v>4129</v>
      </c>
      <c r="N2001">
        <v>71.819999999999993</v>
      </c>
      <c r="O2001" t="s">
        <v>1372</v>
      </c>
      <c r="P2001">
        <v>6.29</v>
      </c>
      <c r="Q2001">
        <v>6.03</v>
      </c>
      <c r="R2001">
        <v>6.18</v>
      </c>
      <c r="S2001">
        <v>6.07</v>
      </c>
      <c r="T2001">
        <v>4.28</v>
      </c>
      <c r="U2001">
        <v>1.56</v>
      </c>
      <c r="V2001">
        <v>-26.63</v>
      </c>
      <c r="W2001">
        <v>-3729</v>
      </c>
      <c r="X2001">
        <v>6.16</v>
      </c>
      <c r="Y2001" t="s">
        <v>592</v>
      </c>
      <c r="Z2001" t="s">
        <v>2150</v>
      </c>
      <c r="AA2001">
        <v>1.1200000000000001</v>
      </c>
      <c r="AB2001">
        <v>190</v>
      </c>
      <c r="AC2001">
        <v>1831</v>
      </c>
      <c r="AD2001">
        <v>4.3</v>
      </c>
      <c r="AE2001" t="s">
        <v>755</v>
      </c>
      <c r="AF2001" t="s">
        <v>4251</v>
      </c>
      <c r="AG2001" t="s">
        <v>40</v>
      </c>
      <c r="AH2001" t="s">
        <v>1562</v>
      </c>
      <c r="AI2001">
        <v>1.82</v>
      </c>
      <c r="AJ2001">
        <v>6.6</v>
      </c>
      <c r="AK2001">
        <v>11.1</v>
      </c>
      <c r="AL2001">
        <v>17.37</v>
      </c>
    </row>
    <row r="2002" spans="1:38" x14ac:dyDescent="0.25">
      <c r="A2002">
        <v>2001</v>
      </c>
      <c r="B2002" t="str">
        <f xml:space="preserve"> "300702"</f>
        <v>300702</v>
      </c>
      <c r="C2002" t="s">
        <v>6753</v>
      </c>
      <c r="D2002">
        <v>53.21</v>
      </c>
      <c r="E2002">
        <v>0.08</v>
      </c>
      <c r="F2002">
        <v>0.04</v>
      </c>
      <c r="G2002" t="s">
        <v>2159</v>
      </c>
      <c r="H2002">
        <v>382</v>
      </c>
      <c r="I2002">
        <v>53.21</v>
      </c>
      <c r="J2002">
        <v>53.22</v>
      </c>
      <c r="K2002">
        <v>0.02</v>
      </c>
      <c r="L2002">
        <v>12.14</v>
      </c>
      <c r="M2002" t="s">
        <v>1935</v>
      </c>
      <c r="N2002">
        <v>42.36</v>
      </c>
      <c r="O2002" t="s">
        <v>392</v>
      </c>
      <c r="P2002">
        <v>54.19</v>
      </c>
      <c r="Q2002">
        <v>52.51</v>
      </c>
      <c r="R2002">
        <v>53</v>
      </c>
      <c r="S2002">
        <v>53.17</v>
      </c>
      <c r="T2002">
        <v>3.16</v>
      </c>
      <c r="U2002">
        <v>0.41</v>
      </c>
      <c r="V2002">
        <v>57.46</v>
      </c>
      <c r="W2002">
        <v>396</v>
      </c>
      <c r="X2002">
        <v>53.41</v>
      </c>
      <c r="Y2002" t="s">
        <v>4374</v>
      </c>
      <c r="Z2002" t="s">
        <v>2580</v>
      </c>
      <c r="AA2002">
        <v>1.1000000000000001</v>
      </c>
      <c r="AB2002">
        <v>130</v>
      </c>
      <c r="AC2002">
        <v>75</v>
      </c>
      <c r="AD2002">
        <v>5.0599999999999996</v>
      </c>
      <c r="AE2002" t="s">
        <v>918</v>
      </c>
      <c r="AF2002" t="s">
        <v>4251</v>
      </c>
      <c r="AG2002" t="s">
        <v>3067</v>
      </c>
      <c r="AH2002" t="s">
        <v>1147</v>
      </c>
      <c r="AI2002">
        <v>-7.09</v>
      </c>
      <c r="AJ2002">
        <v>-15.42</v>
      </c>
      <c r="AK2002">
        <v>56.53</v>
      </c>
      <c r="AL2002">
        <v>160.19</v>
      </c>
    </row>
    <row r="2003" spans="1:38" x14ac:dyDescent="0.25">
      <c r="A2003">
        <v>2002</v>
      </c>
      <c r="B2003" t="str">
        <f xml:space="preserve"> "300050"</f>
        <v>300050</v>
      </c>
      <c r="C2003" t="s">
        <v>6754</v>
      </c>
      <c r="D2003">
        <v>11.38</v>
      </c>
      <c r="E2003">
        <v>-1.39</v>
      </c>
      <c r="F2003">
        <v>-0.16</v>
      </c>
      <c r="G2003" t="s">
        <v>516</v>
      </c>
      <c r="H2003">
        <v>2247</v>
      </c>
      <c r="I2003">
        <v>11.38</v>
      </c>
      <c r="J2003">
        <v>11.39</v>
      </c>
      <c r="K2003">
        <v>-0.18</v>
      </c>
      <c r="L2003">
        <v>3.69</v>
      </c>
      <c r="M2003" t="s">
        <v>3923</v>
      </c>
      <c r="N2003">
        <v>43.87</v>
      </c>
      <c r="O2003" t="s">
        <v>580</v>
      </c>
      <c r="P2003">
        <v>11.47</v>
      </c>
      <c r="Q2003">
        <v>11.24</v>
      </c>
      <c r="R2003">
        <v>11.43</v>
      </c>
      <c r="S2003">
        <v>11.54</v>
      </c>
      <c r="T2003">
        <v>1.99</v>
      </c>
      <c r="U2003">
        <v>0.46</v>
      </c>
      <c r="V2003">
        <v>-66.349999999999994</v>
      </c>
      <c r="W2003">
        <v>-3037</v>
      </c>
      <c r="X2003">
        <v>11.34</v>
      </c>
      <c r="Y2003" t="s">
        <v>2776</v>
      </c>
      <c r="Z2003" t="s">
        <v>2673</v>
      </c>
      <c r="AA2003">
        <v>1.69</v>
      </c>
      <c r="AB2003">
        <v>170</v>
      </c>
      <c r="AC2003">
        <v>1424</v>
      </c>
      <c r="AD2003">
        <v>2.69</v>
      </c>
      <c r="AE2003" t="s">
        <v>4678</v>
      </c>
      <c r="AF2003" t="s">
        <v>4301</v>
      </c>
      <c r="AG2003" t="s">
        <v>977</v>
      </c>
      <c r="AH2003" t="s">
        <v>5095</v>
      </c>
      <c r="AI2003">
        <v>-3.8</v>
      </c>
      <c r="AJ2003">
        <v>3.17</v>
      </c>
      <c r="AK2003">
        <v>14.52</v>
      </c>
      <c r="AL2003">
        <v>44.17</v>
      </c>
    </row>
    <row r="2004" spans="1:38" x14ac:dyDescent="0.25">
      <c r="A2004">
        <v>2003</v>
      </c>
      <c r="B2004" t="str">
        <f xml:space="preserve"> "603180"</f>
        <v>603180</v>
      </c>
      <c r="C2004" t="s">
        <v>6755</v>
      </c>
      <c r="D2004">
        <v>95.18</v>
      </c>
      <c r="E2004">
        <v>-1.45</v>
      </c>
      <c r="F2004">
        <v>-1.4</v>
      </c>
      <c r="G2004">
        <v>4810</v>
      </c>
      <c r="H2004">
        <v>1</v>
      </c>
      <c r="I2004">
        <v>95.02</v>
      </c>
      <c r="J2004">
        <v>95.5</v>
      </c>
      <c r="K2004">
        <v>-0.66</v>
      </c>
      <c r="L2004">
        <v>2.83</v>
      </c>
      <c r="M2004" t="s">
        <v>6756</v>
      </c>
      <c r="N2004">
        <v>68.94</v>
      </c>
      <c r="O2004" t="s">
        <v>1469</v>
      </c>
      <c r="P2004">
        <v>97.77</v>
      </c>
      <c r="Q2004">
        <v>94.68</v>
      </c>
      <c r="R2004">
        <v>95.65</v>
      </c>
      <c r="S2004">
        <v>96.58</v>
      </c>
      <c r="T2004">
        <v>3.2</v>
      </c>
      <c r="U2004">
        <v>0.57999999999999996</v>
      </c>
      <c r="V2004">
        <v>-33.33</v>
      </c>
      <c r="W2004">
        <v>-60</v>
      </c>
      <c r="X2004">
        <v>96.22</v>
      </c>
      <c r="Y2004">
        <v>2936</v>
      </c>
      <c r="Z2004">
        <v>1874</v>
      </c>
      <c r="AA2004">
        <v>1.57</v>
      </c>
      <c r="AB2004">
        <v>15</v>
      </c>
      <c r="AC2004">
        <v>2</v>
      </c>
      <c r="AD2004">
        <v>8.67</v>
      </c>
      <c r="AE2004" t="s">
        <v>4297</v>
      </c>
      <c r="AF2004" t="s">
        <v>4301</v>
      </c>
      <c r="AG2004" t="s">
        <v>6757</v>
      </c>
      <c r="AH2004" t="s">
        <v>2648</v>
      </c>
      <c r="AI2004">
        <v>1.84</v>
      </c>
      <c r="AJ2004">
        <v>15.3</v>
      </c>
      <c r="AK2004">
        <v>17.29</v>
      </c>
      <c r="AL2004">
        <v>27.23</v>
      </c>
    </row>
    <row r="2005" spans="1:38" x14ac:dyDescent="0.25">
      <c r="A2005">
        <v>2004</v>
      </c>
      <c r="B2005" t="str">
        <f xml:space="preserve"> "002103"</f>
        <v>002103</v>
      </c>
      <c r="C2005" t="s">
        <v>6758</v>
      </c>
      <c r="D2005">
        <v>11.61</v>
      </c>
      <c r="E2005">
        <v>-0.6</v>
      </c>
      <c r="F2005">
        <v>-7.0000000000000007E-2</v>
      </c>
      <c r="G2005" t="s">
        <v>2968</v>
      </c>
      <c r="H2005">
        <v>114</v>
      </c>
      <c r="I2005">
        <v>11.61</v>
      </c>
      <c r="J2005">
        <v>11.62</v>
      </c>
      <c r="K2005">
        <v>0</v>
      </c>
      <c r="L2005">
        <v>0.5</v>
      </c>
      <c r="M2005" t="s">
        <v>6759</v>
      </c>
      <c r="N2005">
        <v>49.75</v>
      </c>
      <c r="O2005" t="s">
        <v>807</v>
      </c>
      <c r="P2005">
        <v>11.73</v>
      </c>
      <c r="Q2005">
        <v>11.5</v>
      </c>
      <c r="R2005">
        <v>11.71</v>
      </c>
      <c r="S2005">
        <v>11.68</v>
      </c>
      <c r="T2005">
        <v>1.97</v>
      </c>
      <c r="U2005">
        <v>0.96</v>
      </c>
      <c r="V2005">
        <v>10.68</v>
      </c>
      <c r="W2005">
        <v>76</v>
      </c>
      <c r="X2005">
        <v>11.6</v>
      </c>
      <c r="Y2005" t="s">
        <v>1259</v>
      </c>
      <c r="Z2005">
        <v>4179</v>
      </c>
      <c r="AA2005">
        <v>2.93</v>
      </c>
      <c r="AB2005">
        <v>26</v>
      </c>
      <c r="AC2005">
        <v>133</v>
      </c>
      <c r="AD2005">
        <v>3.68</v>
      </c>
      <c r="AE2005" t="s">
        <v>1809</v>
      </c>
      <c r="AF2005" t="s">
        <v>4301</v>
      </c>
      <c r="AG2005" t="s">
        <v>3905</v>
      </c>
      <c r="AH2005" t="s">
        <v>6070</v>
      </c>
      <c r="AI2005">
        <v>-0.09</v>
      </c>
      <c r="AJ2005">
        <v>2.38</v>
      </c>
      <c r="AK2005">
        <v>1.7</v>
      </c>
      <c r="AL2005">
        <v>3.13</v>
      </c>
    </row>
    <row r="2006" spans="1:38" x14ac:dyDescent="0.25">
      <c r="A2006">
        <v>2005</v>
      </c>
      <c r="B2006" t="str">
        <f xml:space="preserve"> "601579"</f>
        <v>601579</v>
      </c>
      <c r="C2006" t="s">
        <v>6760</v>
      </c>
      <c r="D2006">
        <v>12.81</v>
      </c>
      <c r="E2006">
        <v>0.16</v>
      </c>
      <c r="F2006">
        <v>0.02</v>
      </c>
      <c r="G2006" t="s">
        <v>3025</v>
      </c>
      <c r="H2006">
        <v>80</v>
      </c>
      <c r="I2006">
        <v>12.8</v>
      </c>
      <c r="J2006">
        <v>12.81</v>
      </c>
      <c r="K2006">
        <v>0.16</v>
      </c>
      <c r="L2006">
        <v>0.56000000000000005</v>
      </c>
      <c r="M2006" t="s">
        <v>6761</v>
      </c>
      <c r="N2006">
        <v>37.729999999999997</v>
      </c>
      <c r="O2006" t="s">
        <v>123</v>
      </c>
      <c r="P2006">
        <v>12.85</v>
      </c>
      <c r="Q2006">
        <v>12.67</v>
      </c>
      <c r="R2006">
        <v>12.82</v>
      </c>
      <c r="S2006">
        <v>12.79</v>
      </c>
      <c r="T2006">
        <v>1.41</v>
      </c>
      <c r="U2006">
        <v>0.53</v>
      </c>
      <c r="V2006">
        <v>-63.97</v>
      </c>
      <c r="W2006">
        <v>-593</v>
      </c>
      <c r="X2006">
        <v>12.77</v>
      </c>
      <c r="Y2006" t="s">
        <v>5181</v>
      </c>
      <c r="Z2006" t="s">
        <v>2089</v>
      </c>
      <c r="AA2006">
        <v>0.88</v>
      </c>
      <c r="AB2006">
        <v>100</v>
      </c>
      <c r="AC2006">
        <v>80</v>
      </c>
      <c r="AD2006">
        <v>2.17</v>
      </c>
      <c r="AE2006" t="s">
        <v>6762</v>
      </c>
      <c r="AF2006" t="s">
        <v>4489</v>
      </c>
      <c r="AG2006" t="s">
        <v>1000</v>
      </c>
      <c r="AH2006" t="s">
        <v>5770</v>
      </c>
      <c r="AI2006">
        <v>2.4</v>
      </c>
      <c r="AJ2006">
        <v>3.47</v>
      </c>
      <c r="AK2006">
        <v>3.94</v>
      </c>
      <c r="AL2006">
        <v>5.91</v>
      </c>
    </row>
    <row r="2007" spans="1:38" x14ac:dyDescent="0.25">
      <c r="A2007">
        <v>2006</v>
      </c>
      <c r="B2007" t="str">
        <f xml:space="preserve"> "600571"</f>
        <v>600571</v>
      </c>
      <c r="C2007" t="s">
        <v>6763</v>
      </c>
      <c r="D2007">
        <v>14.49</v>
      </c>
      <c r="E2007">
        <v>-1.29</v>
      </c>
      <c r="F2007">
        <v>-0.19</v>
      </c>
      <c r="G2007" t="s">
        <v>974</v>
      </c>
      <c r="H2007">
        <v>62</v>
      </c>
      <c r="I2007">
        <v>14.49</v>
      </c>
      <c r="J2007">
        <v>14.5</v>
      </c>
      <c r="K2007">
        <v>0.14000000000000001</v>
      </c>
      <c r="L2007">
        <v>1.73</v>
      </c>
      <c r="M2007" t="s">
        <v>1635</v>
      </c>
      <c r="N2007">
        <v>71.28</v>
      </c>
      <c r="O2007" t="s">
        <v>893</v>
      </c>
      <c r="P2007">
        <v>14.67</v>
      </c>
      <c r="Q2007">
        <v>14.38</v>
      </c>
      <c r="R2007">
        <v>14.67</v>
      </c>
      <c r="S2007">
        <v>14.68</v>
      </c>
      <c r="T2007">
        <v>1.98</v>
      </c>
      <c r="U2007">
        <v>0.63</v>
      </c>
      <c r="V2007">
        <v>-26.29</v>
      </c>
      <c r="W2007">
        <v>-627</v>
      </c>
      <c r="X2007">
        <v>14.47</v>
      </c>
      <c r="Y2007" t="s">
        <v>1947</v>
      </c>
      <c r="Z2007" t="s">
        <v>1705</v>
      </c>
      <c r="AA2007">
        <v>1.71</v>
      </c>
      <c r="AB2007">
        <v>7</v>
      </c>
      <c r="AC2007">
        <v>839</v>
      </c>
      <c r="AD2007">
        <v>5.49</v>
      </c>
      <c r="AE2007" t="s">
        <v>3567</v>
      </c>
      <c r="AF2007" t="s">
        <v>4489</v>
      </c>
      <c r="AG2007" t="s">
        <v>5006</v>
      </c>
      <c r="AH2007" t="s">
        <v>1423</v>
      </c>
      <c r="AI2007">
        <v>-2.4900000000000002</v>
      </c>
      <c r="AJ2007">
        <v>5.15</v>
      </c>
      <c r="AK2007">
        <v>7.12</v>
      </c>
      <c r="AL2007">
        <v>15.56</v>
      </c>
    </row>
    <row r="2008" spans="1:38" x14ac:dyDescent="0.25">
      <c r="A2008">
        <v>2007</v>
      </c>
      <c r="B2008" t="str">
        <f xml:space="preserve"> "600459"</f>
        <v>600459</v>
      </c>
      <c r="C2008" t="s">
        <v>6764</v>
      </c>
      <c r="D2008">
        <v>24.41</v>
      </c>
      <c r="E2008">
        <v>0.45</v>
      </c>
      <c r="F2008">
        <v>0.11</v>
      </c>
      <c r="G2008" t="s">
        <v>2732</v>
      </c>
      <c r="H2008">
        <v>15</v>
      </c>
      <c r="I2008">
        <v>24.4</v>
      </c>
      <c r="J2008">
        <v>24.41</v>
      </c>
      <c r="K2008">
        <v>0</v>
      </c>
      <c r="L2008">
        <v>1.39</v>
      </c>
      <c r="M2008" t="s">
        <v>6765</v>
      </c>
      <c r="N2008">
        <v>52.15</v>
      </c>
      <c r="O2008" t="s">
        <v>449</v>
      </c>
      <c r="P2008">
        <v>24.52</v>
      </c>
      <c r="Q2008">
        <v>24.17</v>
      </c>
      <c r="R2008">
        <v>24.3</v>
      </c>
      <c r="S2008">
        <v>24.3</v>
      </c>
      <c r="T2008">
        <v>1.44</v>
      </c>
      <c r="U2008">
        <v>0.52</v>
      </c>
      <c r="V2008">
        <v>7.28</v>
      </c>
      <c r="W2008">
        <v>167</v>
      </c>
      <c r="X2008">
        <v>24.35</v>
      </c>
      <c r="Y2008" t="s">
        <v>1076</v>
      </c>
      <c r="Z2008" t="s">
        <v>713</v>
      </c>
      <c r="AA2008">
        <v>1.1299999999999999</v>
      </c>
      <c r="AB2008">
        <v>42</v>
      </c>
      <c r="AC2008">
        <v>36</v>
      </c>
      <c r="AD2008">
        <v>3.38</v>
      </c>
      <c r="AE2008" t="s">
        <v>1770</v>
      </c>
      <c r="AF2008" t="s">
        <v>4489</v>
      </c>
      <c r="AG2008" t="s">
        <v>1770</v>
      </c>
      <c r="AH2008" t="s">
        <v>4489</v>
      </c>
      <c r="AI2008">
        <v>-0.56999999999999995</v>
      </c>
      <c r="AJ2008">
        <v>-0.56999999999999995</v>
      </c>
      <c r="AK2008">
        <v>5.59</v>
      </c>
      <c r="AL2008">
        <v>14.82</v>
      </c>
    </row>
    <row r="2009" spans="1:38" x14ac:dyDescent="0.25">
      <c r="A2009">
        <v>2008</v>
      </c>
      <c r="B2009" t="str">
        <f xml:space="preserve"> "600207"</f>
        <v>600207</v>
      </c>
      <c r="C2009" t="s">
        <v>6766</v>
      </c>
      <c r="D2009">
        <v>7.38</v>
      </c>
      <c r="E2009">
        <v>0.41</v>
      </c>
      <c r="F2009">
        <v>0.03</v>
      </c>
      <c r="G2009" t="s">
        <v>275</v>
      </c>
      <c r="H2009">
        <v>10</v>
      </c>
      <c r="I2009">
        <v>7.37</v>
      </c>
      <c r="J2009">
        <v>7.38</v>
      </c>
      <c r="K2009">
        <v>0</v>
      </c>
      <c r="L2009">
        <v>0.36</v>
      </c>
      <c r="M2009" t="s">
        <v>6767</v>
      </c>
      <c r="N2009">
        <v>-213.36</v>
      </c>
      <c r="O2009" t="s">
        <v>1058</v>
      </c>
      <c r="P2009">
        <v>7.4</v>
      </c>
      <c r="Q2009">
        <v>7.24</v>
      </c>
      <c r="R2009">
        <v>7.31</v>
      </c>
      <c r="S2009">
        <v>7.35</v>
      </c>
      <c r="T2009">
        <v>2.1800000000000002</v>
      </c>
      <c r="U2009">
        <v>0.85</v>
      </c>
      <c r="V2009">
        <v>-52.31</v>
      </c>
      <c r="W2009">
        <v>-934</v>
      </c>
      <c r="X2009">
        <v>7.31</v>
      </c>
      <c r="Y2009" t="s">
        <v>2453</v>
      </c>
      <c r="Z2009">
        <v>9868</v>
      </c>
      <c r="AA2009">
        <v>1.5</v>
      </c>
      <c r="AB2009">
        <v>71</v>
      </c>
      <c r="AC2009">
        <v>164</v>
      </c>
      <c r="AD2009">
        <v>3.38</v>
      </c>
      <c r="AE2009" t="s">
        <v>1260</v>
      </c>
      <c r="AF2009" t="s">
        <v>4489</v>
      </c>
      <c r="AG2009" t="s">
        <v>758</v>
      </c>
      <c r="AH2009" t="s">
        <v>1656</v>
      </c>
      <c r="AI2009">
        <v>-0.81</v>
      </c>
      <c r="AJ2009">
        <v>-0.27</v>
      </c>
      <c r="AK2009">
        <v>1.1299999999999999</v>
      </c>
      <c r="AL2009">
        <v>2.46</v>
      </c>
    </row>
    <row r="2010" spans="1:38" x14ac:dyDescent="0.25">
      <c r="A2010">
        <v>2009</v>
      </c>
      <c r="B2010" t="str">
        <f xml:space="preserve"> "300672"</f>
        <v>300672</v>
      </c>
      <c r="C2010" t="s">
        <v>6768</v>
      </c>
      <c r="D2010">
        <v>56.93</v>
      </c>
      <c r="E2010">
        <v>-0.02</v>
      </c>
      <c r="F2010">
        <v>-0.01</v>
      </c>
      <c r="G2010" t="s">
        <v>4378</v>
      </c>
      <c r="H2010">
        <v>678</v>
      </c>
      <c r="I2010">
        <v>56.92</v>
      </c>
      <c r="J2010">
        <v>56.93</v>
      </c>
      <c r="K2010">
        <v>-0.18</v>
      </c>
      <c r="L2010">
        <v>11.23</v>
      </c>
      <c r="M2010" t="s">
        <v>1710</v>
      </c>
      <c r="N2010">
        <v>-124.53</v>
      </c>
      <c r="O2010" t="s">
        <v>380</v>
      </c>
      <c r="P2010">
        <v>57.98</v>
      </c>
      <c r="Q2010">
        <v>55.55</v>
      </c>
      <c r="R2010">
        <v>57.73</v>
      </c>
      <c r="S2010">
        <v>56.94</v>
      </c>
      <c r="T2010">
        <v>4.2699999999999996</v>
      </c>
      <c r="U2010">
        <v>0.54</v>
      </c>
      <c r="V2010">
        <v>16.39</v>
      </c>
      <c r="W2010">
        <v>40</v>
      </c>
      <c r="X2010">
        <v>56.85</v>
      </c>
      <c r="Y2010" t="s">
        <v>1349</v>
      </c>
      <c r="Z2010" t="s">
        <v>603</v>
      </c>
      <c r="AA2010">
        <v>1.21</v>
      </c>
      <c r="AB2010">
        <v>6</v>
      </c>
      <c r="AC2010">
        <v>50</v>
      </c>
      <c r="AD2010">
        <v>7.1</v>
      </c>
      <c r="AE2010" t="s">
        <v>2114</v>
      </c>
      <c r="AF2010" t="s">
        <v>4485</v>
      </c>
      <c r="AG2010" t="s">
        <v>6769</v>
      </c>
      <c r="AH2010" t="s">
        <v>1477</v>
      </c>
      <c r="AI2010">
        <v>-9.06</v>
      </c>
      <c r="AJ2010">
        <v>-4.78</v>
      </c>
      <c r="AK2010">
        <v>45.44</v>
      </c>
      <c r="AL2010">
        <v>114.38</v>
      </c>
    </row>
    <row r="2011" spans="1:38" x14ac:dyDescent="0.25">
      <c r="A2011">
        <v>2010</v>
      </c>
      <c r="B2011" t="str">
        <f xml:space="preserve"> "000936"</f>
        <v>000936</v>
      </c>
      <c r="C2011" t="s">
        <v>6770</v>
      </c>
      <c r="D2011">
        <v>7.16</v>
      </c>
      <c r="E2011">
        <v>0.7</v>
      </c>
      <c r="F2011">
        <v>0.05</v>
      </c>
      <c r="G2011" t="s">
        <v>1445</v>
      </c>
      <c r="H2011">
        <v>203</v>
      </c>
      <c r="I2011">
        <v>7.16</v>
      </c>
      <c r="J2011">
        <v>7.17</v>
      </c>
      <c r="K2011">
        <v>0</v>
      </c>
      <c r="L2011">
        <v>0.54</v>
      </c>
      <c r="M2011" t="s">
        <v>6771</v>
      </c>
      <c r="N2011">
        <v>38.44</v>
      </c>
      <c r="O2011" t="s">
        <v>1798</v>
      </c>
      <c r="P2011">
        <v>7.18</v>
      </c>
      <c r="Q2011">
        <v>7.09</v>
      </c>
      <c r="R2011">
        <v>7.12</v>
      </c>
      <c r="S2011">
        <v>7.11</v>
      </c>
      <c r="T2011">
        <v>1.27</v>
      </c>
      <c r="U2011">
        <v>0.91</v>
      </c>
      <c r="V2011">
        <v>-60.6</v>
      </c>
      <c r="W2011">
        <v>-4512</v>
      </c>
      <c r="X2011">
        <v>7.14</v>
      </c>
      <c r="Y2011" t="s">
        <v>3238</v>
      </c>
      <c r="Z2011" t="s">
        <v>6749</v>
      </c>
      <c r="AA2011">
        <v>0.82</v>
      </c>
      <c r="AB2011">
        <v>144</v>
      </c>
      <c r="AC2011">
        <v>1314</v>
      </c>
      <c r="AD2011">
        <v>1.33</v>
      </c>
      <c r="AE2011" t="s">
        <v>3716</v>
      </c>
      <c r="AF2011" t="s">
        <v>219</v>
      </c>
      <c r="AG2011" t="s">
        <v>4592</v>
      </c>
      <c r="AH2011" t="s">
        <v>2160</v>
      </c>
      <c r="AI2011">
        <v>-0.14000000000000001</v>
      </c>
      <c r="AJ2011">
        <v>2.14</v>
      </c>
      <c r="AK2011">
        <v>1.68</v>
      </c>
      <c r="AL2011">
        <v>3.52</v>
      </c>
    </row>
    <row r="2012" spans="1:38" x14ac:dyDescent="0.25">
      <c r="A2012">
        <v>2011</v>
      </c>
      <c r="B2012" t="str">
        <f xml:space="preserve"> "002379"</f>
        <v>002379</v>
      </c>
      <c r="C2012" t="s">
        <v>6772</v>
      </c>
      <c r="D2012">
        <v>6.83</v>
      </c>
      <c r="E2012">
        <v>-0.73</v>
      </c>
      <c r="F2012">
        <v>-0.05</v>
      </c>
      <c r="G2012" t="s">
        <v>151</v>
      </c>
      <c r="H2012">
        <v>1088</v>
      </c>
      <c r="I2012">
        <v>6.83</v>
      </c>
      <c r="J2012">
        <v>6.84</v>
      </c>
      <c r="K2012">
        <v>-0.15</v>
      </c>
      <c r="L2012">
        <v>0.83</v>
      </c>
      <c r="M2012" t="s">
        <v>6773</v>
      </c>
      <c r="N2012">
        <v>111.03</v>
      </c>
      <c r="O2012" t="s">
        <v>859</v>
      </c>
      <c r="P2012">
        <v>6.89</v>
      </c>
      <c r="Q2012">
        <v>6.8</v>
      </c>
      <c r="R2012">
        <v>6.86</v>
      </c>
      <c r="S2012">
        <v>6.88</v>
      </c>
      <c r="T2012">
        <v>1.31</v>
      </c>
      <c r="U2012">
        <v>0.42</v>
      </c>
      <c r="V2012">
        <v>-1.46</v>
      </c>
      <c r="W2012">
        <v>-108</v>
      </c>
      <c r="X2012">
        <v>6.83</v>
      </c>
      <c r="Y2012" t="s">
        <v>1602</v>
      </c>
      <c r="Z2012" t="s">
        <v>2383</v>
      </c>
      <c r="AA2012">
        <v>1.67</v>
      </c>
      <c r="AB2012">
        <v>331</v>
      </c>
      <c r="AC2012">
        <v>932</v>
      </c>
      <c r="AD2012">
        <v>5.12</v>
      </c>
      <c r="AE2012" t="s">
        <v>4516</v>
      </c>
      <c r="AF2012" t="s">
        <v>4369</v>
      </c>
      <c r="AG2012" t="s">
        <v>3235</v>
      </c>
      <c r="AH2012" t="s">
        <v>3422</v>
      </c>
      <c r="AI2012">
        <v>-1.3</v>
      </c>
      <c r="AJ2012">
        <v>5.08</v>
      </c>
      <c r="AK2012">
        <v>3.54</v>
      </c>
      <c r="AL2012">
        <v>10.64</v>
      </c>
    </row>
    <row r="2013" spans="1:38" x14ac:dyDescent="0.25">
      <c r="A2013">
        <v>2012</v>
      </c>
      <c r="B2013" t="str">
        <f xml:space="preserve"> "300350"</f>
        <v>300350</v>
      </c>
      <c r="C2013" t="s">
        <v>6774</v>
      </c>
      <c r="D2013">
        <v>11.85</v>
      </c>
      <c r="E2013">
        <v>-1.0900000000000001</v>
      </c>
      <c r="F2013">
        <v>-0.13</v>
      </c>
      <c r="G2013" t="s">
        <v>6775</v>
      </c>
      <c r="H2013">
        <v>2010</v>
      </c>
      <c r="I2013">
        <v>11.84</v>
      </c>
      <c r="J2013">
        <v>11.85</v>
      </c>
      <c r="K2013">
        <v>0</v>
      </c>
      <c r="L2013">
        <v>3.93</v>
      </c>
      <c r="M2013" t="s">
        <v>2179</v>
      </c>
      <c r="N2013">
        <v>54.02</v>
      </c>
      <c r="O2013" t="s">
        <v>274</v>
      </c>
      <c r="P2013">
        <v>12.07</v>
      </c>
      <c r="Q2013">
        <v>11.75</v>
      </c>
      <c r="R2013">
        <v>11.85</v>
      </c>
      <c r="S2013">
        <v>11.98</v>
      </c>
      <c r="T2013">
        <v>2.67</v>
      </c>
      <c r="U2013">
        <v>0.95</v>
      </c>
      <c r="V2013">
        <v>-42.25</v>
      </c>
      <c r="W2013">
        <v>-698</v>
      </c>
      <c r="X2013">
        <v>11.88</v>
      </c>
      <c r="Y2013" t="s">
        <v>1356</v>
      </c>
      <c r="Z2013" t="s">
        <v>1984</v>
      </c>
      <c r="AA2013">
        <v>1.56</v>
      </c>
      <c r="AB2013">
        <v>69</v>
      </c>
      <c r="AC2013">
        <v>53</v>
      </c>
      <c r="AD2013">
        <v>3.34</v>
      </c>
      <c r="AE2013" t="s">
        <v>1900</v>
      </c>
      <c r="AF2013" t="s">
        <v>2679</v>
      </c>
      <c r="AG2013" t="s">
        <v>1666</v>
      </c>
      <c r="AH2013" t="s">
        <v>2597</v>
      </c>
      <c r="AI2013">
        <v>3.49</v>
      </c>
      <c r="AJ2013">
        <v>8.6199999999999992</v>
      </c>
      <c r="AK2013">
        <v>15.37</v>
      </c>
      <c r="AL2013">
        <v>24.63</v>
      </c>
    </row>
    <row r="2014" spans="1:38" x14ac:dyDescent="0.25">
      <c r="A2014">
        <v>2013</v>
      </c>
      <c r="B2014" t="str">
        <f xml:space="preserve"> "603032"</f>
        <v>603032</v>
      </c>
      <c r="C2014" t="s">
        <v>6776</v>
      </c>
      <c r="D2014">
        <v>47.41</v>
      </c>
      <c r="E2014">
        <v>-0.65</v>
      </c>
      <c r="F2014">
        <v>-0.31</v>
      </c>
      <c r="G2014">
        <v>553</v>
      </c>
      <c r="H2014">
        <v>2</v>
      </c>
      <c r="I2014">
        <v>47.24</v>
      </c>
      <c r="J2014">
        <v>47.25</v>
      </c>
      <c r="K2014">
        <v>0.27</v>
      </c>
      <c r="L2014">
        <v>0.17</v>
      </c>
      <c r="M2014" t="s">
        <v>6777</v>
      </c>
      <c r="N2014">
        <v>253.96</v>
      </c>
      <c r="O2014" t="s">
        <v>274</v>
      </c>
      <c r="P2014">
        <v>47.72</v>
      </c>
      <c r="Q2014">
        <v>47.24</v>
      </c>
      <c r="R2014">
        <v>47.71</v>
      </c>
      <c r="S2014">
        <v>47.72</v>
      </c>
      <c r="T2014">
        <v>1.01</v>
      </c>
      <c r="U2014">
        <v>0.21</v>
      </c>
      <c r="V2014">
        <v>-60.07</v>
      </c>
      <c r="W2014">
        <v>-44</v>
      </c>
      <c r="X2014">
        <v>47.45</v>
      </c>
      <c r="Y2014">
        <v>386</v>
      </c>
      <c r="Z2014">
        <v>167</v>
      </c>
      <c r="AA2014">
        <v>2.31</v>
      </c>
      <c r="AB2014">
        <v>2</v>
      </c>
      <c r="AC2014">
        <v>7</v>
      </c>
      <c r="AD2014">
        <v>15.04</v>
      </c>
      <c r="AE2014" t="s">
        <v>333</v>
      </c>
      <c r="AF2014" t="s">
        <v>2679</v>
      </c>
      <c r="AG2014" t="s">
        <v>6778</v>
      </c>
      <c r="AH2014" t="s">
        <v>2299</v>
      </c>
      <c r="AI2014">
        <v>-0.69</v>
      </c>
      <c r="AJ2014">
        <v>-0.4</v>
      </c>
      <c r="AK2014">
        <v>1.9</v>
      </c>
      <c r="AL2014">
        <v>4.12</v>
      </c>
    </row>
    <row r="2015" spans="1:38" x14ac:dyDescent="0.25">
      <c r="A2015">
        <v>2014</v>
      </c>
      <c r="B2015" t="str">
        <f xml:space="preserve"> "600723"</f>
        <v>600723</v>
      </c>
      <c r="C2015" t="s">
        <v>6779</v>
      </c>
      <c r="D2015">
        <v>9.6</v>
      </c>
      <c r="E2015">
        <v>1.59</v>
      </c>
      <c r="F2015">
        <v>0.15</v>
      </c>
      <c r="G2015" t="s">
        <v>1308</v>
      </c>
      <c r="H2015">
        <v>2</v>
      </c>
      <c r="I2015">
        <v>9.58</v>
      </c>
      <c r="J2015">
        <v>9.59</v>
      </c>
      <c r="K2015">
        <v>0</v>
      </c>
      <c r="L2015">
        <v>0.84</v>
      </c>
      <c r="M2015" t="s">
        <v>6780</v>
      </c>
      <c r="N2015">
        <v>18.350000000000001</v>
      </c>
      <c r="O2015" t="s">
        <v>532</v>
      </c>
      <c r="P2015">
        <v>9.64</v>
      </c>
      <c r="Q2015">
        <v>9.48</v>
      </c>
      <c r="R2015">
        <v>9.5</v>
      </c>
      <c r="S2015">
        <v>9.4499999999999993</v>
      </c>
      <c r="T2015">
        <v>1.69</v>
      </c>
      <c r="U2015">
        <v>1.32</v>
      </c>
      <c r="V2015">
        <v>-57.15</v>
      </c>
      <c r="W2015">
        <v>-1722</v>
      </c>
      <c r="X2015">
        <v>9.6</v>
      </c>
      <c r="Y2015" t="s">
        <v>3230</v>
      </c>
      <c r="Z2015" t="s">
        <v>885</v>
      </c>
      <c r="AA2015">
        <v>0.72</v>
      </c>
      <c r="AB2015">
        <v>113</v>
      </c>
      <c r="AC2015">
        <v>448</v>
      </c>
      <c r="AD2015">
        <v>1.83</v>
      </c>
      <c r="AE2015" t="s">
        <v>5282</v>
      </c>
      <c r="AF2015" t="s">
        <v>2679</v>
      </c>
      <c r="AG2015" t="s">
        <v>5282</v>
      </c>
      <c r="AH2015" t="s">
        <v>2679</v>
      </c>
      <c r="AI2015">
        <v>0.84</v>
      </c>
      <c r="AJ2015">
        <v>0.31</v>
      </c>
      <c r="AK2015">
        <v>1.64</v>
      </c>
      <c r="AL2015">
        <v>4.0199999999999996</v>
      </c>
    </row>
    <row r="2016" spans="1:38" x14ac:dyDescent="0.25">
      <c r="A2016">
        <v>2015</v>
      </c>
      <c r="B2016" t="str">
        <f xml:space="preserve"> "300440"</f>
        <v>300440</v>
      </c>
      <c r="C2016" t="s">
        <v>6781</v>
      </c>
      <c r="D2016">
        <v>13.86</v>
      </c>
      <c r="E2016">
        <v>3.13</v>
      </c>
      <c r="F2016">
        <v>0.42</v>
      </c>
      <c r="G2016" t="s">
        <v>825</v>
      </c>
      <c r="H2016">
        <v>1224</v>
      </c>
      <c r="I2016">
        <v>13.85</v>
      </c>
      <c r="J2016">
        <v>13.86</v>
      </c>
      <c r="K2016">
        <v>0</v>
      </c>
      <c r="L2016">
        <v>4.6500000000000004</v>
      </c>
      <c r="M2016" t="s">
        <v>3398</v>
      </c>
      <c r="N2016">
        <v>47.27</v>
      </c>
      <c r="O2016" t="s">
        <v>553</v>
      </c>
      <c r="P2016">
        <v>14.05</v>
      </c>
      <c r="Q2016">
        <v>13.31</v>
      </c>
      <c r="R2016">
        <v>13.42</v>
      </c>
      <c r="S2016">
        <v>13.44</v>
      </c>
      <c r="T2016">
        <v>5.51</v>
      </c>
      <c r="U2016">
        <v>1.73</v>
      </c>
      <c r="V2016">
        <v>-74.3</v>
      </c>
      <c r="W2016">
        <v>-2504</v>
      </c>
      <c r="X2016">
        <v>13.8</v>
      </c>
      <c r="Y2016" t="s">
        <v>1843</v>
      </c>
      <c r="Z2016" t="s">
        <v>5742</v>
      </c>
      <c r="AA2016">
        <v>0.56999999999999995</v>
      </c>
      <c r="AB2016">
        <v>142</v>
      </c>
      <c r="AC2016">
        <v>1643</v>
      </c>
      <c r="AD2016">
        <v>5.16</v>
      </c>
      <c r="AE2016" t="s">
        <v>5373</v>
      </c>
      <c r="AF2016" t="s">
        <v>2679</v>
      </c>
      <c r="AG2016" t="s">
        <v>1075</v>
      </c>
      <c r="AH2016" t="s">
        <v>1023</v>
      </c>
      <c r="AI2016">
        <v>-0.28999999999999998</v>
      </c>
      <c r="AJ2016">
        <v>4.45</v>
      </c>
      <c r="AK2016">
        <v>9.36</v>
      </c>
      <c r="AL2016">
        <v>18.059999999999999</v>
      </c>
    </row>
    <row r="2017" spans="1:38" x14ac:dyDescent="0.25">
      <c r="A2017">
        <v>2016</v>
      </c>
      <c r="B2017" t="str">
        <f xml:space="preserve"> "603929"</f>
        <v>603929</v>
      </c>
      <c r="C2017" t="s">
        <v>6782</v>
      </c>
      <c r="D2017">
        <v>29.57</v>
      </c>
      <c r="E2017">
        <v>2.85</v>
      </c>
      <c r="F2017">
        <v>0.82</v>
      </c>
      <c r="G2017" t="s">
        <v>1730</v>
      </c>
      <c r="H2017">
        <v>35</v>
      </c>
      <c r="I2017">
        <v>29.56</v>
      </c>
      <c r="J2017">
        <v>29.58</v>
      </c>
      <c r="K2017">
        <v>0.41</v>
      </c>
      <c r="L2017">
        <v>9.9600000000000009</v>
      </c>
      <c r="M2017" t="s">
        <v>3053</v>
      </c>
      <c r="N2017">
        <v>38.840000000000003</v>
      </c>
      <c r="O2017" t="s">
        <v>263</v>
      </c>
      <c r="P2017">
        <v>29.98</v>
      </c>
      <c r="Q2017">
        <v>28.45</v>
      </c>
      <c r="R2017">
        <v>28.46</v>
      </c>
      <c r="S2017">
        <v>28.75</v>
      </c>
      <c r="T2017">
        <v>5.32</v>
      </c>
      <c r="U2017">
        <v>0.73</v>
      </c>
      <c r="V2017">
        <v>-8.3699999999999992</v>
      </c>
      <c r="W2017">
        <v>-21</v>
      </c>
      <c r="X2017">
        <v>29.39</v>
      </c>
      <c r="Y2017" t="s">
        <v>997</v>
      </c>
      <c r="Z2017" t="s">
        <v>1341</v>
      </c>
      <c r="AA2017">
        <v>1.0900000000000001</v>
      </c>
      <c r="AB2017">
        <v>32</v>
      </c>
      <c r="AC2017">
        <v>41</v>
      </c>
      <c r="AD2017">
        <v>6.75</v>
      </c>
      <c r="AE2017" t="s">
        <v>4728</v>
      </c>
      <c r="AF2017" t="s">
        <v>6732</v>
      </c>
      <c r="AG2017" t="s">
        <v>2938</v>
      </c>
      <c r="AH2017" t="s">
        <v>2299</v>
      </c>
      <c r="AI2017">
        <v>5.64</v>
      </c>
      <c r="AJ2017">
        <v>17.48</v>
      </c>
      <c r="AK2017">
        <v>38.340000000000003</v>
      </c>
      <c r="AL2017">
        <v>77.98</v>
      </c>
    </row>
    <row r="2018" spans="1:38" x14ac:dyDescent="0.25">
      <c r="A2018">
        <v>2017</v>
      </c>
      <c r="B2018" t="str">
        <f xml:space="preserve"> "600191"</f>
        <v>600191</v>
      </c>
      <c r="C2018" t="s">
        <v>6783</v>
      </c>
      <c r="D2018">
        <v>13.01</v>
      </c>
      <c r="E2018">
        <v>1.17</v>
      </c>
      <c r="F2018">
        <v>0.15</v>
      </c>
      <c r="G2018" t="s">
        <v>1028</v>
      </c>
      <c r="H2018">
        <v>23</v>
      </c>
      <c r="I2018">
        <v>13.01</v>
      </c>
      <c r="J2018">
        <v>13.02</v>
      </c>
      <c r="K2018">
        <v>0</v>
      </c>
      <c r="L2018">
        <v>3.43</v>
      </c>
      <c r="M2018" t="s">
        <v>3597</v>
      </c>
      <c r="N2018">
        <v>224.65</v>
      </c>
      <c r="O2018" t="s">
        <v>406</v>
      </c>
      <c r="P2018">
        <v>13.36</v>
      </c>
      <c r="Q2018">
        <v>12.73</v>
      </c>
      <c r="R2018">
        <v>12.73</v>
      </c>
      <c r="S2018">
        <v>12.86</v>
      </c>
      <c r="T2018">
        <v>4.9000000000000004</v>
      </c>
      <c r="U2018">
        <v>0.8</v>
      </c>
      <c r="V2018">
        <v>27.33</v>
      </c>
      <c r="W2018">
        <v>603</v>
      </c>
      <c r="X2018">
        <v>13.12</v>
      </c>
      <c r="Y2018" t="s">
        <v>2340</v>
      </c>
      <c r="Z2018" t="s">
        <v>3127</v>
      </c>
      <c r="AA2018">
        <v>0.95</v>
      </c>
      <c r="AB2018">
        <v>185</v>
      </c>
      <c r="AC2018">
        <v>143</v>
      </c>
      <c r="AD2018">
        <v>2.85</v>
      </c>
      <c r="AE2018" t="s">
        <v>5652</v>
      </c>
      <c r="AF2018" t="s">
        <v>6732</v>
      </c>
      <c r="AG2018" t="s">
        <v>5652</v>
      </c>
      <c r="AH2018" t="s">
        <v>6732</v>
      </c>
      <c r="AI2018">
        <v>0.85</v>
      </c>
      <c r="AJ2018">
        <v>10.63</v>
      </c>
      <c r="AK2018">
        <v>11</v>
      </c>
      <c r="AL2018">
        <v>24.94</v>
      </c>
    </row>
    <row r="2019" spans="1:38" x14ac:dyDescent="0.25">
      <c r="A2019">
        <v>2018</v>
      </c>
      <c r="B2019" t="str">
        <f xml:space="preserve"> "002776"</f>
        <v>002776</v>
      </c>
      <c r="C2019" t="s">
        <v>6784</v>
      </c>
      <c r="D2019">
        <v>26.23</v>
      </c>
      <c r="E2019">
        <v>-0.34</v>
      </c>
      <c r="F2019">
        <v>-0.09</v>
      </c>
      <c r="G2019">
        <v>6353</v>
      </c>
      <c r="H2019">
        <v>44</v>
      </c>
      <c r="I2019">
        <v>26.22</v>
      </c>
      <c r="J2019">
        <v>26.23</v>
      </c>
      <c r="K2019">
        <v>-0.15</v>
      </c>
      <c r="L2019">
        <v>0.85</v>
      </c>
      <c r="M2019" t="s">
        <v>6785</v>
      </c>
      <c r="N2019">
        <v>42.32</v>
      </c>
      <c r="O2019" t="s">
        <v>1443</v>
      </c>
      <c r="P2019">
        <v>26.56</v>
      </c>
      <c r="Q2019">
        <v>25.98</v>
      </c>
      <c r="R2019">
        <v>26.38</v>
      </c>
      <c r="S2019">
        <v>26.32</v>
      </c>
      <c r="T2019">
        <v>2.2000000000000002</v>
      </c>
      <c r="U2019">
        <v>0.56999999999999995</v>
      </c>
      <c r="V2019">
        <v>65.040000000000006</v>
      </c>
      <c r="W2019">
        <v>232</v>
      </c>
      <c r="X2019">
        <v>26.24</v>
      </c>
      <c r="Y2019">
        <v>3405</v>
      </c>
      <c r="Z2019">
        <v>2948</v>
      </c>
      <c r="AA2019">
        <v>1.1499999999999999</v>
      </c>
      <c r="AB2019">
        <v>25</v>
      </c>
      <c r="AC2019">
        <v>16</v>
      </c>
      <c r="AD2019">
        <v>2.99</v>
      </c>
      <c r="AE2019" t="s">
        <v>2521</v>
      </c>
      <c r="AF2019" t="s">
        <v>6732</v>
      </c>
      <c r="AG2019" t="s">
        <v>6786</v>
      </c>
      <c r="AH2019" t="s">
        <v>1193</v>
      </c>
      <c r="AI2019">
        <v>2.1</v>
      </c>
      <c r="AJ2019">
        <v>3.92</v>
      </c>
      <c r="AK2019">
        <v>5.56</v>
      </c>
      <c r="AL2019">
        <v>8.32</v>
      </c>
    </row>
    <row r="2020" spans="1:38" x14ac:dyDescent="0.25">
      <c r="A2020">
        <v>2019</v>
      </c>
      <c r="B2020" t="str">
        <f xml:space="preserve"> "002448"</f>
        <v>002448</v>
      </c>
      <c r="C2020" t="s">
        <v>6787</v>
      </c>
      <c r="D2020">
        <v>10.72</v>
      </c>
      <c r="E2020">
        <v>-0.74</v>
      </c>
      <c r="F2020">
        <v>-0.08</v>
      </c>
      <c r="G2020" t="s">
        <v>197</v>
      </c>
      <c r="H2020">
        <v>995</v>
      </c>
      <c r="I2020">
        <v>10.71</v>
      </c>
      <c r="J2020">
        <v>10.72</v>
      </c>
      <c r="K2020">
        <v>0</v>
      </c>
      <c r="L2020">
        <v>1.34</v>
      </c>
      <c r="M2020" t="s">
        <v>6788</v>
      </c>
      <c r="N2020">
        <v>23.89</v>
      </c>
      <c r="O2020" t="s">
        <v>169</v>
      </c>
      <c r="P2020">
        <v>10.81</v>
      </c>
      <c r="Q2020">
        <v>10.66</v>
      </c>
      <c r="R2020">
        <v>10.73</v>
      </c>
      <c r="S2020">
        <v>10.8</v>
      </c>
      <c r="T2020">
        <v>1.39</v>
      </c>
      <c r="U2020">
        <v>0.68</v>
      </c>
      <c r="V2020">
        <v>57.46</v>
      </c>
      <c r="W2020">
        <v>1486</v>
      </c>
      <c r="X2020">
        <v>10.72</v>
      </c>
      <c r="Y2020" t="s">
        <v>6551</v>
      </c>
      <c r="Z2020" t="s">
        <v>2383</v>
      </c>
      <c r="AA2020">
        <v>2.34</v>
      </c>
      <c r="AB2020">
        <v>469</v>
      </c>
      <c r="AC2020">
        <v>193</v>
      </c>
      <c r="AD2020">
        <v>2.8</v>
      </c>
      <c r="AE2020" t="s">
        <v>6430</v>
      </c>
      <c r="AF2020" t="s">
        <v>5232</v>
      </c>
      <c r="AG2020" t="s">
        <v>4013</v>
      </c>
      <c r="AH2020" t="s">
        <v>6343</v>
      </c>
      <c r="AI2020">
        <v>-1.83</v>
      </c>
      <c r="AJ2020">
        <v>3.08</v>
      </c>
      <c r="AK2020">
        <v>6.44</v>
      </c>
      <c r="AL2020">
        <v>11.21</v>
      </c>
    </row>
    <row r="2021" spans="1:38" x14ac:dyDescent="0.25">
      <c r="A2021">
        <v>2020</v>
      </c>
      <c r="B2021" t="str">
        <f xml:space="preserve"> "300471"</f>
        <v>300471</v>
      </c>
      <c r="C2021" t="s">
        <v>6789</v>
      </c>
      <c r="D2021">
        <v>17</v>
      </c>
      <c r="E2021">
        <v>0.12</v>
      </c>
      <c r="F2021">
        <v>0.02</v>
      </c>
      <c r="G2021" t="s">
        <v>4843</v>
      </c>
      <c r="H2021">
        <v>467</v>
      </c>
      <c r="I2021">
        <v>16.989999999999998</v>
      </c>
      <c r="J2021">
        <v>17</v>
      </c>
      <c r="K2021">
        <v>0</v>
      </c>
      <c r="L2021">
        <v>1.88</v>
      </c>
      <c r="M2021" t="s">
        <v>6790</v>
      </c>
      <c r="N2021">
        <v>50.94</v>
      </c>
      <c r="O2021" t="s">
        <v>648</v>
      </c>
      <c r="P2021">
        <v>17.25</v>
      </c>
      <c r="Q2021">
        <v>16.940000000000001</v>
      </c>
      <c r="R2021">
        <v>17</v>
      </c>
      <c r="S2021">
        <v>16.98</v>
      </c>
      <c r="T2021">
        <v>1.83</v>
      </c>
      <c r="U2021">
        <v>0.92</v>
      </c>
      <c r="V2021">
        <v>-25.11</v>
      </c>
      <c r="W2021">
        <v>-187</v>
      </c>
      <c r="X2021">
        <v>17.02</v>
      </c>
      <c r="Y2021" t="s">
        <v>1796</v>
      </c>
      <c r="Z2021" t="s">
        <v>1153</v>
      </c>
      <c r="AA2021">
        <v>1.95</v>
      </c>
      <c r="AB2021">
        <v>68</v>
      </c>
      <c r="AC2021">
        <v>252</v>
      </c>
      <c r="AD2021">
        <v>3.7</v>
      </c>
      <c r="AE2021" t="s">
        <v>3022</v>
      </c>
      <c r="AF2021" t="s">
        <v>5232</v>
      </c>
      <c r="AG2021" t="s">
        <v>1666</v>
      </c>
      <c r="AH2021" t="s">
        <v>6791</v>
      </c>
      <c r="AI2021">
        <v>2.35</v>
      </c>
      <c r="AJ2021">
        <v>-0.93</v>
      </c>
      <c r="AK2021">
        <v>5.75</v>
      </c>
      <c r="AL2021">
        <v>12.06</v>
      </c>
    </row>
    <row r="2022" spans="1:38" x14ac:dyDescent="0.25">
      <c r="A2022">
        <v>2021</v>
      </c>
      <c r="B2022" t="str">
        <f xml:space="preserve"> "300531"</f>
        <v>300531</v>
      </c>
      <c r="C2022" t="s">
        <v>6792</v>
      </c>
      <c r="D2022">
        <v>22.51</v>
      </c>
      <c r="E2022">
        <v>2.5499999999999998</v>
      </c>
      <c r="F2022">
        <v>0.56000000000000005</v>
      </c>
      <c r="G2022" t="s">
        <v>3109</v>
      </c>
      <c r="H2022">
        <v>1939</v>
      </c>
      <c r="I2022">
        <v>22.51</v>
      </c>
      <c r="J2022">
        <v>22.52</v>
      </c>
      <c r="K2022">
        <v>0</v>
      </c>
      <c r="L2022">
        <v>7.37</v>
      </c>
      <c r="M2022" t="s">
        <v>3229</v>
      </c>
      <c r="N2022">
        <v>113.96</v>
      </c>
      <c r="O2022" t="s">
        <v>553</v>
      </c>
      <c r="P2022">
        <v>22.9</v>
      </c>
      <c r="Q2022">
        <v>21.51</v>
      </c>
      <c r="R2022">
        <v>22</v>
      </c>
      <c r="S2022">
        <v>21.95</v>
      </c>
      <c r="T2022">
        <v>6.33</v>
      </c>
      <c r="U2022">
        <v>1.25</v>
      </c>
      <c r="V2022">
        <v>59.44</v>
      </c>
      <c r="W2022">
        <v>1313</v>
      </c>
      <c r="X2022">
        <v>22.4</v>
      </c>
      <c r="Y2022" t="s">
        <v>1711</v>
      </c>
      <c r="Z2022" t="s">
        <v>1379</v>
      </c>
      <c r="AA2022">
        <v>0.91</v>
      </c>
      <c r="AB2022">
        <v>977</v>
      </c>
      <c r="AC2022">
        <v>180</v>
      </c>
      <c r="AD2022">
        <v>10.94</v>
      </c>
      <c r="AE2022" t="s">
        <v>3227</v>
      </c>
      <c r="AF2022" t="s">
        <v>5232</v>
      </c>
      <c r="AG2022" t="s">
        <v>943</v>
      </c>
      <c r="AH2022" t="s">
        <v>1480</v>
      </c>
      <c r="AI2022">
        <v>2.69</v>
      </c>
      <c r="AJ2022">
        <v>11.93</v>
      </c>
      <c r="AK2022">
        <v>23.22</v>
      </c>
      <c r="AL2022">
        <v>36.9</v>
      </c>
    </row>
    <row r="2023" spans="1:38" x14ac:dyDescent="0.25">
      <c r="A2023">
        <v>2022</v>
      </c>
      <c r="B2023" t="str">
        <f xml:space="preserve"> "603026"</f>
        <v>603026</v>
      </c>
      <c r="C2023" t="s">
        <v>6793</v>
      </c>
      <c r="D2023">
        <v>31.09</v>
      </c>
      <c r="E2023">
        <v>0.71</v>
      </c>
      <c r="F2023">
        <v>0.22</v>
      </c>
      <c r="G2023" t="s">
        <v>6292</v>
      </c>
      <c r="H2023">
        <v>37</v>
      </c>
      <c r="I2023">
        <v>31.07</v>
      </c>
      <c r="J2023">
        <v>31.09</v>
      </c>
      <c r="K2023">
        <v>0.26</v>
      </c>
      <c r="L2023">
        <v>1.34</v>
      </c>
      <c r="M2023" t="s">
        <v>6794</v>
      </c>
      <c r="N2023">
        <v>36.4</v>
      </c>
      <c r="O2023" t="s">
        <v>667</v>
      </c>
      <c r="P2023">
        <v>31.18</v>
      </c>
      <c r="Q2023">
        <v>30.73</v>
      </c>
      <c r="R2023">
        <v>30.74</v>
      </c>
      <c r="S2023">
        <v>30.87</v>
      </c>
      <c r="T2023">
        <v>1.46</v>
      </c>
      <c r="U2023">
        <v>0.66</v>
      </c>
      <c r="V2023">
        <v>-56.23</v>
      </c>
      <c r="W2023">
        <v>-272</v>
      </c>
      <c r="X2023">
        <v>31.01</v>
      </c>
      <c r="Y2023">
        <v>9523</v>
      </c>
      <c r="Z2023">
        <v>8055</v>
      </c>
      <c r="AA2023">
        <v>1.18</v>
      </c>
      <c r="AB2023">
        <v>40</v>
      </c>
      <c r="AC2023">
        <v>23</v>
      </c>
      <c r="AD2023">
        <v>4.24</v>
      </c>
      <c r="AE2023" t="s">
        <v>1075</v>
      </c>
      <c r="AF2023" t="s">
        <v>5232</v>
      </c>
      <c r="AG2023" t="s">
        <v>2065</v>
      </c>
      <c r="AH2023" t="s">
        <v>760</v>
      </c>
      <c r="AI2023">
        <v>-1.02</v>
      </c>
      <c r="AJ2023">
        <v>-1.43</v>
      </c>
      <c r="AK2023">
        <v>5.24</v>
      </c>
      <c r="AL2023">
        <v>11.45</v>
      </c>
    </row>
    <row r="2024" spans="1:38" x14ac:dyDescent="0.25">
      <c r="A2024">
        <v>2023</v>
      </c>
      <c r="B2024" t="str">
        <f xml:space="preserve"> "300226"</f>
        <v>300226</v>
      </c>
      <c r="C2024" t="s">
        <v>6795</v>
      </c>
      <c r="D2024">
        <v>39.549999999999997</v>
      </c>
      <c r="E2024">
        <v>-0.33</v>
      </c>
      <c r="F2024">
        <v>-0.13</v>
      </c>
      <c r="G2024" t="s">
        <v>2773</v>
      </c>
      <c r="H2024">
        <v>343</v>
      </c>
      <c r="I2024">
        <v>39.549999999999997</v>
      </c>
      <c r="J2024">
        <v>39.58</v>
      </c>
      <c r="K2024">
        <v>0.1</v>
      </c>
      <c r="L2024">
        <v>1.1000000000000001</v>
      </c>
      <c r="M2024" t="s">
        <v>6796</v>
      </c>
      <c r="N2024">
        <v>138.03</v>
      </c>
      <c r="O2024" t="s">
        <v>553</v>
      </c>
      <c r="P2024">
        <v>39.75</v>
      </c>
      <c r="Q2024">
        <v>39.130000000000003</v>
      </c>
      <c r="R2024">
        <v>39.6</v>
      </c>
      <c r="S2024">
        <v>39.68</v>
      </c>
      <c r="T2024">
        <v>1.56</v>
      </c>
      <c r="U2024">
        <v>0.71</v>
      </c>
      <c r="V2024">
        <v>-9.39</v>
      </c>
      <c r="W2024">
        <v>-80</v>
      </c>
      <c r="X2024">
        <v>39.479999999999997</v>
      </c>
      <c r="Y2024">
        <v>6970</v>
      </c>
      <c r="Z2024">
        <v>9297</v>
      </c>
      <c r="AA2024">
        <v>0.75</v>
      </c>
      <c r="AB2024">
        <v>162</v>
      </c>
      <c r="AC2024">
        <v>60</v>
      </c>
      <c r="AD2024">
        <v>11.94</v>
      </c>
      <c r="AE2024" t="s">
        <v>1820</v>
      </c>
      <c r="AF2024" t="s">
        <v>5232</v>
      </c>
      <c r="AG2024" t="s">
        <v>1333</v>
      </c>
      <c r="AH2024" t="s">
        <v>6797</v>
      </c>
      <c r="AI2024">
        <v>-1.37</v>
      </c>
      <c r="AJ2024">
        <v>3.02</v>
      </c>
      <c r="AK2024">
        <v>4.49</v>
      </c>
      <c r="AL2024">
        <v>8.81</v>
      </c>
    </row>
    <row r="2025" spans="1:38" x14ac:dyDescent="0.25">
      <c r="A2025">
        <v>2024</v>
      </c>
      <c r="B2025" t="str">
        <f xml:space="preserve"> "300397"</f>
        <v>300397</v>
      </c>
      <c r="C2025" t="s">
        <v>6798</v>
      </c>
      <c r="D2025">
        <v>26.25</v>
      </c>
      <c r="E2025">
        <v>0.38</v>
      </c>
      <c r="F2025">
        <v>0.1</v>
      </c>
      <c r="G2025" t="s">
        <v>3155</v>
      </c>
      <c r="H2025">
        <v>813</v>
      </c>
      <c r="I2025">
        <v>26.24</v>
      </c>
      <c r="J2025">
        <v>26.25</v>
      </c>
      <c r="K2025">
        <v>0.04</v>
      </c>
      <c r="L2025">
        <v>2.44</v>
      </c>
      <c r="M2025" t="s">
        <v>2231</v>
      </c>
      <c r="N2025">
        <v>154.66</v>
      </c>
      <c r="O2025" t="s">
        <v>553</v>
      </c>
      <c r="P2025">
        <v>26.64</v>
      </c>
      <c r="Q2025">
        <v>26.15</v>
      </c>
      <c r="R2025">
        <v>26.16</v>
      </c>
      <c r="S2025">
        <v>26.15</v>
      </c>
      <c r="T2025">
        <v>1.87</v>
      </c>
      <c r="U2025">
        <v>1.1200000000000001</v>
      </c>
      <c r="V2025">
        <v>0.38</v>
      </c>
      <c r="W2025">
        <v>7</v>
      </c>
      <c r="X2025">
        <v>26.35</v>
      </c>
      <c r="Y2025" t="s">
        <v>2515</v>
      </c>
      <c r="Z2025" t="s">
        <v>1207</v>
      </c>
      <c r="AA2025">
        <v>1.17</v>
      </c>
      <c r="AB2025">
        <v>433</v>
      </c>
      <c r="AC2025">
        <v>402</v>
      </c>
      <c r="AD2025">
        <v>5.37</v>
      </c>
      <c r="AE2025" t="s">
        <v>2521</v>
      </c>
      <c r="AF2025" t="s">
        <v>5232</v>
      </c>
      <c r="AG2025" t="s">
        <v>4080</v>
      </c>
      <c r="AH2025" t="s">
        <v>6799</v>
      </c>
      <c r="AI2025">
        <v>1</v>
      </c>
      <c r="AJ2025">
        <v>-0.08</v>
      </c>
      <c r="AK2025">
        <v>6.67</v>
      </c>
      <c r="AL2025">
        <v>13.36</v>
      </c>
    </row>
    <row r="2026" spans="1:38" x14ac:dyDescent="0.25">
      <c r="A2026">
        <v>2025</v>
      </c>
      <c r="B2026" t="str">
        <f xml:space="preserve"> "600780"</f>
        <v>600780</v>
      </c>
      <c r="C2026" t="s">
        <v>6800</v>
      </c>
      <c r="D2026">
        <v>5.49</v>
      </c>
      <c r="E2026">
        <v>0.18</v>
      </c>
      <c r="F2026">
        <v>0.01</v>
      </c>
      <c r="G2026" t="s">
        <v>3266</v>
      </c>
      <c r="H2026">
        <v>27</v>
      </c>
      <c r="I2026">
        <v>5.49</v>
      </c>
      <c r="J2026">
        <v>5.5</v>
      </c>
      <c r="K2026">
        <v>0</v>
      </c>
      <c r="L2026">
        <v>0.21</v>
      </c>
      <c r="M2026" t="s">
        <v>6801</v>
      </c>
      <c r="N2026">
        <v>122.51</v>
      </c>
      <c r="O2026" t="s">
        <v>186</v>
      </c>
      <c r="P2026">
        <v>5.52</v>
      </c>
      <c r="Q2026">
        <v>5.47</v>
      </c>
      <c r="R2026">
        <v>5.5</v>
      </c>
      <c r="S2026">
        <v>5.48</v>
      </c>
      <c r="T2026">
        <v>0.91</v>
      </c>
      <c r="U2026">
        <v>0.67</v>
      </c>
      <c r="V2026">
        <v>-59.95</v>
      </c>
      <c r="W2026">
        <v>-5575</v>
      </c>
      <c r="X2026">
        <v>5.5</v>
      </c>
      <c r="Y2026" t="s">
        <v>4791</v>
      </c>
      <c r="Z2026" t="s">
        <v>603</v>
      </c>
      <c r="AA2026">
        <v>0.71</v>
      </c>
      <c r="AB2026">
        <v>333</v>
      </c>
      <c r="AC2026">
        <v>3288</v>
      </c>
      <c r="AD2026">
        <v>1.33</v>
      </c>
      <c r="AE2026" t="s">
        <v>2388</v>
      </c>
      <c r="AF2026" t="s">
        <v>200</v>
      </c>
      <c r="AG2026" t="s">
        <v>2388</v>
      </c>
      <c r="AH2026" t="s">
        <v>200</v>
      </c>
      <c r="AI2026">
        <v>0.37</v>
      </c>
      <c r="AJ2026">
        <v>0.55000000000000004</v>
      </c>
      <c r="AK2026">
        <v>1.04</v>
      </c>
      <c r="AL2026">
        <v>1.79</v>
      </c>
    </row>
    <row r="2027" spans="1:38" x14ac:dyDescent="0.25">
      <c r="A2027">
        <v>2026</v>
      </c>
      <c r="B2027" t="str">
        <f xml:space="preserve"> "600831"</f>
        <v>600831</v>
      </c>
      <c r="C2027" t="s">
        <v>6802</v>
      </c>
      <c r="D2027">
        <v>10.4</v>
      </c>
      <c r="E2027">
        <v>0.1</v>
      </c>
      <c r="F2027">
        <v>0.01</v>
      </c>
      <c r="G2027" t="s">
        <v>2433</v>
      </c>
      <c r="H2027">
        <v>60</v>
      </c>
      <c r="I2027">
        <v>10.39</v>
      </c>
      <c r="J2027">
        <v>10.4</v>
      </c>
      <c r="K2027">
        <v>0</v>
      </c>
      <c r="L2027">
        <v>0.56000000000000005</v>
      </c>
      <c r="M2027" t="s">
        <v>5678</v>
      </c>
      <c r="N2027">
        <v>26.63</v>
      </c>
      <c r="O2027" t="s">
        <v>1126</v>
      </c>
      <c r="P2027">
        <v>10.4</v>
      </c>
      <c r="Q2027">
        <v>10.32</v>
      </c>
      <c r="R2027">
        <v>10.37</v>
      </c>
      <c r="S2027">
        <v>10.39</v>
      </c>
      <c r="T2027">
        <v>0.77</v>
      </c>
      <c r="U2027">
        <v>0.62</v>
      </c>
      <c r="V2027">
        <v>-30.21</v>
      </c>
      <c r="W2027">
        <v>-1478</v>
      </c>
      <c r="X2027">
        <v>10.37</v>
      </c>
      <c r="Y2027" t="s">
        <v>1508</v>
      </c>
      <c r="Z2027" t="s">
        <v>2313</v>
      </c>
      <c r="AA2027">
        <v>0.99</v>
      </c>
      <c r="AB2027">
        <v>442</v>
      </c>
      <c r="AC2027">
        <v>931</v>
      </c>
      <c r="AD2027">
        <v>2.17</v>
      </c>
      <c r="AE2027" t="s">
        <v>815</v>
      </c>
      <c r="AF2027" t="s">
        <v>200</v>
      </c>
      <c r="AG2027" t="s">
        <v>3770</v>
      </c>
      <c r="AH2027" t="s">
        <v>6797</v>
      </c>
      <c r="AI2027">
        <v>0.97</v>
      </c>
      <c r="AJ2027">
        <v>4.21</v>
      </c>
      <c r="AK2027">
        <v>2.31</v>
      </c>
      <c r="AL2027">
        <v>5.04</v>
      </c>
    </row>
    <row r="2028" spans="1:38" x14ac:dyDescent="0.25">
      <c r="A2028">
        <v>2027</v>
      </c>
      <c r="B2028" t="str">
        <f xml:space="preserve"> "300276"</f>
        <v>300276</v>
      </c>
      <c r="C2028" t="s">
        <v>6803</v>
      </c>
      <c r="D2028">
        <v>16.78</v>
      </c>
      <c r="E2028">
        <v>3.01</v>
      </c>
      <c r="F2028">
        <v>0.49</v>
      </c>
      <c r="G2028" t="s">
        <v>4403</v>
      </c>
      <c r="H2028">
        <v>7721</v>
      </c>
      <c r="I2028">
        <v>16.78</v>
      </c>
      <c r="J2028">
        <v>16.79</v>
      </c>
      <c r="K2028">
        <v>0.24</v>
      </c>
      <c r="L2028">
        <v>4.8</v>
      </c>
      <c r="M2028" t="s">
        <v>1750</v>
      </c>
      <c r="N2028">
        <v>371.26</v>
      </c>
      <c r="O2028" t="s">
        <v>648</v>
      </c>
      <c r="P2028">
        <v>16.86</v>
      </c>
      <c r="Q2028">
        <v>15.93</v>
      </c>
      <c r="R2028">
        <v>16.14</v>
      </c>
      <c r="S2028">
        <v>16.29</v>
      </c>
      <c r="T2028">
        <v>5.71</v>
      </c>
      <c r="U2028">
        <v>1.84</v>
      </c>
      <c r="V2028">
        <v>38.93</v>
      </c>
      <c r="W2028">
        <v>3326</v>
      </c>
      <c r="X2028">
        <v>16.329999999999998</v>
      </c>
      <c r="Y2028" t="s">
        <v>1315</v>
      </c>
      <c r="Z2028" t="s">
        <v>2693</v>
      </c>
      <c r="AA2028">
        <v>0.9</v>
      </c>
      <c r="AB2028">
        <v>213</v>
      </c>
      <c r="AC2028">
        <v>349</v>
      </c>
      <c r="AD2028">
        <v>10.32</v>
      </c>
      <c r="AE2028" t="s">
        <v>4339</v>
      </c>
      <c r="AF2028" t="s">
        <v>4162</v>
      </c>
      <c r="AG2028" t="s">
        <v>1485</v>
      </c>
      <c r="AH2028" t="s">
        <v>6804</v>
      </c>
      <c r="AI2028">
        <v>3.33</v>
      </c>
      <c r="AJ2028">
        <v>9.32</v>
      </c>
      <c r="AK2028">
        <v>10.81</v>
      </c>
      <c r="AL2028">
        <v>17.850000000000001</v>
      </c>
    </row>
    <row r="2029" spans="1:38" x14ac:dyDescent="0.25">
      <c r="A2029">
        <v>2028</v>
      </c>
      <c r="B2029" t="str">
        <f xml:space="preserve"> "600537"</f>
        <v>600537</v>
      </c>
      <c r="C2029" t="s">
        <v>6805</v>
      </c>
      <c r="D2029">
        <v>5.34</v>
      </c>
      <c r="E2029">
        <v>1.1399999999999999</v>
      </c>
      <c r="F2029">
        <v>0.06</v>
      </c>
      <c r="G2029" t="s">
        <v>4335</v>
      </c>
      <c r="H2029">
        <v>1</v>
      </c>
      <c r="I2029">
        <v>5.33</v>
      </c>
      <c r="J2029">
        <v>5.34</v>
      </c>
      <c r="K2029">
        <v>0</v>
      </c>
      <c r="L2029">
        <v>0.7</v>
      </c>
      <c r="M2029" t="s">
        <v>6806</v>
      </c>
      <c r="N2029">
        <v>106.29</v>
      </c>
      <c r="O2029" t="s">
        <v>380</v>
      </c>
      <c r="P2029">
        <v>5.35</v>
      </c>
      <c r="Q2029">
        <v>5.26</v>
      </c>
      <c r="R2029">
        <v>5.27</v>
      </c>
      <c r="S2029">
        <v>5.28</v>
      </c>
      <c r="T2029">
        <v>1.7</v>
      </c>
      <c r="U2029">
        <v>0.7</v>
      </c>
      <c r="V2029">
        <v>-2.46</v>
      </c>
      <c r="W2029">
        <v>-449</v>
      </c>
      <c r="X2029">
        <v>5.3</v>
      </c>
      <c r="Y2029" t="s">
        <v>1090</v>
      </c>
      <c r="Z2029" t="s">
        <v>6807</v>
      </c>
      <c r="AA2029">
        <v>0.8</v>
      </c>
      <c r="AB2029">
        <v>817</v>
      </c>
      <c r="AC2029">
        <v>156</v>
      </c>
      <c r="AD2029">
        <v>1.85</v>
      </c>
      <c r="AE2029" t="s">
        <v>896</v>
      </c>
      <c r="AF2029" t="s">
        <v>4162</v>
      </c>
      <c r="AG2029" t="s">
        <v>896</v>
      </c>
      <c r="AH2029" t="s">
        <v>4162</v>
      </c>
      <c r="AI2029">
        <v>-0.56000000000000005</v>
      </c>
      <c r="AJ2029">
        <v>4.5</v>
      </c>
      <c r="AK2029">
        <v>2.46</v>
      </c>
      <c r="AL2029">
        <v>5.74</v>
      </c>
    </row>
    <row r="2030" spans="1:38" x14ac:dyDescent="0.25">
      <c r="A2030">
        <v>2029</v>
      </c>
      <c r="B2030" t="str">
        <f xml:space="preserve"> "002323"</f>
        <v>002323</v>
      </c>
      <c r="C2030" t="s">
        <v>6808</v>
      </c>
      <c r="D2030">
        <v>8.42</v>
      </c>
      <c r="E2030">
        <v>-2.09</v>
      </c>
      <c r="F2030">
        <v>-0.18</v>
      </c>
      <c r="G2030" t="s">
        <v>225</v>
      </c>
      <c r="H2030">
        <v>2394</v>
      </c>
      <c r="I2030">
        <v>8.41</v>
      </c>
      <c r="J2030">
        <v>8.42</v>
      </c>
      <c r="K2030">
        <v>0</v>
      </c>
      <c r="L2030">
        <v>4.7300000000000004</v>
      </c>
      <c r="M2030" t="s">
        <v>2239</v>
      </c>
      <c r="N2030">
        <v>26.94</v>
      </c>
      <c r="O2030" t="s">
        <v>263</v>
      </c>
      <c r="P2030">
        <v>8.57</v>
      </c>
      <c r="Q2030">
        <v>8.33</v>
      </c>
      <c r="R2030">
        <v>8.52</v>
      </c>
      <c r="S2030">
        <v>8.6</v>
      </c>
      <c r="T2030">
        <v>2.79</v>
      </c>
      <c r="U2030">
        <v>0.77</v>
      </c>
      <c r="V2030">
        <v>11.33</v>
      </c>
      <c r="W2030">
        <v>622</v>
      </c>
      <c r="X2030">
        <v>8.42</v>
      </c>
      <c r="Y2030" t="s">
        <v>1840</v>
      </c>
      <c r="Z2030" t="s">
        <v>3050</v>
      </c>
      <c r="AA2030">
        <v>1.73</v>
      </c>
      <c r="AB2030">
        <v>804</v>
      </c>
      <c r="AC2030">
        <v>632</v>
      </c>
      <c r="AD2030">
        <v>7.13</v>
      </c>
      <c r="AE2030" t="s">
        <v>6809</v>
      </c>
      <c r="AF2030" t="s">
        <v>4162</v>
      </c>
      <c r="AG2030" t="s">
        <v>5819</v>
      </c>
      <c r="AH2030" t="s">
        <v>6810</v>
      </c>
      <c r="AI2030">
        <v>-2.5499999999999998</v>
      </c>
      <c r="AJ2030">
        <v>8.65</v>
      </c>
      <c r="AK2030">
        <v>24.03</v>
      </c>
      <c r="AL2030">
        <v>35.380000000000003</v>
      </c>
    </row>
    <row r="2031" spans="1:38" x14ac:dyDescent="0.25">
      <c r="A2031">
        <v>2030</v>
      </c>
      <c r="B2031" t="str">
        <f xml:space="preserve"> "002040"</f>
        <v>002040</v>
      </c>
      <c r="C2031" t="s">
        <v>6811</v>
      </c>
      <c r="D2031">
        <v>16.86</v>
      </c>
      <c r="E2031">
        <v>0.6</v>
      </c>
      <c r="F2031">
        <v>0.1</v>
      </c>
      <c r="G2031" t="s">
        <v>1504</v>
      </c>
      <c r="H2031">
        <v>449</v>
      </c>
      <c r="I2031">
        <v>16.86</v>
      </c>
      <c r="J2031">
        <v>16.87</v>
      </c>
      <c r="K2031">
        <v>0</v>
      </c>
      <c r="L2031">
        <v>0.77</v>
      </c>
      <c r="M2031" t="s">
        <v>6812</v>
      </c>
      <c r="N2031">
        <v>67.97</v>
      </c>
      <c r="O2031" t="s">
        <v>440</v>
      </c>
      <c r="P2031">
        <v>16.97</v>
      </c>
      <c r="Q2031">
        <v>16.72</v>
      </c>
      <c r="R2031">
        <v>16.829999999999998</v>
      </c>
      <c r="S2031">
        <v>16.760000000000002</v>
      </c>
      <c r="T2031">
        <v>1.49</v>
      </c>
      <c r="U2031">
        <v>0.81</v>
      </c>
      <c r="V2031">
        <v>-39.380000000000003</v>
      </c>
      <c r="W2031">
        <v>-821</v>
      </c>
      <c r="X2031">
        <v>16.84</v>
      </c>
      <c r="Y2031">
        <v>9551</v>
      </c>
      <c r="Z2031">
        <v>9272</v>
      </c>
      <c r="AA2031">
        <v>1.03</v>
      </c>
      <c r="AB2031">
        <v>285</v>
      </c>
      <c r="AC2031">
        <v>439</v>
      </c>
      <c r="AD2031">
        <v>2.67</v>
      </c>
      <c r="AE2031" t="s">
        <v>1546</v>
      </c>
      <c r="AF2031" t="s">
        <v>4162</v>
      </c>
      <c r="AG2031" t="s">
        <v>4478</v>
      </c>
      <c r="AH2031" t="s">
        <v>6813</v>
      </c>
      <c r="AI2031">
        <v>-0.3</v>
      </c>
      <c r="AJ2031">
        <v>2.4300000000000002</v>
      </c>
      <c r="AK2031">
        <v>3.3</v>
      </c>
      <c r="AL2031">
        <v>5.52</v>
      </c>
    </row>
    <row r="2032" spans="1:38" x14ac:dyDescent="0.25">
      <c r="A2032">
        <v>2031</v>
      </c>
      <c r="B2032" t="str">
        <f xml:space="preserve"> "603181"</f>
        <v>603181</v>
      </c>
      <c r="C2032" t="s">
        <v>6814</v>
      </c>
      <c r="D2032">
        <v>31.36</v>
      </c>
      <c r="E2032">
        <v>1.82</v>
      </c>
      <c r="F2032">
        <v>0.56000000000000005</v>
      </c>
      <c r="G2032" t="s">
        <v>2335</v>
      </c>
      <c r="H2032">
        <v>99</v>
      </c>
      <c r="I2032">
        <v>31.35</v>
      </c>
      <c r="J2032">
        <v>31.37</v>
      </c>
      <c r="K2032">
        <v>0.16</v>
      </c>
      <c r="L2032">
        <v>8.2200000000000006</v>
      </c>
      <c r="M2032" t="s">
        <v>2239</v>
      </c>
      <c r="N2032">
        <v>49.79</v>
      </c>
      <c r="O2032" t="s">
        <v>667</v>
      </c>
      <c r="P2032">
        <v>31.57</v>
      </c>
      <c r="Q2032">
        <v>30.58</v>
      </c>
      <c r="R2032">
        <v>30.88</v>
      </c>
      <c r="S2032">
        <v>30.8</v>
      </c>
      <c r="T2032">
        <v>3.21</v>
      </c>
      <c r="U2032">
        <v>0.6</v>
      </c>
      <c r="V2032">
        <v>-43.53</v>
      </c>
      <c r="W2032">
        <v>-657</v>
      </c>
      <c r="X2032">
        <v>31.16</v>
      </c>
      <c r="Y2032" t="s">
        <v>3062</v>
      </c>
      <c r="Z2032" t="s">
        <v>468</v>
      </c>
      <c r="AA2032">
        <v>0.94</v>
      </c>
      <c r="AB2032">
        <v>4</v>
      </c>
      <c r="AC2032">
        <v>92</v>
      </c>
      <c r="AD2032">
        <v>5.25</v>
      </c>
      <c r="AE2032" t="s">
        <v>1485</v>
      </c>
      <c r="AF2032" t="s">
        <v>6815</v>
      </c>
      <c r="AG2032" t="s">
        <v>3869</v>
      </c>
      <c r="AH2032" t="s">
        <v>2760</v>
      </c>
      <c r="AI2032">
        <v>-6.08</v>
      </c>
      <c r="AJ2032">
        <v>-7.44</v>
      </c>
      <c r="AK2032">
        <v>34.89</v>
      </c>
      <c r="AL2032">
        <v>76.98</v>
      </c>
    </row>
    <row r="2033" spans="1:38" x14ac:dyDescent="0.25">
      <c r="A2033">
        <v>2032</v>
      </c>
      <c r="B2033" t="str">
        <f xml:space="preserve"> "002288"</f>
        <v>002288</v>
      </c>
      <c r="C2033" t="s">
        <v>6816</v>
      </c>
      <c r="D2033">
        <v>6.72</v>
      </c>
      <c r="E2033">
        <v>0.15</v>
      </c>
      <c r="F2033">
        <v>0.01</v>
      </c>
      <c r="G2033" t="s">
        <v>3394</v>
      </c>
      <c r="H2033">
        <v>1010</v>
      </c>
      <c r="I2033">
        <v>6.71</v>
      </c>
      <c r="J2033">
        <v>6.72</v>
      </c>
      <c r="K2033">
        <v>0</v>
      </c>
      <c r="L2033">
        <v>1.02</v>
      </c>
      <c r="M2033" t="s">
        <v>6817</v>
      </c>
      <c r="N2033">
        <v>100.58</v>
      </c>
      <c r="O2033" t="s">
        <v>380</v>
      </c>
      <c r="P2033">
        <v>6.74</v>
      </c>
      <c r="Q2033">
        <v>6.66</v>
      </c>
      <c r="R2033">
        <v>6.72</v>
      </c>
      <c r="S2033">
        <v>6.71</v>
      </c>
      <c r="T2033">
        <v>1.19</v>
      </c>
      <c r="U2033">
        <v>0.52</v>
      </c>
      <c r="V2033">
        <v>-4.3899999999999997</v>
      </c>
      <c r="W2033">
        <v>-423</v>
      </c>
      <c r="X2033">
        <v>6.69</v>
      </c>
      <c r="Y2033" t="s">
        <v>2180</v>
      </c>
      <c r="Z2033" t="s">
        <v>2548</v>
      </c>
      <c r="AA2033">
        <v>1.4</v>
      </c>
      <c r="AB2033">
        <v>833</v>
      </c>
      <c r="AC2033">
        <v>141</v>
      </c>
      <c r="AD2033">
        <v>3.67</v>
      </c>
      <c r="AE2033" t="s">
        <v>6818</v>
      </c>
      <c r="AF2033" t="s">
        <v>2996</v>
      </c>
      <c r="AG2033" t="s">
        <v>3899</v>
      </c>
      <c r="AH2033" t="s">
        <v>6819</v>
      </c>
      <c r="AI2033">
        <v>-2.1800000000000002</v>
      </c>
      <c r="AJ2033">
        <v>-1.61</v>
      </c>
      <c r="AK2033">
        <v>4.3600000000000003</v>
      </c>
      <c r="AL2033">
        <v>10.87</v>
      </c>
    </row>
    <row r="2034" spans="1:38" x14ac:dyDescent="0.25">
      <c r="A2034">
        <v>2033</v>
      </c>
      <c r="B2034" t="str">
        <f xml:space="preserve"> "600668"</f>
        <v>600668</v>
      </c>
      <c r="C2034" t="s">
        <v>6820</v>
      </c>
      <c r="D2034">
        <v>18.190000000000001</v>
      </c>
      <c r="E2034">
        <v>-0.27</v>
      </c>
      <c r="F2034">
        <v>-0.05</v>
      </c>
      <c r="G2034" t="s">
        <v>2032</v>
      </c>
      <c r="H2034">
        <v>24</v>
      </c>
      <c r="I2034">
        <v>18.2</v>
      </c>
      <c r="J2034">
        <v>18.21</v>
      </c>
      <c r="K2034">
        <v>-0.05</v>
      </c>
      <c r="L2034">
        <v>1.02</v>
      </c>
      <c r="M2034" t="s">
        <v>5007</v>
      </c>
      <c r="N2034">
        <v>13.01</v>
      </c>
      <c r="O2034" t="s">
        <v>562</v>
      </c>
      <c r="P2034">
        <v>18.27</v>
      </c>
      <c r="Q2034">
        <v>18.14</v>
      </c>
      <c r="R2034">
        <v>18.239999999999998</v>
      </c>
      <c r="S2034">
        <v>18.239999999999998</v>
      </c>
      <c r="T2034">
        <v>0.71</v>
      </c>
      <c r="U2034">
        <v>0.71</v>
      </c>
      <c r="V2034">
        <v>-55.8</v>
      </c>
      <c r="W2034">
        <v>-2336</v>
      </c>
      <c r="X2034">
        <v>18.18</v>
      </c>
      <c r="Y2034" t="s">
        <v>1381</v>
      </c>
      <c r="Z2034" t="s">
        <v>2453</v>
      </c>
      <c r="AA2034">
        <v>1.36</v>
      </c>
      <c r="AB2034">
        <v>48</v>
      </c>
      <c r="AC2034">
        <v>173</v>
      </c>
      <c r="AD2034">
        <v>2.58</v>
      </c>
      <c r="AE2034" t="s">
        <v>5326</v>
      </c>
      <c r="AF2034" t="s">
        <v>2996</v>
      </c>
      <c r="AG2034" t="s">
        <v>5326</v>
      </c>
      <c r="AH2034" t="s">
        <v>2996</v>
      </c>
      <c r="AI2034">
        <v>-1.25</v>
      </c>
      <c r="AJ2034">
        <v>1.34</v>
      </c>
      <c r="AK2034">
        <v>3.54</v>
      </c>
      <c r="AL2034">
        <v>8.1999999999999993</v>
      </c>
    </row>
    <row r="2035" spans="1:38" x14ac:dyDescent="0.25">
      <c r="A2035">
        <v>2034</v>
      </c>
      <c r="B2035" t="str">
        <f xml:space="preserve"> "600389"</f>
        <v>600389</v>
      </c>
      <c r="C2035" t="s">
        <v>6821</v>
      </c>
      <c r="D2035" t="s">
        <v>616</v>
      </c>
      <c r="E2035" t="s">
        <v>616</v>
      </c>
      <c r="F2035" t="s">
        <v>616</v>
      </c>
      <c r="G2035" t="s">
        <v>616</v>
      </c>
      <c r="H2035" t="s">
        <v>616</v>
      </c>
      <c r="I2035" t="s">
        <v>616</v>
      </c>
      <c r="J2035" t="s">
        <v>616</v>
      </c>
      <c r="K2035" t="s">
        <v>616</v>
      </c>
      <c r="L2035" t="s">
        <v>616</v>
      </c>
      <c r="M2035" t="s">
        <v>616</v>
      </c>
      <c r="N2035">
        <v>53.72</v>
      </c>
      <c r="O2035" t="s">
        <v>2060</v>
      </c>
      <c r="P2035" t="s">
        <v>616</v>
      </c>
      <c r="Q2035" t="s">
        <v>616</v>
      </c>
      <c r="R2035" t="s">
        <v>616</v>
      </c>
      <c r="S2035">
        <v>21.05</v>
      </c>
      <c r="T2035" t="s">
        <v>616</v>
      </c>
      <c r="U2035" t="s">
        <v>616</v>
      </c>
      <c r="V2035" t="s">
        <v>616</v>
      </c>
      <c r="W2035" t="s">
        <v>616</v>
      </c>
      <c r="X2035" t="s">
        <v>616</v>
      </c>
      <c r="Y2035" t="s">
        <v>616</v>
      </c>
      <c r="Z2035" t="s">
        <v>616</v>
      </c>
      <c r="AA2035" t="s">
        <v>616</v>
      </c>
      <c r="AB2035" t="s">
        <v>616</v>
      </c>
      <c r="AC2035" t="s">
        <v>616</v>
      </c>
      <c r="AD2035">
        <v>4.3600000000000003</v>
      </c>
      <c r="AE2035" t="s">
        <v>2923</v>
      </c>
      <c r="AF2035" t="s">
        <v>1209</v>
      </c>
      <c r="AG2035" t="s">
        <v>2923</v>
      </c>
      <c r="AH2035" t="s">
        <v>1209</v>
      </c>
      <c r="AI2035">
        <v>0</v>
      </c>
      <c r="AJ2035">
        <v>0</v>
      </c>
      <c r="AK2035">
        <v>0</v>
      </c>
      <c r="AL2035">
        <v>0</v>
      </c>
    </row>
    <row r="2036" spans="1:38" x14ac:dyDescent="0.25">
      <c r="A2036">
        <v>2035</v>
      </c>
      <c r="B2036" t="str">
        <f xml:space="preserve"> "002079"</f>
        <v>002079</v>
      </c>
      <c r="C2036" t="s">
        <v>6822</v>
      </c>
      <c r="D2036">
        <v>8.58</v>
      </c>
      <c r="E2036">
        <v>-0.23</v>
      </c>
      <c r="F2036">
        <v>-0.02</v>
      </c>
      <c r="G2036" t="s">
        <v>4655</v>
      </c>
      <c r="H2036">
        <v>1261</v>
      </c>
      <c r="I2036">
        <v>8.58</v>
      </c>
      <c r="J2036">
        <v>8.59</v>
      </c>
      <c r="K2036">
        <v>0.12</v>
      </c>
      <c r="L2036">
        <v>1.1499999999999999</v>
      </c>
      <c r="M2036" t="s">
        <v>6823</v>
      </c>
      <c r="N2036">
        <v>58.35</v>
      </c>
      <c r="O2036" t="s">
        <v>380</v>
      </c>
      <c r="P2036">
        <v>8.65</v>
      </c>
      <c r="Q2036">
        <v>8.5</v>
      </c>
      <c r="R2036">
        <v>8.58</v>
      </c>
      <c r="S2036">
        <v>8.6</v>
      </c>
      <c r="T2036">
        <v>1.74</v>
      </c>
      <c r="U2036">
        <v>0.4</v>
      </c>
      <c r="V2036">
        <v>4.79</v>
      </c>
      <c r="W2036">
        <v>220</v>
      </c>
      <c r="X2036">
        <v>8.58</v>
      </c>
      <c r="Y2036" t="s">
        <v>2481</v>
      </c>
      <c r="Z2036" t="s">
        <v>3476</v>
      </c>
      <c r="AA2036">
        <v>1.01</v>
      </c>
      <c r="AB2036">
        <v>301</v>
      </c>
      <c r="AC2036">
        <v>308</v>
      </c>
      <c r="AD2036">
        <v>4.22</v>
      </c>
      <c r="AE2036" t="s">
        <v>3063</v>
      </c>
      <c r="AF2036" t="s">
        <v>1209</v>
      </c>
      <c r="AG2036" t="s">
        <v>1619</v>
      </c>
      <c r="AH2036" t="s">
        <v>1919</v>
      </c>
      <c r="AI2036">
        <v>-3.49</v>
      </c>
      <c r="AJ2036">
        <v>1.06</v>
      </c>
      <c r="AK2036">
        <v>5.51</v>
      </c>
      <c r="AL2036">
        <v>15.44</v>
      </c>
    </row>
    <row r="2037" spans="1:38" x14ac:dyDescent="0.25">
      <c r="A2037">
        <v>2036</v>
      </c>
      <c r="B2037" t="str">
        <f xml:space="preserve"> "002770"</f>
        <v>002770</v>
      </c>
      <c r="C2037" t="s">
        <v>6824</v>
      </c>
      <c r="D2037">
        <v>5.7</v>
      </c>
      <c r="E2037">
        <v>0.53</v>
      </c>
      <c r="F2037">
        <v>0.03</v>
      </c>
      <c r="G2037" t="s">
        <v>927</v>
      </c>
      <c r="H2037">
        <v>1885</v>
      </c>
      <c r="I2037">
        <v>5.7</v>
      </c>
      <c r="J2037">
        <v>5.71</v>
      </c>
      <c r="K2037">
        <v>0</v>
      </c>
      <c r="L2037">
        <v>0.96</v>
      </c>
      <c r="M2037" t="s">
        <v>6825</v>
      </c>
      <c r="N2037">
        <v>53.4</v>
      </c>
      <c r="O2037" t="s">
        <v>406</v>
      </c>
      <c r="P2037">
        <v>5.73</v>
      </c>
      <c r="Q2037">
        <v>5.64</v>
      </c>
      <c r="R2037">
        <v>5.67</v>
      </c>
      <c r="S2037">
        <v>5.67</v>
      </c>
      <c r="T2037">
        <v>1.59</v>
      </c>
      <c r="U2037">
        <v>0.62</v>
      </c>
      <c r="V2037">
        <v>-27.49</v>
      </c>
      <c r="W2037">
        <v>-3191</v>
      </c>
      <c r="X2037">
        <v>5.68</v>
      </c>
      <c r="Y2037" t="s">
        <v>3230</v>
      </c>
      <c r="Z2037" t="s">
        <v>2695</v>
      </c>
      <c r="AA2037">
        <v>0.92</v>
      </c>
      <c r="AB2037">
        <v>3252</v>
      </c>
      <c r="AC2037">
        <v>1947</v>
      </c>
      <c r="AD2037">
        <v>3.91</v>
      </c>
      <c r="AE2037" t="s">
        <v>888</v>
      </c>
      <c r="AF2037" t="s">
        <v>4069</v>
      </c>
      <c r="AG2037" t="s">
        <v>5730</v>
      </c>
      <c r="AH2037" t="s">
        <v>6741</v>
      </c>
      <c r="AI2037">
        <v>-0.18</v>
      </c>
      <c r="AJ2037">
        <v>3.26</v>
      </c>
      <c r="AK2037">
        <v>4.38</v>
      </c>
      <c r="AL2037">
        <v>8.6199999999999992</v>
      </c>
    </row>
    <row r="2038" spans="1:38" x14ac:dyDescent="0.25">
      <c r="A2038">
        <v>2037</v>
      </c>
      <c r="B2038" t="str">
        <f xml:space="preserve"> "002486"</f>
        <v>002486</v>
      </c>
      <c r="C2038" t="s">
        <v>6826</v>
      </c>
      <c r="D2038">
        <v>7.5</v>
      </c>
      <c r="E2038">
        <v>2.88</v>
      </c>
      <c r="F2038">
        <v>0.21</v>
      </c>
      <c r="G2038" t="s">
        <v>2055</v>
      </c>
      <c r="H2038" t="s">
        <v>2773</v>
      </c>
      <c r="I2038">
        <v>7.5</v>
      </c>
      <c r="J2038">
        <v>7.51</v>
      </c>
      <c r="K2038">
        <v>1.21</v>
      </c>
      <c r="L2038">
        <v>2.12</v>
      </c>
      <c r="M2038" t="s">
        <v>640</v>
      </c>
      <c r="N2038">
        <v>-109.93</v>
      </c>
      <c r="O2038" t="s">
        <v>1443</v>
      </c>
      <c r="P2038">
        <v>7.5</v>
      </c>
      <c r="Q2038">
        <v>7.18</v>
      </c>
      <c r="R2038">
        <v>7.28</v>
      </c>
      <c r="S2038">
        <v>7.29</v>
      </c>
      <c r="T2038">
        <v>4.3899999999999997</v>
      </c>
      <c r="U2038">
        <v>0.54</v>
      </c>
      <c r="V2038">
        <v>26.85</v>
      </c>
      <c r="W2038">
        <v>3130</v>
      </c>
      <c r="X2038">
        <v>7.3</v>
      </c>
      <c r="Y2038" t="s">
        <v>5061</v>
      </c>
      <c r="Z2038" t="s">
        <v>2568</v>
      </c>
      <c r="AA2038">
        <v>0.92</v>
      </c>
      <c r="AB2038">
        <v>2405</v>
      </c>
      <c r="AC2038">
        <v>169</v>
      </c>
      <c r="AD2038">
        <v>6.92</v>
      </c>
      <c r="AE2038" t="s">
        <v>1019</v>
      </c>
      <c r="AF2038" t="s">
        <v>4069</v>
      </c>
      <c r="AG2038" t="s">
        <v>3140</v>
      </c>
      <c r="AH2038" t="s">
        <v>5081</v>
      </c>
      <c r="AI2038">
        <v>4.5999999999999996</v>
      </c>
      <c r="AJ2038">
        <v>-5.3</v>
      </c>
      <c r="AK2038">
        <v>8.7200000000000006</v>
      </c>
      <c r="AL2038">
        <v>21.62</v>
      </c>
    </row>
    <row r="2039" spans="1:38" x14ac:dyDescent="0.25">
      <c r="A2039">
        <v>2038</v>
      </c>
      <c r="B2039" t="str">
        <f xml:space="preserve"> "300429"</f>
        <v>300429</v>
      </c>
      <c r="C2039" t="s">
        <v>6827</v>
      </c>
      <c r="D2039">
        <v>24.24</v>
      </c>
      <c r="E2039">
        <v>0.54</v>
      </c>
      <c r="F2039">
        <v>0.13</v>
      </c>
      <c r="G2039" t="s">
        <v>1950</v>
      </c>
      <c r="H2039">
        <v>352</v>
      </c>
      <c r="I2039">
        <v>24.23</v>
      </c>
      <c r="J2039">
        <v>24.24</v>
      </c>
      <c r="K2039">
        <v>0</v>
      </c>
      <c r="L2039">
        <v>1.7</v>
      </c>
      <c r="M2039" t="s">
        <v>6828</v>
      </c>
      <c r="N2039">
        <v>42.01</v>
      </c>
      <c r="O2039" t="s">
        <v>667</v>
      </c>
      <c r="P2039">
        <v>24.3</v>
      </c>
      <c r="Q2039">
        <v>23.82</v>
      </c>
      <c r="R2039">
        <v>23.96</v>
      </c>
      <c r="S2039">
        <v>24.11</v>
      </c>
      <c r="T2039">
        <v>1.99</v>
      </c>
      <c r="U2039">
        <v>0.49</v>
      </c>
      <c r="V2039">
        <v>-29.5</v>
      </c>
      <c r="W2039">
        <v>-367</v>
      </c>
      <c r="X2039">
        <v>24.14</v>
      </c>
      <c r="Y2039">
        <v>6034</v>
      </c>
      <c r="Z2039" t="s">
        <v>1411</v>
      </c>
      <c r="AA2039">
        <v>0.55000000000000004</v>
      </c>
      <c r="AB2039">
        <v>71</v>
      </c>
      <c r="AC2039">
        <v>94</v>
      </c>
      <c r="AD2039">
        <v>6.17</v>
      </c>
      <c r="AE2039" t="s">
        <v>925</v>
      </c>
      <c r="AF2039" t="s">
        <v>1919</v>
      </c>
      <c r="AG2039" t="s">
        <v>4464</v>
      </c>
      <c r="AH2039" t="s">
        <v>1700</v>
      </c>
      <c r="AI2039">
        <v>-3.96</v>
      </c>
      <c r="AJ2039">
        <v>-3.19</v>
      </c>
      <c r="AK2039">
        <v>8.66</v>
      </c>
      <c r="AL2039">
        <v>19.170000000000002</v>
      </c>
    </row>
    <row r="2040" spans="1:38" x14ac:dyDescent="0.25">
      <c r="A2040">
        <v>2039</v>
      </c>
      <c r="B2040" t="str">
        <f xml:space="preserve"> "002577"</f>
        <v>002577</v>
      </c>
      <c r="C2040" t="s">
        <v>6829</v>
      </c>
      <c r="D2040">
        <v>22</v>
      </c>
      <c r="E2040">
        <v>1.29</v>
      </c>
      <c r="F2040">
        <v>0.28000000000000003</v>
      </c>
      <c r="G2040" t="s">
        <v>1805</v>
      </c>
      <c r="H2040">
        <v>1936</v>
      </c>
      <c r="I2040">
        <v>22</v>
      </c>
      <c r="J2040">
        <v>22.01</v>
      </c>
      <c r="K2040">
        <v>0.41</v>
      </c>
      <c r="L2040">
        <v>0.78</v>
      </c>
      <c r="M2040" t="s">
        <v>6830</v>
      </c>
      <c r="N2040">
        <v>191.35</v>
      </c>
      <c r="O2040" t="s">
        <v>553</v>
      </c>
      <c r="P2040">
        <v>22</v>
      </c>
      <c r="Q2040">
        <v>21.54</v>
      </c>
      <c r="R2040">
        <v>21.71</v>
      </c>
      <c r="S2040">
        <v>21.72</v>
      </c>
      <c r="T2040">
        <v>2.12</v>
      </c>
      <c r="U2040">
        <v>0.72</v>
      </c>
      <c r="V2040">
        <v>76.73</v>
      </c>
      <c r="W2040">
        <v>376</v>
      </c>
      <c r="X2040">
        <v>21.76</v>
      </c>
      <c r="Y2040" t="s">
        <v>5181</v>
      </c>
      <c r="Z2040" t="s">
        <v>2002</v>
      </c>
      <c r="AA2040">
        <v>0.95</v>
      </c>
      <c r="AB2040">
        <v>217</v>
      </c>
      <c r="AC2040">
        <v>6</v>
      </c>
      <c r="AD2040">
        <v>5.26</v>
      </c>
      <c r="AE2040" t="s">
        <v>4344</v>
      </c>
      <c r="AF2040" t="s">
        <v>1919</v>
      </c>
      <c r="AG2040" t="s">
        <v>4526</v>
      </c>
      <c r="AH2040" t="s">
        <v>1631</v>
      </c>
      <c r="AI2040">
        <v>-0.45</v>
      </c>
      <c r="AJ2040">
        <v>4.0199999999999996</v>
      </c>
      <c r="AK2040">
        <v>2.9</v>
      </c>
      <c r="AL2040">
        <v>6.14</v>
      </c>
    </row>
    <row r="2041" spans="1:38" x14ac:dyDescent="0.25">
      <c r="A2041">
        <v>2040</v>
      </c>
      <c r="B2041" t="str">
        <f xml:space="preserve"> "300411"</f>
        <v>300411</v>
      </c>
      <c r="C2041" t="s">
        <v>6831</v>
      </c>
      <c r="D2041">
        <v>38.9</v>
      </c>
      <c r="E2041">
        <v>0.39</v>
      </c>
      <c r="F2041">
        <v>0.15</v>
      </c>
      <c r="G2041">
        <v>5464</v>
      </c>
      <c r="H2041">
        <v>500</v>
      </c>
      <c r="I2041">
        <v>38.58</v>
      </c>
      <c r="J2041">
        <v>38.9</v>
      </c>
      <c r="K2041">
        <v>0.93</v>
      </c>
      <c r="L2041">
        <v>0.9</v>
      </c>
      <c r="M2041" t="s">
        <v>6832</v>
      </c>
      <c r="N2041">
        <v>189.1</v>
      </c>
      <c r="O2041" t="s">
        <v>648</v>
      </c>
      <c r="P2041">
        <v>38.9</v>
      </c>
      <c r="Q2041">
        <v>38.42</v>
      </c>
      <c r="R2041">
        <v>38.71</v>
      </c>
      <c r="S2041">
        <v>38.75</v>
      </c>
      <c r="T2041">
        <v>1.24</v>
      </c>
      <c r="U2041">
        <v>0.82</v>
      </c>
      <c r="V2041">
        <v>-3.65</v>
      </c>
      <c r="W2041">
        <v>-13</v>
      </c>
      <c r="X2041">
        <v>38.659999999999997</v>
      </c>
      <c r="Y2041">
        <v>3545</v>
      </c>
      <c r="Z2041">
        <v>1918</v>
      </c>
      <c r="AA2041">
        <v>1.85</v>
      </c>
      <c r="AB2041">
        <v>60</v>
      </c>
      <c r="AC2041">
        <v>7</v>
      </c>
      <c r="AD2041">
        <v>10.55</v>
      </c>
      <c r="AE2041" t="s">
        <v>4326</v>
      </c>
      <c r="AF2041" t="s">
        <v>729</v>
      </c>
      <c r="AG2041" t="s">
        <v>6833</v>
      </c>
      <c r="AH2041" t="s">
        <v>3762</v>
      </c>
      <c r="AI2041">
        <v>0.28000000000000003</v>
      </c>
      <c r="AJ2041">
        <v>0.78</v>
      </c>
      <c r="AK2041">
        <v>3.4</v>
      </c>
      <c r="AL2041">
        <v>6.37</v>
      </c>
    </row>
    <row r="2042" spans="1:38" x14ac:dyDescent="0.25">
      <c r="A2042">
        <v>2041</v>
      </c>
      <c r="B2042" t="str">
        <f xml:space="preserve"> "002054"</f>
        <v>002054</v>
      </c>
      <c r="C2042" t="s">
        <v>6834</v>
      </c>
      <c r="D2042">
        <v>14.83</v>
      </c>
      <c r="E2042">
        <v>-1</v>
      </c>
      <c r="F2042">
        <v>-0.15</v>
      </c>
      <c r="G2042" t="s">
        <v>3946</v>
      </c>
      <c r="H2042">
        <v>820</v>
      </c>
      <c r="I2042">
        <v>14.83</v>
      </c>
      <c r="J2042">
        <v>14.84</v>
      </c>
      <c r="K2042">
        <v>-7.0000000000000007E-2</v>
      </c>
      <c r="L2042">
        <v>0.54</v>
      </c>
      <c r="M2042" t="s">
        <v>5272</v>
      </c>
      <c r="N2042">
        <v>122.05</v>
      </c>
      <c r="O2042" t="s">
        <v>667</v>
      </c>
      <c r="P2042">
        <v>15.17</v>
      </c>
      <c r="Q2042">
        <v>14.75</v>
      </c>
      <c r="R2042">
        <v>14.85</v>
      </c>
      <c r="S2042">
        <v>14.98</v>
      </c>
      <c r="T2042">
        <v>2.8</v>
      </c>
      <c r="U2042">
        <v>0.67</v>
      </c>
      <c r="V2042">
        <v>-0.74</v>
      </c>
      <c r="W2042">
        <v>-13</v>
      </c>
      <c r="X2042">
        <v>14.88</v>
      </c>
      <c r="Y2042" t="s">
        <v>5181</v>
      </c>
      <c r="Z2042">
        <v>6289</v>
      </c>
      <c r="AA2042">
        <v>1.68</v>
      </c>
      <c r="AB2042">
        <v>68</v>
      </c>
      <c r="AC2042">
        <v>186</v>
      </c>
      <c r="AD2042">
        <v>3.5</v>
      </c>
      <c r="AE2042" t="s">
        <v>3504</v>
      </c>
      <c r="AF2042" t="s">
        <v>729</v>
      </c>
      <c r="AG2042" t="s">
        <v>4602</v>
      </c>
      <c r="AH2042" t="s">
        <v>6835</v>
      </c>
      <c r="AI2042">
        <v>0</v>
      </c>
      <c r="AJ2042">
        <v>0.54</v>
      </c>
      <c r="AK2042">
        <v>2.59</v>
      </c>
      <c r="AL2042">
        <v>4.5199999999999996</v>
      </c>
    </row>
    <row r="2043" spans="1:38" x14ac:dyDescent="0.25">
      <c r="A2043">
        <v>2042</v>
      </c>
      <c r="B2043" t="str">
        <f xml:space="preserve"> "603363"</f>
        <v>603363</v>
      </c>
      <c r="C2043" t="s">
        <v>6836</v>
      </c>
      <c r="D2043">
        <v>14.8</v>
      </c>
      <c r="E2043">
        <v>10.039999999999999</v>
      </c>
      <c r="F2043">
        <v>1.35</v>
      </c>
      <c r="G2043">
        <v>2464</v>
      </c>
      <c r="H2043">
        <v>5</v>
      </c>
      <c r="I2043">
        <v>14.8</v>
      </c>
      <c r="J2043" t="s">
        <v>616</v>
      </c>
      <c r="K2043">
        <v>0</v>
      </c>
      <c r="L2043">
        <v>0.41</v>
      </c>
      <c r="M2043" t="s">
        <v>6837</v>
      </c>
      <c r="N2043">
        <v>48.4</v>
      </c>
      <c r="O2043" t="s">
        <v>622</v>
      </c>
      <c r="P2043">
        <v>14.8</v>
      </c>
      <c r="Q2043">
        <v>14.8</v>
      </c>
      <c r="R2043">
        <v>14.8</v>
      </c>
      <c r="S2043">
        <v>13.45</v>
      </c>
      <c r="T2043">
        <v>0</v>
      </c>
      <c r="U2043">
        <v>3.84</v>
      </c>
      <c r="V2043">
        <v>100</v>
      </c>
      <c r="W2043" t="s">
        <v>2548</v>
      </c>
      <c r="X2043">
        <v>14.8</v>
      </c>
      <c r="Y2043">
        <v>2464</v>
      </c>
      <c r="Z2043">
        <v>0</v>
      </c>
      <c r="AA2043">
        <v>1</v>
      </c>
      <c r="AB2043" t="s">
        <v>2099</v>
      </c>
      <c r="AC2043">
        <v>0</v>
      </c>
      <c r="AD2043">
        <v>8.1199999999999992</v>
      </c>
      <c r="AE2043" t="s">
        <v>1893</v>
      </c>
      <c r="AF2043" t="s">
        <v>729</v>
      </c>
      <c r="AG2043" t="s">
        <v>5162</v>
      </c>
      <c r="AH2043" t="s">
        <v>5112</v>
      </c>
      <c r="AI2043">
        <v>33.090000000000003</v>
      </c>
      <c r="AJ2043">
        <v>77.25</v>
      </c>
      <c r="AK2043">
        <v>0.75</v>
      </c>
      <c r="AL2043">
        <v>0.95</v>
      </c>
    </row>
    <row r="2044" spans="1:38" x14ac:dyDescent="0.25">
      <c r="A2044">
        <v>2043</v>
      </c>
      <c r="B2044" t="str">
        <f xml:space="preserve"> "002618"</f>
        <v>002618</v>
      </c>
      <c r="C2044" t="s">
        <v>6838</v>
      </c>
      <c r="D2044">
        <v>11.33</v>
      </c>
      <c r="E2044">
        <v>0.18</v>
      </c>
      <c r="F2044">
        <v>0.02</v>
      </c>
      <c r="G2044" t="s">
        <v>1285</v>
      </c>
      <c r="H2044">
        <v>302</v>
      </c>
      <c r="I2044">
        <v>11.32</v>
      </c>
      <c r="J2044">
        <v>11.33</v>
      </c>
      <c r="K2044">
        <v>0.09</v>
      </c>
      <c r="L2044">
        <v>0.45</v>
      </c>
      <c r="M2044" t="s">
        <v>6839</v>
      </c>
      <c r="N2044">
        <v>267.05</v>
      </c>
      <c r="O2044" t="s">
        <v>380</v>
      </c>
      <c r="P2044">
        <v>11.42</v>
      </c>
      <c r="Q2044">
        <v>11.24</v>
      </c>
      <c r="R2044">
        <v>11.32</v>
      </c>
      <c r="S2044">
        <v>11.31</v>
      </c>
      <c r="T2044">
        <v>1.59</v>
      </c>
      <c r="U2044">
        <v>0.49</v>
      </c>
      <c r="V2044">
        <v>27.53</v>
      </c>
      <c r="W2044">
        <v>737</v>
      </c>
      <c r="X2044">
        <v>11.31</v>
      </c>
      <c r="Y2044" t="s">
        <v>603</v>
      </c>
      <c r="Z2044" t="s">
        <v>5181</v>
      </c>
      <c r="AA2044">
        <v>1.33</v>
      </c>
      <c r="AB2044">
        <v>221</v>
      </c>
      <c r="AC2044">
        <v>337</v>
      </c>
      <c r="AD2044">
        <v>3.7</v>
      </c>
      <c r="AE2044" t="s">
        <v>3785</v>
      </c>
      <c r="AF2044" t="s">
        <v>6799</v>
      </c>
      <c r="AG2044" t="s">
        <v>3785</v>
      </c>
      <c r="AH2044" t="s">
        <v>6799</v>
      </c>
      <c r="AI2044">
        <v>0.27</v>
      </c>
      <c r="AJ2044">
        <v>6.09</v>
      </c>
      <c r="AK2044">
        <v>2.2999999999999998</v>
      </c>
      <c r="AL2044">
        <v>5.07</v>
      </c>
    </row>
    <row r="2045" spans="1:38" x14ac:dyDescent="0.25">
      <c r="A2045">
        <v>2044</v>
      </c>
      <c r="B2045" t="str">
        <f xml:space="preserve"> "603197"</f>
        <v>603197</v>
      </c>
      <c r="C2045" t="s">
        <v>6840</v>
      </c>
      <c r="D2045">
        <v>52.95</v>
      </c>
      <c r="E2045">
        <v>-2.11</v>
      </c>
      <c r="F2045">
        <v>-1.1399999999999999</v>
      </c>
      <c r="G2045" t="s">
        <v>1653</v>
      </c>
      <c r="H2045">
        <v>3</v>
      </c>
      <c r="I2045">
        <v>52.91</v>
      </c>
      <c r="J2045">
        <v>52.94</v>
      </c>
      <c r="K2045">
        <v>-0.09</v>
      </c>
      <c r="L2045">
        <v>6.76</v>
      </c>
      <c r="M2045" t="s">
        <v>1635</v>
      </c>
      <c r="N2045">
        <v>32.9</v>
      </c>
      <c r="O2045" t="s">
        <v>169</v>
      </c>
      <c r="P2045">
        <v>54.18</v>
      </c>
      <c r="Q2045">
        <v>52.9</v>
      </c>
      <c r="R2045">
        <v>54.18</v>
      </c>
      <c r="S2045">
        <v>54.09</v>
      </c>
      <c r="T2045">
        <v>2.37</v>
      </c>
      <c r="U2045">
        <v>1.19</v>
      </c>
      <c r="V2045">
        <v>55.49</v>
      </c>
      <c r="W2045">
        <v>117</v>
      </c>
      <c r="X2045">
        <v>53.36</v>
      </c>
      <c r="Y2045" t="s">
        <v>1821</v>
      </c>
      <c r="Z2045">
        <v>6314</v>
      </c>
      <c r="AA2045">
        <v>2.13</v>
      </c>
      <c r="AB2045">
        <v>21</v>
      </c>
      <c r="AC2045">
        <v>12</v>
      </c>
      <c r="AD2045">
        <v>5.04</v>
      </c>
      <c r="AE2045" t="s">
        <v>2827</v>
      </c>
      <c r="AF2045" t="s">
        <v>5493</v>
      </c>
      <c r="AG2045" t="s">
        <v>6841</v>
      </c>
      <c r="AH2045" t="s">
        <v>1154</v>
      </c>
      <c r="AI2045">
        <v>-3.41</v>
      </c>
      <c r="AJ2045">
        <v>-1.19</v>
      </c>
      <c r="AK2045">
        <v>21.45</v>
      </c>
      <c r="AL2045">
        <v>35.25</v>
      </c>
    </row>
    <row r="2046" spans="1:38" x14ac:dyDescent="0.25">
      <c r="A2046">
        <v>2045</v>
      </c>
      <c r="B2046" t="str">
        <f xml:space="preserve"> "000788"</f>
        <v>000788</v>
      </c>
      <c r="C2046" t="s">
        <v>6842</v>
      </c>
      <c r="D2046">
        <v>10.4</v>
      </c>
      <c r="E2046">
        <v>0.97</v>
      </c>
      <c r="F2046">
        <v>0.1</v>
      </c>
      <c r="G2046" t="s">
        <v>2193</v>
      </c>
      <c r="H2046">
        <v>202</v>
      </c>
      <c r="I2046">
        <v>10.4</v>
      </c>
      <c r="J2046">
        <v>10.41</v>
      </c>
      <c r="K2046">
        <v>0</v>
      </c>
      <c r="L2046">
        <v>0.52</v>
      </c>
      <c r="M2046" t="s">
        <v>6843</v>
      </c>
      <c r="N2046">
        <v>145.71</v>
      </c>
      <c r="O2046" t="s">
        <v>392</v>
      </c>
      <c r="P2046">
        <v>10.41</v>
      </c>
      <c r="Q2046">
        <v>10.25</v>
      </c>
      <c r="R2046">
        <v>10.3</v>
      </c>
      <c r="S2046">
        <v>10.3</v>
      </c>
      <c r="T2046">
        <v>1.55</v>
      </c>
      <c r="U2046">
        <v>0.59</v>
      </c>
      <c r="V2046">
        <v>33.31</v>
      </c>
      <c r="W2046">
        <v>2375</v>
      </c>
      <c r="X2046">
        <v>10.34</v>
      </c>
      <c r="Y2046" t="s">
        <v>2616</v>
      </c>
      <c r="Z2046" t="s">
        <v>1683</v>
      </c>
      <c r="AA2046">
        <v>0.82</v>
      </c>
      <c r="AB2046">
        <v>74</v>
      </c>
      <c r="AC2046">
        <v>704</v>
      </c>
      <c r="AD2046">
        <v>5.32</v>
      </c>
      <c r="AE2046" t="s">
        <v>3235</v>
      </c>
      <c r="AF2046" t="s">
        <v>5493</v>
      </c>
      <c r="AG2046" t="s">
        <v>4885</v>
      </c>
      <c r="AH2046" t="s">
        <v>3411</v>
      </c>
      <c r="AI2046">
        <v>0</v>
      </c>
      <c r="AJ2046">
        <v>3.59</v>
      </c>
      <c r="AK2046">
        <v>2.64</v>
      </c>
      <c r="AL2046">
        <v>4.91</v>
      </c>
    </row>
    <row r="2047" spans="1:38" x14ac:dyDescent="0.25">
      <c r="A2047">
        <v>2046</v>
      </c>
      <c r="B2047" t="str">
        <f xml:space="preserve"> "603308"</f>
        <v>603308</v>
      </c>
      <c r="C2047" t="s">
        <v>6844</v>
      </c>
      <c r="D2047">
        <v>14.28</v>
      </c>
      <c r="E2047">
        <v>1.06</v>
      </c>
      <c r="F2047">
        <v>0.15</v>
      </c>
      <c r="G2047" t="s">
        <v>3273</v>
      </c>
      <c r="H2047">
        <v>15</v>
      </c>
      <c r="I2047">
        <v>14.3</v>
      </c>
      <c r="J2047">
        <v>14.31</v>
      </c>
      <c r="K2047">
        <v>0.14000000000000001</v>
      </c>
      <c r="L2047">
        <v>0.9</v>
      </c>
      <c r="M2047" t="s">
        <v>6845</v>
      </c>
      <c r="N2047">
        <v>55.27</v>
      </c>
      <c r="O2047" t="s">
        <v>2647</v>
      </c>
      <c r="P2047">
        <v>14.3</v>
      </c>
      <c r="Q2047">
        <v>14.05</v>
      </c>
      <c r="R2047">
        <v>14.05</v>
      </c>
      <c r="S2047">
        <v>14.13</v>
      </c>
      <c r="T2047">
        <v>1.77</v>
      </c>
      <c r="U2047">
        <v>0.96</v>
      </c>
      <c r="V2047">
        <v>35.369999999999997</v>
      </c>
      <c r="W2047">
        <v>648</v>
      </c>
      <c r="X2047">
        <v>14.16</v>
      </c>
      <c r="Y2047" t="s">
        <v>3326</v>
      </c>
      <c r="Z2047" t="s">
        <v>1576</v>
      </c>
      <c r="AA2047">
        <v>1.08</v>
      </c>
      <c r="AB2047">
        <v>108</v>
      </c>
      <c r="AC2047">
        <v>91</v>
      </c>
      <c r="AD2047">
        <v>2.21</v>
      </c>
      <c r="AE2047" t="s">
        <v>4078</v>
      </c>
      <c r="AF2047" t="s">
        <v>1631</v>
      </c>
      <c r="AG2047" t="s">
        <v>1000</v>
      </c>
      <c r="AH2047" t="s">
        <v>5291</v>
      </c>
      <c r="AI2047">
        <v>-0.7</v>
      </c>
      <c r="AJ2047">
        <v>1.78</v>
      </c>
      <c r="AK2047">
        <v>2.95</v>
      </c>
      <c r="AL2047">
        <v>5.58</v>
      </c>
    </row>
    <row r="2048" spans="1:38" x14ac:dyDescent="0.25">
      <c r="A2048">
        <v>2047</v>
      </c>
      <c r="B2048" t="str">
        <f xml:space="preserve"> "000521"</f>
        <v>000521</v>
      </c>
      <c r="C2048" t="s">
        <v>6846</v>
      </c>
      <c r="D2048">
        <v>5.92</v>
      </c>
      <c r="E2048">
        <v>-1</v>
      </c>
      <c r="F2048">
        <v>-0.06</v>
      </c>
      <c r="G2048" t="s">
        <v>1006</v>
      </c>
      <c r="H2048">
        <v>2050</v>
      </c>
      <c r="I2048">
        <v>5.91</v>
      </c>
      <c r="J2048">
        <v>5.92</v>
      </c>
      <c r="K2048">
        <v>0</v>
      </c>
      <c r="L2048">
        <v>1.23</v>
      </c>
      <c r="M2048" t="s">
        <v>6847</v>
      </c>
      <c r="N2048">
        <v>33.58</v>
      </c>
      <c r="O2048" t="s">
        <v>215</v>
      </c>
      <c r="P2048">
        <v>5.99</v>
      </c>
      <c r="Q2048">
        <v>5.9</v>
      </c>
      <c r="R2048">
        <v>5.95</v>
      </c>
      <c r="S2048">
        <v>5.98</v>
      </c>
      <c r="T2048">
        <v>1.51</v>
      </c>
      <c r="U2048">
        <v>1.46</v>
      </c>
      <c r="V2048">
        <v>0.71</v>
      </c>
      <c r="W2048">
        <v>54</v>
      </c>
      <c r="X2048">
        <v>5.94</v>
      </c>
      <c r="Y2048" t="s">
        <v>2559</v>
      </c>
      <c r="Z2048" t="s">
        <v>1307</v>
      </c>
      <c r="AA2048">
        <v>0.87</v>
      </c>
      <c r="AB2048">
        <v>515</v>
      </c>
      <c r="AC2048">
        <v>1097</v>
      </c>
      <c r="AD2048">
        <v>1.21</v>
      </c>
      <c r="AE2048" t="s">
        <v>755</v>
      </c>
      <c r="AF2048" t="s">
        <v>1693</v>
      </c>
      <c r="AG2048" t="s">
        <v>4491</v>
      </c>
      <c r="AH2048" t="s">
        <v>1239</v>
      </c>
      <c r="AI2048">
        <v>-1</v>
      </c>
      <c r="AJ2048">
        <v>1.54</v>
      </c>
      <c r="AK2048">
        <v>2.89</v>
      </c>
      <c r="AL2048">
        <v>5.47</v>
      </c>
    </row>
    <row r="2049" spans="1:38" x14ac:dyDescent="0.25">
      <c r="A2049">
        <v>2048</v>
      </c>
      <c r="B2049" t="str">
        <f xml:space="preserve"> "601199"</f>
        <v>601199</v>
      </c>
      <c r="C2049" t="s">
        <v>6848</v>
      </c>
      <c r="D2049">
        <v>6.61</v>
      </c>
      <c r="E2049">
        <v>2.64</v>
      </c>
      <c r="F2049">
        <v>0.17</v>
      </c>
      <c r="G2049" t="s">
        <v>4137</v>
      </c>
      <c r="H2049">
        <v>66</v>
      </c>
      <c r="I2049">
        <v>6.6</v>
      </c>
      <c r="J2049">
        <v>6.61</v>
      </c>
      <c r="K2049">
        <v>0.15</v>
      </c>
      <c r="L2049">
        <v>1.69</v>
      </c>
      <c r="M2049" t="s">
        <v>1718</v>
      </c>
      <c r="N2049">
        <v>20.21</v>
      </c>
      <c r="O2049" t="s">
        <v>2085</v>
      </c>
      <c r="P2049">
        <v>6.63</v>
      </c>
      <c r="Q2049">
        <v>6.43</v>
      </c>
      <c r="R2049">
        <v>6.44</v>
      </c>
      <c r="S2049">
        <v>6.44</v>
      </c>
      <c r="T2049">
        <v>3.11</v>
      </c>
      <c r="U2049">
        <v>4.1399999999999997</v>
      </c>
      <c r="V2049">
        <v>-53.7</v>
      </c>
      <c r="W2049">
        <v>-6761</v>
      </c>
      <c r="X2049">
        <v>6.57</v>
      </c>
      <c r="Y2049" t="s">
        <v>868</v>
      </c>
      <c r="Z2049" t="s">
        <v>541</v>
      </c>
      <c r="AA2049">
        <v>0.46</v>
      </c>
      <c r="AB2049">
        <v>377</v>
      </c>
      <c r="AC2049">
        <v>722</v>
      </c>
      <c r="AD2049">
        <v>2.46</v>
      </c>
      <c r="AE2049" t="s">
        <v>3132</v>
      </c>
      <c r="AF2049" t="s">
        <v>1693</v>
      </c>
      <c r="AG2049" t="s">
        <v>3132</v>
      </c>
      <c r="AH2049" t="s">
        <v>1693</v>
      </c>
      <c r="AI2049">
        <v>2.0099999999999998</v>
      </c>
      <c r="AJ2049">
        <v>3.77</v>
      </c>
      <c r="AK2049">
        <v>2.46</v>
      </c>
      <c r="AL2049">
        <v>3.74</v>
      </c>
    </row>
    <row r="2050" spans="1:38" x14ac:dyDescent="0.25">
      <c r="A2050">
        <v>2049</v>
      </c>
      <c r="B2050" t="str">
        <f xml:space="preserve"> "600824"</f>
        <v>600824</v>
      </c>
      <c r="C2050" t="s">
        <v>6849</v>
      </c>
      <c r="D2050">
        <v>5.86</v>
      </c>
      <c r="E2050">
        <v>0.51</v>
      </c>
      <c r="F2050">
        <v>0.03</v>
      </c>
      <c r="G2050" t="s">
        <v>1819</v>
      </c>
      <c r="H2050">
        <v>3</v>
      </c>
      <c r="I2050">
        <v>5.85</v>
      </c>
      <c r="J2050">
        <v>5.86</v>
      </c>
      <c r="K2050">
        <v>0</v>
      </c>
      <c r="L2050">
        <v>0.38</v>
      </c>
      <c r="M2050" t="s">
        <v>6850</v>
      </c>
      <c r="N2050">
        <v>30.96</v>
      </c>
      <c r="O2050" t="s">
        <v>532</v>
      </c>
      <c r="P2050">
        <v>5.86</v>
      </c>
      <c r="Q2050">
        <v>5.81</v>
      </c>
      <c r="R2050">
        <v>5.81</v>
      </c>
      <c r="S2050">
        <v>5.83</v>
      </c>
      <c r="T2050">
        <v>0.86</v>
      </c>
      <c r="U2050">
        <v>0.87</v>
      </c>
      <c r="V2050">
        <v>-55.55</v>
      </c>
      <c r="W2050">
        <v>-6721</v>
      </c>
      <c r="X2050">
        <v>5.84</v>
      </c>
      <c r="Y2050" t="s">
        <v>3158</v>
      </c>
      <c r="Z2050" t="s">
        <v>468</v>
      </c>
      <c r="AA2050">
        <v>0.87</v>
      </c>
      <c r="AB2050">
        <v>493</v>
      </c>
      <c r="AC2050">
        <v>833</v>
      </c>
      <c r="AD2050">
        <v>3</v>
      </c>
      <c r="AE2050" t="s">
        <v>2066</v>
      </c>
      <c r="AF2050" t="s">
        <v>1693</v>
      </c>
      <c r="AG2050" t="s">
        <v>2066</v>
      </c>
      <c r="AH2050" t="s">
        <v>1693</v>
      </c>
      <c r="AI2050">
        <v>0.17</v>
      </c>
      <c r="AJ2050">
        <v>2.81</v>
      </c>
      <c r="AK2050">
        <v>1.28</v>
      </c>
      <c r="AL2050">
        <v>2.5299999999999998</v>
      </c>
    </row>
    <row r="2051" spans="1:38" x14ac:dyDescent="0.25">
      <c r="A2051">
        <v>2050</v>
      </c>
      <c r="B2051" t="str">
        <f xml:space="preserve"> "603601"</f>
        <v>603601</v>
      </c>
      <c r="C2051" t="s">
        <v>6851</v>
      </c>
      <c r="D2051">
        <v>15.99</v>
      </c>
      <c r="E2051">
        <v>0.31</v>
      </c>
      <c r="F2051">
        <v>0.05</v>
      </c>
      <c r="G2051" t="s">
        <v>2846</v>
      </c>
      <c r="H2051">
        <v>20</v>
      </c>
      <c r="I2051">
        <v>15.99</v>
      </c>
      <c r="J2051">
        <v>16</v>
      </c>
      <c r="K2051">
        <v>0.06</v>
      </c>
      <c r="L2051">
        <v>1.27</v>
      </c>
      <c r="M2051" t="s">
        <v>6852</v>
      </c>
      <c r="N2051">
        <v>69.13</v>
      </c>
      <c r="O2051" t="s">
        <v>1058</v>
      </c>
      <c r="P2051">
        <v>16.18</v>
      </c>
      <c r="Q2051">
        <v>15.85</v>
      </c>
      <c r="R2051">
        <v>15.99</v>
      </c>
      <c r="S2051">
        <v>15.94</v>
      </c>
      <c r="T2051">
        <v>2.0699999999999998</v>
      </c>
      <c r="U2051">
        <v>0.98</v>
      </c>
      <c r="V2051">
        <v>11.73</v>
      </c>
      <c r="W2051">
        <v>202</v>
      </c>
      <c r="X2051">
        <v>16.05</v>
      </c>
      <c r="Y2051" t="s">
        <v>2616</v>
      </c>
      <c r="Z2051" t="s">
        <v>4112</v>
      </c>
      <c r="AA2051">
        <v>0.94</v>
      </c>
      <c r="AB2051">
        <v>224</v>
      </c>
      <c r="AC2051">
        <v>457</v>
      </c>
      <c r="AD2051">
        <v>5.47</v>
      </c>
      <c r="AE2051" t="s">
        <v>787</v>
      </c>
      <c r="AF2051" t="s">
        <v>4732</v>
      </c>
      <c r="AG2051" t="s">
        <v>4728</v>
      </c>
      <c r="AH2051" t="s">
        <v>4131</v>
      </c>
      <c r="AI2051">
        <v>4.3099999999999996</v>
      </c>
      <c r="AJ2051">
        <v>5.89</v>
      </c>
      <c r="AK2051">
        <v>5.58</v>
      </c>
      <c r="AL2051">
        <v>7.7</v>
      </c>
    </row>
    <row r="2052" spans="1:38" x14ac:dyDescent="0.25">
      <c r="A2052">
        <v>2051</v>
      </c>
      <c r="B2052" t="str">
        <f xml:space="preserve"> "002876"</f>
        <v>002876</v>
      </c>
      <c r="C2052" t="s">
        <v>6853</v>
      </c>
      <c r="D2052">
        <v>77.16</v>
      </c>
      <c r="E2052">
        <v>-0.25</v>
      </c>
      <c r="F2052">
        <v>-0.19</v>
      </c>
      <c r="G2052">
        <v>8010</v>
      </c>
      <c r="H2052">
        <v>23</v>
      </c>
      <c r="I2052">
        <v>77.16</v>
      </c>
      <c r="J2052">
        <v>77.45</v>
      </c>
      <c r="K2052">
        <v>0.01</v>
      </c>
      <c r="L2052">
        <v>4.01</v>
      </c>
      <c r="M2052" t="s">
        <v>6854</v>
      </c>
      <c r="N2052">
        <v>100.8</v>
      </c>
      <c r="O2052" t="s">
        <v>553</v>
      </c>
      <c r="P2052">
        <v>78.98</v>
      </c>
      <c r="Q2052">
        <v>76.12</v>
      </c>
      <c r="R2052">
        <v>77.37</v>
      </c>
      <c r="S2052">
        <v>77.349999999999994</v>
      </c>
      <c r="T2052">
        <v>3.7</v>
      </c>
      <c r="U2052">
        <v>0.8</v>
      </c>
      <c r="V2052">
        <v>13.64</v>
      </c>
      <c r="W2052">
        <v>18</v>
      </c>
      <c r="X2052">
        <v>77.760000000000005</v>
      </c>
      <c r="Y2052">
        <v>3856</v>
      </c>
      <c r="Z2052">
        <v>4154</v>
      </c>
      <c r="AA2052">
        <v>0.93</v>
      </c>
      <c r="AB2052">
        <v>13</v>
      </c>
      <c r="AC2052">
        <v>12</v>
      </c>
      <c r="AD2052">
        <v>7.47</v>
      </c>
      <c r="AE2052" t="s">
        <v>5802</v>
      </c>
      <c r="AF2052" t="s">
        <v>4732</v>
      </c>
      <c r="AG2052" t="s">
        <v>6855</v>
      </c>
      <c r="AH2052" t="s">
        <v>2422</v>
      </c>
      <c r="AI2052">
        <v>0.73</v>
      </c>
      <c r="AJ2052">
        <v>5.01</v>
      </c>
      <c r="AK2052">
        <v>14.95</v>
      </c>
      <c r="AL2052">
        <v>29.23</v>
      </c>
    </row>
    <row r="2053" spans="1:38" x14ac:dyDescent="0.25">
      <c r="A2053">
        <v>2052</v>
      </c>
      <c r="B2053" t="str">
        <f xml:space="preserve"> "002879"</f>
        <v>002879</v>
      </c>
      <c r="C2053" t="s">
        <v>6856</v>
      </c>
      <c r="D2053">
        <v>44.75</v>
      </c>
      <c r="E2053">
        <v>9.01</v>
      </c>
      <c r="F2053">
        <v>3.7</v>
      </c>
      <c r="G2053" t="s">
        <v>2220</v>
      </c>
      <c r="H2053">
        <v>805</v>
      </c>
      <c r="I2053">
        <v>44.75</v>
      </c>
      <c r="J2053">
        <v>44.77</v>
      </c>
      <c r="K2053">
        <v>-0.28999999999999998</v>
      </c>
      <c r="L2053">
        <v>14.47</v>
      </c>
      <c r="M2053" t="s">
        <v>2907</v>
      </c>
      <c r="N2053">
        <v>45.54</v>
      </c>
      <c r="O2053" t="s">
        <v>680</v>
      </c>
      <c r="P2053">
        <v>45</v>
      </c>
      <c r="Q2053">
        <v>40.81</v>
      </c>
      <c r="R2053">
        <v>40.81</v>
      </c>
      <c r="S2053">
        <v>41.05</v>
      </c>
      <c r="T2053">
        <v>10.210000000000001</v>
      </c>
      <c r="U2053">
        <v>1.71</v>
      </c>
      <c r="V2053">
        <v>89.74</v>
      </c>
      <c r="W2053">
        <v>1347</v>
      </c>
      <c r="X2053">
        <v>43.79</v>
      </c>
      <c r="Y2053" t="s">
        <v>3025</v>
      </c>
      <c r="Z2053" t="s">
        <v>1043</v>
      </c>
      <c r="AA2053">
        <v>0.81</v>
      </c>
      <c r="AB2053">
        <v>415</v>
      </c>
      <c r="AC2053">
        <v>28</v>
      </c>
      <c r="AD2053">
        <v>3.22</v>
      </c>
      <c r="AE2053" t="s">
        <v>746</v>
      </c>
      <c r="AF2053" t="s">
        <v>4732</v>
      </c>
      <c r="AG2053" t="s">
        <v>4537</v>
      </c>
      <c r="AH2053" t="s">
        <v>2760</v>
      </c>
      <c r="AI2053">
        <v>11.99</v>
      </c>
      <c r="AJ2053">
        <v>14.51</v>
      </c>
      <c r="AK2053">
        <v>31.45</v>
      </c>
      <c r="AL2053">
        <v>56.86</v>
      </c>
    </row>
    <row r="2054" spans="1:38" x14ac:dyDescent="0.25">
      <c r="A2054">
        <v>2053</v>
      </c>
      <c r="B2054" t="str">
        <f xml:space="preserve"> "300021"</f>
        <v>300021</v>
      </c>
      <c r="C2054" t="s">
        <v>6857</v>
      </c>
      <c r="D2054">
        <v>7.73</v>
      </c>
      <c r="E2054">
        <v>3.62</v>
      </c>
      <c r="F2054">
        <v>0.27</v>
      </c>
      <c r="G2054" t="s">
        <v>245</v>
      </c>
      <c r="H2054">
        <v>3028</v>
      </c>
      <c r="I2054">
        <v>7.72</v>
      </c>
      <c r="J2054">
        <v>7.73</v>
      </c>
      <c r="K2054">
        <v>0</v>
      </c>
      <c r="L2054">
        <v>2.7</v>
      </c>
      <c r="M2054" t="s">
        <v>1985</v>
      </c>
      <c r="N2054">
        <v>106.41</v>
      </c>
      <c r="O2054" t="s">
        <v>859</v>
      </c>
      <c r="P2054">
        <v>7.84</v>
      </c>
      <c r="Q2054">
        <v>7.42</v>
      </c>
      <c r="R2054">
        <v>7.45</v>
      </c>
      <c r="S2054">
        <v>7.46</v>
      </c>
      <c r="T2054">
        <v>5.63</v>
      </c>
      <c r="U2054">
        <v>1.87</v>
      </c>
      <c r="V2054">
        <v>-28.01</v>
      </c>
      <c r="W2054">
        <v>-2821</v>
      </c>
      <c r="X2054">
        <v>7.67</v>
      </c>
      <c r="Y2054" t="s">
        <v>1530</v>
      </c>
      <c r="Z2054" t="s">
        <v>1242</v>
      </c>
      <c r="AA2054">
        <v>0.53</v>
      </c>
      <c r="AB2054">
        <v>420</v>
      </c>
      <c r="AC2054">
        <v>73</v>
      </c>
      <c r="AD2054">
        <v>4.63</v>
      </c>
      <c r="AE2054" t="s">
        <v>3358</v>
      </c>
      <c r="AF2054" t="s">
        <v>5229</v>
      </c>
      <c r="AG2054" t="s">
        <v>1603</v>
      </c>
      <c r="AH2054" t="s">
        <v>2919</v>
      </c>
      <c r="AI2054">
        <v>4.04</v>
      </c>
      <c r="AJ2054">
        <v>9.0299999999999994</v>
      </c>
      <c r="AK2054">
        <v>6.16</v>
      </c>
      <c r="AL2054">
        <v>9.92</v>
      </c>
    </row>
    <row r="2055" spans="1:38" x14ac:dyDescent="0.25">
      <c r="A2055">
        <v>2054</v>
      </c>
      <c r="B2055" t="str">
        <f xml:space="preserve"> "300518"</f>
        <v>300518</v>
      </c>
      <c r="C2055" t="s">
        <v>6858</v>
      </c>
      <c r="D2055">
        <v>66.010000000000005</v>
      </c>
      <c r="E2055">
        <v>-0.14000000000000001</v>
      </c>
      <c r="F2055">
        <v>-0.09</v>
      </c>
      <c r="G2055" t="s">
        <v>2313</v>
      </c>
      <c r="H2055">
        <v>177</v>
      </c>
      <c r="I2055">
        <v>66.010000000000005</v>
      </c>
      <c r="J2055">
        <v>66.03</v>
      </c>
      <c r="K2055">
        <v>-0.03</v>
      </c>
      <c r="L2055">
        <v>3.36</v>
      </c>
      <c r="M2055" t="s">
        <v>1718</v>
      </c>
      <c r="N2055">
        <v>69.06</v>
      </c>
      <c r="O2055" t="s">
        <v>893</v>
      </c>
      <c r="P2055">
        <v>67.67</v>
      </c>
      <c r="Q2055">
        <v>65.099999999999994</v>
      </c>
      <c r="R2055">
        <v>65.650000000000006</v>
      </c>
      <c r="S2055">
        <v>66.099999999999994</v>
      </c>
      <c r="T2055">
        <v>3.89</v>
      </c>
      <c r="U2055">
        <v>1.3</v>
      </c>
      <c r="V2055">
        <v>-43.2</v>
      </c>
      <c r="W2055">
        <v>-108</v>
      </c>
      <c r="X2055">
        <v>66.17</v>
      </c>
      <c r="Y2055">
        <v>8984</v>
      </c>
      <c r="Z2055">
        <v>6739</v>
      </c>
      <c r="AA2055">
        <v>1.33</v>
      </c>
      <c r="AB2055">
        <v>35</v>
      </c>
      <c r="AC2055">
        <v>20</v>
      </c>
      <c r="AD2055">
        <v>5.72</v>
      </c>
      <c r="AE2055" t="s">
        <v>3722</v>
      </c>
      <c r="AF2055" t="s">
        <v>5229</v>
      </c>
      <c r="AG2055" t="s">
        <v>6279</v>
      </c>
      <c r="AH2055" t="s">
        <v>3667</v>
      </c>
      <c r="AI2055">
        <v>-0.68</v>
      </c>
      <c r="AJ2055">
        <v>6.3</v>
      </c>
      <c r="AK2055">
        <v>10.5</v>
      </c>
      <c r="AL2055">
        <v>16.28</v>
      </c>
    </row>
    <row r="2056" spans="1:38" x14ac:dyDescent="0.25">
      <c r="A2056">
        <v>2055</v>
      </c>
      <c r="B2056" t="str">
        <f xml:space="preserve"> "002263"</f>
        <v>002263</v>
      </c>
      <c r="C2056" t="s">
        <v>6859</v>
      </c>
      <c r="D2056" t="s">
        <v>616</v>
      </c>
      <c r="E2056" t="s">
        <v>616</v>
      </c>
      <c r="F2056" t="s">
        <v>616</v>
      </c>
      <c r="G2056" t="s">
        <v>616</v>
      </c>
      <c r="H2056" t="s">
        <v>616</v>
      </c>
      <c r="I2056" t="s">
        <v>616</v>
      </c>
      <c r="J2056" t="s">
        <v>616</v>
      </c>
      <c r="K2056" t="s">
        <v>616</v>
      </c>
      <c r="L2056" t="s">
        <v>616</v>
      </c>
      <c r="M2056" t="s">
        <v>616</v>
      </c>
      <c r="N2056">
        <v>-1140.1400000000001</v>
      </c>
      <c r="O2056" t="s">
        <v>3873</v>
      </c>
      <c r="P2056" t="s">
        <v>616</v>
      </c>
      <c r="Q2056" t="s">
        <v>616</v>
      </c>
      <c r="R2056" t="s">
        <v>616</v>
      </c>
      <c r="S2056">
        <v>3.28</v>
      </c>
      <c r="T2056" t="s">
        <v>616</v>
      </c>
      <c r="U2056" t="s">
        <v>616</v>
      </c>
      <c r="V2056" t="s">
        <v>616</v>
      </c>
      <c r="W2056" t="s">
        <v>616</v>
      </c>
      <c r="X2056" t="s">
        <v>616</v>
      </c>
      <c r="Y2056" t="s">
        <v>616</v>
      </c>
      <c r="Z2056" t="s">
        <v>616</v>
      </c>
      <c r="AA2056" t="s">
        <v>616</v>
      </c>
      <c r="AB2056" t="s">
        <v>616</v>
      </c>
      <c r="AC2056" t="s">
        <v>616</v>
      </c>
      <c r="AD2056">
        <v>2.25</v>
      </c>
      <c r="AE2056" t="s">
        <v>4029</v>
      </c>
      <c r="AF2056" t="s">
        <v>5229</v>
      </c>
      <c r="AG2056" t="s">
        <v>4029</v>
      </c>
      <c r="AH2056" t="s">
        <v>5229</v>
      </c>
      <c r="AI2056">
        <v>0</v>
      </c>
      <c r="AJ2056">
        <v>0</v>
      </c>
      <c r="AK2056">
        <v>0</v>
      </c>
      <c r="AL2056">
        <v>0</v>
      </c>
    </row>
    <row r="2057" spans="1:38" x14ac:dyDescent="0.25">
      <c r="A2057">
        <v>2056</v>
      </c>
      <c r="B2057" t="str">
        <f xml:space="preserve"> "300436"</f>
        <v>300436</v>
      </c>
      <c r="C2057" t="s">
        <v>6860</v>
      </c>
      <c r="D2057">
        <v>43.41</v>
      </c>
      <c r="E2057">
        <v>0.18</v>
      </c>
      <c r="F2057">
        <v>0.08</v>
      </c>
      <c r="G2057" t="s">
        <v>3639</v>
      </c>
      <c r="H2057">
        <v>371</v>
      </c>
      <c r="I2057">
        <v>43.41</v>
      </c>
      <c r="J2057">
        <v>43.42</v>
      </c>
      <c r="K2057">
        <v>-0.23</v>
      </c>
      <c r="L2057">
        <v>7.99</v>
      </c>
      <c r="M2057" t="s">
        <v>4935</v>
      </c>
      <c r="N2057">
        <v>112.97</v>
      </c>
      <c r="O2057" t="s">
        <v>392</v>
      </c>
      <c r="P2057">
        <v>44.98</v>
      </c>
      <c r="Q2057">
        <v>42.5</v>
      </c>
      <c r="R2057">
        <v>43.3</v>
      </c>
      <c r="S2057">
        <v>43.33</v>
      </c>
      <c r="T2057">
        <v>5.72</v>
      </c>
      <c r="U2057">
        <v>1.36</v>
      </c>
      <c r="V2057">
        <v>81.41</v>
      </c>
      <c r="W2057">
        <v>394</v>
      </c>
      <c r="X2057">
        <v>43.93</v>
      </c>
      <c r="Y2057" t="s">
        <v>3579</v>
      </c>
      <c r="Z2057" t="s">
        <v>3230</v>
      </c>
      <c r="AA2057">
        <v>0.93</v>
      </c>
      <c r="AB2057">
        <v>35</v>
      </c>
      <c r="AC2057">
        <v>13</v>
      </c>
      <c r="AD2057">
        <v>11.21</v>
      </c>
      <c r="AE2057" t="s">
        <v>223</v>
      </c>
      <c r="AF2057" t="s">
        <v>5229</v>
      </c>
      <c r="AG2057" t="s">
        <v>4473</v>
      </c>
      <c r="AH2057" t="s">
        <v>1700</v>
      </c>
      <c r="AI2057">
        <v>5.9</v>
      </c>
      <c r="AJ2057">
        <v>6.21</v>
      </c>
      <c r="AK2057">
        <v>21.66</v>
      </c>
      <c r="AL2057">
        <v>37.31</v>
      </c>
    </row>
    <row r="2058" spans="1:38" x14ac:dyDescent="0.25">
      <c r="A2058">
        <v>2057</v>
      </c>
      <c r="B2058" t="str">
        <f xml:space="preserve"> "603639"</f>
        <v>603639</v>
      </c>
      <c r="C2058" t="s">
        <v>6861</v>
      </c>
      <c r="D2058">
        <v>51.31</v>
      </c>
      <c r="E2058">
        <v>1</v>
      </c>
      <c r="F2058">
        <v>0.51</v>
      </c>
      <c r="G2058" t="s">
        <v>2370</v>
      </c>
      <c r="H2058">
        <v>22</v>
      </c>
      <c r="I2058">
        <v>51.32</v>
      </c>
      <c r="J2058">
        <v>51.34</v>
      </c>
      <c r="K2058">
        <v>0.08</v>
      </c>
      <c r="L2058">
        <v>4.28</v>
      </c>
      <c r="M2058" t="s">
        <v>6862</v>
      </c>
      <c r="N2058">
        <v>20.79</v>
      </c>
      <c r="O2058" t="s">
        <v>667</v>
      </c>
      <c r="P2058">
        <v>51.38</v>
      </c>
      <c r="Q2058">
        <v>50.56</v>
      </c>
      <c r="R2058">
        <v>50.64</v>
      </c>
      <c r="S2058">
        <v>50.8</v>
      </c>
      <c r="T2058">
        <v>1.61</v>
      </c>
      <c r="U2058">
        <v>1.42</v>
      </c>
      <c r="V2058">
        <v>-20.170000000000002</v>
      </c>
      <c r="W2058">
        <v>-63</v>
      </c>
      <c r="X2058">
        <v>50.98</v>
      </c>
      <c r="Y2058">
        <v>6543</v>
      </c>
      <c r="Z2058">
        <v>6286</v>
      </c>
      <c r="AA2058">
        <v>1.04</v>
      </c>
      <c r="AB2058">
        <v>86</v>
      </c>
      <c r="AC2058">
        <v>21</v>
      </c>
      <c r="AD2058">
        <v>4.17</v>
      </c>
      <c r="AE2058" t="s">
        <v>918</v>
      </c>
      <c r="AF2058" t="s">
        <v>5229</v>
      </c>
      <c r="AG2058" t="s">
        <v>3067</v>
      </c>
      <c r="AH2058" t="s">
        <v>2422</v>
      </c>
      <c r="AI2058">
        <v>-0.5</v>
      </c>
      <c r="AJ2058">
        <v>0.83</v>
      </c>
      <c r="AK2058">
        <v>10.08</v>
      </c>
      <c r="AL2058">
        <v>19.29</v>
      </c>
    </row>
    <row r="2059" spans="1:38" x14ac:dyDescent="0.25">
      <c r="A2059">
        <v>2058</v>
      </c>
      <c r="B2059" t="str">
        <f xml:space="preserve"> "002523"</f>
        <v>002523</v>
      </c>
      <c r="C2059" t="s">
        <v>6863</v>
      </c>
      <c r="D2059">
        <v>6.08</v>
      </c>
      <c r="E2059">
        <v>0.83</v>
      </c>
      <c r="F2059">
        <v>0.05</v>
      </c>
      <c r="G2059" t="s">
        <v>1705</v>
      </c>
      <c r="H2059">
        <v>1169</v>
      </c>
      <c r="I2059">
        <v>6.08</v>
      </c>
      <c r="J2059">
        <v>6.09</v>
      </c>
      <c r="K2059">
        <v>0</v>
      </c>
      <c r="L2059">
        <v>0.33</v>
      </c>
      <c r="M2059" t="s">
        <v>6864</v>
      </c>
      <c r="N2059">
        <v>73.22</v>
      </c>
      <c r="O2059" t="s">
        <v>648</v>
      </c>
      <c r="P2059">
        <v>6.08</v>
      </c>
      <c r="Q2059">
        <v>6.03</v>
      </c>
      <c r="R2059">
        <v>6.03</v>
      </c>
      <c r="S2059">
        <v>6.03</v>
      </c>
      <c r="T2059">
        <v>0.83</v>
      </c>
      <c r="U2059">
        <v>0.45</v>
      </c>
      <c r="V2059">
        <v>-8.67</v>
      </c>
      <c r="W2059">
        <v>-1187</v>
      </c>
      <c r="X2059">
        <v>6.06</v>
      </c>
      <c r="Y2059" t="s">
        <v>5181</v>
      </c>
      <c r="Z2059" t="s">
        <v>3590</v>
      </c>
      <c r="AA2059">
        <v>0.64</v>
      </c>
      <c r="AB2059">
        <v>1145</v>
      </c>
      <c r="AC2059">
        <v>983</v>
      </c>
      <c r="AD2059">
        <v>3.3</v>
      </c>
      <c r="AE2059" t="s">
        <v>262</v>
      </c>
      <c r="AF2059" t="s">
        <v>1423</v>
      </c>
      <c r="AG2059" t="s">
        <v>2095</v>
      </c>
      <c r="AH2059" t="s">
        <v>537</v>
      </c>
      <c r="AI2059">
        <v>-0.49</v>
      </c>
      <c r="AJ2059">
        <v>-0.49</v>
      </c>
      <c r="AK2059">
        <v>1.44</v>
      </c>
      <c r="AL2059">
        <v>3.97</v>
      </c>
    </row>
    <row r="2060" spans="1:38" x14ac:dyDescent="0.25">
      <c r="A2060">
        <v>2059</v>
      </c>
      <c r="B2060" t="str">
        <f xml:space="preserve"> "600888"</f>
        <v>600888</v>
      </c>
      <c r="C2060" t="s">
        <v>6865</v>
      </c>
      <c r="D2060">
        <v>7.38</v>
      </c>
      <c r="E2060">
        <v>0.27</v>
      </c>
      <c r="F2060">
        <v>0.02</v>
      </c>
      <c r="G2060" t="s">
        <v>4607</v>
      </c>
      <c r="H2060">
        <v>90</v>
      </c>
      <c r="I2060">
        <v>7.37</v>
      </c>
      <c r="J2060">
        <v>7.38</v>
      </c>
      <c r="K2060">
        <v>0</v>
      </c>
      <c r="L2060">
        <v>0.83</v>
      </c>
      <c r="M2060" t="s">
        <v>6866</v>
      </c>
      <c r="N2060">
        <v>42.73</v>
      </c>
      <c r="O2060" t="s">
        <v>449</v>
      </c>
      <c r="P2060">
        <v>7.39</v>
      </c>
      <c r="Q2060">
        <v>7.31</v>
      </c>
      <c r="R2060">
        <v>7.38</v>
      </c>
      <c r="S2060">
        <v>7.36</v>
      </c>
      <c r="T2060">
        <v>1.0900000000000001</v>
      </c>
      <c r="U2060">
        <v>0.6</v>
      </c>
      <c r="V2060">
        <v>17.78</v>
      </c>
      <c r="W2060">
        <v>1443</v>
      </c>
      <c r="X2060">
        <v>7.36</v>
      </c>
      <c r="Y2060" t="s">
        <v>2658</v>
      </c>
      <c r="Z2060" t="s">
        <v>1954</v>
      </c>
      <c r="AA2060">
        <v>1.22</v>
      </c>
      <c r="AB2060">
        <v>1007</v>
      </c>
      <c r="AC2060">
        <v>10</v>
      </c>
      <c r="AD2060">
        <v>1.86</v>
      </c>
      <c r="AE2060" t="s">
        <v>6867</v>
      </c>
      <c r="AF2060" t="s">
        <v>1423</v>
      </c>
      <c r="AG2060" t="s">
        <v>6867</v>
      </c>
      <c r="AH2060" t="s">
        <v>1423</v>
      </c>
      <c r="AI2060">
        <v>-1.99</v>
      </c>
      <c r="AJ2060">
        <v>-1.07</v>
      </c>
      <c r="AK2060">
        <v>3.83</v>
      </c>
      <c r="AL2060">
        <v>7.75</v>
      </c>
    </row>
    <row r="2061" spans="1:38" x14ac:dyDescent="0.25">
      <c r="A2061">
        <v>2060</v>
      </c>
      <c r="B2061" t="str">
        <f xml:space="preserve"> "000708"</f>
        <v>000708</v>
      </c>
      <c r="C2061" t="s">
        <v>6868</v>
      </c>
      <c r="D2061">
        <v>13.68</v>
      </c>
      <c r="E2061">
        <v>-0.44</v>
      </c>
      <c r="F2061">
        <v>-0.06</v>
      </c>
      <c r="G2061" t="s">
        <v>5757</v>
      </c>
      <c r="H2061">
        <v>783</v>
      </c>
      <c r="I2061">
        <v>13.67</v>
      </c>
      <c r="J2061">
        <v>13.68</v>
      </c>
      <c r="K2061">
        <v>7.0000000000000007E-2</v>
      </c>
      <c r="L2061">
        <v>1.25</v>
      </c>
      <c r="M2061" t="s">
        <v>6869</v>
      </c>
      <c r="N2061">
        <v>16.239999999999998</v>
      </c>
      <c r="O2061" t="s">
        <v>416</v>
      </c>
      <c r="P2061">
        <v>13.8</v>
      </c>
      <c r="Q2061">
        <v>13.56</v>
      </c>
      <c r="R2061">
        <v>13.78</v>
      </c>
      <c r="S2061">
        <v>13.74</v>
      </c>
      <c r="T2061">
        <v>1.75</v>
      </c>
      <c r="U2061">
        <v>0.83</v>
      </c>
      <c r="V2061">
        <v>-34.770000000000003</v>
      </c>
      <c r="W2061">
        <v>-595</v>
      </c>
      <c r="X2061">
        <v>13.65</v>
      </c>
      <c r="Y2061" t="s">
        <v>2621</v>
      </c>
      <c r="Z2061" t="s">
        <v>1416</v>
      </c>
      <c r="AA2061">
        <v>1.57</v>
      </c>
      <c r="AB2061">
        <v>10</v>
      </c>
      <c r="AC2061">
        <v>143</v>
      </c>
      <c r="AD2061">
        <v>1.61</v>
      </c>
      <c r="AE2061" t="s">
        <v>1676</v>
      </c>
      <c r="AF2061" t="s">
        <v>1423</v>
      </c>
      <c r="AG2061" t="s">
        <v>1676</v>
      </c>
      <c r="AH2061" t="s">
        <v>1423</v>
      </c>
      <c r="AI2061">
        <v>0.28999999999999998</v>
      </c>
      <c r="AJ2061">
        <v>0</v>
      </c>
      <c r="AK2061">
        <v>3.89</v>
      </c>
      <c r="AL2061">
        <v>8.8000000000000007</v>
      </c>
    </row>
    <row r="2062" spans="1:38" x14ac:dyDescent="0.25">
      <c r="A2062">
        <v>2061</v>
      </c>
      <c r="B2062" t="str">
        <f xml:space="preserve"> "600488"</f>
        <v>600488</v>
      </c>
      <c r="C2062" t="s">
        <v>6870</v>
      </c>
      <c r="D2062">
        <v>5.63</v>
      </c>
      <c r="E2062">
        <v>1.62</v>
      </c>
      <c r="F2062">
        <v>0.09</v>
      </c>
      <c r="G2062" t="s">
        <v>1699</v>
      </c>
      <c r="H2062">
        <v>15</v>
      </c>
      <c r="I2062">
        <v>5.62</v>
      </c>
      <c r="J2062">
        <v>5.63</v>
      </c>
      <c r="K2062">
        <v>0.18</v>
      </c>
      <c r="L2062">
        <v>0.56000000000000005</v>
      </c>
      <c r="M2062" t="s">
        <v>6871</v>
      </c>
      <c r="N2062">
        <v>45.36</v>
      </c>
      <c r="O2062" t="s">
        <v>392</v>
      </c>
      <c r="P2062">
        <v>5.63</v>
      </c>
      <c r="Q2062">
        <v>5.51</v>
      </c>
      <c r="R2062">
        <v>5.51</v>
      </c>
      <c r="S2062">
        <v>5.54</v>
      </c>
      <c r="T2062">
        <v>2.17</v>
      </c>
      <c r="U2062">
        <v>1.1200000000000001</v>
      </c>
      <c r="V2062">
        <v>-33.83</v>
      </c>
      <c r="W2062">
        <v>-3043</v>
      </c>
      <c r="X2062">
        <v>5.6</v>
      </c>
      <c r="Y2062" t="s">
        <v>4237</v>
      </c>
      <c r="Z2062" t="s">
        <v>3180</v>
      </c>
      <c r="AA2062">
        <v>0.4</v>
      </c>
      <c r="AB2062">
        <v>291</v>
      </c>
      <c r="AC2062">
        <v>1361</v>
      </c>
      <c r="AD2062">
        <v>2.31</v>
      </c>
      <c r="AE2062" t="s">
        <v>888</v>
      </c>
      <c r="AF2062" t="s">
        <v>1423</v>
      </c>
      <c r="AG2062" t="s">
        <v>5226</v>
      </c>
      <c r="AH2062" t="s">
        <v>5969</v>
      </c>
      <c r="AI2062">
        <v>0.72</v>
      </c>
      <c r="AJ2062">
        <v>3.87</v>
      </c>
      <c r="AK2062">
        <v>1.49</v>
      </c>
      <c r="AL2062">
        <v>3.06</v>
      </c>
    </row>
    <row r="2063" spans="1:38" x14ac:dyDescent="0.25">
      <c r="A2063">
        <v>2062</v>
      </c>
      <c r="B2063" t="str">
        <f xml:space="preserve"> "300306"</f>
        <v>300306</v>
      </c>
      <c r="C2063" t="s">
        <v>6872</v>
      </c>
      <c r="D2063">
        <v>21.36</v>
      </c>
      <c r="E2063">
        <v>1.23</v>
      </c>
      <c r="F2063">
        <v>0.26</v>
      </c>
      <c r="G2063" t="s">
        <v>1328</v>
      </c>
      <c r="H2063">
        <v>822</v>
      </c>
      <c r="I2063">
        <v>21.36</v>
      </c>
      <c r="J2063">
        <v>21.37</v>
      </c>
      <c r="K2063">
        <v>0.09</v>
      </c>
      <c r="L2063">
        <v>4.78</v>
      </c>
      <c r="M2063" t="s">
        <v>2442</v>
      </c>
      <c r="N2063">
        <v>45.06</v>
      </c>
      <c r="O2063" t="s">
        <v>1372</v>
      </c>
      <c r="P2063">
        <v>21.47</v>
      </c>
      <c r="Q2063">
        <v>20.61</v>
      </c>
      <c r="R2063">
        <v>20.61</v>
      </c>
      <c r="S2063">
        <v>21.1</v>
      </c>
      <c r="T2063">
        <v>4.08</v>
      </c>
      <c r="U2063">
        <v>0.98</v>
      </c>
      <c r="V2063">
        <v>27.97</v>
      </c>
      <c r="W2063">
        <v>226</v>
      </c>
      <c r="X2063">
        <v>20.96</v>
      </c>
      <c r="Y2063" t="s">
        <v>1111</v>
      </c>
      <c r="Z2063" t="s">
        <v>2022</v>
      </c>
      <c r="AA2063">
        <v>1.24</v>
      </c>
      <c r="AB2063">
        <v>37</v>
      </c>
      <c r="AC2063">
        <v>52</v>
      </c>
      <c r="AD2063">
        <v>3.23</v>
      </c>
      <c r="AE2063" t="s">
        <v>1622</v>
      </c>
      <c r="AF2063" t="s">
        <v>3505</v>
      </c>
      <c r="AG2063" t="s">
        <v>2442</v>
      </c>
      <c r="AH2063" t="s">
        <v>877</v>
      </c>
      <c r="AI2063">
        <v>2.5</v>
      </c>
      <c r="AJ2063">
        <v>7.66</v>
      </c>
      <c r="AK2063">
        <v>18.579999999999998</v>
      </c>
      <c r="AL2063">
        <v>29.26</v>
      </c>
    </row>
    <row r="2064" spans="1:38" x14ac:dyDescent="0.25">
      <c r="A2064">
        <v>2063</v>
      </c>
      <c r="B2064" t="str">
        <f xml:space="preserve"> "603896"</f>
        <v>603896</v>
      </c>
      <c r="C2064" t="s">
        <v>6873</v>
      </c>
      <c r="D2064">
        <v>43.88</v>
      </c>
      <c r="E2064">
        <v>0.46</v>
      </c>
      <c r="F2064">
        <v>0.2</v>
      </c>
      <c r="G2064" t="s">
        <v>1765</v>
      </c>
      <c r="H2064">
        <v>2</v>
      </c>
      <c r="I2064">
        <v>43.9</v>
      </c>
      <c r="J2064">
        <v>43.93</v>
      </c>
      <c r="K2064">
        <v>7.0000000000000007E-2</v>
      </c>
      <c r="L2064">
        <v>24.29</v>
      </c>
      <c r="M2064" t="s">
        <v>5978</v>
      </c>
      <c r="N2064">
        <v>74.89</v>
      </c>
      <c r="O2064" t="s">
        <v>392</v>
      </c>
      <c r="P2064">
        <v>45.55</v>
      </c>
      <c r="Q2064">
        <v>42.7</v>
      </c>
      <c r="R2064">
        <v>44.9</v>
      </c>
      <c r="S2064">
        <v>43.68</v>
      </c>
      <c r="T2064">
        <v>6.52</v>
      </c>
      <c r="U2064">
        <v>1.24</v>
      </c>
      <c r="V2064">
        <v>53.93</v>
      </c>
      <c r="W2064">
        <v>103</v>
      </c>
      <c r="X2064">
        <v>44.3</v>
      </c>
      <c r="Y2064" t="s">
        <v>753</v>
      </c>
      <c r="Z2064" t="s">
        <v>2432</v>
      </c>
      <c r="AA2064">
        <v>1</v>
      </c>
      <c r="AB2064">
        <v>1</v>
      </c>
      <c r="AC2064">
        <v>13</v>
      </c>
      <c r="AD2064">
        <v>7.48</v>
      </c>
      <c r="AE2064" t="s">
        <v>3110</v>
      </c>
      <c r="AF2064" t="s">
        <v>4348</v>
      </c>
      <c r="AG2064" t="s">
        <v>6874</v>
      </c>
      <c r="AH2064" t="s">
        <v>122</v>
      </c>
      <c r="AI2064">
        <v>7.76</v>
      </c>
      <c r="AJ2064">
        <v>24.41</v>
      </c>
      <c r="AK2064">
        <v>65.67</v>
      </c>
      <c r="AL2064">
        <v>122.51</v>
      </c>
    </row>
    <row r="2065" spans="1:38" x14ac:dyDescent="0.25">
      <c r="A2065">
        <v>2064</v>
      </c>
      <c r="B2065" t="str">
        <f xml:space="preserve"> "002260"</f>
        <v>002260</v>
      </c>
      <c r="C2065" t="s">
        <v>6875</v>
      </c>
      <c r="D2065" t="s">
        <v>616</v>
      </c>
      <c r="E2065" t="s">
        <v>616</v>
      </c>
      <c r="F2065" t="s">
        <v>616</v>
      </c>
      <c r="G2065" t="s">
        <v>616</v>
      </c>
      <c r="H2065" t="s">
        <v>616</v>
      </c>
      <c r="I2065" t="s">
        <v>616</v>
      </c>
      <c r="J2065" t="s">
        <v>616</v>
      </c>
      <c r="K2065" t="s">
        <v>616</v>
      </c>
      <c r="L2065" t="s">
        <v>616</v>
      </c>
      <c r="M2065" t="s">
        <v>616</v>
      </c>
      <c r="N2065">
        <v>-77.14</v>
      </c>
      <c r="O2065" t="s">
        <v>215</v>
      </c>
      <c r="P2065" t="s">
        <v>616</v>
      </c>
      <c r="Q2065" t="s">
        <v>616</v>
      </c>
      <c r="R2065" t="s">
        <v>616</v>
      </c>
      <c r="S2065">
        <v>23.1</v>
      </c>
      <c r="T2065" t="s">
        <v>616</v>
      </c>
      <c r="U2065" t="s">
        <v>616</v>
      </c>
      <c r="V2065" t="s">
        <v>616</v>
      </c>
      <c r="W2065" t="s">
        <v>616</v>
      </c>
      <c r="X2065" t="s">
        <v>616</v>
      </c>
      <c r="Y2065" t="s">
        <v>616</v>
      </c>
      <c r="Z2065" t="s">
        <v>616</v>
      </c>
      <c r="AA2065" t="s">
        <v>616</v>
      </c>
      <c r="AB2065" t="s">
        <v>616</v>
      </c>
      <c r="AC2065" t="s">
        <v>616</v>
      </c>
      <c r="AD2065">
        <v>19.670000000000002</v>
      </c>
      <c r="AE2065" t="s">
        <v>3198</v>
      </c>
      <c r="AF2065" t="s">
        <v>4348</v>
      </c>
      <c r="AG2065" t="s">
        <v>3198</v>
      </c>
      <c r="AH2065" t="s">
        <v>4348</v>
      </c>
      <c r="AI2065">
        <v>0</v>
      </c>
      <c r="AJ2065">
        <v>0</v>
      </c>
      <c r="AK2065">
        <v>0</v>
      </c>
      <c r="AL2065">
        <v>0</v>
      </c>
    </row>
    <row r="2066" spans="1:38" x14ac:dyDescent="0.25">
      <c r="A2066">
        <v>2065</v>
      </c>
      <c r="B2066" t="str">
        <f xml:space="preserve"> "300597"</f>
        <v>300597</v>
      </c>
      <c r="C2066" t="s">
        <v>6876</v>
      </c>
      <c r="D2066" t="s">
        <v>616</v>
      </c>
      <c r="E2066" t="s">
        <v>616</v>
      </c>
      <c r="F2066" t="s">
        <v>616</v>
      </c>
      <c r="G2066" t="s">
        <v>616</v>
      </c>
      <c r="H2066" t="s">
        <v>616</v>
      </c>
      <c r="I2066" t="s">
        <v>616</v>
      </c>
      <c r="J2066" t="s">
        <v>616</v>
      </c>
      <c r="K2066" t="s">
        <v>616</v>
      </c>
      <c r="L2066" t="s">
        <v>616</v>
      </c>
      <c r="M2066" t="s">
        <v>616</v>
      </c>
      <c r="N2066">
        <v>227.76</v>
      </c>
      <c r="O2066" t="s">
        <v>893</v>
      </c>
      <c r="P2066" t="s">
        <v>616</v>
      </c>
      <c r="Q2066" t="s">
        <v>616</v>
      </c>
      <c r="R2066" t="s">
        <v>616</v>
      </c>
      <c r="S2066">
        <v>25.51</v>
      </c>
      <c r="T2066" t="s">
        <v>616</v>
      </c>
      <c r="U2066" t="s">
        <v>616</v>
      </c>
      <c r="V2066" t="s">
        <v>616</v>
      </c>
      <c r="W2066" t="s">
        <v>616</v>
      </c>
      <c r="X2066" t="s">
        <v>616</v>
      </c>
      <c r="Y2066" t="s">
        <v>616</v>
      </c>
      <c r="Z2066" t="s">
        <v>616</v>
      </c>
      <c r="AA2066" t="s">
        <v>616</v>
      </c>
      <c r="AB2066" t="s">
        <v>616</v>
      </c>
      <c r="AC2066" t="s">
        <v>616</v>
      </c>
      <c r="AD2066">
        <v>8.7799999999999994</v>
      </c>
      <c r="AE2066" t="s">
        <v>2521</v>
      </c>
      <c r="AF2066" t="s">
        <v>969</v>
      </c>
      <c r="AG2066" t="s">
        <v>5162</v>
      </c>
      <c r="AH2066" t="s">
        <v>122</v>
      </c>
      <c r="AI2066">
        <v>0</v>
      </c>
      <c r="AJ2066">
        <v>0</v>
      </c>
      <c r="AK2066">
        <v>0</v>
      </c>
      <c r="AL2066">
        <v>53.97</v>
      </c>
    </row>
    <row r="2067" spans="1:38" x14ac:dyDescent="0.25">
      <c r="A2067">
        <v>2066</v>
      </c>
      <c r="B2067" t="str">
        <f xml:space="preserve"> "601008"</f>
        <v>601008</v>
      </c>
      <c r="C2067" t="s">
        <v>6877</v>
      </c>
      <c r="D2067">
        <v>6.03</v>
      </c>
      <c r="E2067">
        <v>0.17</v>
      </c>
      <c r="F2067">
        <v>0.01</v>
      </c>
      <c r="G2067" t="s">
        <v>1909</v>
      </c>
      <c r="H2067">
        <v>14</v>
      </c>
      <c r="I2067">
        <v>6.03</v>
      </c>
      <c r="J2067">
        <v>6.04</v>
      </c>
      <c r="K2067">
        <v>0.17</v>
      </c>
      <c r="L2067">
        <v>0.54</v>
      </c>
      <c r="M2067" t="s">
        <v>6878</v>
      </c>
      <c r="N2067">
        <v>791.41</v>
      </c>
      <c r="O2067" t="s">
        <v>440</v>
      </c>
      <c r="P2067">
        <v>6.04</v>
      </c>
      <c r="Q2067">
        <v>5.98</v>
      </c>
      <c r="R2067">
        <v>6.01</v>
      </c>
      <c r="S2067">
        <v>6.02</v>
      </c>
      <c r="T2067">
        <v>1</v>
      </c>
      <c r="U2067">
        <v>0.62</v>
      </c>
      <c r="V2067">
        <v>-29.2</v>
      </c>
      <c r="W2067">
        <v>-3514</v>
      </c>
      <c r="X2067">
        <v>6.01</v>
      </c>
      <c r="Y2067" t="s">
        <v>659</v>
      </c>
      <c r="Z2067" t="s">
        <v>1285</v>
      </c>
      <c r="AA2067">
        <v>1.21</v>
      </c>
      <c r="AB2067">
        <v>211</v>
      </c>
      <c r="AC2067">
        <v>1758</v>
      </c>
      <c r="AD2067">
        <v>1.91</v>
      </c>
      <c r="AE2067" t="s">
        <v>1766</v>
      </c>
      <c r="AF2067" t="s">
        <v>969</v>
      </c>
      <c r="AG2067" t="s">
        <v>1766</v>
      </c>
      <c r="AH2067" t="s">
        <v>969</v>
      </c>
      <c r="AI2067">
        <v>0</v>
      </c>
      <c r="AJ2067">
        <v>2.73</v>
      </c>
      <c r="AK2067">
        <v>2.73</v>
      </c>
      <c r="AL2067">
        <v>4.91</v>
      </c>
    </row>
    <row r="2068" spans="1:38" x14ac:dyDescent="0.25">
      <c r="A2068">
        <v>2067</v>
      </c>
      <c r="B2068" t="str">
        <f xml:space="preserve"> "600532"</f>
        <v>600532</v>
      </c>
      <c r="C2068" t="s">
        <v>6879</v>
      </c>
      <c r="D2068">
        <v>11.86</v>
      </c>
      <c r="E2068">
        <v>-0.42</v>
      </c>
      <c r="F2068">
        <v>-0.05</v>
      </c>
      <c r="G2068" t="s">
        <v>699</v>
      </c>
      <c r="H2068">
        <v>25</v>
      </c>
      <c r="I2068">
        <v>11.86</v>
      </c>
      <c r="J2068">
        <v>11.87</v>
      </c>
      <c r="K2068">
        <v>-0.08</v>
      </c>
      <c r="L2068">
        <v>1.1100000000000001</v>
      </c>
      <c r="M2068" t="s">
        <v>6880</v>
      </c>
      <c r="N2068">
        <v>-96.93</v>
      </c>
      <c r="O2068" t="s">
        <v>416</v>
      </c>
      <c r="P2068">
        <v>11.96</v>
      </c>
      <c r="Q2068">
        <v>11.84</v>
      </c>
      <c r="R2068">
        <v>11.91</v>
      </c>
      <c r="S2068">
        <v>11.91</v>
      </c>
      <c r="T2068">
        <v>1.01</v>
      </c>
      <c r="U2068">
        <v>1.1399999999999999</v>
      </c>
      <c r="V2068">
        <v>-25.49</v>
      </c>
      <c r="W2068">
        <v>-496</v>
      </c>
      <c r="X2068">
        <v>11.9</v>
      </c>
      <c r="Y2068" t="s">
        <v>884</v>
      </c>
      <c r="Z2068" t="s">
        <v>3695</v>
      </c>
      <c r="AA2068">
        <v>0.79</v>
      </c>
      <c r="AB2068">
        <v>71</v>
      </c>
      <c r="AC2068">
        <v>335</v>
      </c>
      <c r="AD2068">
        <v>3.29</v>
      </c>
      <c r="AE2068" t="s">
        <v>4648</v>
      </c>
      <c r="AF2068" t="s">
        <v>969</v>
      </c>
      <c r="AG2068" t="s">
        <v>3924</v>
      </c>
      <c r="AH2068" t="s">
        <v>2039</v>
      </c>
      <c r="AI2068">
        <v>0.68</v>
      </c>
      <c r="AJ2068">
        <v>2.33</v>
      </c>
      <c r="AK2068">
        <v>3.95</v>
      </c>
      <c r="AL2068">
        <v>5.97</v>
      </c>
    </row>
    <row r="2069" spans="1:38" x14ac:dyDescent="0.25">
      <c r="A2069">
        <v>2068</v>
      </c>
      <c r="B2069" t="str">
        <f xml:space="preserve"> "601188"</f>
        <v>601188</v>
      </c>
      <c r="C2069" t="s">
        <v>6881</v>
      </c>
      <c r="D2069">
        <v>4.6500000000000004</v>
      </c>
      <c r="E2069">
        <v>0</v>
      </c>
      <c r="F2069">
        <v>0</v>
      </c>
      <c r="G2069" t="s">
        <v>3326</v>
      </c>
      <c r="H2069">
        <v>439</v>
      </c>
      <c r="I2069">
        <v>4.6399999999999997</v>
      </c>
      <c r="J2069">
        <v>4.6500000000000004</v>
      </c>
      <c r="K2069">
        <v>0.43</v>
      </c>
      <c r="L2069">
        <v>0.14000000000000001</v>
      </c>
      <c r="M2069" t="s">
        <v>6882</v>
      </c>
      <c r="N2069">
        <v>16.88</v>
      </c>
      <c r="O2069" t="s">
        <v>1348</v>
      </c>
      <c r="P2069">
        <v>4.66</v>
      </c>
      <c r="Q2069">
        <v>4.62</v>
      </c>
      <c r="R2069">
        <v>4.6500000000000004</v>
      </c>
      <c r="S2069">
        <v>4.6500000000000004</v>
      </c>
      <c r="T2069">
        <v>0.86</v>
      </c>
      <c r="U2069">
        <v>0.59</v>
      </c>
      <c r="V2069">
        <v>11.25</v>
      </c>
      <c r="W2069">
        <v>1136</v>
      </c>
      <c r="X2069">
        <v>4.6399999999999997</v>
      </c>
      <c r="Y2069" t="s">
        <v>1259</v>
      </c>
      <c r="Z2069">
        <v>6484</v>
      </c>
      <c r="AA2069">
        <v>1.88</v>
      </c>
      <c r="AB2069">
        <v>72</v>
      </c>
      <c r="AC2069">
        <v>629</v>
      </c>
      <c r="AD2069">
        <v>1.63</v>
      </c>
      <c r="AE2069" t="s">
        <v>1358</v>
      </c>
      <c r="AF2069" t="s">
        <v>969</v>
      </c>
      <c r="AG2069" t="s">
        <v>1358</v>
      </c>
      <c r="AH2069" t="s">
        <v>969</v>
      </c>
      <c r="AI2069">
        <v>-0.64</v>
      </c>
      <c r="AJ2069">
        <v>0.87</v>
      </c>
      <c r="AK2069">
        <v>0.47</v>
      </c>
      <c r="AL2069">
        <v>1.35</v>
      </c>
    </row>
    <row r="2070" spans="1:38" x14ac:dyDescent="0.25">
      <c r="A2070">
        <v>2069</v>
      </c>
      <c r="B2070" t="str">
        <f xml:space="preserve"> "002442"</f>
        <v>002442</v>
      </c>
      <c r="C2070" t="s">
        <v>6883</v>
      </c>
      <c r="D2070" t="s">
        <v>616</v>
      </c>
      <c r="E2070" t="s">
        <v>616</v>
      </c>
      <c r="F2070" t="s">
        <v>616</v>
      </c>
      <c r="G2070" t="s">
        <v>616</v>
      </c>
      <c r="H2070" t="s">
        <v>616</v>
      </c>
      <c r="I2070" t="s">
        <v>616</v>
      </c>
      <c r="J2070" t="s">
        <v>616</v>
      </c>
      <c r="K2070" t="s">
        <v>616</v>
      </c>
      <c r="L2070" t="s">
        <v>616</v>
      </c>
      <c r="M2070" t="s">
        <v>616</v>
      </c>
      <c r="N2070">
        <v>75.180000000000007</v>
      </c>
      <c r="O2070" t="s">
        <v>667</v>
      </c>
      <c r="P2070" t="s">
        <v>616</v>
      </c>
      <c r="Q2070" t="s">
        <v>616</v>
      </c>
      <c r="R2070" t="s">
        <v>616</v>
      </c>
      <c r="S2070">
        <v>12.73</v>
      </c>
      <c r="T2070" t="s">
        <v>616</v>
      </c>
      <c r="U2070" t="s">
        <v>616</v>
      </c>
      <c r="V2070" t="s">
        <v>616</v>
      </c>
      <c r="W2070" t="s">
        <v>616</v>
      </c>
      <c r="X2070" t="s">
        <v>616</v>
      </c>
      <c r="Y2070" t="s">
        <v>616</v>
      </c>
      <c r="Z2070" t="s">
        <v>616</v>
      </c>
      <c r="AA2070" t="s">
        <v>616</v>
      </c>
      <c r="AB2070" t="s">
        <v>616</v>
      </c>
      <c r="AC2070" t="s">
        <v>616</v>
      </c>
      <c r="AD2070">
        <v>5.43</v>
      </c>
      <c r="AE2070" t="s">
        <v>4754</v>
      </c>
      <c r="AF2070" t="s">
        <v>6337</v>
      </c>
      <c r="AG2070" t="s">
        <v>3287</v>
      </c>
      <c r="AH2070" t="s">
        <v>6687</v>
      </c>
      <c r="AI2070">
        <v>0</v>
      </c>
      <c r="AJ2070">
        <v>0</v>
      </c>
      <c r="AK2070">
        <v>0</v>
      </c>
      <c r="AL2070">
        <v>0</v>
      </c>
    </row>
    <row r="2071" spans="1:38" x14ac:dyDescent="0.25">
      <c r="A2071">
        <v>2070</v>
      </c>
      <c r="B2071" t="str">
        <f xml:space="preserve"> "000504"</f>
        <v>000504</v>
      </c>
      <c r="C2071" t="s">
        <v>6884</v>
      </c>
      <c r="D2071" t="s">
        <v>616</v>
      </c>
      <c r="E2071" t="s">
        <v>616</v>
      </c>
      <c r="F2071" t="s">
        <v>616</v>
      </c>
      <c r="G2071" t="s">
        <v>616</v>
      </c>
      <c r="H2071" t="s">
        <v>616</v>
      </c>
      <c r="I2071" t="s">
        <v>616</v>
      </c>
      <c r="J2071" t="s">
        <v>616</v>
      </c>
      <c r="K2071" t="s">
        <v>616</v>
      </c>
      <c r="L2071" t="s">
        <v>616</v>
      </c>
      <c r="M2071" t="s">
        <v>616</v>
      </c>
      <c r="N2071">
        <v>-253.68</v>
      </c>
      <c r="O2071" t="s">
        <v>1155</v>
      </c>
      <c r="P2071" t="s">
        <v>616</v>
      </c>
      <c r="Q2071" t="s">
        <v>616</v>
      </c>
      <c r="R2071" t="s">
        <v>616</v>
      </c>
      <c r="S2071">
        <v>19.600000000000001</v>
      </c>
      <c r="T2071" t="s">
        <v>616</v>
      </c>
      <c r="U2071" t="s">
        <v>616</v>
      </c>
      <c r="V2071" t="s">
        <v>616</v>
      </c>
      <c r="W2071" t="s">
        <v>616</v>
      </c>
      <c r="X2071" t="s">
        <v>616</v>
      </c>
      <c r="Y2071" t="s">
        <v>616</v>
      </c>
      <c r="Z2071" t="s">
        <v>616</v>
      </c>
      <c r="AA2071" t="s">
        <v>616</v>
      </c>
      <c r="AB2071" t="s">
        <v>616</v>
      </c>
      <c r="AC2071" t="s">
        <v>616</v>
      </c>
      <c r="AD2071">
        <v>-902.86</v>
      </c>
      <c r="AE2071" t="s">
        <v>5539</v>
      </c>
      <c r="AF2071" t="s">
        <v>6337</v>
      </c>
      <c r="AG2071" t="s">
        <v>4731</v>
      </c>
      <c r="AH2071" t="s">
        <v>1807</v>
      </c>
      <c r="AI2071">
        <v>0</v>
      </c>
      <c r="AJ2071">
        <v>0</v>
      </c>
      <c r="AK2071">
        <v>0</v>
      </c>
      <c r="AL2071">
        <v>0</v>
      </c>
    </row>
    <row r="2072" spans="1:38" x14ac:dyDescent="0.25">
      <c r="A2072">
        <v>2071</v>
      </c>
      <c r="B2072" t="str">
        <f xml:space="preserve"> "300657"</f>
        <v>300657</v>
      </c>
      <c r="C2072" t="s">
        <v>6885</v>
      </c>
      <c r="D2072">
        <v>58.7</v>
      </c>
      <c r="E2072">
        <v>-2.15</v>
      </c>
      <c r="F2072">
        <v>-1.29</v>
      </c>
      <c r="G2072" t="s">
        <v>3962</v>
      </c>
      <c r="H2072">
        <v>868</v>
      </c>
      <c r="I2072">
        <v>58.7</v>
      </c>
      <c r="J2072">
        <v>58.71</v>
      </c>
      <c r="K2072">
        <v>7.0000000000000007E-2</v>
      </c>
      <c r="L2072">
        <v>16.59</v>
      </c>
      <c r="M2072" t="s">
        <v>4480</v>
      </c>
      <c r="N2072">
        <v>78.48</v>
      </c>
      <c r="O2072" t="s">
        <v>380</v>
      </c>
      <c r="P2072">
        <v>60.9</v>
      </c>
      <c r="Q2072">
        <v>57</v>
      </c>
      <c r="R2072">
        <v>59.43</v>
      </c>
      <c r="S2072">
        <v>59.99</v>
      </c>
      <c r="T2072">
        <v>6.5</v>
      </c>
      <c r="U2072">
        <v>0.56000000000000005</v>
      </c>
      <c r="V2072">
        <v>52.02</v>
      </c>
      <c r="W2072">
        <v>334</v>
      </c>
      <c r="X2072">
        <v>59.21</v>
      </c>
      <c r="Y2072" t="s">
        <v>1961</v>
      </c>
      <c r="Z2072" t="s">
        <v>1076</v>
      </c>
      <c r="AA2072">
        <v>1.25</v>
      </c>
      <c r="AB2072">
        <v>150</v>
      </c>
      <c r="AC2072">
        <v>9</v>
      </c>
      <c r="AD2072">
        <v>9.75</v>
      </c>
      <c r="AE2072" t="s">
        <v>1718</v>
      </c>
      <c r="AF2072" t="s">
        <v>743</v>
      </c>
      <c r="AG2072" t="s">
        <v>6886</v>
      </c>
      <c r="AH2072" t="s">
        <v>122</v>
      </c>
      <c r="AI2072">
        <v>-5.93</v>
      </c>
      <c r="AJ2072">
        <v>7.63</v>
      </c>
      <c r="AK2072">
        <v>63.4</v>
      </c>
      <c r="AL2072">
        <v>164.79</v>
      </c>
    </row>
    <row r="2073" spans="1:38" x14ac:dyDescent="0.25">
      <c r="A2073">
        <v>2072</v>
      </c>
      <c r="B2073" t="str">
        <f xml:space="preserve"> "603999"</f>
        <v>603999</v>
      </c>
      <c r="C2073" t="s">
        <v>6887</v>
      </c>
      <c r="D2073">
        <v>10.59</v>
      </c>
      <c r="E2073">
        <v>0.95</v>
      </c>
      <c r="F2073">
        <v>0.1</v>
      </c>
      <c r="G2073" t="s">
        <v>3707</v>
      </c>
      <c r="H2073">
        <v>54</v>
      </c>
      <c r="I2073">
        <v>10.58</v>
      </c>
      <c r="J2073">
        <v>10.6</v>
      </c>
      <c r="K2073">
        <v>0.19</v>
      </c>
      <c r="L2073">
        <v>2.21</v>
      </c>
      <c r="M2073" t="s">
        <v>6167</v>
      </c>
      <c r="N2073">
        <v>87.13</v>
      </c>
      <c r="O2073" t="s">
        <v>1126</v>
      </c>
      <c r="P2073">
        <v>10.66</v>
      </c>
      <c r="Q2073">
        <v>10.42</v>
      </c>
      <c r="R2073">
        <v>10.49</v>
      </c>
      <c r="S2073">
        <v>10.49</v>
      </c>
      <c r="T2073">
        <v>2.29</v>
      </c>
      <c r="U2073">
        <v>1.35</v>
      </c>
      <c r="V2073">
        <v>-66.430000000000007</v>
      </c>
      <c r="W2073">
        <v>-2178</v>
      </c>
      <c r="X2073">
        <v>10.57</v>
      </c>
      <c r="Y2073" t="s">
        <v>2695</v>
      </c>
      <c r="Z2073" t="s">
        <v>5016</v>
      </c>
      <c r="AA2073">
        <v>0.99</v>
      </c>
      <c r="AB2073">
        <v>91</v>
      </c>
      <c r="AC2073">
        <v>184</v>
      </c>
      <c r="AD2073">
        <v>3.76</v>
      </c>
      <c r="AE2073" t="s">
        <v>4769</v>
      </c>
      <c r="AF2073" t="s">
        <v>743</v>
      </c>
      <c r="AG2073" t="s">
        <v>2845</v>
      </c>
      <c r="AH2073" t="s">
        <v>903</v>
      </c>
      <c r="AI2073">
        <v>-0.38</v>
      </c>
      <c r="AJ2073">
        <v>4.96</v>
      </c>
      <c r="AK2073">
        <v>5.54</v>
      </c>
      <c r="AL2073">
        <v>10.39</v>
      </c>
    </row>
    <row r="2074" spans="1:38" x14ac:dyDescent="0.25">
      <c r="A2074">
        <v>2073</v>
      </c>
      <c r="B2074" t="str">
        <f xml:space="preserve"> "000608"</f>
        <v>000608</v>
      </c>
      <c r="C2074" t="s">
        <v>6888</v>
      </c>
      <c r="D2074" t="s">
        <v>616</v>
      </c>
      <c r="E2074" t="s">
        <v>616</v>
      </c>
      <c r="F2074" t="s">
        <v>616</v>
      </c>
      <c r="G2074" t="s">
        <v>616</v>
      </c>
      <c r="H2074" t="s">
        <v>616</v>
      </c>
      <c r="I2074" t="s">
        <v>616</v>
      </c>
      <c r="J2074" t="s">
        <v>616</v>
      </c>
      <c r="K2074" t="s">
        <v>616</v>
      </c>
      <c r="L2074" t="s">
        <v>616</v>
      </c>
      <c r="M2074" t="s">
        <v>616</v>
      </c>
      <c r="N2074">
        <v>-38.659999999999997</v>
      </c>
      <c r="O2074" t="s">
        <v>244</v>
      </c>
      <c r="P2074" t="s">
        <v>616</v>
      </c>
      <c r="Q2074" t="s">
        <v>616</v>
      </c>
      <c r="R2074" t="s">
        <v>616</v>
      </c>
      <c r="S2074">
        <v>8.1300000000000008</v>
      </c>
      <c r="T2074" t="s">
        <v>616</v>
      </c>
      <c r="U2074" t="s">
        <v>616</v>
      </c>
      <c r="V2074" t="s">
        <v>616</v>
      </c>
      <c r="W2074" t="s">
        <v>616</v>
      </c>
      <c r="X2074" t="s">
        <v>616</v>
      </c>
      <c r="Y2074" t="s">
        <v>616</v>
      </c>
      <c r="Z2074" t="s">
        <v>616</v>
      </c>
      <c r="AA2074" t="s">
        <v>616</v>
      </c>
      <c r="AB2074" t="s">
        <v>616</v>
      </c>
      <c r="AC2074" t="s">
        <v>616</v>
      </c>
      <c r="AD2074">
        <v>2.2000000000000002</v>
      </c>
      <c r="AE2074" t="s">
        <v>3841</v>
      </c>
      <c r="AF2074" t="s">
        <v>743</v>
      </c>
      <c r="AG2074" t="s">
        <v>3841</v>
      </c>
      <c r="AH2074" t="s">
        <v>743</v>
      </c>
      <c r="AI2074">
        <v>0</v>
      </c>
      <c r="AJ2074">
        <v>0</v>
      </c>
      <c r="AK2074">
        <v>0</v>
      </c>
      <c r="AL2074">
        <v>0</v>
      </c>
    </row>
    <row r="2075" spans="1:38" x14ac:dyDescent="0.25">
      <c r="A2075">
        <v>2074</v>
      </c>
      <c r="B2075" t="str">
        <f xml:space="preserve"> "002454"</f>
        <v>002454</v>
      </c>
      <c r="C2075" t="s">
        <v>6889</v>
      </c>
      <c r="D2075">
        <v>14.44</v>
      </c>
      <c r="E2075">
        <v>2.48</v>
      </c>
      <c r="F2075">
        <v>0.35</v>
      </c>
      <c r="G2075" t="s">
        <v>362</v>
      </c>
      <c r="H2075">
        <v>280</v>
      </c>
      <c r="I2075">
        <v>14.43</v>
      </c>
      <c r="J2075">
        <v>14.44</v>
      </c>
      <c r="K2075">
        <v>-7.0000000000000007E-2</v>
      </c>
      <c r="L2075">
        <v>3.25</v>
      </c>
      <c r="M2075" t="s">
        <v>2878</v>
      </c>
      <c r="N2075">
        <v>26.6</v>
      </c>
      <c r="O2075" t="s">
        <v>169</v>
      </c>
      <c r="P2075">
        <v>14.75</v>
      </c>
      <c r="Q2075">
        <v>14.01</v>
      </c>
      <c r="R2075">
        <v>14.02</v>
      </c>
      <c r="S2075">
        <v>14.09</v>
      </c>
      <c r="T2075">
        <v>5.25</v>
      </c>
      <c r="U2075">
        <v>2.59</v>
      </c>
      <c r="V2075">
        <v>-48.16</v>
      </c>
      <c r="W2075">
        <v>-444</v>
      </c>
      <c r="X2075">
        <v>14.52</v>
      </c>
      <c r="Y2075" t="s">
        <v>4003</v>
      </c>
      <c r="Z2075" t="s">
        <v>914</v>
      </c>
      <c r="AA2075">
        <v>0.5</v>
      </c>
      <c r="AB2075">
        <v>94</v>
      </c>
      <c r="AC2075">
        <v>8</v>
      </c>
      <c r="AD2075">
        <v>2.13</v>
      </c>
      <c r="AE2075" t="s">
        <v>5070</v>
      </c>
      <c r="AF2075" t="s">
        <v>1807</v>
      </c>
      <c r="AG2075" t="s">
        <v>2738</v>
      </c>
      <c r="AH2075" t="s">
        <v>2412</v>
      </c>
      <c r="AI2075">
        <v>-0.48</v>
      </c>
      <c r="AJ2075">
        <v>-2.1</v>
      </c>
      <c r="AK2075">
        <v>5</v>
      </c>
      <c r="AL2075">
        <v>9.51</v>
      </c>
    </row>
    <row r="2076" spans="1:38" x14ac:dyDescent="0.25">
      <c r="A2076">
        <v>2075</v>
      </c>
      <c r="B2076" t="str">
        <f xml:space="preserve"> "300006"</f>
        <v>300006</v>
      </c>
      <c r="C2076" t="s">
        <v>6890</v>
      </c>
      <c r="D2076">
        <v>7.5</v>
      </c>
      <c r="E2076">
        <v>0.27</v>
      </c>
      <c r="F2076">
        <v>0.02</v>
      </c>
      <c r="G2076" t="s">
        <v>3433</v>
      </c>
      <c r="H2076">
        <v>630</v>
      </c>
      <c r="I2076">
        <v>7.5</v>
      </c>
      <c r="J2076">
        <v>7.51</v>
      </c>
      <c r="K2076">
        <v>0</v>
      </c>
      <c r="L2076">
        <v>1.34</v>
      </c>
      <c r="M2076" t="s">
        <v>6891</v>
      </c>
      <c r="N2076">
        <v>74.819999999999993</v>
      </c>
      <c r="O2076" t="s">
        <v>392</v>
      </c>
      <c r="P2076">
        <v>7.58</v>
      </c>
      <c r="Q2076">
        <v>7.39</v>
      </c>
      <c r="R2076">
        <v>7.47</v>
      </c>
      <c r="S2076">
        <v>7.48</v>
      </c>
      <c r="T2076">
        <v>2.54</v>
      </c>
      <c r="U2076">
        <v>1.1100000000000001</v>
      </c>
      <c r="V2076">
        <v>-8.16</v>
      </c>
      <c r="W2076">
        <v>-272</v>
      </c>
      <c r="X2076">
        <v>7.52</v>
      </c>
      <c r="Y2076" t="s">
        <v>3039</v>
      </c>
      <c r="Z2076" t="s">
        <v>3161</v>
      </c>
      <c r="AA2076">
        <v>0.73</v>
      </c>
      <c r="AB2076">
        <v>265</v>
      </c>
      <c r="AC2076">
        <v>90</v>
      </c>
      <c r="AD2076">
        <v>3.56</v>
      </c>
      <c r="AE2076" t="s">
        <v>4382</v>
      </c>
      <c r="AF2076" t="s">
        <v>1807</v>
      </c>
      <c r="AG2076" t="s">
        <v>4705</v>
      </c>
      <c r="AH2076" t="s">
        <v>5247</v>
      </c>
      <c r="AI2076">
        <v>3.16</v>
      </c>
      <c r="AJ2076">
        <v>6.38</v>
      </c>
      <c r="AK2076">
        <v>4.45</v>
      </c>
      <c r="AL2076">
        <v>7.33</v>
      </c>
    </row>
    <row r="2077" spans="1:38" x14ac:dyDescent="0.25">
      <c r="A2077">
        <v>2076</v>
      </c>
      <c r="B2077" t="str">
        <f xml:space="preserve"> "600501"</f>
        <v>600501</v>
      </c>
      <c r="C2077" t="s">
        <v>6892</v>
      </c>
      <c r="D2077">
        <v>14.46</v>
      </c>
      <c r="E2077">
        <v>-0.55000000000000004</v>
      </c>
      <c r="F2077">
        <v>-0.08</v>
      </c>
      <c r="G2077" t="s">
        <v>3781</v>
      </c>
      <c r="H2077">
        <v>4</v>
      </c>
      <c r="I2077">
        <v>14.45</v>
      </c>
      <c r="J2077">
        <v>14.46</v>
      </c>
      <c r="K2077">
        <v>0.14000000000000001</v>
      </c>
      <c r="L2077">
        <v>0.94</v>
      </c>
      <c r="M2077" t="s">
        <v>6050</v>
      </c>
      <c r="N2077">
        <v>-306.20999999999998</v>
      </c>
      <c r="O2077" t="s">
        <v>2647</v>
      </c>
      <c r="P2077">
        <v>14.47</v>
      </c>
      <c r="Q2077">
        <v>14.34</v>
      </c>
      <c r="R2077">
        <v>14.43</v>
      </c>
      <c r="S2077">
        <v>14.54</v>
      </c>
      <c r="T2077">
        <v>0.89</v>
      </c>
      <c r="U2077">
        <v>1.02</v>
      </c>
      <c r="V2077">
        <v>4.22</v>
      </c>
      <c r="W2077">
        <v>70</v>
      </c>
      <c r="X2077">
        <v>14.4</v>
      </c>
      <c r="Y2077" t="s">
        <v>4023</v>
      </c>
      <c r="Z2077" t="s">
        <v>530</v>
      </c>
      <c r="AA2077">
        <v>1.56</v>
      </c>
      <c r="AB2077">
        <v>143</v>
      </c>
      <c r="AC2077">
        <v>32</v>
      </c>
      <c r="AD2077">
        <v>2.78</v>
      </c>
      <c r="AE2077" t="s">
        <v>1470</v>
      </c>
      <c r="AF2077" t="s">
        <v>1807</v>
      </c>
      <c r="AG2077" t="s">
        <v>2164</v>
      </c>
      <c r="AH2077" t="s">
        <v>4574</v>
      </c>
      <c r="AI2077">
        <v>7.0000000000000007E-2</v>
      </c>
      <c r="AJ2077">
        <v>2.34</v>
      </c>
      <c r="AK2077">
        <v>3.36</v>
      </c>
      <c r="AL2077">
        <v>5.52</v>
      </c>
    </row>
    <row r="2078" spans="1:38" x14ac:dyDescent="0.25">
      <c r="A2078">
        <v>2077</v>
      </c>
      <c r="B2078" t="str">
        <f xml:space="preserve"> "300396"</f>
        <v>300396</v>
      </c>
      <c r="C2078" t="s">
        <v>6893</v>
      </c>
      <c r="D2078">
        <v>39.69</v>
      </c>
      <c r="E2078">
        <v>-0.18</v>
      </c>
      <c r="F2078">
        <v>-7.0000000000000007E-2</v>
      </c>
      <c r="G2078" t="s">
        <v>1578</v>
      </c>
      <c r="H2078">
        <v>49</v>
      </c>
      <c r="I2078">
        <v>39.68</v>
      </c>
      <c r="J2078">
        <v>39.69</v>
      </c>
      <c r="K2078">
        <v>-0.05</v>
      </c>
      <c r="L2078">
        <v>2.76</v>
      </c>
      <c r="M2078" t="s">
        <v>6894</v>
      </c>
      <c r="N2078">
        <v>33.39</v>
      </c>
      <c r="O2078" t="s">
        <v>1552</v>
      </c>
      <c r="P2078">
        <v>40.369999999999997</v>
      </c>
      <c r="Q2078">
        <v>39.01</v>
      </c>
      <c r="R2078">
        <v>39.880000000000003</v>
      </c>
      <c r="S2078">
        <v>39.76</v>
      </c>
      <c r="T2078">
        <v>3.42</v>
      </c>
      <c r="U2078">
        <v>1.02</v>
      </c>
      <c r="V2078">
        <v>-9.59</v>
      </c>
      <c r="W2078">
        <v>-18</v>
      </c>
      <c r="X2078">
        <v>39.86</v>
      </c>
      <c r="Y2078">
        <v>9230</v>
      </c>
      <c r="Z2078">
        <v>7381</v>
      </c>
      <c r="AA2078">
        <v>1.25</v>
      </c>
      <c r="AB2078">
        <v>17</v>
      </c>
      <c r="AC2078">
        <v>53</v>
      </c>
      <c r="AD2078">
        <v>5.27</v>
      </c>
      <c r="AE2078" t="s">
        <v>4271</v>
      </c>
      <c r="AF2078" t="s">
        <v>1807</v>
      </c>
      <c r="AG2078" t="s">
        <v>4355</v>
      </c>
      <c r="AH2078" t="s">
        <v>1184</v>
      </c>
      <c r="AI2078">
        <v>-1.51</v>
      </c>
      <c r="AJ2078">
        <v>5.56</v>
      </c>
      <c r="AK2078">
        <v>8.6199999999999992</v>
      </c>
      <c r="AL2078">
        <v>16.260000000000002</v>
      </c>
    </row>
    <row r="2079" spans="1:38" x14ac:dyDescent="0.25">
      <c r="A2079">
        <v>2078</v>
      </c>
      <c r="B2079" t="str">
        <f xml:space="preserve"> "000511"</f>
        <v>000511</v>
      </c>
      <c r="C2079" t="s">
        <v>6895</v>
      </c>
      <c r="D2079" t="s">
        <v>616</v>
      </c>
      <c r="E2079" t="s">
        <v>616</v>
      </c>
      <c r="F2079" t="s">
        <v>616</v>
      </c>
      <c r="G2079" t="s">
        <v>616</v>
      </c>
      <c r="H2079" t="s">
        <v>616</v>
      </c>
      <c r="I2079" t="s">
        <v>616</v>
      </c>
      <c r="J2079" t="s">
        <v>616</v>
      </c>
      <c r="K2079" t="s">
        <v>616</v>
      </c>
      <c r="L2079" t="s">
        <v>616</v>
      </c>
      <c r="M2079" t="s">
        <v>616</v>
      </c>
      <c r="N2079">
        <v>-43.1</v>
      </c>
      <c r="O2079" t="s">
        <v>859</v>
      </c>
      <c r="P2079" t="s">
        <v>616</v>
      </c>
      <c r="Q2079" t="s">
        <v>616</v>
      </c>
      <c r="R2079" t="s">
        <v>616</v>
      </c>
      <c r="S2079">
        <v>5.27</v>
      </c>
      <c r="T2079" t="s">
        <v>616</v>
      </c>
      <c r="U2079" t="s">
        <v>616</v>
      </c>
      <c r="V2079" t="s">
        <v>616</v>
      </c>
      <c r="W2079" t="s">
        <v>616</v>
      </c>
      <c r="X2079" t="s">
        <v>616</v>
      </c>
      <c r="Y2079" t="s">
        <v>616</v>
      </c>
      <c r="Z2079" t="s">
        <v>616</v>
      </c>
      <c r="AA2079" t="s">
        <v>616</v>
      </c>
      <c r="AB2079" t="s">
        <v>616</v>
      </c>
      <c r="AC2079" t="s">
        <v>616</v>
      </c>
      <c r="AD2079">
        <v>5.75</v>
      </c>
      <c r="AE2079" t="s">
        <v>2388</v>
      </c>
      <c r="AF2079" t="s">
        <v>1807</v>
      </c>
      <c r="AG2079" t="s">
        <v>2388</v>
      </c>
      <c r="AH2079" t="s">
        <v>1807</v>
      </c>
      <c r="AI2079">
        <v>0</v>
      </c>
      <c r="AJ2079">
        <v>0</v>
      </c>
      <c r="AK2079">
        <v>0</v>
      </c>
      <c r="AL2079">
        <v>0</v>
      </c>
    </row>
    <row r="2080" spans="1:38" x14ac:dyDescent="0.25">
      <c r="A2080">
        <v>2079</v>
      </c>
      <c r="B2080" t="str">
        <f xml:space="preserve"> "603239"</f>
        <v>603239</v>
      </c>
      <c r="C2080" t="s">
        <v>6896</v>
      </c>
      <c r="D2080">
        <v>22.48</v>
      </c>
      <c r="E2080">
        <v>-1.1399999999999999</v>
      </c>
      <c r="F2080">
        <v>-0.26</v>
      </c>
      <c r="G2080" t="s">
        <v>1416</v>
      </c>
      <c r="H2080">
        <v>60</v>
      </c>
      <c r="I2080">
        <v>22.47</v>
      </c>
      <c r="J2080">
        <v>22.49</v>
      </c>
      <c r="K2080">
        <v>-0.09</v>
      </c>
      <c r="L2080">
        <v>3.24</v>
      </c>
      <c r="M2080" t="s">
        <v>6897</v>
      </c>
      <c r="N2080">
        <v>31.82</v>
      </c>
      <c r="O2080" t="s">
        <v>169</v>
      </c>
      <c r="P2080">
        <v>22.74</v>
      </c>
      <c r="Q2080">
        <v>22.25</v>
      </c>
      <c r="R2080">
        <v>22.74</v>
      </c>
      <c r="S2080">
        <v>22.74</v>
      </c>
      <c r="T2080">
        <v>2.15</v>
      </c>
      <c r="U2080">
        <v>0.83</v>
      </c>
      <c r="V2080">
        <v>7.57</v>
      </c>
      <c r="W2080">
        <v>47</v>
      </c>
      <c r="X2080">
        <v>22.48</v>
      </c>
      <c r="Y2080" t="s">
        <v>2453</v>
      </c>
      <c r="Z2080">
        <v>7161</v>
      </c>
      <c r="AA2080">
        <v>2.06</v>
      </c>
      <c r="AB2080">
        <v>169</v>
      </c>
      <c r="AC2080">
        <v>63</v>
      </c>
      <c r="AD2080">
        <v>6.62</v>
      </c>
      <c r="AE2080" t="s">
        <v>159</v>
      </c>
      <c r="AF2080" t="s">
        <v>1807</v>
      </c>
      <c r="AG2080" t="s">
        <v>6898</v>
      </c>
      <c r="AH2080" t="s">
        <v>1225</v>
      </c>
      <c r="AI2080">
        <v>-2.0099999999999998</v>
      </c>
      <c r="AJ2080">
        <v>3.98</v>
      </c>
      <c r="AK2080">
        <v>9.9499999999999993</v>
      </c>
      <c r="AL2080">
        <v>22.65</v>
      </c>
    </row>
    <row r="2081" spans="1:38" x14ac:dyDescent="0.25">
      <c r="A2081">
        <v>2080</v>
      </c>
      <c r="B2081" t="str">
        <f xml:space="preserve"> "600684"</f>
        <v>600684</v>
      </c>
      <c r="C2081" t="s">
        <v>6899</v>
      </c>
      <c r="D2081">
        <v>7.13</v>
      </c>
      <c r="E2081">
        <v>0.28000000000000003</v>
      </c>
      <c r="F2081">
        <v>0.02</v>
      </c>
      <c r="G2081" t="s">
        <v>2643</v>
      </c>
      <c r="H2081">
        <v>174</v>
      </c>
      <c r="I2081">
        <v>7.12</v>
      </c>
      <c r="J2081">
        <v>7.13</v>
      </c>
      <c r="K2081">
        <v>0.14000000000000001</v>
      </c>
      <c r="L2081">
        <v>0.67</v>
      </c>
      <c r="M2081" t="s">
        <v>6900</v>
      </c>
      <c r="N2081">
        <v>13.24</v>
      </c>
      <c r="O2081" t="s">
        <v>244</v>
      </c>
      <c r="P2081">
        <v>7.15</v>
      </c>
      <c r="Q2081">
        <v>7.09</v>
      </c>
      <c r="R2081">
        <v>7.11</v>
      </c>
      <c r="S2081">
        <v>7.11</v>
      </c>
      <c r="T2081">
        <v>0.84</v>
      </c>
      <c r="U2081">
        <v>0.53</v>
      </c>
      <c r="V2081">
        <v>-22.65</v>
      </c>
      <c r="W2081">
        <v>-4059</v>
      </c>
      <c r="X2081">
        <v>7.12</v>
      </c>
      <c r="Y2081" t="s">
        <v>3086</v>
      </c>
      <c r="Z2081" t="s">
        <v>2755</v>
      </c>
      <c r="AA2081">
        <v>0.92</v>
      </c>
      <c r="AB2081">
        <v>852</v>
      </c>
      <c r="AC2081">
        <v>408</v>
      </c>
      <c r="AD2081">
        <v>2.2000000000000002</v>
      </c>
      <c r="AE2081" t="s">
        <v>5903</v>
      </c>
      <c r="AF2081" t="s">
        <v>1807</v>
      </c>
      <c r="AG2081" t="s">
        <v>5903</v>
      </c>
      <c r="AH2081" t="s">
        <v>1807</v>
      </c>
      <c r="AI2081">
        <v>0.99</v>
      </c>
      <c r="AJ2081">
        <v>3.33</v>
      </c>
      <c r="AK2081">
        <v>3.49</v>
      </c>
      <c r="AL2081">
        <v>6.99</v>
      </c>
    </row>
    <row r="2082" spans="1:38" x14ac:dyDescent="0.25">
      <c r="A2082">
        <v>2081</v>
      </c>
      <c r="B2082" t="str">
        <f xml:space="preserve"> "603429"</f>
        <v>603429</v>
      </c>
      <c r="C2082" t="s">
        <v>6901</v>
      </c>
      <c r="D2082">
        <v>44.69</v>
      </c>
      <c r="E2082">
        <v>2.36</v>
      </c>
      <c r="F2082">
        <v>1.03</v>
      </c>
      <c r="G2082" t="s">
        <v>3041</v>
      </c>
      <c r="H2082">
        <v>5</v>
      </c>
      <c r="I2082">
        <v>44.7</v>
      </c>
      <c r="J2082">
        <v>44.78</v>
      </c>
      <c r="K2082">
        <v>0.22</v>
      </c>
      <c r="L2082">
        <v>3.21</v>
      </c>
      <c r="M2082" t="s">
        <v>3737</v>
      </c>
      <c r="N2082">
        <v>79.569999999999993</v>
      </c>
      <c r="O2082" t="s">
        <v>1874</v>
      </c>
      <c r="P2082">
        <v>44.96</v>
      </c>
      <c r="Q2082">
        <v>43.22</v>
      </c>
      <c r="R2082">
        <v>43.66</v>
      </c>
      <c r="S2082">
        <v>43.66</v>
      </c>
      <c r="T2082">
        <v>3.99</v>
      </c>
      <c r="U2082">
        <v>1.02</v>
      </c>
      <c r="V2082">
        <v>-62.37</v>
      </c>
      <c r="W2082">
        <v>-116</v>
      </c>
      <c r="X2082">
        <v>44.35</v>
      </c>
      <c r="Y2082">
        <v>4940</v>
      </c>
      <c r="Z2082">
        <v>5986</v>
      </c>
      <c r="AA2082">
        <v>0.83</v>
      </c>
      <c r="AB2082">
        <v>2</v>
      </c>
      <c r="AC2082">
        <v>50</v>
      </c>
      <c r="AD2082">
        <v>12.91</v>
      </c>
      <c r="AE2082" t="s">
        <v>1757</v>
      </c>
      <c r="AF2082" t="s">
        <v>409</v>
      </c>
      <c r="AG2082" t="s">
        <v>6902</v>
      </c>
      <c r="AH2082" t="s">
        <v>1225</v>
      </c>
      <c r="AI2082">
        <v>2.83</v>
      </c>
      <c r="AJ2082">
        <v>4.54</v>
      </c>
      <c r="AK2082">
        <v>7.56</v>
      </c>
      <c r="AL2082">
        <v>18.88</v>
      </c>
    </row>
    <row r="2083" spans="1:38" x14ac:dyDescent="0.25">
      <c r="A2083">
        <v>2082</v>
      </c>
      <c r="B2083" t="str">
        <f xml:space="preserve"> "002829"</f>
        <v>002829</v>
      </c>
      <c r="C2083" t="s">
        <v>6903</v>
      </c>
      <c r="D2083">
        <v>37.94</v>
      </c>
      <c r="E2083">
        <v>-0.91</v>
      </c>
      <c r="F2083">
        <v>-0.35</v>
      </c>
      <c r="G2083" t="s">
        <v>1278</v>
      </c>
      <c r="H2083">
        <v>392</v>
      </c>
      <c r="I2083">
        <v>37.94</v>
      </c>
      <c r="J2083">
        <v>37.950000000000003</v>
      </c>
      <c r="K2083">
        <v>-0.03</v>
      </c>
      <c r="L2083">
        <v>4.26</v>
      </c>
      <c r="M2083" t="s">
        <v>6904</v>
      </c>
      <c r="N2083">
        <v>157.29</v>
      </c>
      <c r="O2083" t="s">
        <v>553</v>
      </c>
      <c r="P2083">
        <v>38.18</v>
      </c>
      <c r="Q2083">
        <v>37.6</v>
      </c>
      <c r="R2083">
        <v>37.950000000000003</v>
      </c>
      <c r="S2083">
        <v>38.29</v>
      </c>
      <c r="T2083">
        <v>1.51</v>
      </c>
      <c r="U2083">
        <v>0.42</v>
      </c>
      <c r="V2083">
        <v>38.049999999999997</v>
      </c>
      <c r="W2083">
        <v>183</v>
      </c>
      <c r="X2083">
        <v>37.880000000000003</v>
      </c>
      <c r="Y2083">
        <v>9533</v>
      </c>
      <c r="Z2083">
        <v>6652</v>
      </c>
      <c r="AA2083">
        <v>1.43</v>
      </c>
      <c r="AB2083">
        <v>140</v>
      </c>
      <c r="AC2083">
        <v>70</v>
      </c>
      <c r="AD2083">
        <v>8.4600000000000009</v>
      </c>
      <c r="AE2083" t="s">
        <v>4326</v>
      </c>
      <c r="AF2083" t="s">
        <v>409</v>
      </c>
      <c r="AG2083" t="s">
        <v>6905</v>
      </c>
      <c r="AH2083" t="s">
        <v>2100</v>
      </c>
      <c r="AI2083">
        <v>-5.86</v>
      </c>
      <c r="AJ2083">
        <v>-1.66</v>
      </c>
      <c r="AK2083">
        <v>21.64</v>
      </c>
      <c r="AL2083">
        <v>55.29</v>
      </c>
    </row>
    <row r="2084" spans="1:38" x14ac:dyDescent="0.25">
      <c r="A2084">
        <v>2083</v>
      </c>
      <c r="B2084" t="str">
        <f xml:space="preserve"> "300228"</f>
        <v>300228</v>
      </c>
      <c r="C2084" t="s">
        <v>6906</v>
      </c>
      <c r="D2084">
        <v>12.82</v>
      </c>
      <c r="E2084">
        <v>-0.47</v>
      </c>
      <c r="F2084">
        <v>-0.06</v>
      </c>
      <c r="G2084" t="s">
        <v>5199</v>
      </c>
      <c r="H2084">
        <v>1268</v>
      </c>
      <c r="I2084">
        <v>12.82</v>
      </c>
      <c r="J2084">
        <v>12.83</v>
      </c>
      <c r="K2084">
        <v>-0.08</v>
      </c>
      <c r="L2084">
        <v>1.86</v>
      </c>
      <c r="M2084" t="s">
        <v>6907</v>
      </c>
      <c r="N2084">
        <v>69.34</v>
      </c>
      <c r="O2084" t="s">
        <v>648</v>
      </c>
      <c r="P2084">
        <v>12.97</v>
      </c>
      <c r="Q2084">
        <v>12.74</v>
      </c>
      <c r="R2084">
        <v>12.83</v>
      </c>
      <c r="S2084">
        <v>12.88</v>
      </c>
      <c r="T2084">
        <v>1.79</v>
      </c>
      <c r="U2084">
        <v>0.74</v>
      </c>
      <c r="V2084">
        <v>-27.03</v>
      </c>
      <c r="W2084">
        <v>-672</v>
      </c>
      <c r="X2084">
        <v>12.83</v>
      </c>
      <c r="Y2084" t="s">
        <v>2790</v>
      </c>
      <c r="Z2084" t="s">
        <v>1374</v>
      </c>
      <c r="AA2084">
        <v>1.86</v>
      </c>
      <c r="AB2084">
        <v>5</v>
      </c>
      <c r="AC2084">
        <v>669</v>
      </c>
      <c r="AD2084">
        <v>3.41</v>
      </c>
      <c r="AE2084" t="s">
        <v>1082</v>
      </c>
      <c r="AF2084" t="s">
        <v>409</v>
      </c>
      <c r="AG2084" t="s">
        <v>1922</v>
      </c>
      <c r="AH2084" t="s">
        <v>4496</v>
      </c>
      <c r="AI2084">
        <v>-3.61</v>
      </c>
      <c r="AJ2084">
        <v>0.16</v>
      </c>
      <c r="AK2084">
        <v>8.01</v>
      </c>
      <c r="AL2084">
        <v>14.49</v>
      </c>
    </row>
    <row r="2085" spans="1:38" x14ac:dyDescent="0.25">
      <c r="A2085">
        <v>2084</v>
      </c>
      <c r="B2085" t="str">
        <f xml:space="preserve"> "603393"</f>
        <v>603393</v>
      </c>
      <c r="C2085" t="s">
        <v>6908</v>
      </c>
      <c r="D2085">
        <v>37.96</v>
      </c>
      <c r="E2085">
        <v>0.64</v>
      </c>
      <c r="F2085">
        <v>0.24</v>
      </c>
      <c r="G2085">
        <v>8267</v>
      </c>
      <c r="H2085">
        <v>1</v>
      </c>
      <c r="I2085">
        <v>37.96</v>
      </c>
      <c r="J2085">
        <v>37.97</v>
      </c>
      <c r="K2085">
        <v>0</v>
      </c>
      <c r="L2085">
        <v>0.97</v>
      </c>
      <c r="M2085" t="s">
        <v>6909</v>
      </c>
      <c r="N2085">
        <v>27.48</v>
      </c>
      <c r="O2085" t="s">
        <v>2085</v>
      </c>
      <c r="P2085">
        <v>38.090000000000003</v>
      </c>
      <c r="Q2085">
        <v>37.71</v>
      </c>
      <c r="R2085">
        <v>38</v>
      </c>
      <c r="S2085">
        <v>37.72</v>
      </c>
      <c r="T2085">
        <v>1.01</v>
      </c>
      <c r="U2085">
        <v>1.23</v>
      </c>
      <c r="V2085">
        <v>-72.48</v>
      </c>
      <c r="W2085">
        <v>-395</v>
      </c>
      <c r="X2085">
        <v>37.909999999999997</v>
      </c>
      <c r="Y2085">
        <v>4429</v>
      </c>
      <c r="Z2085">
        <v>3838</v>
      </c>
      <c r="AA2085">
        <v>1.1499999999999999</v>
      </c>
      <c r="AB2085">
        <v>23</v>
      </c>
      <c r="AC2085">
        <v>112</v>
      </c>
      <c r="AD2085">
        <v>3.4</v>
      </c>
      <c r="AE2085" t="s">
        <v>4326</v>
      </c>
      <c r="AF2085" t="s">
        <v>6910</v>
      </c>
      <c r="AG2085" t="s">
        <v>6911</v>
      </c>
      <c r="AH2085" t="s">
        <v>1029</v>
      </c>
      <c r="AI2085">
        <v>0.48</v>
      </c>
      <c r="AJ2085">
        <v>2.65</v>
      </c>
      <c r="AK2085">
        <v>2.41</v>
      </c>
      <c r="AL2085">
        <v>4.8899999999999997</v>
      </c>
    </row>
    <row r="2086" spans="1:38" x14ac:dyDescent="0.25">
      <c r="A2086">
        <v>2085</v>
      </c>
      <c r="B2086" t="str">
        <f xml:space="preserve"> "002632"</f>
        <v>002632</v>
      </c>
      <c r="C2086" t="s">
        <v>6912</v>
      </c>
      <c r="D2086">
        <v>9.9700000000000006</v>
      </c>
      <c r="E2086">
        <v>0.61</v>
      </c>
      <c r="F2086">
        <v>0.06</v>
      </c>
      <c r="G2086" t="s">
        <v>3331</v>
      </c>
      <c r="H2086">
        <v>1035</v>
      </c>
      <c r="I2086">
        <v>9.9600000000000009</v>
      </c>
      <c r="J2086">
        <v>9.9700000000000006</v>
      </c>
      <c r="K2086">
        <v>0</v>
      </c>
      <c r="L2086">
        <v>0.76</v>
      </c>
      <c r="M2086" t="s">
        <v>5432</v>
      </c>
      <c r="N2086">
        <v>52.25</v>
      </c>
      <c r="O2086" t="s">
        <v>205</v>
      </c>
      <c r="P2086">
        <v>10.01</v>
      </c>
      <c r="Q2086">
        <v>9.84</v>
      </c>
      <c r="R2086">
        <v>9.84</v>
      </c>
      <c r="S2086">
        <v>9.91</v>
      </c>
      <c r="T2086">
        <v>1.72</v>
      </c>
      <c r="U2086">
        <v>0.37</v>
      </c>
      <c r="V2086">
        <v>-7.13</v>
      </c>
      <c r="W2086">
        <v>-261</v>
      </c>
      <c r="X2086">
        <v>9.9600000000000009</v>
      </c>
      <c r="Y2086" t="s">
        <v>113</v>
      </c>
      <c r="Z2086" t="s">
        <v>4118</v>
      </c>
      <c r="AA2086">
        <v>1.05</v>
      </c>
      <c r="AB2086">
        <v>63</v>
      </c>
      <c r="AC2086">
        <v>62</v>
      </c>
      <c r="AD2086">
        <v>3.68</v>
      </c>
      <c r="AE2086" t="s">
        <v>3208</v>
      </c>
      <c r="AF2086" t="s">
        <v>6910</v>
      </c>
      <c r="AG2086" t="s">
        <v>4902</v>
      </c>
      <c r="AH2086" t="s">
        <v>1295</v>
      </c>
      <c r="AI2086">
        <v>-4.13</v>
      </c>
      <c r="AJ2086">
        <v>-0.1</v>
      </c>
      <c r="AK2086">
        <v>4.3600000000000003</v>
      </c>
      <c r="AL2086">
        <v>11.1</v>
      </c>
    </row>
    <row r="2087" spans="1:38" x14ac:dyDescent="0.25">
      <c r="A2087">
        <v>2086</v>
      </c>
      <c r="B2087" t="str">
        <f xml:space="preserve"> "002554"</f>
        <v>002554</v>
      </c>
      <c r="C2087" t="s">
        <v>6913</v>
      </c>
      <c r="D2087">
        <v>5.67</v>
      </c>
      <c r="E2087">
        <v>0.35</v>
      </c>
      <c r="F2087">
        <v>0.02</v>
      </c>
      <c r="G2087" t="s">
        <v>3331</v>
      </c>
      <c r="H2087">
        <v>650</v>
      </c>
      <c r="I2087">
        <v>5.66</v>
      </c>
      <c r="J2087">
        <v>5.67</v>
      </c>
      <c r="K2087">
        <v>0</v>
      </c>
      <c r="L2087">
        <v>0.64</v>
      </c>
      <c r="M2087" t="s">
        <v>6914</v>
      </c>
      <c r="N2087">
        <v>53.03</v>
      </c>
      <c r="O2087" t="s">
        <v>61</v>
      </c>
      <c r="P2087">
        <v>5.67</v>
      </c>
      <c r="Q2087">
        <v>5.63</v>
      </c>
      <c r="R2087">
        <v>5.63</v>
      </c>
      <c r="S2087">
        <v>5.65</v>
      </c>
      <c r="T2087">
        <v>0.71</v>
      </c>
      <c r="U2087">
        <v>0.54</v>
      </c>
      <c r="V2087">
        <v>31.48</v>
      </c>
      <c r="W2087">
        <v>4903</v>
      </c>
      <c r="X2087">
        <v>5.65</v>
      </c>
      <c r="Y2087" t="s">
        <v>87</v>
      </c>
      <c r="Z2087" t="s">
        <v>3130</v>
      </c>
      <c r="AA2087">
        <v>1.48</v>
      </c>
      <c r="AB2087">
        <v>1006</v>
      </c>
      <c r="AC2087">
        <v>1035</v>
      </c>
      <c r="AD2087">
        <v>2.75</v>
      </c>
      <c r="AE2087" t="s">
        <v>1429</v>
      </c>
      <c r="AF2087" t="s">
        <v>6910</v>
      </c>
      <c r="AG2087" t="s">
        <v>3582</v>
      </c>
      <c r="AH2087" t="s">
        <v>1817</v>
      </c>
      <c r="AI2087">
        <v>-1.39</v>
      </c>
      <c r="AJ2087">
        <v>1.43</v>
      </c>
      <c r="AK2087">
        <v>2.77</v>
      </c>
      <c r="AL2087">
        <v>6.53</v>
      </c>
    </row>
    <row r="2088" spans="1:38" x14ac:dyDescent="0.25">
      <c r="A2088">
        <v>2087</v>
      </c>
      <c r="B2088" t="str">
        <f xml:space="preserve"> "600798"</f>
        <v>600798</v>
      </c>
      <c r="C2088" t="s">
        <v>6915</v>
      </c>
      <c r="D2088">
        <v>5.88</v>
      </c>
      <c r="E2088">
        <v>0.34</v>
      </c>
      <c r="F2088">
        <v>0.02</v>
      </c>
      <c r="G2088" t="s">
        <v>4697</v>
      </c>
      <c r="H2088">
        <v>9</v>
      </c>
      <c r="I2088">
        <v>5.87</v>
      </c>
      <c r="J2088">
        <v>5.88</v>
      </c>
      <c r="K2088">
        <v>0</v>
      </c>
      <c r="L2088">
        <v>0.67</v>
      </c>
      <c r="M2088" t="s">
        <v>4814</v>
      </c>
      <c r="N2088">
        <v>52.52</v>
      </c>
      <c r="O2088" t="s">
        <v>440</v>
      </c>
      <c r="P2088">
        <v>5.89</v>
      </c>
      <c r="Q2088">
        <v>5.85</v>
      </c>
      <c r="R2088">
        <v>5.85</v>
      </c>
      <c r="S2088">
        <v>5.86</v>
      </c>
      <c r="T2088">
        <v>0.68</v>
      </c>
      <c r="U2088">
        <v>0.63</v>
      </c>
      <c r="V2088">
        <v>-29.61</v>
      </c>
      <c r="W2088">
        <v>-3892</v>
      </c>
      <c r="X2088">
        <v>5.87</v>
      </c>
      <c r="Y2088" t="s">
        <v>2543</v>
      </c>
      <c r="Z2088" t="s">
        <v>3965</v>
      </c>
      <c r="AA2088">
        <v>1.07</v>
      </c>
      <c r="AB2088">
        <v>435</v>
      </c>
      <c r="AC2088">
        <v>2415</v>
      </c>
      <c r="AD2088">
        <v>2.21</v>
      </c>
      <c r="AE2088" t="s">
        <v>707</v>
      </c>
      <c r="AF2088" t="s">
        <v>1844</v>
      </c>
      <c r="AG2088" t="s">
        <v>707</v>
      </c>
      <c r="AH2088" t="s">
        <v>1844</v>
      </c>
      <c r="AI2088">
        <v>-0.51</v>
      </c>
      <c r="AJ2088">
        <v>1.38</v>
      </c>
      <c r="AK2088">
        <v>3</v>
      </c>
      <c r="AL2088">
        <v>5.99</v>
      </c>
    </row>
    <row r="2089" spans="1:38" x14ac:dyDescent="0.25">
      <c r="A2089">
        <v>2088</v>
      </c>
      <c r="B2089" t="str">
        <f xml:space="preserve"> "000545"</f>
        <v>000545</v>
      </c>
      <c r="C2089" t="s">
        <v>6916</v>
      </c>
      <c r="D2089">
        <v>6.14</v>
      </c>
      <c r="E2089">
        <v>0.33</v>
      </c>
      <c r="F2089">
        <v>0.02</v>
      </c>
      <c r="G2089" t="s">
        <v>1179</v>
      </c>
      <c r="H2089">
        <v>921</v>
      </c>
      <c r="I2089">
        <v>6.13</v>
      </c>
      <c r="J2089">
        <v>6.14</v>
      </c>
      <c r="K2089">
        <v>0.16</v>
      </c>
      <c r="L2089">
        <v>0.78</v>
      </c>
      <c r="M2089" t="s">
        <v>6917</v>
      </c>
      <c r="N2089">
        <v>31.41</v>
      </c>
      <c r="O2089" t="s">
        <v>667</v>
      </c>
      <c r="P2089">
        <v>6.14</v>
      </c>
      <c r="Q2089">
        <v>6.1</v>
      </c>
      <c r="R2089">
        <v>6.14</v>
      </c>
      <c r="S2089">
        <v>6.12</v>
      </c>
      <c r="T2089">
        <v>0.65</v>
      </c>
      <c r="U2089">
        <v>0.7</v>
      </c>
      <c r="V2089">
        <v>-25.76</v>
      </c>
      <c r="W2089">
        <v>-4675</v>
      </c>
      <c r="X2089">
        <v>6.12</v>
      </c>
      <c r="Y2089" t="s">
        <v>5376</v>
      </c>
      <c r="Z2089" t="s">
        <v>2846</v>
      </c>
      <c r="AA2089">
        <v>1.78</v>
      </c>
      <c r="AB2089">
        <v>1212</v>
      </c>
      <c r="AC2089">
        <v>2462</v>
      </c>
      <c r="AD2089">
        <v>3.13</v>
      </c>
      <c r="AE2089" t="s">
        <v>3344</v>
      </c>
      <c r="AF2089" t="s">
        <v>1844</v>
      </c>
      <c r="AG2089" t="s">
        <v>4738</v>
      </c>
      <c r="AH2089" t="s">
        <v>6157</v>
      </c>
      <c r="AI2089">
        <v>-0.97</v>
      </c>
      <c r="AJ2089">
        <v>1.1499999999999999</v>
      </c>
      <c r="AK2089">
        <v>3.34</v>
      </c>
      <c r="AL2089">
        <v>6.4</v>
      </c>
    </row>
    <row r="2090" spans="1:38" x14ac:dyDescent="0.25">
      <c r="A2090">
        <v>2089</v>
      </c>
      <c r="B2090" t="str">
        <f xml:space="preserve"> "300334"</f>
        <v>300334</v>
      </c>
      <c r="C2090" t="s">
        <v>6918</v>
      </c>
      <c r="D2090">
        <v>21.95</v>
      </c>
      <c r="E2090">
        <v>4.18</v>
      </c>
      <c r="F2090">
        <v>0.88</v>
      </c>
      <c r="G2090" t="s">
        <v>1389</v>
      </c>
      <c r="H2090">
        <v>3579</v>
      </c>
      <c r="I2090">
        <v>21.95</v>
      </c>
      <c r="J2090">
        <v>21.96</v>
      </c>
      <c r="K2090">
        <v>0.05</v>
      </c>
      <c r="L2090">
        <v>8.2100000000000009</v>
      </c>
      <c r="M2090" t="s">
        <v>5652</v>
      </c>
      <c r="N2090">
        <v>-142.9</v>
      </c>
      <c r="O2090" t="s">
        <v>1155</v>
      </c>
      <c r="P2090">
        <v>22.3</v>
      </c>
      <c r="Q2090">
        <v>20.55</v>
      </c>
      <c r="R2090">
        <v>20.88</v>
      </c>
      <c r="S2090">
        <v>21.07</v>
      </c>
      <c r="T2090">
        <v>8.31</v>
      </c>
      <c r="U2090">
        <v>1.57</v>
      </c>
      <c r="V2090">
        <v>-4.6900000000000004</v>
      </c>
      <c r="W2090">
        <v>-146</v>
      </c>
      <c r="X2090">
        <v>21.52</v>
      </c>
      <c r="Y2090" t="s">
        <v>4984</v>
      </c>
      <c r="Z2090" t="s">
        <v>1780</v>
      </c>
      <c r="AA2090">
        <v>0.72</v>
      </c>
      <c r="AB2090">
        <v>456</v>
      </c>
      <c r="AC2090">
        <v>587</v>
      </c>
      <c r="AD2090">
        <v>4.66</v>
      </c>
      <c r="AE2090" t="s">
        <v>4094</v>
      </c>
      <c r="AF2090" t="s">
        <v>1844</v>
      </c>
      <c r="AG2090" t="s">
        <v>4222</v>
      </c>
      <c r="AH2090" t="s">
        <v>411</v>
      </c>
      <c r="AI2090">
        <v>-0.81</v>
      </c>
      <c r="AJ2090">
        <v>3.05</v>
      </c>
      <c r="AK2090">
        <v>17.09</v>
      </c>
      <c r="AL2090">
        <v>34.33</v>
      </c>
    </row>
    <row r="2091" spans="1:38" x14ac:dyDescent="0.25">
      <c r="A2091">
        <v>2090</v>
      </c>
      <c r="B2091" t="str">
        <f xml:space="preserve"> "002009"</f>
        <v>002009</v>
      </c>
      <c r="C2091" t="s">
        <v>6919</v>
      </c>
      <c r="D2091">
        <v>16.350000000000001</v>
      </c>
      <c r="E2091">
        <v>-1.51</v>
      </c>
      <c r="F2091">
        <v>-0.25</v>
      </c>
      <c r="G2091" t="s">
        <v>868</v>
      </c>
      <c r="H2091">
        <v>263</v>
      </c>
      <c r="I2091">
        <v>16.34</v>
      </c>
      <c r="J2091">
        <v>16.350000000000001</v>
      </c>
      <c r="K2091">
        <v>0.06</v>
      </c>
      <c r="L2091">
        <v>1.84</v>
      </c>
      <c r="M2091" t="s">
        <v>6920</v>
      </c>
      <c r="N2091">
        <v>58.18</v>
      </c>
      <c r="O2091" t="s">
        <v>648</v>
      </c>
      <c r="P2091">
        <v>16.7</v>
      </c>
      <c r="Q2091">
        <v>16.239999999999998</v>
      </c>
      <c r="R2091">
        <v>16.59</v>
      </c>
      <c r="S2091">
        <v>16.600000000000001</v>
      </c>
      <c r="T2091">
        <v>2.77</v>
      </c>
      <c r="U2091">
        <v>0.68</v>
      </c>
      <c r="V2091">
        <v>56.92</v>
      </c>
      <c r="W2091">
        <v>2091</v>
      </c>
      <c r="X2091">
        <v>16.37</v>
      </c>
      <c r="Y2091" t="s">
        <v>121</v>
      </c>
      <c r="Z2091" t="s">
        <v>3181</v>
      </c>
      <c r="AA2091">
        <v>1.27</v>
      </c>
      <c r="AB2091">
        <v>2218</v>
      </c>
      <c r="AC2091">
        <v>213</v>
      </c>
      <c r="AD2091">
        <v>3.11</v>
      </c>
      <c r="AE2091" t="s">
        <v>3022</v>
      </c>
      <c r="AF2091" t="s">
        <v>1844</v>
      </c>
      <c r="AG2091" t="s">
        <v>159</v>
      </c>
      <c r="AH2091" t="s">
        <v>2940</v>
      </c>
      <c r="AI2091">
        <v>-1.62</v>
      </c>
      <c r="AJ2091">
        <v>4.8099999999999996</v>
      </c>
      <c r="AK2091">
        <v>6.54</v>
      </c>
      <c r="AL2091">
        <v>15.43</v>
      </c>
    </row>
    <row r="2092" spans="1:38" x14ac:dyDescent="0.25">
      <c r="A2092">
        <v>2091</v>
      </c>
      <c r="B2092" t="str">
        <f xml:space="preserve"> "603630"</f>
        <v>603630</v>
      </c>
      <c r="C2092" t="s">
        <v>6921</v>
      </c>
      <c r="D2092">
        <v>34.71</v>
      </c>
      <c r="E2092">
        <v>3.98</v>
      </c>
      <c r="F2092">
        <v>1.33</v>
      </c>
      <c r="G2092" t="s">
        <v>5284</v>
      </c>
      <c r="H2092">
        <v>3</v>
      </c>
      <c r="I2092">
        <v>34.67</v>
      </c>
      <c r="J2092">
        <v>34.69</v>
      </c>
      <c r="K2092">
        <v>-0.03</v>
      </c>
      <c r="L2092">
        <v>14.13</v>
      </c>
      <c r="M2092" t="s">
        <v>185</v>
      </c>
      <c r="N2092">
        <v>57.25</v>
      </c>
      <c r="O2092" t="s">
        <v>667</v>
      </c>
      <c r="P2092">
        <v>35.65</v>
      </c>
      <c r="Q2092">
        <v>34</v>
      </c>
      <c r="R2092">
        <v>34.01</v>
      </c>
      <c r="S2092">
        <v>33.380000000000003</v>
      </c>
      <c r="T2092">
        <v>4.9400000000000004</v>
      </c>
      <c r="U2092">
        <v>3.17</v>
      </c>
      <c r="V2092">
        <v>-49.82</v>
      </c>
      <c r="W2092">
        <v>-139</v>
      </c>
      <c r="X2092">
        <v>34.94</v>
      </c>
      <c r="Y2092" t="s">
        <v>1189</v>
      </c>
      <c r="Z2092" t="s">
        <v>2391</v>
      </c>
      <c r="AA2092">
        <v>0.86</v>
      </c>
      <c r="AB2092">
        <v>11</v>
      </c>
      <c r="AC2092">
        <v>106</v>
      </c>
      <c r="AD2092">
        <v>3.82</v>
      </c>
      <c r="AE2092" t="s">
        <v>1067</v>
      </c>
      <c r="AF2092" t="s">
        <v>5081</v>
      </c>
      <c r="AG2092" t="s">
        <v>2286</v>
      </c>
      <c r="AH2092" t="s">
        <v>434</v>
      </c>
      <c r="AI2092">
        <v>2.2400000000000002</v>
      </c>
      <c r="AJ2092">
        <v>5.53</v>
      </c>
      <c r="AK2092">
        <v>22.02</v>
      </c>
      <c r="AL2092">
        <v>36.4</v>
      </c>
    </row>
    <row r="2093" spans="1:38" x14ac:dyDescent="0.25">
      <c r="A2093">
        <v>2092</v>
      </c>
      <c r="B2093" t="str">
        <f xml:space="preserve"> "300149"</f>
        <v>300149</v>
      </c>
      <c r="C2093" t="s">
        <v>6922</v>
      </c>
      <c r="D2093">
        <v>14.34</v>
      </c>
      <c r="E2093">
        <v>0.14000000000000001</v>
      </c>
      <c r="F2093">
        <v>0.02</v>
      </c>
      <c r="G2093" t="s">
        <v>489</v>
      </c>
      <c r="H2093">
        <v>1547</v>
      </c>
      <c r="I2093">
        <v>14.34</v>
      </c>
      <c r="J2093">
        <v>14.35</v>
      </c>
      <c r="K2093">
        <v>7.0000000000000007E-2</v>
      </c>
      <c r="L2093">
        <v>1.65</v>
      </c>
      <c r="M2093" t="s">
        <v>6923</v>
      </c>
      <c r="N2093">
        <v>92.28</v>
      </c>
      <c r="O2093" t="s">
        <v>406</v>
      </c>
      <c r="P2093">
        <v>14.49</v>
      </c>
      <c r="Q2093">
        <v>14.15</v>
      </c>
      <c r="R2093">
        <v>14.23</v>
      </c>
      <c r="S2093">
        <v>14.32</v>
      </c>
      <c r="T2093">
        <v>2.37</v>
      </c>
      <c r="U2093">
        <v>0.53</v>
      </c>
      <c r="V2093">
        <v>34.770000000000003</v>
      </c>
      <c r="W2093">
        <v>825</v>
      </c>
      <c r="X2093">
        <v>14.28</v>
      </c>
      <c r="Y2093" t="s">
        <v>833</v>
      </c>
      <c r="Z2093" t="s">
        <v>3914</v>
      </c>
      <c r="AA2093">
        <v>1.49</v>
      </c>
      <c r="AB2093">
        <v>902</v>
      </c>
      <c r="AC2093">
        <v>362</v>
      </c>
      <c r="AD2093">
        <v>7.73</v>
      </c>
      <c r="AE2093" t="s">
        <v>5070</v>
      </c>
      <c r="AF2093" t="s">
        <v>5081</v>
      </c>
      <c r="AG2093" t="s">
        <v>2626</v>
      </c>
      <c r="AH2093" t="s">
        <v>3411</v>
      </c>
      <c r="AI2093">
        <v>6.3</v>
      </c>
      <c r="AJ2093">
        <v>8.64</v>
      </c>
      <c r="AK2093">
        <v>10.86</v>
      </c>
      <c r="AL2093">
        <v>17.27</v>
      </c>
    </row>
    <row r="2094" spans="1:38" x14ac:dyDescent="0.25">
      <c r="A2094">
        <v>2093</v>
      </c>
      <c r="B2094" t="str">
        <f xml:space="preserve"> "603007"</f>
        <v>603007</v>
      </c>
      <c r="C2094" t="s">
        <v>6924</v>
      </c>
      <c r="D2094">
        <v>18.149999999999999</v>
      </c>
      <c r="E2094">
        <v>3.36</v>
      </c>
      <c r="F2094">
        <v>0.59</v>
      </c>
      <c r="G2094" t="s">
        <v>767</v>
      </c>
      <c r="H2094">
        <v>2</v>
      </c>
      <c r="I2094">
        <v>18.14</v>
      </c>
      <c r="J2094">
        <v>18.149999999999999</v>
      </c>
      <c r="K2094">
        <v>-0.06</v>
      </c>
      <c r="L2094">
        <v>6.29</v>
      </c>
      <c r="M2094" t="s">
        <v>2151</v>
      </c>
      <c r="N2094">
        <v>41.53</v>
      </c>
      <c r="O2094" t="s">
        <v>1221</v>
      </c>
      <c r="P2094">
        <v>18.54</v>
      </c>
      <c r="Q2094">
        <v>17.46</v>
      </c>
      <c r="R2094">
        <v>17.53</v>
      </c>
      <c r="S2094">
        <v>17.559999999999999</v>
      </c>
      <c r="T2094">
        <v>6.15</v>
      </c>
      <c r="U2094">
        <v>1.93</v>
      </c>
      <c r="V2094">
        <v>-13.57</v>
      </c>
      <c r="W2094">
        <v>-196</v>
      </c>
      <c r="X2094">
        <v>18.02</v>
      </c>
      <c r="Y2094" t="s">
        <v>3864</v>
      </c>
      <c r="Z2094" t="s">
        <v>1516</v>
      </c>
      <c r="AA2094">
        <v>0.72</v>
      </c>
      <c r="AB2094">
        <v>11</v>
      </c>
      <c r="AC2094">
        <v>19</v>
      </c>
      <c r="AD2094">
        <v>6.81</v>
      </c>
      <c r="AE2094" t="s">
        <v>977</v>
      </c>
      <c r="AF2094" t="s">
        <v>5081</v>
      </c>
      <c r="AG2094" t="s">
        <v>629</v>
      </c>
      <c r="AH2094" t="s">
        <v>2794</v>
      </c>
      <c r="AI2094">
        <v>6.08</v>
      </c>
      <c r="AJ2094">
        <v>9.93</v>
      </c>
      <c r="AK2094">
        <v>17.440000000000001</v>
      </c>
      <c r="AL2094">
        <v>22.6</v>
      </c>
    </row>
    <row r="2095" spans="1:38" x14ac:dyDescent="0.25">
      <c r="A2095">
        <v>2094</v>
      </c>
      <c r="B2095" t="str">
        <f xml:space="preserve"> "002186"</f>
        <v>002186</v>
      </c>
      <c r="C2095" t="s">
        <v>6925</v>
      </c>
      <c r="D2095">
        <v>19.57</v>
      </c>
      <c r="E2095">
        <v>0.26</v>
      </c>
      <c r="F2095">
        <v>0.05</v>
      </c>
      <c r="G2095" t="s">
        <v>2284</v>
      </c>
      <c r="H2095">
        <v>102</v>
      </c>
      <c r="I2095">
        <v>19.55</v>
      </c>
      <c r="J2095">
        <v>19.57</v>
      </c>
      <c r="K2095">
        <v>0.1</v>
      </c>
      <c r="L2095">
        <v>0.34</v>
      </c>
      <c r="M2095" t="s">
        <v>6926</v>
      </c>
      <c r="N2095">
        <v>39.299999999999997</v>
      </c>
      <c r="O2095" t="s">
        <v>951</v>
      </c>
      <c r="P2095">
        <v>19.66</v>
      </c>
      <c r="Q2095">
        <v>19.48</v>
      </c>
      <c r="R2095">
        <v>19.559999999999999</v>
      </c>
      <c r="S2095">
        <v>19.52</v>
      </c>
      <c r="T2095">
        <v>0.92</v>
      </c>
      <c r="U2095">
        <v>0.83</v>
      </c>
      <c r="V2095">
        <v>-32.1</v>
      </c>
      <c r="W2095">
        <v>-233</v>
      </c>
      <c r="X2095">
        <v>19.57</v>
      </c>
      <c r="Y2095">
        <v>4921</v>
      </c>
      <c r="Z2095">
        <v>5503</v>
      </c>
      <c r="AA2095">
        <v>0.89</v>
      </c>
      <c r="AB2095">
        <v>125</v>
      </c>
      <c r="AC2095">
        <v>317</v>
      </c>
      <c r="AD2095">
        <v>4.16</v>
      </c>
      <c r="AE2095" t="s">
        <v>1569</v>
      </c>
      <c r="AF2095" t="s">
        <v>5859</v>
      </c>
      <c r="AG2095" t="s">
        <v>3548</v>
      </c>
      <c r="AH2095" t="s">
        <v>5636</v>
      </c>
      <c r="AI2095">
        <v>1.24</v>
      </c>
      <c r="AJ2095">
        <v>2.46</v>
      </c>
      <c r="AK2095">
        <v>1.36</v>
      </c>
      <c r="AL2095">
        <v>2.39</v>
      </c>
    </row>
    <row r="2096" spans="1:38" x14ac:dyDescent="0.25">
      <c r="A2096">
        <v>2095</v>
      </c>
      <c r="B2096" t="str">
        <f xml:space="preserve"> "000019"</f>
        <v>000019</v>
      </c>
      <c r="C2096" t="s">
        <v>6927</v>
      </c>
      <c r="D2096" t="s">
        <v>616</v>
      </c>
      <c r="E2096" t="s">
        <v>616</v>
      </c>
      <c r="F2096" t="s">
        <v>616</v>
      </c>
      <c r="G2096" t="s">
        <v>616</v>
      </c>
      <c r="H2096" t="s">
        <v>616</v>
      </c>
      <c r="I2096" t="s">
        <v>616</v>
      </c>
      <c r="J2096" t="s">
        <v>616</v>
      </c>
      <c r="K2096" t="s">
        <v>616</v>
      </c>
      <c r="L2096" t="s">
        <v>616</v>
      </c>
      <c r="M2096" t="s">
        <v>616</v>
      </c>
      <c r="N2096">
        <v>-169.93</v>
      </c>
      <c r="O2096" t="s">
        <v>406</v>
      </c>
      <c r="P2096" t="s">
        <v>616</v>
      </c>
      <c r="Q2096" t="s">
        <v>616</v>
      </c>
      <c r="R2096" t="s">
        <v>616</v>
      </c>
      <c r="S2096">
        <v>12.15</v>
      </c>
      <c r="T2096" t="s">
        <v>616</v>
      </c>
      <c r="U2096" t="s">
        <v>616</v>
      </c>
      <c r="V2096" t="s">
        <v>616</v>
      </c>
      <c r="W2096" t="s">
        <v>616</v>
      </c>
      <c r="X2096" t="s">
        <v>616</v>
      </c>
      <c r="Y2096" t="s">
        <v>616</v>
      </c>
      <c r="Z2096" t="s">
        <v>616</v>
      </c>
      <c r="AA2096" t="s">
        <v>616</v>
      </c>
      <c r="AB2096" t="s">
        <v>616</v>
      </c>
      <c r="AC2096" t="s">
        <v>616</v>
      </c>
      <c r="AD2096">
        <v>6.09</v>
      </c>
      <c r="AE2096" t="s">
        <v>6762</v>
      </c>
      <c r="AF2096" t="s">
        <v>5859</v>
      </c>
      <c r="AG2096" t="s">
        <v>4149</v>
      </c>
      <c r="AH2096" t="s">
        <v>2919</v>
      </c>
      <c r="AI2096">
        <v>0</v>
      </c>
      <c r="AJ2096">
        <v>0</v>
      </c>
      <c r="AK2096">
        <v>0</v>
      </c>
      <c r="AL2096">
        <v>0</v>
      </c>
    </row>
    <row r="2097" spans="1:38" x14ac:dyDescent="0.25">
      <c r="A2097">
        <v>2096</v>
      </c>
      <c r="B2097" t="str">
        <f xml:space="preserve"> "002541"</f>
        <v>002541</v>
      </c>
      <c r="C2097" t="s">
        <v>6928</v>
      </c>
      <c r="D2097">
        <v>17.260000000000002</v>
      </c>
      <c r="E2097">
        <v>0.52</v>
      </c>
      <c r="F2097">
        <v>0.09</v>
      </c>
      <c r="G2097" t="s">
        <v>1278</v>
      </c>
      <c r="H2097">
        <v>306</v>
      </c>
      <c r="I2097">
        <v>17.260000000000002</v>
      </c>
      <c r="J2097">
        <v>17.27</v>
      </c>
      <c r="K2097">
        <v>0.06</v>
      </c>
      <c r="L2097">
        <v>0.65</v>
      </c>
      <c r="M2097" t="s">
        <v>6929</v>
      </c>
      <c r="N2097">
        <v>27.12</v>
      </c>
      <c r="O2097" t="s">
        <v>562</v>
      </c>
      <c r="P2097">
        <v>17.29</v>
      </c>
      <c r="Q2097">
        <v>17.100000000000001</v>
      </c>
      <c r="R2097">
        <v>17.190000000000001</v>
      </c>
      <c r="S2097">
        <v>17.170000000000002</v>
      </c>
      <c r="T2097">
        <v>1.1100000000000001</v>
      </c>
      <c r="U2097">
        <v>0.68</v>
      </c>
      <c r="V2097">
        <v>-26.44</v>
      </c>
      <c r="W2097">
        <v>-325</v>
      </c>
      <c r="X2097">
        <v>17.239999999999998</v>
      </c>
      <c r="Y2097">
        <v>8619</v>
      </c>
      <c r="Z2097">
        <v>7533</v>
      </c>
      <c r="AA2097">
        <v>1.1399999999999999</v>
      </c>
      <c r="AB2097">
        <v>139</v>
      </c>
      <c r="AC2097">
        <v>33</v>
      </c>
      <c r="AD2097">
        <v>1.53</v>
      </c>
      <c r="AE2097" t="s">
        <v>5407</v>
      </c>
      <c r="AF2097" t="s">
        <v>411</v>
      </c>
      <c r="AG2097" t="s">
        <v>4126</v>
      </c>
      <c r="AH2097" t="s">
        <v>4889</v>
      </c>
      <c r="AI2097">
        <v>-1.1499999999999999</v>
      </c>
      <c r="AJ2097">
        <v>2.0699999999999998</v>
      </c>
      <c r="AK2097">
        <v>2.74</v>
      </c>
      <c r="AL2097">
        <v>5.48</v>
      </c>
    </row>
    <row r="2098" spans="1:38" x14ac:dyDescent="0.25">
      <c r="A2098">
        <v>2097</v>
      </c>
      <c r="B2098" t="str">
        <f xml:space="preserve"> "002382"</f>
        <v>002382</v>
      </c>
      <c r="C2098" t="s">
        <v>6930</v>
      </c>
      <c r="D2098" t="s">
        <v>616</v>
      </c>
      <c r="E2098" t="s">
        <v>616</v>
      </c>
      <c r="F2098" t="s">
        <v>616</v>
      </c>
      <c r="G2098" t="s">
        <v>616</v>
      </c>
      <c r="H2098" t="s">
        <v>616</v>
      </c>
      <c r="I2098" t="s">
        <v>616</v>
      </c>
      <c r="J2098" t="s">
        <v>616</v>
      </c>
      <c r="K2098" t="s">
        <v>616</v>
      </c>
      <c r="L2098" t="s">
        <v>616</v>
      </c>
      <c r="M2098" t="s">
        <v>616</v>
      </c>
      <c r="N2098">
        <v>29.15</v>
      </c>
      <c r="O2098" t="s">
        <v>1552</v>
      </c>
      <c r="P2098" t="s">
        <v>616</v>
      </c>
      <c r="Q2098" t="s">
        <v>616</v>
      </c>
      <c r="R2098" t="s">
        <v>616</v>
      </c>
      <c r="S2098">
        <v>12.19</v>
      </c>
      <c r="T2098" t="s">
        <v>616</v>
      </c>
      <c r="U2098" t="s">
        <v>616</v>
      </c>
      <c r="V2098" t="s">
        <v>616</v>
      </c>
      <c r="W2098" t="s">
        <v>616</v>
      </c>
      <c r="X2098" t="s">
        <v>616</v>
      </c>
      <c r="Y2098" t="s">
        <v>616</v>
      </c>
      <c r="Z2098" t="s">
        <v>616</v>
      </c>
      <c r="AA2098" t="s">
        <v>616</v>
      </c>
      <c r="AB2098" t="s">
        <v>616</v>
      </c>
      <c r="AC2098" t="s">
        <v>616</v>
      </c>
      <c r="AD2098">
        <v>4.54</v>
      </c>
      <c r="AE2098" t="s">
        <v>4580</v>
      </c>
      <c r="AF2098" t="s">
        <v>411</v>
      </c>
      <c r="AG2098" t="s">
        <v>2618</v>
      </c>
      <c r="AH2098" t="s">
        <v>5017</v>
      </c>
      <c r="AI2098">
        <v>0</v>
      </c>
      <c r="AJ2098">
        <v>0</v>
      </c>
      <c r="AK2098">
        <v>0</v>
      </c>
      <c r="AL2098">
        <v>0</v>
      </c>
    </row>
    <row r="2099" spans="1:38" x14ac:dyDescent="0.25">
      <c r="A2099">
        <v>2098</v>
      </c>
      <c r="B2099" t="str">
        <f xml:space="preserve"> "603987"</f>
        <v>603987</v>
      </c>
      <c r="C2099" t="s">
        <v>6931</v>
      </c>
      <c r="D2099">
        <v>19.100000000000001</v>
      </c>
      <c r="E2099">
        <v>1.17</v>
      </c>
      <c r="F2099">
        <v>0.22</v>
      </c>
      <c r="G2099" t="s">
        <v>2571</v>
      </c>
      <c r="H2099">
        <v>48</v>
      </c>
      <c r="I2099">
        <v>19.079999999999998</v>
      </c>
      <c r="J2099">
        <v>19.09</v>
      </c>
      <c r="K2099">
        <v>-0.26</v>
      </c>
      <c r="L2099">
        <v>45.25</v>
      </c>
      <c r="M2099" t="s">
        <v>758</v>
      </c>
      <c r="N2099">
        <v>55.85</v>
      </c>
      <c r="O2099" t="s">
        <v>1552</v>
      </c>
      <c r="P2099">
        <v>20.5</v>
      </c>
      <c r="Q2099">
        <v>18.05</v>
      </c>
      <c r="R2099">
        <v>18.87</v>
      </c>
      <c r="S2099">
        <v>18.88</v>
      </c>
      <c r="T2099">
        <v>12.98</v>
      </c>
      <c r="U2099">
        <v>2.81</v>
      </c>
      <c r="V2099">
        <v>-5.31</v>
      </c>
      <c r="W2099">
        <v>-19</v>
      </c>
      <c r="X2099">
        <v>19.32</v>
      </c>
      <c r="Y2099" t="s">
        <v>965</v>
      </c>
      <c r="Z2099" t="s">
        <v>460</v>
      </c>
      <c r="AA2099">
        <v>0.98</v>
      </c>
      <c r="AB2099">
        <v>2</v>
      </c>
      <c r="AC2099">
        <v>46</v>
      </c>
      <c r="AD2099">
        <v>5.19</v>
      </c>
      <c r="AE2099" t="s">
        <v>4602</v>
      </c>
      <c r="AF2099" t="s">
        <v>292</v>
      </c>
      <c r="AG2099" t="s">
        <v>6932</v>
      </c>
      <c r="AH2099" t="s">
        <v>434</v>
      </c>
      <c r="AI2099">
        <v>17.03</v>
      </c>
      <c r="AJ2099">
        <v>32.64</v>
      </c>
      <c r="AK2099">
        <v>111.13</v>
      </c>
      <c r="AL2099">
        <v>125.7</v>
      </c>
    </row>
    <row r="2100" spans="1:38" x14ac:dyDescent="0.25">
      <c r="A2100">
        <v>2099</v>
      </c>
      <c r="B2100" t="str">
        <f xml:space="preserve"> "600579"</f>
        <v>600579</v>
      </c>
      <c r="C2100" t="s">
        <v>6933</v>
      </c>
      <c r="D2100" t="s">
        <v>616</v>
      </c>
      <c r="E2100" t="s">
        <v>616</v>
      </c>
      <c r="F2100" t="s">
        <v>616</v>
      </c>
      <c r="G2100" t="s">
        <v>616</v>
      </c>
      <c r="H2100" t="s">
        <v>616</v>
      </c>
      <c r="I2100" t="s">
        <v>616</v>
      </c>
      <c r="J2100" t="s">
        <v>616</v>
      </c>
      <c r="K2100" t="s">
        <v>616</v>
      </c>
      <c r="L2100" t="s">
        <v>616</v>
      </c>
      <c r="M2100" t="s">
        <v>616</v>
      </c>
      <c r="N2100">
        <v>824.49</v>
      </c>
      <c r="O2100" t="s">
        <v>648</v>
      </c>
      <c r="P2100" t="s">
        <v>616</v>
      </c>
      <c r="Q2100" t="s">
        <v>616</v>
      </c>
      <c r="R2100" t="s">
        <v>616</v>
      </c>
      <c r="S2100">
        <v>14.65</v>
      </c>
      <c r="T2100" t="s">
        <v>616</v>
      </c>
      <c r="U2100" t="s">
        <v>616</v>
      </c>
      <c r="V2100" t="s">
        <v>616</v>
      </c>
      <c r="W2100" t="s">
        <v>616</v>
      </c>
      <c r="X2100" t="s">
        <v>616</v>
      </c>
      <c r="Y2100" t="s">
        <v>616</v>
      </c>
      <c r="Z2100" t="s">
        <v>616</v>
      </c>
      <c r="AA2100" t="s">
        <v>616</v>
      </c>
      <c r="AB2100" t="s">
        <v>616</v>
      </c>
      <c r="AC2100" t="s">
        <v>616</v>
      </c>
      <c r="AD2100">
        <v>4.9800000000000004</v>
      </c>
      <c r="AE2100" t="s">
        <v>4100</v>
      </c>
      <c r="AF2100" t="s">
        <v>292</v>
      </c>
      <c r="AG2100" t="s">
        <v>4100</v>
      </c>
      <c r="AH2100" t="s">
        <v>292</v>
      </c>
      <c r="AI2100">
        <v>0</v>
      </c>
      <c r="AJ2100">
        <v>0</v>
      </c>
      <c r="AK2100">
        <v>0</v>
      </c>
      <c r="AL2100">
        <v>0</v>
      </c>
    </row>
    <row r="2101" spans="1:38" x14ac:dyDescent="0.25">
      <c r="A2101">
        <v>2100</v>
      </c>
      <c r="B2101" t="str">
        <f xml:space="preserve"> "000531"</f>
        <v>000531</v>
      </c>
      <c r="C2101" t="s">
        <v>6934</v>
      </c>
      <c r="D2101">
        <v>8.7799999999999994</v>
      </c>
      <c r="E2101">
        <v>0</v>
      </c>
      <c r="F2101">
        <v>0</v>
      </c>
      <c r="G2101" t="s">
        <v>1732</v>
      </c>
      <c r="H2101">
        <v>362</v>
      </c>
      <c r="I2101">
        <v>8.7799999999999994</v>
      </c>
      <c r="J2101">
        <v>8.7899999999999991</v>
      </c>
      <c r="K2101">
        <v>-0.23</v>
      </c>
      <c r="L2101">
        <v>0.21</v>
      </c>
      <c r="M2101" t="s">
        <v>6935</v>
      </c>
      <c r="N2101">
        <v>26.67</v>
      </c>
      <c r="O2101" t="s">
        <v>186</v>
      </c>
      <c r="P2101">
        <v>8.85</v>
      </c>
      <c r="Q2101">
        <v>8.76</v>
      </c>
      <c r="R2101">
        <v>8.7799999999999994</v>
      </c>
      <c r="S2101">
        <v>8.7799999999999994</v>
      </c>
      <c r="T2101">
        <v>1.03</v>
      </c>
      <c r="U2101">
        <v>0.66</v>
      </c>
      <c r="V2101">
        <v>58.32</v>
      </c>
      <c r="W2101">
        <v>1900</v>
      </c>
      <c r="X2101">
        <v>8.81</v>
      </c>
      <c r="Y2101">
        <v>7705</v>
      </c>
      <c r="Z2101">
        <v>6810</v>
      </c>
      <c r="AA2101">
        <v>1.1299999999999999</v>
      </c>
      <c r="AB2101">
        <v>496</v>
      </c>
      <c r="AC2101">
        <v>15</v>
      </c>
      <c r="AD2101">
        <v>1.57</v>
      </c>
      <c r="AE2101" t="s">
        <v>2612</v>
      </c>
      <c r="AF2101" t="s">
        <v>292</v>
      </c>
      <c r="AG2101" t="s">
        <v>2612</v>
      </c>
      <c r="AH2101" t="s">
        <v>292</v>
      </c>
      <c r="AI2101">
        <v>-0.23</v>
      </c>
      <c r="AJ2101">
        <v>2.09</v>
      </c>
      <c r="AK2101">
        <v>0.88</v>
      </c>
      <c r="AL2101">
        <v>1.81</v>
      </c>
    </row>
    <row r="2102" spans="1:38" x14ac:dyDescent="0.25">
      <c r="A2102">
        <v>2101</v>
      </c>
      <c r="B2102" t="str">
        <f xml:space="preserve"> "002722"</f>
        <v>002722</v>
      </c>
      <c r="C2102" t="s">
        <v>6936</v>
      </c>
      <c r="D2102">
        <v>34.28</v>
      </c>
      <c r="E2102">
        <v>-5.15</v>
      </c>
      <c r="F2102">
        <v>-1.86</v>
      </c>
      <c r="G2102" t="s">
        <v>2505</v>
      </c>
      <c r="H2102">
        <v>2595</v>
      </c>
      <c r="I2102">
        <v>34.270000000000003</v>
      </c>
      <c r="J2102">
        <v>34.28</v>
      </c>
      <c r="K2102">
        <v>-0.03</v>
      </c>
      <c r="L2102">
        <v>13.78</v>
      </c>
      <c r="M2102" t="s">
        <v>3504</v>
      </c>
      <c r="N2102">
        <v>48.37</v>
      </c>
      <c r="O2102" t="s">
        <v>648</v>
      </c>
      <c r="P2102">
        <v>36.43</v>
      </c>
      <c r="Q2102">
        <v>34.020000000000003</v>
      </c>
      <c r="R2102">
        <v>36.14</v>
      </c>
      <c r="S2102">
        <v>36.14</v>
      </c>
      <c r="T2102">
        <v>6.67</v>
      </c>
      <c r="U2102">
        <v>1.01</v>
      </c>
      <c r="V2102">
        <v>-79.87</v>
      </c>
      <c r="W2102">
        <v>-984</v>
      </c>
      <c r="X2102">
        <v>35.049999999999997</v>
      </c>
      <c r="Y2102" t="s">
        <v>3810</v>
      </c>
      <c r="Z2102" t="s">
        <v>4674</v>
      </c>
      <c r="AA2102">
        <v>1.32</v>
      </c>
      <c r="AB2102">
        <v>17</v>
      </c>
      <c r="AC2102">
        <v>532</v>
      </c>
      <c r="AD2102">
        <v>3.53</v>
      </c>
      <c r="AE2102" t="s">
        <v>3336</v>
      </c>
      <c r="AF2102" t="s">
        <v>1979</v>
      </c>
      <c r="AG2102" t="s">
        <v>6937</v>
      </c>
      <c r="AH2102" t="s">
        <v>1850</v>
      </c>
      <c r="AI2102">
        <v>-7.95</v>
      </c>
      <c r="AJ2102">
        <v>-2.17</v>
      </c>
      <c r="AK2102">
        <v>36.450000000000003</v>
      </c>
      <c r="AL2102">
        <v>81.819999999999993</v>
      </c>
    </row>
    <row r="2103" spans="1:38" x14ac:dyDescent="0.25">
      <c r="A2103">
        <v>2102</v>
      </c>
      <c r="B2103" t="str">
        <f xml:space="preserve"> "002090"</f>
        <v>002090</v>
      </c>
      <c r="C2103" t="s">
        <v>6938</v>
      </c>
      <c r="D2103">
        <v>25.29</v>
      </c>
      <c r="E2103">
        <v>-0.51</v>
      </c>
      <c r="F2103">
        <v>-0.13</v>
      </c>
      <c r="G2103" t="s">
        <v>2232</v>
      </c>
      <c r="H2103">
        <v>143</v>
      </c>
      <c r="I2103">
        <v>25.27</v>
      </c>
      <c r="J2103">
        <v>25.29</v>
      </c>
      <c r="K2103">
        <v>0.04</v>
      </c>
      <c r="L2103">
        <v>0.57999999999999996</v>
      </c>
      <c r="M2103" t="s">
        <v>4894</v>
      </c>
      <c r="N2103">
        <v>38.82</v>
      </c>
      <c r="O2103" t="s">
        <v>553</v>
      </c>
      <c r="P2103">
        <v>25.46</v>
      </c>
      <c r="Q2103">
        <v>25.21</v>
      </c>
      <c r="R2103">
        <v>25.46</v>
      </c>
      <c r="S2103">
        <v>25.42</v>
      </c>
      <c r="T2103">
        <v>0.98</v>
      </c>
      <c r="U2103">
        <v>0.7</v>
      </c>
      <c r="V2103">
        <v>-14.26</v>
      </c>
      <c r="W2103">
        <v>-157</v>
      </c>
      <c r="X2103">
        <v>25.28</v>
      </c>
      <c r="Y2103">
        <v>7225</v>
      </c>
      <c r="Z2103">
        <v>4859</v>
      </c>
      <c r="AA2103">
        <v>1.49</v>
      </c>
      <c r="AB2103">
        <v>20</v>
      </c>
      <c r="AC2103">
        <v>94</v>
      </c>
      <c r="AD2103">
        <v>4.97</v>
      </c>
      <c r="AE2103" t="s">
        <v>1197</v>
      </c>
      <c r="AF2103" t="s">
        <v>1979</v>
      </c>
      <c r="AG2103" t="s">
        <v>883</v>
      </c>
      <c r="AH2103" t="s">
        <v>6939</v>
      </c>
      <c r="AI2103">
        <v>-1.1000000000000001</v>
      </c>
      <c r="AJ2103">
        <v>0.12</v>
      </c>
      <c r="AK2103">
        <v>2.1</v>
      </c>
      <c r="AL2103">
        <v>4.75</v>
      </c>
    </row>
    <row r="2104" spans="1:38" x14ac:dyDescent="0.25">
      <c r="A2104">
        <v>2103</v>
      </c>
      <c r="B2104" t="str">
        <f xml:space="preserve"> "002713"</f>
        <v>002713</v>
      </c>
      <c r="C2104" t="s">
        <v>6940</v>
      </c>
      <c r="D2104">
        <v>23.7</v>
      </c>
      <c r="E2104">
        <v>1.8</v>
      </c>
      <c r="F2104">
        <v>0.42</v>
      </c>
      <c r="G2104" t="s">
        <v>1705</v>
      </c>
      <c r="H2104">
        <v>370</v>
      </c>
      <c r="I2104">
        <v>23.7</v>
      </c>
      <c r="J2104">
        <v>23.71</v>
      </c>
      <c r="K2104">
        <v>0</v>
      </c>
      <c r="L2104">
        <v>3.61</v>
      </c>
      <c r="M2104" t="s">
        <v>6941</v>
      </c>
      <c r="N2104">
        <v>-391.54</v>
      </c>
      <c r="O2104" t="s">
        <v>2309</v>
      </c>
      <c r="P2104">
        <v>23.92</v>
      </c>
      <c r="Q2104">
        <v>22.89</v>
      </c>
      <c r="R2104">
        <v>23.58</v>
      </c>
      <c r="S2104">
        <v>23.28</v>
      </c>
      <c r="T2104">
        <v>4.42</v>
      </c>
      <c r="U2104">
        <v>1.1000000000000001</v>
      </c>
      <c r="V2104">
        <v>-20.75</v>
      </c>
      <c r="W2104">
        <v>-122</v>
      </c>
      <c r="X2104">
        <v>23.32</v>
      </c>
      <c r="Y2104" t="s">
        <v>3603</v>
      </c>
      <c r="Z2104">
        <v>9570</v>
      </c>
      <c r="AA2104">
        <v>1.83</v>
      </c>
      <c r="AB2104">
        <v>139</v>
      </c>
      <c r="AC2104">
        <v>202</v>
      </c>
      <c r="AD2104">
        <v>7.07</v>
      </c>
      <c r="AE2104" t="s">
        <v>3561</v>
      </c>
      <c r="AF2104" t="s">
        <v>1979</v>
      </c>
      <c r="AG2104" t="s">
        <v>6942</v>
      </c>
      <c r="AH2104" t="s">
        <v>1713</v>
      </c>
      <c r="AI2104">
        <v>4.59</v>
      </c>
      <c r="AJ2104">
        <v>10.96</v>
      </c>
      <c r="AK2104">
        <v>12.77</v>
      </c>
      <c r="AL2104">
        <v>19.989999999999998</v>
      </c>
    </row>
    <row r="2105" spans="1:38" x14ac:dyDescent="0.25">
      <c r="A2105">
        <v>2104</v>
      </c>
      <c r="B2105" t="str">
        <f xml:space="preserve"> "300325"</f>
        <v>300325</v>
      </c>
      <c r="C2105" t="s">
        <v>6943</v>
      </c>
      <c r="D2105">
        <v>5.95</v>
      </c>
      <c r="E2105">
        <v>-1.33</v>
      </c>
      <c r="F2105">
        <v>-0.08</v>
      </c>
      <c r="G2105" t="s">
        <v>3100</v>
      </c>
      <c r="H2105">
        <v>531</v>
      </c>
      <c r="I2105">
        <v>5.95</v>
      </c>
      <c r="J2105">
        <v>5.96</v>
      </c>
      <c r="K2105">
        <v>0</v>
      </c>
      <c r="L2105">
        <v>1</v>
      </c>
      <c r="M2105" t="s">
        <v>6944</v>
      </c>
      <c r="N2105">
        <v>305.67</v>
      </c>
      <c r="O2105" t="s">
        <v>859</v>
      </c>
      <c r="P2105">
        <v>6</v>
      </c>
      <c r="Q2105">
        <v>5.8</v>
      </c>
      <c r="R2105">
        <v>5.98</v>
      </c>
      <c r="S2105">
        <v>6.03</v>
      </c>
      <c r="T2105">
        <v>3.32</v>
      </c>
      <c r="U2105">
        <v>0.95</v>
      </c>
      <c r="V2105">
        <v>22.12</v>
      </c>
      <c r="W2105">
        <v>1681</v>
      </c>
      <c r="X2105">
        <v>5.91</v>
      </c>
      <c r="Y2105" t="s">
        <v>72</v>
      </c>
      <c r="Z2105" t="s">
        <v>6945</v>
      </c>
      <c r="AA2105">
        <v>1.29</v>
      </c>
      <c r="AB2105">
        <v>1382</v>
      </c>
      <c r="AC2105">
        <v>481</v>
      </c>
      <c r="AD2105">
        <v>4.08</v>
      </c>
      <c r="AE2105" t="s">
        <v>262</v>
      </c>
      <c r="AF2105" t="s">
        <v>1979</v>
      </c>
      <c r="AG2105" t="s">
        <v>6946</v>
      </c>
      <c r="AH2105" t="s">
        <v>348</v>
      </c>
      <c r="AI2105">
        <v>-2.14</v>
      </c>
      <c r="AJ2105">
        <v>-1.98</v>
      </c>
      <c r="AK2105">
        <v>3.52</v>
      </c>
      <c r="AL2105">
        <v>6.29</v>
      </c>
    </row>
    <row r="2106" spans="1:38" x14ac:dyDescent="0.25">
      <c r="A2106">
        <v>2105</v>
      </c>
      <c r="B2106" t="str">
        <f xml:space="preserve"> "300570"</f>
        <v>300570</v>
      </c>
      <c r="C2106" t="s">
        <v>6947</v>
      </c>
      <c r="D2106">
        <v>26.12</v>
      </c>
      <c r="E2106">
        <v>-3.79</v>
      </c>
      <c r="F2106">
        <v>-1.03</v>
      </c>
      <c r="G2106" t="s">
        <v>767</v>
      </c>
      <c r="H2106">
        <v>1430</v>
      </c>
      <c r="I2106">
        <v>26.12</v>
      </c>
      <c r="J2106">
        <v>26.13</v>
      </c>
      <c r="K2106">
        <v>0.08</v>
      </c>
      <c r="L2106">
        <v>21.18</v>
      </c>
      <c r="M2106" t="s">
        <v>2471</v>
      </c>
      <c r="N2106">
        <v>62.69</v>
      </c>
      <c r="O2106" t="s">
        <v>380</v>
      </c>
      <c r="P2106">
        <v>26.8</v>
      </c>
      <c r="Q2106">
        <v>25.43</v>
      </c>
      <c r="R2106">
        <v>26.7</v>
      </c>
      <c r="S2106">
        <v>27.15</v>
      </c>
      <c r="T2106">
        <v>5.05</v>
      </c>
      <c r="U2106">
        <v>0.78</v>
      </c>
      <c r="V2106">
        <v>41.45</v>
      </c>
      <c r="W2106">
        <v>660</v>
      </c>
      <c r="X2106">
        <v>25.99</v>
      </c>
      <c r="Y2106" t="s">
        <v>1006</v>
      </c>
      <c r="Z2106" t="s">
        <v>2407</v>
      </c>
      <c r="AA2106">
        <v>1.49</v>
      </c>
      <c r="AB2106">
        <v>184</v>
      </c>
      <c r="AC2106">
        <v>116</v>
      </c>
      <c r="AD2106">
        <v>5.65</v>
      </c>
      <c r="AE2106" t="s">
        <v>2845</v>
      </c>
      <c r="AF2106" t="s">
        <v>1979</v>
      </c>
      <c r="AG2106" t="s">
        <v>6948</v>
      </c>
      <c r="AH2106" t="s">
        <v>2347</v>
      </c>
      <c r="AI2106">
        <v>-6.14</v>
      </c>
      <c r="AJ2106">
        <v>17.18</v>
      </c>
      <c r="AK2106">
        <v>81.87</v>
      </c>
      <c r="AL2106">
        <v>157.35</v>
      </c>
    </row>
    <row r="2107" spans="1:38" x14ac:dyDescent="0.25">
      <c r="A2107">
        <v>2106</v>
      </c>
      <c r="B2107" t="str">
        <f xml:space="preserve"> "603669"</f>
        <v>603669</v>
      </c>
      <c r="C2107" t="s">
        <v>6949</v>
      </c>
      <c r="D2107">
        <v>23.1</v>
      </c>
      <c r="E2107">
        <v>3.13</v>
      </c>
      <c r="F2107">
        <v>0.7</v>
      </c>
      <c r="G2107" t="s">
        <v>4003</v>
      </c>
      <c r="H2107">
        <v>3</v>
      </c>
      <c r="I2107">
        <v>23.09</v>
      </c>
      <c r="J2107">
        <v>23.1</v>
      </c>
      <c r="K2107">
        <v>-0.13</v>
      </c>
      <c r="L2107">
        <v>3.98</v>
      </c>
      <c r="M2107" t="s">
        <v>6950</v>
      </c>
      <c r="N2107">
        <v>50.93</v>
      </c>
      <c r="O2107" t="s">
        <v>392</v>
      </c>
      <c r="P2107">
        <v>24.25</v>
      </c>
      <c r="Q2107">
        <v>22.39</v>
      </c>
      <c r="R2107">
        <v>22.4</v>
      </c>
      <c r="S2107">
        <v>22.4</v>
      </c>
      <c r="T2107">
        <v>8.3000000000000007</v>
      </c>
      <c r="U2107">
        <v>3.75</v>
      </c>
      <c r="V2107">
        <v>-34.65</v>
      </c>
      <c r="W2107">
        <v>-158</v>
      </c>
      <c r="X2107">
        <v>23.39</v>
      </c>
      <c r="Y2107" t="s">
        <v>3519</v>
      </c>
      <c r="Z2107" t="s">
        <v>1340</v>
      </c>
      <c r="AA2107">
        <v>0.88</v>
      </c>
      <c r="AB2107">
        <v>11</v>
      </c>
      <c r="AC2107">
        <v>1</v>
      </c>
      <c r="AD2107">
        <v>5.0199999999999996</v>
      </c>
      <c r="AE2107" t="s">
        <v>2807</v>
      </c>
      <c r="AF2107" t="s">
        <v>1979</v>
      </c>
      <c r="AG2107" t="s">
        <v>6951</v>
      </c>
      <c r="AH2107" t="s">
        <v>1063</v>
      </c>
      <c r="AI2107">
        <v>1.76</v>
      </c>
      <c r="AJ2107">
        <v>5.14</v>
      </c>
      <c r="AK2107">
        <v>6.52</v>
      </c>
      <c r="AL2107">
        <v>9.2799999999999994</v>
      </c>
    </row>
    <row r="2108" spans="1:38" x14ac:dyDescent="0.25">
      <c r="A2108">
        <v>2107</v>
      </c>
      <c r="B2108" t="str">
        <f xml:space="preserve"> "002160"</f>
        <v>002160</v>
      </c>
      <c r="C2108" t="s">
        <v>6952</v>
      </c>
      <c r="D2108">
        <v>8.2799999999999994</v>
      </c>
      <c r="E2108">
        <v>0</v>
      </c>
      <c r="F2108">
        <v>0</v>
      </c>
      <c r="G2108" t="s">
        <v>3760</v>
      </c>
      <c r="H2108">
        <v>854</v>
      </c>
      <c r="I2108">
        <v>8.27</v>
      </c>
      <c r="J2108">
        <v>8.2799999999999994</v>
      </c>
      <c r="K2108">
        <v>0.12</v>
      </c>
      <c r="L2108">
        <v>1.7</v>
      </c>
      <c r="M2108" t="s">
        <v>6953</v>
      </c>
      <c r="N2108">
        <v>46.36</v>
      </c>
      <c r="O2108" t="s">
        <v>449</v>
      </c>
      <c r="P2108">
        <v>8.3800000000000008</v>
      </c>
      <c r="Q2108">
        <v>8.18</v>
      </c>
      <c r="R2108">
        <v>8.27</v>
      </c>
      <c r="S2108">
        <v>8.2799999999999994</v>
      </c>
      <c r="T2108">
        <v>2.42</v>
      </c>
      <c r="U2108">
        <v>0.63</v>
      </c>
      <c r="V2108">
        <v>-6.49</v>
      </c>
      <c r="W2108">
        <v>-312</v>
      </c>
      <c r="X2108">
        <v>8.26</v>
      </c>
      <c r="Y2108" t="s">
        <v>2987</v>
      </c>
      <c r="Z2108" t="s">
        <v>1908</v>
      </c>
      <c r="AA2108">
        <v>1.6</v>
      </c>
      <c r="AB2108">
        <v>428</v>
      </c>
      <c r="AC2108">
        <v>929</v>
      </c>
      <c r="AD2108">
        <v>1.93</v>
      </c>
      <c r="AE2108" t="s">
        <v>3936</v>
      </c>
      <c r="AF2108" t="s">
        <v>6365</v>
      </c>
      <c r="AG2108" t="s">
        <v>3800</v>
      </c>
      <c r="AH2108" t="s">
        <v>3422</v>
      </c>
      <c r="AI2108">
        <v>1.22</v>
      </c>
      <c r="AJ2108">
        <v>3.63</v>
      </c>
      <c r="AK2108">
        <v>9.86</v>
      </c>
      <c r="AL2108">
        <v>15.18</v>
      </c>
    </row>
    <row r="2109" spans="1:38" x14ac:dyDescent="0.25">
      <c r="A2109">
        <v>2108</v>
      </c>
      <c r="B2109" t="str">
        <f xml:space="preserve"> "002076"</f>
        <v>002076</v>
      </c>
      <c r="C2109" t="s">
        <v>6954</v>
      </c>
      <c r="D2109">
        <v>8.1999999999999993</v>
      </c>
      <c r="E2109">
        <v>5.4</v>
      </c>
      <c r="F2109">
        <v>0.42</v>
      </c>
      <c r="G2109" t="s">
        <v>6955</v>
      </c>
      <c r="H2109">
        <v>6258</v>
      </c>
      <c r="I2109">
        <v>8.19</v>
      </c>
      <c r="J2109">
        <v>8.1999999999999993</v>
      </c>
      <c r="K2109">
        <v>0.12</v>
      </c>
      <c r="L2109">
        <v>23.8</v>
      </c>
      <c r="M2109" t="s">
        <v>2245</v>
      </c>
      <c r="N2109">
        <v>199.76</v>
      </c>
      <c r="O2109" t="s">
        <v>380</v>
      </c>
      <c r="P2109">
        <v>8.49</v>
      </c>
      <c r="Q2109">
        <v>7.78</v>
      </c>
      <c r="R2109">
        <v>7.95</v>
      </c>
      <c r="S2109">
        <v>7.78</v>
      </c>
      <c r="T2109">
        <v>9.1300000000000008</v>
      </c>
      <c r="U2109">
        <v>4.7300000000000004</v>
      </c>
      <c r="V2109">
        <v>31.01</v>
      </c>
      <c r="W2109">
        <v>5422</v>
      </c>
      <c r="X2109">
        <v>8.1300000000000008</v>
      </c>
      <c r="Y2109" t="s">
        <v>3426</v>
      </c>
      <c r="Z2109" t="s">
        <v>6956</v>
      </c>
      <c r="AA2109">
        <v>0.81</v>
      </c>
      <c r="AB2109">
        <v>3201</v>
      </c>
      <c r="AC2109">
        <v>4140</v>
      </c>
      <c r="AD2109">
        <v>5.88</v>
      </c>
      <c r="AE2109" t="s">
        <v>3149</v>
      </c>
      <c r="AF2109" t="s">
        <v>5636</v>
      </c>
      <c r="AG2109" t="s">
        <v>1470</v>
      </c>
      <c r="AH2109" t="s">
        <v>1855</v>
      </c>
      <c r="AI2109">
        <v>15.98</v>
      </c>
      <c r="AJ2109">
        <v>15.98</v>
      </c>
      <c r="AK2109">
        <v>31.61</v>
      </c>
      <c r="AL2109">
        <v>31.61</v>
      </c>
    </row>
    <row r="2110" spans="1:38" x14ac:dyDescent="0.25">
      <c r="A2110">
        <v>2109</v>
      </c>
      <c r="B2110" t="str">
        <f xml:space="preserve"> "600070"</f>
        <v>600070</v>
      </c>
      <c r="C2110" t="s">
        <v>6957</v>
      </c>
      <c r="D2110">
        <v>11.47</v>
      </c>
      <c r="E2110">
        <v>3.52</v>
      </c>
      <c r="F2110">
        <v>0.39</v>
      </c>
      <c r="G2110" t="s">
        <v>1237</v>
      </c>
      <c r="H2110">
        <v>171</v>
      </c>
      <c r="I2110">
        <v>11.44</v>
      </c>
      <c r="J2110">
        <v>11.45</v>
      </c>
      <c r="K2110">
        <v>0</v>
      </c>
      <c r="L2110">
        <v>3.83</v>
      </c>
      <c r="M2110" t="s">
        <v>1750</v>
      </c>
      <c r="N2110">
        <v>30.79</v>
      </c>
      <c r="O2110" t="s">
        <v>1443</v>
      </c>
      <c r="P2110">
        <v>11.85</v>
      </c>
      <c r="Q2110">
        <v>10.94</v>
      </c>
      <c r="R2110">
        <v>10.98</v>
      </c>
      <c r="S2110">
        <v>11.08</v>
      </c>
      <c r="T2110">
        <v>8.2100000000000009</v>
      </c>
      <c r="U2110">
        <v>3.26</v>
      </c>
      <c r="V2110">
        <v>-2.0099999999999998</v>
      </c>
      <c r="W2110">
        <v>-53</v>
      </c>
      <c r="X2110">
        <v>11.45</v>
      </c>
      <c r="Y2110" t="s">
        <v>3750</v>
      </c>
      <c r="Z2110" t="s">
        <v>4481</v>
      </c>
      <c r="AA2110">
        <v>0.89</v>
      </c>
      <c r="AB2110">
        <v>32</v>
      </c>
      <c r="AC2110">
        <v>429</v>
      </c>
      <c r="AD2110">
        <v>2.71</v>
      </c>
      <c r="AE2110" t="s">
        <v>4417</v>
      </c>
      <c r="AF2110" t="s">
        <v>5636</v>
      </c>
      <c r="AG2110" t="s">
        <v>2425</v>
      </c>
      <c r="AH2110" t="s">
        <v>1265</v>
      </c>
      <c r="AI2110">
        <v>5.91</v>
      </c>
      <c r="AJ2110">
        <v>7.1</v>
      </c>
      <c r="AK2110">
        <v>7.61</v>
      </c>
      <c r="AL2110">
        <v>9.7200000000000006</v>
      </c>
    </row>
    <row r="2111" spans="1:38" x14ac:dyDescent="0.25">
      <c r="A2111">
        <v>2110</v>
      </c>
      <c r="B2111" t="str">
        <f xml:space="preserve"> "002641"</f>
        <v>002641</v>
      </c>
      <c r="C2111" t="s">
        <v>6958</v>
      </c>
      <c r="D2111">
        <v>5.33</v>
      </c>
      <c r="E2111">
        <v>0.76</v>
      </c>
      <c r="F2111">
        <v>0.04</v>
      </c>
      <c r="G2111" t="s">
        <v>3696</v>
      </c>
      <c r="H2111">
        <v>772</v>
      </c>
      <c r="I2111">
        <v>5.32</v>
      </c>
      <c r="J2111">
        <v>5.33</v>
      </c>
      <c r="K2111">
        <v>0</v>
      </c>
      <c r="L2111">
        <v>0.23</v>
      </c>
      <c r="M2111" t="s">
        <v>6959</v>
      </c>
      <c r="N2111">
        <v>47.38</v>
      </c>
      <c r="O2111" t="s">
        <v>2128</v>
      </c>
      <c r="P2111">
        <v>5.33</v>
      </c>
      <c r="Q2111">
        <v>5.26</v>
      </c>
      <c r="R2111">
        <v>5.3</v>
      </c>
      <c r="S2111">
        <v>5.29</v>
      </c>
      <c r="T2111">
        <v>1.32</v>
      </c>
      <c r="U2111">
        <v>0.43</v>
      </c>
      <c r="V2111">
        <v>-33.15</v>
      </c>
      <c r="W2111">
        <v>-2326</v>
      </c>
      <c r="X2111">
        <v>5.3</v>
      </c>
      <c r="Y2111" t="s">
        <v>2284</v>
      </c>
      <c r="Z2111" t="s">
        <v>1685</v>
      </c>
      <c r="AA2111">
        <v>1.02</v>
      </c>
      <c r="AB2111">
        <v>926</v>
      </c>
      <c r="AC2111">
        <v>117</v>
      </c>
      <c r="AD2111">
        <v>2.34</v>
      </c>
      <c r="AE2111" t="s">
        <v>2328</v>
      </c>
      <c r="AF2111" t="s">
        <v>5636</v>
      </c>
      <c r="AG2111" t="s">
        <v>243</v>
      </c>
      <c r="AH2111" t="s">
        <v>1287</v>
      </c>
      <c r="AI2111">
        <v>-0.93</v>
      </c>
      <c r="AJ2111">
        <v>-2.2000000000000002</v>
      </c>
      <c r="AK2111">
        <v>0.88</v>
      </c>
      <c r="AL2111">
        <v>2.87</v>
      </c>
    </row>
    <row r="2112" spans="1:38" x14ac:dyDescent="0.25">
      <c r="A2112">
        <v>2111</v>
      </c>
      <c r="B2112" t="str">
        <f xml:space="preserve"> "300528"</f>
        <v>300528</v>
      </c>
      <c r="C2112" t="s">
        <v>6960</v>
      </c>
      <c r="D2112">
        <v>16.05</v>
      </c>
      <c r="E2112">
        <v>0.44</v>
      </c>
      <c r="F2112">
        <v>7.0000000000000007E-2</v>
      </c>
      <c r="G2112" t="s">
        <v>623</v>
      </c>
      <c r="H2112">
        <v>298</v>
      </c>
      <c r="I2112">
        <v>16.04</v>
      </c>
      <c r="J2112">
        <v>16.05</v>
      </c>
      <c r="K2112">
        <v>0.06</v>
      </c>
      <c r="L2112">
        <v>1.77</v>
      </c>
      <c r="M2112" t="s">
        <v>6961</v>
      </c>
      <c r="N2112">
        <v>45.69</v>
      </c>
      <c r="O2112" t="s">
        <v>1126</v>
      </c>
      <c r="P2112">
        <v>16.170000000000002</v>
      </c>
      <c r="Q2112">
        <v>15.79</v>
      </c>
      <c r="R2112">
        <v>15.81</v>
      </c>
      <c r="S2112">
        <v>15.98</v>
      </c>
      <c r="T2112">
        <v>2.38</v>
      </c>
      <c r="U2112">
        <v>0.93</v>
      </c>
      <c r="V2112">
        <v>-25.8</v>
      </c>
      <c r="W2112">
        <v>-133</v>
      </c>
      <c r="X2112">
        <v>15.97</v>
      </c>
      <c r="Y2112" t="s">
        <v>1579</v>
      </c>
      <c r="Z2112" t="s">
        <v>1077</v>
      </c>
      <c r="AA2112">
        <v>1.04</v>
      </c>
      <c r="AB2112">
        <v>7</v>
      </c>
      <c r="AC2112">
        <v>25</v>
      </c>
      <c r="AD2112">
        <v>3.18</v>
      </c>
      <c r="AE2112" t="s">
        <v>4181</v>
      </c>
      <c r="AF2112" t="s">
        <v>6962</v>
      </c>
      <c r="AG2112" t="s">
        <v>2231</v>
      </c>
      <c r="AH2112" t="s">
        <v>903</v>
      </c>
      <c r="AI2112">
        <v>-2.5499999999999998</v>
      </c>
      <c r="AJ2112">
        <v>-0.31</v>
      </c>
      <c r="AK2112">
        <v>6.52</v>
      </c>
      <c r="AL2112">
        <v>11.29</v>
      </c>
    </row>
    <row r="2113" spans="1:38" x14ac:dyDescent="0.25">
      <c r="A2113">
        <v>2112</v>
      </c>
      <c r="B2113" t="str">
        <f xml:space="preserve"> "603339"</f>
        <v>603339</v>
      </c>
      <c r="C2113" t="s">
        <v>6963</v>
      </c>
      <c r="D2113">
        <v>28.42</v>
      </c>
      <c r="E2113">
        <v>0.35</v>
      </c>
      <c r="F2113">
        <v>0.1</v>
      </c>
      <c r="G2113" t="s">
        <v>2444</v>
      </c>
      <c r="H2113">
        <v>4</v>
      </c>
      <c r="I2113">
        <v>28.4</v>
      </c>
      <c r="J2113">
        <v>28.44</v>
      </c>
      <c r="K2113">
        <v>0</v>
      </c>
      <c r="L2113">
        <v>4.12</v>
      </c>
      <c r="M2113" t="s">
        <v>6964</v>
      </c>
      <c r="N2113">
        <v>43.19</v>
      </c>
      <c r="O2113" t="s">
        <v>648</v>
      </c>
      <c r="P2113">
        <v>28.69</v>
      </c>
      <c r="Q2113">
        <v>27.89</v>
      </c>
      <c r="R2113">
        <v>28.06</v>
      </c>
      <c r="S2113">
        <v>28.32</v>
      </c>
      <c r="T2113">
        <v>2.82</v>
      </c>
      <c r="U2113">
        <v>0.85</v>
      </c>
      <c r="V2113">
        <v>-9.8800000000000008</v>
      </c>
      <c r="W2113">
        <v>-41</v>
      </c>
      <c r="X2113">
        <v>28.36</v>
      </c>
      <c r="Y2113" t="s">
        <v>2232</v>
      </c>
      <c r="Z2113" t="s">
        <v>2241</v>
      </c>
      <c r="AA2113">
        <v>1.06</v>
      </c>
      <c r="AB2113">
        <v>29</v>
      </c>
      <c r="AC2113">
        <v>2</v>
      </c>
      <c r="AD2113">
        <v>4.42</v>
      </c>
      <c r="AE2113" t="s">
        <v>1538</v>
      </c>
      <c r="AF2113" t="s">
        <v>6962</v>
      </c>
      <c r="AG2113" t="s">
        <v>4945</v>
      </c>
      <c r="AH2113" t="s">
        <v>3071</v>
      </c>
      <c r="AI2113">
        <v>2.86</v>
      </c>
      <c r="AJ2113">
        <v>5.53</v>
      </c>
      <c r="AK2113">
        <v>20.58</v>
      </c>
      <c r="AL2113">
        <v>28.25</v>
      </c>
    </row>
    <row r="2114" spans="1:38" x14ac:dyDescent="0.25">
      <c r="A2114">
        <v>2113</v>
      </c>
      <c r="B2114" t="str">
        <f xml:space="preserve"> "000888"</f>
        <v>000888</v>
      </c>
      <c r="C2114" t="s">
        <v>6965</v>
      </c>
      <c r="D2114">
        <v>11.34</v>
      </c>
      <c r="E2114">
        <v>0.18</v>
      </c>
      <c r="F2114">
        <v>0.02</v>
      </c>
      <c r="G2114" t="s">
        <v>2252</v>
      </c>
      <c r="H2114">
        <v>472</v>
      </c>
      <c r="I2114">
        <v>11.33</v>
      </c>
      <c r="J2114">
        <v>11.34</v>
      </c>
      <c r="K2114">
        <v>0</v>
      </c>
      <c r="L2114">
        <v>0.34</v>
      </c>
      <c r="M2114" t="s">
        <v>6966</v>
      </c>
      <c r="N2114">
        <v>47.59</v>
      </c>
      <c r="O2114" t="s">
        <v>951</v>
      </c>
      <c r="P2114">
        <v>11.36</v>
      </c>
      <c r="Q2114">
        <v>11.3</v>
      </c>
      <c r="R2114">
        <v>11.35</v>
      </c>
      <c r="S2114">
        <v>11.32</v>
      </c>
      <c r="T2114">
        <v>0.53</v>
      </c>
      <c r="U2114">
        <v>0.41</v>
      </c>
      <c r="V2114">
        <v>23.19</v>
      </c>
      <c r="W2114">
        <v>1310</v>
      </c>
      <c r="X2114">
        <v>11.33</v>
      </c>
      <c r="Y2114">
        <v>9317</v>
      </c>
      <c r="Z2114">
        <v>8729</v>
      </c>
      <c r="AA2114">
        <v>1.07</v>
      </c>
      <c r="AB2114">
        <v>423</v>
      </c>
      <c r="AC2114">
        <v>73</v>
      </c>
      <c r="AD2114">
        <v>2.88</v>
      </c>
      <c r="AE2114" t="s">
        <v>4260</v>
      </c>
      <c r="AF2114" t="s">
        <v>6962</v>
      </c>
      <c r="AG2114" t="s">
        <v>4260</v>
      </c>
      <c r="AH2114" t="s">
        <v>294</v>
      </c>
      <c r="AI2114">
        <v>-0.26</v>
      </c>
      <c r="AJ2114">
        <v>-0.7</v>
      </c>
      <c r="AK2114">
        <v>1.65</v>
      </c>
      <c r="AL2114">
        <v>4.53</v>
      </c>
    </row>
    <row r="2115" spans="1:38" x14ac:dyDescent="0.25">
      <c r="A2115">
        <v>2114</v>
      </c>
      <c r="B2115" t="str">
        <f xml:space="preserve"> "300140"</f>
        <v>300140</v>
      </c>
      <c r="C2115" t="s">
        <v>6967</v>
      </c>
      <c r="D2115" t="s">
        <v>616</v>
      </c>
      <c r="E2115" t="s">
        <v>616</v>
      </c>
      <c r="F2115" t="s">
        <v>616</v>
      </c>
      <c r="G2115" t="s">
        <v>616</v>
      </c>
      <c r="H2115" t="s">
        <v>616</v>
      </c>
      <c r="I2115" t="s">
        <v>616</v>
      </c>
      <c r="J2115" t="s">
        <v>616</v>
      </c>
      <c r="K2115" t="s">
        <v>616</v>
      </c>
      <c r="L2115" t="s">
        <v>616</v>
      </c>
      <c r="M2115" t="s">
        <v>616</v>
      </c>
      <c r="N2115">
        <v>142.52000000000001</v>
      </c>
      <c r="O2115" t="s">
        <v>680</v>
      </c>
      <c r="P2115" t="s">
        <v>616</v>
      </c>
      <c r="Q2115" t="s">
        <v>616</v>
      </c>
      <c r="R2115" t="s">
        <v>616</v>
      </c>
      <c r="S2115">
        <v>17.309999999999999</v>
      </c>
      <c r="T2115" t="s">
        <v>616</v>
      </c>
      <c r="U2115" t="s">
        <v>616</v>
      </c>
      <c r="V2115" t="s">
        <v>616</v>
      </c>
      <c r="W2115" t="s">
        <v>616</v>
      </c>
      <c r="X2115" t="s">
        <v>616</v>
      </c>
      <c r="Y2115" t="s">
        <v>616</v>
      </c>
      <c r="Z2115" t="s">
        <v>616</v>
      </c>
      <c r="AA2115" t="s">
        <v>616</v>
      </c>
      <c r="AB2115" t="s">
        <v>616</v>
      </c>
      <c r="AC2115" t="s">
        <v>616</v>
      </c>
      <c r="AD2115">
        <v>4.7</v>
      </c>
      <c r="AE2115" t="s">
        <v>2198</v>
      </c>
      <c r="AF2115" t="s">
        <v>294</v>
      </c>
      <c r="AG2115" t="s">
        <v>4129</v>
      </c>
      <c r="AH2115" t="s">
        <v>6544</v>
      </c>
      <c r="AI2115">
        <v>0</v>
      </c>
      <c r="AJ2115">
        <v>0</v>
      </c>
      <c r="AK2115">
        <v>0</v>
      </c>
      <c r="AL2115">
        <v>0</v>
      </c>
    </row>
    <row r="2116" spans="1:38" x14ac:dyDescent="0.25">
      <c r="A2116">
        <v>2115</v>
      </c>
      <c r="B2116" t="str">
        <f xml:space="preserve"> "600139"</f>
        <v>600139</v>
      </c>
      <c r="C2116" t="s">
        <v>6968</v>
      </c>
      <c r="D2116">
        <v>9.02</v>
      </c>
      <c r="E2116">
        <v>-0.55000000000000004</v>
      </c>
      <c r="F2116">
        <v>-0.05</v>
      </c>
      <c r="G2116" t="s">
        <v>610</v>
      </c>
      <c r="H2116">
        <v>42</v>
      </c>
      <c r="I2116">
        <v>9</v>
      </c>
      <c r="J2116">
        <v>9.01</v>
      </c>
      <c r="K2116">
        <v>0.11</v>
      </c>
      <c r="L2116">
        <v>1.21</v>
      </c>
      <c r="M2116" t="s">
        <v>6969</v>
      </c>
      <c r="N2116">
        <v>-24.61</v>
      </c>
      <c r="O2116" t="s">
        <v>169</v>
      </c>
      <c r="P2116">
        <v>9.16</v>
      </c>
      <c r="Q2116">
        <v>8.92</v>
      </c>
      <c r="R2116">
        <v>9.07</v>
      </c>
      <c r="S2116">
        <v>9.07</v>
      </c>
      <c r="T2116">
        <v>2.65</v>
      </c>
      <c r="U2116">
        <v>0.99</v>
      </c>
      <c r="V2116">
        <v>30.87</v>
      </c>
      <c r="W2116">
        <v>1087</v>
      </c>
      <c r="X2116">
        <v>9.02</v>
      </c>
      <c r="Y2116" t="s">
        <v>800</v>
      </c>
      <c r="Z2116" t="s">
        <v>952</v>
      </c>
      <c r="AA2116">
        <v>1.23</v>
      </c>
      <c r="AB2116">
        <v>620</v>
      </c>
      <c r="AC2116">
        <v>58</v>
      </c>
      <c r="AD2116">
        <v>6.68</v>
      </c>
      <c r="AE2116" t="s">
        <v>5274</v>
      </c>
      <c r="AF2116" t="s">
        <v>294</v>
      </c>
      <c r="AG2116" t="s">
        <v>5274</v>
      </c>
      <c r="AH2116" t="s">
        <v>294</v>
      </c>
      <c r="AI2116">
        <v>-3.32</v>
      </c>
      <c r="AJ2116">
        <v>-0.99</v>
      </c>
      <c r="AK2116">
        <v>3.66</v>
      </c>
      <c r="AL2116">
        <v>7.28</v>
      </c>
    </row>
    <row r="2117" spans="1:38" x14ac:dyDescent="0.25">
      <c r="A2117">
        <v>2116</v>
      </c>
      <c r="B2117" t="str">
        <f xml:space="preserve"> "002109"</f>
        <v>002109</v>
      </c>
      <c r="C2117" t="s">
        <v>6970</v>
      </c>
      <c r="D2117">
        <v>8.5</v>
      </c>
      <c r="E2117">
        <v>-0.23</v>
      </c>
      <c r="F2117">
        <v>-0.02</v>
      </c>
      <c r="G2117" t="s">
        <v>4449</v>
      </c>
      <c r="H2117">
        <v>1539</v>
      </c>
      <c r="I2117">
        <v>8.5</v>
      </c>
      <c r="J2117">
        <v>8.51</v>
      </c>
      <c r="K2117">
        <v>0.12</v>
      </c>
      <c r="L2117">
        <v>4.3099999999999996</v>
      </c>
      <c r="M2117" t="s">
        <v>6971</v>
      </c>
      <c r="N2117">
        <v>29.81</v>
      </c>
      <c r="O2117" t="s">
        <v>667</v>
      </c>
      <c r="P2117">
        <v>8.56</v>
      </c>
      <c r="Q2117">
        <v>8.42</v>
      </c>
      <c r="R2117">
        <v>8.51</v>
      </c>
      <c r="S2117">
        <v>8.52</v>
      </c>
      <c r="T2117">
        <v>1.64</v>
      </c>
      <c r="U2117">
        <v>0.56999999999999995</v>
      </c>
      <c r="V2117">
        <v>-33.07</v>
      </c>
      <c r="W2117">
        <v>-2590</v>
      </c>
      <c r="X2117">
        <v>8.49</v>
      </c>
      <c r="Y2117" t="s">
        <v>2944</v>
      </c>
      <c r="Z2117" t="s">
        <v>2870</v>
      </c>
      <c r="AA2117">
        <v>1.35</v>
      </c>
      <c r="AB2117">
        <v>313</v>
      </c>
      <c r="AC2117">
        <v>723</v>
      </c>
      <c r="AD2117">
        <v>1.85</v>
      </c>
      <c r="AE2117" t="s">
        <v>6558</v>
      </c>
      <c r="AF2117" t="s">
        <v>294</v>
      </c>
      <c r="AG2117" t="s">
        <v>1538</v>
      </c>
      <c r="AH2117" t="s">
        <v>1365</v>
      </c>
      <c r="AI2117">
        <v>-6.18</v>
      </c>
      <c r="AJ2117">
        <v>-3.74</v>
      </c>
      <c r="AK2117">
        <v>18.600000000000001</v>
      </c>
      <c r="AL2117">
        <v>42.01</v>
      </c>
    </row>
    <row r="2118" spans="1:38" x14ac:dyDescent="0.25">
      <c r="A2118">
        <v>2117</v>
      </c>
      <c r="B2118" t="str">
        <f xml:space="preserve"> "603117"</f>
        <v>603117</v>
      </c>
      <c r="C2118" t="s">
        <v>6972</v>
      </c>
      <c r="D2118">
        <v>12.9</v>
      </c>
      <c r="E2118">
        <v>5.13</v>
      </c>
      <c r="F2118">
        <v>0.63</v>
      </c>
      <c r="G2118" t="s">
        <v>516</v>
      </c>
      <c r="H2118">
        <v>15</v>
      </c>
      <c r="I2118">
        <v>12.9</v>
      </c>
      <c r="J2118">
        <v>12.92</v>
      </c>
      <c r="K2118">
        <v>-0.08</v>
      </c>
      <c r="L2118">
        <v>4.38</v>
      </c>
      <c r="M2118" t="s">
        <v>3976</v>
      </c>
      <c r="N2118">
        <v>61.81</v>
      </c>
      <c r="O2118" t="s">
        <v>274</v>
      </c>
      <c r="P2118">
        <v>13.5</v>
      </c>
      <c r="Q2118">
        <v>12.35</v>
      </c>
      <c r="R2118">
        <v>12.38</v>
      </c>
      <c r="S2118">
        <v>12.27</v>
      </c>
      <c r="T2118">
        <v>9.3699999999999992</v>
      </c>
      <c r="U2118">
        <v>3.96</v>
      </c>
      <c r="V2118">
        <v>3</v>
      </c>
      <c r="W2118">
        <v>48</v>
      </c>
      <c r="X2118">
        <v>13.02</v>
      </c>
      <c r="Y2118" t="s">
        <v>1641</v>
      </c>
      <c r="Z2118" t="s">
        <v>3394</v>
      </c>
      <c r="AA2118">
        <v>0.83</v>
      </c>
      <c r="AB2118">
        <v>154</v>
      </c>
      <c r="AC2118">
        <v>230</v>
      </c>
      <c r="AD2118">
        <v>2.68</v>
      </c>
      <c r="AE2118" t="s">
        <v>772</v>
      </c>
      <c r="AF2118" t="s">
        <v>5914</v>
      </c>
      <c r="AG2118" t="s">
        <v>1320</v>
      </c>
      <c r="AH2118" t="s">
        <v>1249</v>
      </c>
      <c r="AI2118">
        <v>3.2</v>
      </c>
      <c r="AJ2118">
        <v>4.2</v>
      </c>
      <c r="AK2118">
        <v>6.35</v>
      </c>
      <c r="AL2118">
        <v>9.91</v>
      </c>
    </row>
    <row r="2119" spans="1:38" x14ac:dyDescent="0.25">
      <c r="A2119">
        <v>2118</v>
      </c>
      <c r="B2119" t="str">
        <f xml:space="preserve"> "000045"</f>
        <v>000045</v>
      </c>
      <c r="C2119" t="s">
        <v>6973</v>
      </c>
      <c r="D2119">
        <v>11.75</v>
      </c>
      <c r="E2119">
        <v>0.43</v>
      </c>
      <c r="F2119">
        <v>0.05</v>
      </c>
      <c r="G2119" t="s">
        <v>2427</v>
      </c>
      <c r="H2119">
        <v>681</v>
      </c>
      <c r="I2119">
        <v>11.75</v>
      </c>
      <c r="J2119">
        <v>11.76</v>
      </c>
      <c r="K2119">
        <v>0</v>
      </c>
      <c r="L2119">
        <v>0.7</v>
      </c>
      <c r="M2119" t="s">
        <v>6974</v>
      </c>
      <c r="N2119">
        <v>205.83</v>
      </c>
      <c r="O2119" t="s">
        <v>553</v>
      </c>
      <c r="P2119">
        <v>11.84</v>
      </c>
      <c r="Q2119">
        <v>11.66</v>
      </c>
      <c r="R2119">
        <v>11.72</v>
      </c>
      <c r="S2119">
        <v>11.7</v>
      </c>
      <c r="T2119">
        <v>1.54</v>
      </c>
      <c r="U2119">
        <v>0.66</v>
      </c>
      <c r="V2119">
        <v>-41.69</v>
      </c>
      <c r="W2119">
        <v>-1330</v>
      </c>
      <c r="X2119">
        <v>11.75</v>
      </c>
      <c r="Y2119" t="s">
        <v>2255</v>
      </c>
      <c r="Z2119" t="s">
        <v>2773</v>
      </c>
      <c r="AA2119">
        <v>0.97</v>
      </c>
      <c r="AB2119">
        <v>174</v>
      </c>
      <c r="AC2119">
        <v>716</v>
      </c>
      <c r="AD2119">
        <v>2.5299999999999998</v>
      </c>
      <c r="AE2119" t="s">
        <v>4321</v>
      </c>
      <c r="AF2119" t="s">
        <v>6975</v>
      </c>
      <c r="AG2119" t="s">
        <v>6215</v>
      </c>
      <c r="AH2119" t="s">
        <v>4563</v>
      </c>
      <c r="AI2119">
        <v>-0.76</v>
      </c>
      <c r="AJ2119">
        <v>1.82</v>
      </c>
      <c r="AK2119">
        <v>3.31</v>
      </c>
      <c r="AL2119">
        <v>5.99</v>
      </c>
    </row>
    <row r="2120" spans="1:38" x14ac:dyDescent="0.25">
      <c r="A2120">
        <v>2119</v>
      </c>
      <c r="B2120" t="str">
        <f xml:space="preserve"> "603060"</f>
        <v>603060</v>
      </c>
      <c r="C2120" t="s">
        <v>6976</v>
      </c>
      <c r="D2120">
        <v>27</v>
      </c>
      <c r="E2120">
        <v>1.2</v>
      </c>
      <c r="F2120">
        <v>0.32</v>
      </c>
      <c r="G2120">
        <v>9498</v>
      </c>
      <c r="H2120">
        <v>2</v>
      </c>
      <c r="I2120">
        <v>27</v>
      </c>
      <c r="J2120">
        <v>27.02</v>
      </c>
      <c r="K2120">
        <v>-0.04</v>
      </c>
      <c r="L2120">
        <v>1.73</v>
      </c>
      <c r="M2120" t="s">
        <v>6977</v>
      </c>
      <c r="N2120">
        <v>52.37</v>
      </c>
      <c r="O2120" t="s">
        <v>263</v>
      </c>
      <c r="P2120">
        <v>27.12</v>
      </c>
      <c r="Q2120">
        <v>26.56</v>
      </c>
      <c r="R2120">
        <v>26.67</v>
      </c>
      <c r="S2120">
        <v>26.68</v>
      </c>
      <c r="T2120">
        <v>2.1</v>
      </c>
      <c r="U2120">
        <v>0.77</v>
      </c>
      <c r="V2120">
        <v>-73.47</v>
      </c>
      <c r="W2120">
        <v>-277</v>
      </c>
      <c r="X2120">
        <v>26.93</v>
      </c>
      <c r="Y2120">
        <v>4282</v>
      </c>
      <c r="Z2120">
        <v>5216</v>
      </c>
      <c r="AA2120">
        <v>0.82</v>
      </c>
      <c r="AB2120">
        <v>3</v>
      </c>
      <c r="AC2120">
        <v>65</v>
      </c>
      <c r="AD2120">
        <v>6.29</v>
      </c>
      <c r="AE2120" t="s">
        <v>2151</v>
      </c>
      <c r="AF2120" t="s">
        <v>5878</v>
      </c>
      <c r="AG2120" t="s">
        <v>3969</v>
      </c>
      <c r="AH2120" t="s">
        <v>2945</v>
      </c>
      <c r="AI2120">
        <v>-1.42</v>
      </c>
      <c r="AJ2120">
        <v>2.62</v>
      </c>
      <c r="AK2120">
        <v>7.24</v>
      </c>
      <c r="AL2120">
        <v>12.99</v>
      </c>
    </row>
    <row r="2121" spans="1:38" x14ac:dyDescent="0.25">
      <c r="A2121">
        <v>2120</v>
      </c>
      <c r="B2121" t="str">
        <f xml:space="preserve"> "600616"</f>
        <v>600616</v>
      </c>
      <c r="C2121" t="s">
        <v>6978</v>
      </c>
      <c r="D2121">
        <v>11.54</v>
      </c>
      <c r="E2121">
        <v>-0.6</v>
      </c>
      <c r="F2121">
        <v>-7.0000000000000007E-2</v>
      </c>
      <c r="G2121" t="s">
        <v>2181</v>
      </c>
      <c r="H2121">
        <v>17</v>
      </c>
      <c r="I2121">
        <v>11.54</v>
      </c>
      <c r="J2121">
        <v>11.55</v>
      </c>
      <c r="K2121">
        <v>-0.17</v>
      </c>
      <c r="L2121">
        <v>0.86</v>
      </c>
      <c r="M2121" t="s">
        <v>4059</v>
      </c>
      <c r="N2121">
        <v>92.39</v>
      </c>
      <c r="O2121" t="s">
        <v>123</v>
      </c>
      <c r="P2121">
        <v>11.65</v>
      </c>
      <c r="Q2121">
        <v>11.45</v>
      </c>
      <c r="R2121">
        <v>11.54</v>
      </c>
      <c r="S2121">
        <v>11.61</v>
      </c>
      <c r="T2121">
        <v>1.72</v>
      </c>
      <c r="U2121">
        <v>0.67</v>
      </c>
      <c r="V2121">
        <v>-37.01</v>
      </c>
      <c r="W2121">
        <v>-738</v>
      </c>
      <c r="X2121">
        <v>11.53</v>
      </c>
      <c r="Y2121" t="s">
        <v>2966</v>
      </c>
      <c r="Z2121" t="s">
        <v>1076</v>
      </c>
      <c r="AA2121">
        <v>1.31</v>
      </c>
      <c r="AB2121">
        <v>14</v>
      </c>
      <c r="AC2121">
        <v>57</v>
      </c>
      <c r="AD2121">
        <v>3</v>
      </c>
      <c r="AE2121" t="s">
        <v>5642</v>
      </c>
      <c r="AF2121" t="s">
        <v>5878</v>
      </c>
      <c r="AG2121" t="s">
        <v>5642</v>
      </c>
      <c r="AH2121" t="s">
        <v>5878</v>
      </c>
      <c r="AI2121">
        <v>2.94</v>
      </c>
      <c r="AJ2121">
        <v>4.53</v>
      </c>
      <c r="AK2121">
        <v>5.67</v>
      </c>
      <c r="AL2121">
        <v>7.27</v>
      </c>
    </row>
    <row r="2122" spans="1:38" x14ac:dyDescent="0.25">
      <c r="A2122">
        <v>2121</v>
      </c>
      <c r="B2122" t="str">
        <f xml:space="preserve"> "000510"</f>
        <v>000510</v>
      </c>
      <c r="C2122" t="s">
        <v>6979</v>
      </c>
      <c r="D2122">
        <v>9.74</v>
      </c>
      <c r="E2122">
        <v>2.42</v>
      </c>
      <c r="F2122">
        <v>0.23</v>
      </c>
      <c r="G2122" t="s">
        <v>4567</v>
      </c>
      <c r="H2122">
        <v>533</v>
      </c>
      <c r="I2122">
        <v>9.74</v>
      </c>
      <c r="J2122">
        <v>9.75</v>
      </c>
      <c r="K2122">
        <v>0</v>
      </c>
      <c r="L2122">
        <v>1.64</v>
      </c>
      <c r="M2122" t="s">
        <v>6980</v>
      </c>
      <c r="N2122">
        <v>81.98</v>
      </c>
      <c r="O2122" t="s">
        <v>667</v>
      </c>
      <c r="P2122">
        <v>9.7799999999999994</v>
      </c>
      <c r="Q2122">
        <v>9.52</v>
      </c>
      <c r="R2122">
        <v>9.52</v>
      </c>
      <c r="S2122">
        <v>9.51</v>
      </c>
      <c r="T2122">
        <v>2.73</v>
      </c>
      <c r="U2122">
        <v>1.31</v>
      </c>
      <c r="V2122">
        <v>5.0599999999999996</v>
      </c>
      <c r="W2122">
        <v>329</v>
      </c>
      <c r="X2122">
        <v>9.7100000000000009</v>
      </c>
      <c r="Y2122" t="s">
        <v>4843</v>
      </c>
      <c r="Z2122" t="s">
        <v>390</v>
      </c>
      <c r="AA2122">
        <v>0.8</v>
      </c>
      <c r="AB2122">
        <v>428</v>
      </c>
      <c r="AC2122">
        <v>95</v>
      </c>
      <c r="AD2122">
        <v>7.06</v>
      </c>
      <c r="AE2122" t="s">
        <v>3208</v>
      </c>
      <c r="AF2122" t="s">
        <v>6981</v>
      </c>
      <c r="AG2122" t="s">
        <v>3770</v>
      </c>
      <c r="AH2122" t="s">
        <v>3539</v>
      </c>
      <c r="AI2122">
        <v>-1.91</v>
      </c>
      <c r="AJ2122">
        <v>-2.0099999999999998</v>
      </c>
      <c r="AK2122">
        <v>4.76</v>
      </c>
      <c r="AL2122">
        <v>7.9</v>
      </c>
    </row>
    <row r="2123" spans="1:38" x14ac:dyDescent="0.25">
      <c r="A2123">
        <v>2122</v>
      </c>
      <c r="B2123" t="str">
        <f xml:space="preserve"> "603035"</f>
        <v>603035</v>
      </c>
      <c r="C2123" t="s">
        <v>6982</v>
      </c>
      <c r="D2123">
        <v>21.19</v>
      </c>
      <c r="E2123">
        <v>-0.98</v>
      </c>
      <c r="F2123">
        <v>-0.21</v>
      </c>
      <c r="G2123" t="s">
        <v>6015</v>
      </c>
      <c r="H2123">
        <v>31</v>
      </c>
      <c r="I2123">
        <v>21.18</v>
      </c>
      <c r="J2123">
        <v>21.19</v>
      </c>
      <c r="K2123">
        <v>0</v>
      </c>
      <c r="L2123">
        <v>10.86</v>
      </c>
      <c r="M2123" t="s">
        <v>3976</v>
      </c>
      <c r="N2123">
        <v>24.63</v>
      </c>
      <c r="O2123" t="s">
        <v>169</v>
      </c>
      <c r="P2123">
        <v>21.39</v>
      </c>
      <c r="Q2123">
        <v>21.07</v>
      </c>
      <c r="R2123">
        <v>21.14</v>
      </c>
      <c r="S2123">
        <v>21.4</v>
      </c>
      <c r="T2123">
        <v>1.5</v>
      </c>
      <c r="U2123">
        <v>0.71</v>
      </c>
      <c r="V2123">
        <v>-16.79</v>
      </c>
      <c r="W2123">
        <v>-349</v>
      </c>
      <c r="X2123">
        <v>21.19</v>
      </c>
      <c r="Y2123" t="s">
        <v>3161</v>
      </c>
      <c r="Z2123" t="s">
        <v>2515</v>
      </c>
      <c r="AA2123">
        <v>1.45</v>
      </c>
      <c r="AB2123">
        <v>70</v>
      </c>
      <c r="AC2123">
        <v>531</v>
      </c>
      <c r="AD2123">
        <v>2.78</v>
      </c>
      <c r="AE2123" t="s">
        <v>3227</v>
      </c>
      <c r="AF2123" t="s">
        <v>6981</v>
      </c>
      <c r="AG2123" t="s">
        <v>5155</v>
      </c>
      <c r="AH2123" t="s">
        <v>2033</v>
      </c>
      <c r="AI2123">
        <v>5.9</v>
      </c>
      <c r="AJ2123">
        <v>8.61</v>
      </c>
      <c r="AK2123">
        <v>78.08</v>
      </c>
      <c r="AL2123">
        <v>87.38</v>
      </c>
    </row>
    <row r="2124" spans="1:38" x14ac:dyDescent="0.25">
      <c r="A2124">
        <v>2123</v>
      </c>
      <c r="B2124" t="str">
        <f xml:space="preserve"> "002253"</f>
        <v>002253</v>
      </c>
      <c r="C2124" t="s">
        <v>6983</v>
      </c>
      <c r="D2124">
        <v>26.26</v>
      </c>
      <c r="E2124">
        <v>-0.91</v>
      </c>
      <c r="F2124">
        <v>-0.24</v>
      </c>
      <c r="G2124" t="s">
        <v>1489</v>
      </c>
      <c r="H2124">
        <v>804</v>
      </c>
      <c r="I2124">
        <v>26.22</v>
      </c>
      <c r="J2124">
        <v>26.26</v>
      </c>
      <c r="K2124">
        <v>0</v>
      </c>
      <c r="L2124">
        <v>2</v>
      </c>
      <c r="M2124" t="s">
        <v>4443</v>
      </c>
      <c r="N2124">
        <v>216.18</v>
      </c>
      <c r="O2124" t="s">
        <v>893</v>
      </c>
      <c r="P2124">
        <v>26.45</v>
      </c>
      <c r="Q2124">
        <v>25.91</v>
      </c>
      <c r="R2124">
        <v>26.45</v>
      </c>
      <c r="S2124">
        <v>26.5</v>
      </c>
      <c r="T2124">
        <v>2.04</v>
      </c>
      <c r="U2124">
        <v>0.66</v>
      </c>
      <c r="V2124">
        <v>1.22</v>
      </c>
      <c r="W2124">
        <v>16</v>
      </c>
      <c r="X2124">
        <v>26.15</v>
      </c>
      <c r="Y2124" t="s">
        <v>3357</v>
      </c>
      <c r="Z2124" t="s">
        <v>3130</v>
      </c>
      <c r="AA2124">
        <v>1.47</v>
      </c>
      <c r="AB2124">
        <v>64</v>
      </c>
      <c r="AC2124">
        <v>246</v>
      </c>
      <c r="AD2124">
        <v>4.66</v>
      </c>
      <c r="AE2124" t="s">
        <v>2942</v>
      </c>
      <c r="AF2124" t="s">
        <v>502</v>
      </c>
      <c r="AG2124" t="s">
        <v>2519</v>
      </c>
      <c r="AH2124" t="s">
        <v>3540</v>
      </c>
      <c r="AI2124">
        <v>-1.94</v>
      </c>
      <c r="AJ2124">
        <v>4.08</v>
      </c>
      <c r="AK2124">
        <v>7.69</v>
      </c>
      <c r="AL2124">
        <v>17.07</v>
      </c>
    </row>
    <row r="2125" spans="1:38" x14ac:dyDescent="0.25">
      <c r="A2125">
        <v>2124</v>
      </c>
      <c r="B2125" t="str">
        <f xml:space="preserve"> "600345"</f>
        <v>600345</v>
      </c>
      <c r="C2125" t="s">
        <v>6984</v>
      </c>
      <c r="D2125">
        <v>29.9</v>
      </c>
      <c r="E2125">
        <v>-3.36</v>
      </c>
      <c r="F2125">
        <v>-1.04</v>
      </c>
      <c r="G2125" t="s">
        <v>934</v>
      </c>
      <c r="H2125">
        <v>58</v>
      </c>
      <c r="I2125">
        <v>29.89</v>
      </c>
      <c r="J2125">
        <v>29.9</v>
      </c>
      <c r="K2125">
        <v>0.34</v>
      </c>
      <c r="L2125">
        <v>7.46</v>
      </c>
      <c r="M2125" t="s">
        <v>879</v>
      </c>
      <c r="N2125">
        <v>24.72</v>
      </c>
      <c r="O2125" t="s">
        <v>580</v>
      </c>
      <c r="P2125">
        <v>30.77</v>
      </c>
      <c r="Q2125">
        <v>29.59</v>
      </c>
      <c r="R2125">
        <v>30.77</v>
      </c>
      <c r="S2125">
        <v>30.94</v>
      </c>
      <c r="T2125">
        <v>3.81</v>
      </c>
      <c r="U2125">
        <v>0.56000000000000005</v>
      </c>
      <c r="V2125">
        <v>9.1300000000000008</v>
      </c>
      <c r="W2125">
        <v>80</v>
      </c>
      <c r="X2125">
        <v>30</v>
      </c>
      <c r="Y2125" t="s">
        <v>300</v>
      </c>
      <c r="Z2125" t="s">
        <v>602</v>
      </c>
      <c r="AA2125">
        <v>1.45</v>
      </c>
      <c r="AB2125">
        <v>60</v>
      </c>
      <c r="AC2125">
        <v>3</v>
      </c>
      <c r="AD2125">
        <v>4.24</v>
      </c>
      <c r="AE2125" t="s">
        <v>1965</v>
      </c>
      <c r="AF2125" t="s">
        <v>502</v>
      </c>
      <c r="AG2125" t="s">
        <v>1965</v>
      </c>
      <c r="AH2125" t="s">
        <v>502</v>
      </c>
      <c r="AI2125">
        <v>-0.56999999999999995</v>
      </c>
      <c r="AJ2125">
        <v>8.85</v>
      </c>
      <c r="AK2125">
        <v>29.82</v>
      </c>
      <c r="AL2125">
        <v>74.3</v>
      </c>
    </row>
    <row r="2126" spans="1:38" x14ac:dyDescent="0.25">
      <c r="A2126">
        <v>2125</v>
      </c>
      <c r="B2126" t="str">
        <f xml:space="preserve"> "002140"</f>
        <v>002140</v>
      </c>
      <c r="C2126" t="s">
        <v>6985</v>
      </c>
      <c r="D2126">
        <v>13.25</v>
      </c>
      <c r="E2126">
        <v>2.71</v>
      </c>
      <c r="F2126">
        <v>0.35</v>
      </c>
      <c r="G2126" t="s">
        <v>2511</v>
      </c>
      <c r="H2126">
        <v>1686</v>
      </c>
      <c r="I2126">
        <v>13.25</v>
      </c>
      <c r="J2126">
        <v>13.26</v>
      </c>
      <c r="K2126">
        <v>0</v>
      </c>
      <c r="L2126">
        <v>1.44</v>
      </c>
      <c r="M2126" t="s">
        <v>6986</v>
      </c>
      <c r="N2126">
        <v>43.99</v>
      </c>
      <c r="O2126" t="s">
        <v>263</v>
      </c>
      <c r="P2126">
        <v>13.26</v>
      </c>
      <c r="Q2126">
        <v>12.83</v>
      </c>
      <c r="R2126">
        <v>12.89</v>
      </c>
      <c r="S2126">
        <v>12.9</v>
      </c>
      <c r="T2126">
        <v>3.33</v>
      </c>
      <c r="U2126">
        <v>1.67</v>
      </c>
      <c r="V2126">
        <v>9.76</v>
      </c>
      <c r="W2126">
        <v>311</v>
      </c>
      <c r="X2126">
        <v>13.09</v>
      </c>
      <c r="Y2126" t="s">
        <v>2966</v>
      </c>
      <c r="Z2126" t="s">
        <v>1960</v>
      </c>
      <c r="AA2126">
        <v>0.65</v>
      </c>
      <c r="AB2126">
        <v>898</v>
      </c>
      <c r="AC2126">
        <v>328</v>
      </c>
      <c r="AD2126">
        <v>2.87</v>
      </c>
      <c r="AE2126" t="s">
        <v>2744</v>
      </c>
      <c r="AF2126" t="s">
        <v>1396</v>
      </c>
      <c r="AG2126" t="s">
        <v>3567</v>
      </c>
      <c r="AH2126" t="s">
        <v>1562</v>
      </c>
      <c r="AI2126">
        <v>1.69</v>
      </c>
      <c r="AJ2126">
        <v>4.25</v>
      </c>
      <c r="AK2126">
        <v>3.11</v>
      </c>
      <c r="AL2126">
        <v>5.77</v>
      </c>
    </row>
    <row r="2127" spans="1:38" x14ac:dyDescent="0.25">
      <c r="A2127">
        <v>2126</v>
      </c>
      <c r="B2127" t="str">
        <f xml:space="preserve"> "300048"</f>
        <v>300048</v>
      </c>
      <c r="C2127" t="s">
        <v>6987</v>
      </c>
      <c r="D2127">
        <v>5.36</v>
      </c>
      <c r="E2127">
        <v>0.19</v>
      </c>
      <c r="F2127">
        <v>0.01</v>
      </c>
      <c r="G2127" t="s">
        <v>1052</v>
      </c>
      <c r="H2127">
        <v>1375</v>
      </c>
      <c r="I2127">
        <v>5.35</v>
      </c>
      <c r="J2127">
        <v>5.36</v>
      </c>
      <c r="K2127">
        <v>0</v>
      </c>
      <c r="L2127">
        <v>0.61</v>
      </c>
      <c r="M2127" t="s">
        <v>6988</v>
      </c>
      <c r="N2127">
        <v>67.150000000000006</v>
      </c>
      <c r="O2127" t="s">
        <v>169</v>
      </c>
      <c r="P2127">
        <v>5.37</v>
      </c>
      <c r="Q2127">
        <v>5.3</v>
      </c>
      <c r="R2127">
        <v>5.36</v>
      </c>
      <c r="S2127">
        <v>5.35</v>
      </c>
      <c r="T2127">
        <v>1.31</v>
      </c>
      <c r="U2127">
        <v>0.49</v>
      </c>
      <c r="V2127">
        <v>-39.82</v>
      </c>
      <c r="W2127">
        <v>-5478</v>
      </c>
      <c r="X2127">
        <v>5.34</v>
      </c>
      <c r="Y2127" t="s">
        <v>1181</v>
      </c>
      <c r="Z2127" t="s">
        <v>275</v>
      </c>
      <c r="AA2127">
        <v>1.42</v>
      </c>
      <c r="AB2127">
        <v>1274</v>
      </c>
      <c r="AC2127">
        <v>2546</v>
      </c>
      <c r="AD2127">
        <v>2.4</v>
      </c>
      <c r="AE2127" t="s">
        <v>2501</v>
      </c>
      <c r="AF2127" t="s">
        <v>1396</v>
      </c>
      <c r="AG2127" t="s">
        <v>1322</v>
      </c>
      <c r="AH2127" t="s">
        <v>5034</v>
      </c>
      <c r="AI2127">
        <v>-1.29</v>
      </c>
      <c r="AJ2127">
        <v>2.88</v>
      </c>
      <c r="AK2127">
        <v>2.58</v>
      </c>
      <c r="AL2127">
        <v>6.93</v>
      </c>
    </row>
    <row r="2128" spans="1:38" x14ac:dyDescent="0.25">
      <c r="A2128">
        <v>2127</v>
      </c>
      <c r="B2128" t="str">
        <f xml:space="preserve"> "600822"</f>
        <v>600822</v>
      </c>
      <c r="C2128" t="s">
        <v>6989</v>
      </c>
      <c r="D2128">
        <v>11.91</v>
      </c>
      <c r="E2128">
        <v>-1.24</v>
      </c>
      <c r="F2128">
        <v>-0.15</v>
      </c>
      <c r="G2128" t="s">
        <v>899</v>
      </c>
      <c r="H2128">
        <v>77</v>
      </c>
      <c r="I2128">
        <v>11.91</v>
      </c>
      <c r="J2128">
        <v>11.92</v>
      </c>
      <c r="K2128">
        <v>-0.17</v>
      </c>
      <c r="L2128">
        <v>0.47</v>
      </c>
      <c r="M2128" t="s">
        <v>5870</v>
      </c>
      <c r="N2128">
        <v>238.67</v>
      </c>
      <c r="O2128" t="s">
        <v>2001</v>
      </c>
      <c r="P2128">
        <v>12.01</v>
      </c>
      <c r="Q2128">
        <v>11.9</v>
      </c>
      <c r="R2128">
        <v>11.99</v>
      </c>
      <c r="S2128">
        <v>12.06</v>
      </c>
      <c r="T2128">
        <v>0.91</v>
      </c>
      <c r="U2128">
        <v>0.89</v>
      </c>
      <c r="V2128">
        <v>19.899999999999999</v>
      </c>
      <c r="W2128">
        <v>250</v>
      </c>
      <c r="X2128">
        <v>11.94</v>
      </c>
      <c r="Y2128" t="s">
        <v>1799</v>
      </c>
      <c r="Z2128">
        <v>5863</v>
      </c>
      <c r="AA2128">
        <v>2.17</v>
      </c>
      <c r="AB2128">
        <v>16</v>
      </c>
      <c r="AC2128">
        <v>75</v>
      </c>
      <c r="AD2128">
        <v>10.91</v>
      </c>
      <c r="AE2128" t="s">
        <v>4673</v>
      </c>
      <c r="AF2128" t="s">
        <v>1396</v>
      </c>
      <c r="AG2128" t="s">
        <v>3924</v>
      </c>
      <c r="AH2128" t="s">
        <v>2538</v>
      </c>
      <c r="AI2128">
        <v>-0.17</v>
      </c>
      <c r="AJ2128">
        <v>2.5</v>
      </c>
      <c r="AK2128">
        <v>1.98</v>
      </c>
      <c r="AL2128">
        <v>3.11</v>
      </c>
    </row>
    <row r="2129" spans="1:38" x14ac:dyDescent="0.25">
      <c r="A2129">
        <v>2128</v>
      </c>
      <c r="B2129" t="str">
        <f xml:space="preserve"> "300318"</f>
        <v>300318</v>
      </c>
      <c r="C2129" t="s">
        <v>6990</v>
      </c>
      <c r="D2129">
        <v>7.19</v>
      </c>
      <c r="E2129">
        <v>0.42</v>
      </c>
      <c r="F2129">
        <v>0.03</v>
      </c>
      <c r="G2129" t="s">
        <v>5067</v>
      </c>
      <c r="H2129">
        <v>1246</v>
      </c>
      <c r="I2129">
        <v>7.19</v>
      </c>
      <c r="J2129">
        <v>7.2</v>
      </c>
      <c r="K2129">
        <v>-0.14000000000000001</v>
      </c>
      <c r="L2129">
        <v>1.28</v>
      </c>
      <c r="M2129" t="s">
        <v>6991</v>
      </c>
      <c r="N2129">
        <v>189.56</v>
      </c>
      <c r="O2129" t="s">
        <v>1552</v>
      </c>
      <c r="P2129">
        <v>7.32</v>
      </c>
      <c r="Q2129">
        <v>7.1</v>
      </c>
      <c r="R2129">
        <v>7.17</v>
      </c>
      <c r="S2129">
        <v>7.16</v>
      </c>
      <c r="T2129">
        <v>3.07</v>
      </c>
      <c r="U2129">
        <v>0.56000000000000005</v>
      </c>
      <c r="V2129">
        <v>-5.07</v>
      </c>
      <c r="W2129">
        <v>-133</v>
      </c>
      <c r="X2129">
        <v>7.24</v>
      </c>
      <c r="Y2129" t="s">
        <v>1271</v>
      </c>
      <c r="Z2129" t="s">
        <v>4431</v>
      </c>
      <c r="AA2129">
        <v>1.26</v>
      </c>
      <c r="AB2129">
        <v>139</v>
      </c>
      <c r="AC2129">
        <v>569</v>
      </c>
      <c r="AD2129">
        <v>4.0999999999999996</v>
      </c>
      <c r="AE2129" t="s">
        <v>2095</v>
      </c>
      <c r="AF2129" t="s">
        <v>1396</v>
      </c>
      <c r="AG2129" t="s">
        <v>1988</v>
      </c>
      <c r="AH2129" t="s">
        <v>2633</v>
      </c>
      <c r="AI2129">
        <v>-3.75</v>
      </c>
      <c r="AJ2129">
        <v>4.3499999999999996</v>
      </c>
      <c r="AK2129">
        <v>7</v>
      </c>
      <c r="AL2129">
        <v>12.63</v>
      </c>
    </row>
    <row r="2130" spans="1:38" x14ac:dyDescent="0.25">
      <c r="A2130">
        <v>2129</v>
      </c>
      <c r="B2130" t="str">
        <f xml:space="preserve"> "600794"</f>
        <v>600794</v>
      </c>
      <c r="C2130" t="s">
        <v>6992</v>
      </c>
      <c r="D2130">
        <v>4.8600000000000003</v>
      </c>
      <c r="E2130">
        <v>-1.22</v>
      </c>
      <c r="F2130">
        <v>-0.06</v>
      </c>
      <c r="G2130" t="s">
        <v>6993</v>
      </c>
      <c r="H2130">
        <v>30</v>
      </c>
      <c r="I2130">
        <v>4.84</v>
      </c>
      <c r="J2130">
        <v>4.8499999999999996</v>
      </c>
      <c r="K2130">
        <v>0</v>
      </c>
      <c r="L2130">
        <v>3.38</v>
      </c>
      <c r="M2130" t="s">
        <v>1088</v>
      </c>
      <c r="N2130">
        <v>-33.89</v>
      </c>
      <c r="O2130" t="s">
        <v>274</v>
      </c>
      <c r="P2130">
        <v>4.97</v>
      </c>
      <c r="Q2130">
        <v>4.5</v>
      </c>
      <c r="R2130">
        <v>4.93</v>
      </c>
      <c r="S2130">
        <v>4.92</v>
      </c>
      <c r="T2130">
        <v>9.5500000000000007</v>
      </c>
      <c r="U2130">
        <v>2.33</v>
      </c>
      <c r="V2130">
        <v>23.46</v>
      </c>
      <c r="W2130">
        <v>3011</v>
      </c>
      <c r="X2130">
        <v>4.78</v>
      </c>
      <c r="Y2130" t="s">
        <v>2053</v>
      </c>
      <c r="Z2130" t="s">
        <v>442</v>
      </c>
      <c r="AA2130">
        <v>2.5099999999999998</v>
      </c>
      <c r="AB2130">
        <v>98</v>
      </c>
      <c r="AC2130">
        <v>577</v>
      </c>
      <c r="AD2130">
        <v>3.05</v>
      </c>
      <c r="AE2130" t="s">
        <v>2071</v>
      </c>
      <c r="AF2130" t="s">
        <v>6157</v>
      </c>
      <c r="AG2130" t="s">
        <v>1011</v>
      </c>
      <c r="AH2130" t="s">
        <v>750</v>
      </c>
      <c r="AI2130">
        <v>-2.61</v>
      </c>
      <c r="AJ2130">
        <v>3.85</v>
      </c>
      <c r="AK2130">
        <v>5.63</v>
      </c>
      <c r="AL2130">
        <v>10.64</v>
      </c>
    </row>
    <row r="2131" spans="1:38" x14ac:dyDescent="0.25">
      <c r="A2131">
        <v>2130</v>
      </c>
      <c r="B2131" t="str">
        <f xml:space="preserve"> "600396"</f>
        <v>600396</v>
      </c>
      <c r="C2131" t="s">
        <v>6994</v>
      </c>
      <c r="D2131">
        <v>4</v>
      </c>
      <c r="E2131">
        <v>0.76</v>
      </c>
      <c r="F2131">
        <v>0.03</v>
      </c>
      <c r="G2131" t="s">
        <v>1878</v>
      </c>
      <c r="H2131">
        <v>20</v>
      </c>
      <c r="I2131">
        <v>3.99</v>
      </c>
      <c r="J2131">
        <v>4</v>
      </c>
      <c r="K2131">
        <v>0.25</v>
      </c>
      <c r="L2131">
        <v>0.32</v>
      </c>
      <c r="M2131" t="s">
        <v>6995</v>
      </c>
      <c r="N2131">
        <v>-22.95</v>
      </c>
      <c r="O2131" t="s">
        <v>186</v>
      </c>
      <c r="P2131">
        <v>4</v>
      </c>
      <c r="Q2131">
        <v>3.96</v>
      </c>
      <c r="R2131">
        <v>3.96</v>
      </c>
      <c r="S2131">
        <v>3.97</v>
      </c>
      <c r="T2131">
        <v>1.01</v>
      </c>
      <c r="U2131">
        <v>1.35</v>
      </c>
      <c r="V2131">
        <v>-32.75</v>
      </c>
      <c r="W2131">
        <v>-5686</v>
      </c>
      <c r="X2131">
        <v>3.99</v>
      </c>
      <c r="Y2131" t="s">
        <v>2241</v>
      </c>
      <c r="Z2131" t="s">
        <v>2373</v>
      </c>
      <c r="AA2131">
        <v>0.43</v>
      </c>
      <c r="AB2131">
        <v>749</v>
      </c>
      <c r="AC2131">
        <v>44</v>
      </c>
      <c r="AD2131">
        <v>1.69</v>
      </c>
      <c r="AE2131" t="s">
        <v>3009</v>
      </c>
      <c r="AF2131" t="s">
        <v>6157</v>
      </c>
      <c r="AG2131" t="s">
        <v>1572</v>
      </c>
      <c r="AH2131" t="s">
        <v>6525</v>
      </c>
      <c r="AI2131">
        <v>1.01</v>
      </c>
      <c r="AJ2131">
        <v>3.36</v>
      </c>
      <c r="AK2131">
        <v>0.97</v>
      </c>
      <c r="AL2131">
        <v>1.52</v>
      </c>
    </row>
    <row r="2132" spans="1:38" x14ac:dyDescent="0.25">
      <c r="A2132">
        <v>2131</v>
      </c>
      <c r="B2132" t="str">
        <f xml:space="preserve"> "002455"</f>
        <v>002455</v>
      </c>
      <c r="C2132" t="s">
        <v>6996</v>
      </c>
      <c r="D2132">
        <v>12.4</v>
      </c>
      <c r="E2132">
        <v>0.4</v>
      </c>
      <c r="F2132">
        <v>0.05</v>
      </c>
      <c r="G2132" t="s">
        <v>875</v>
      </c>
      <c r="H2132">
        <v>526</v>
      </c>
      <c r="I2132">
        <v>12.39</v>
      </c>
      <c r="J2132">
        <v>12.4</v>
      </c>
      <c r="K2132">
        <v>0</v>
      </c>
      <c r="L2132">
        <v>1.54</v>
      </c>
      <c r="M2132" t="s">
        <v>6997</v>
      </c>
      <c r="N2132">
        <v>50.11</v>
      </c>
      <c r="O2132" t="s">
        <v>667</v>
      </c>
      <c r="P2132">
        <v>12.43</v>
      </c>
      <c r="Q2132">
        <v>12.2</v>
      </c>
      <c r="R2132">
        <v>12.39</v>
      </c>
      <c r="S2132">
        <v>12.35</v>
      </c>
      <c r="T2132">
        <v>1.86</v>
      </c>
      <c r="U2132">
        <v>0.67</v>
      </c>
      <c r="V2132">
        <v>-28.4</v>
      </c>
      <c r="W2132">
        <v>-914</v>
      </c>
      <c r="X2132">
        <v>12.3</v>
      </c>
      <c r="Y2132" t="s">
        <v>3644</v>
      </c>
      <c r="Z2132" t="s">
        <v>3238</v>
      </c>
      <c r="AA2132">
        <v>1.66</v>
      </c>
      <c r="AB2132">
        <v>779</v>
      </c>
      <c r="AC2132">
        <v>421</v>
      </c>
      <c r="AD2132">
        <v>6.84</v>
      </c>
      <c r="AE2132" t="s">
        <v>1082</v>
      </c>
      <c r="AF2132" t="s">
        <v>4574</v>
      </c>
      <c r="AG2132" t="s">
        <v>2471</v>
      </c>
      <c r="AH2132" t="s">
        <v>1616</v>
      </c>
      <c r="AI2132">
        <v>-2.82</v>
      </c>
      <c r="AJ2132">
        <v>-0.8</v>
      </c>
      <c r="AK2132">
        <v>5.34</v>
      </c>
      <c r="AL2132">
        <v>12.99</v>
      </c>
    </row>
    <row r="2133" spans="1:38" x14ac:dyDescent="0.25">
      <c r="A2133">
        <v>2132</v>
      </c>
      <c r="B2133" t="str">
        <f xml:space="preserve"> "002374"</f>
        <v>002374</v>
      </c>
      <c r="C2133" t="s">
        <v>6998</v>
      </c>
      <c r="D2133">
        <v>6.7</v>
      </c>
      <c r="E2133">
        <v>0.45</v>
      </c>
      <c r="F2133">
        <v>0.03</v>
      </c>
      <c r="G2133" t="s">
        <v>846</v>
      </c>
      <c r="H2133">
        <v>809</v>
      </c>
      <c r="I2133">
        <v>6.69</v>
      </c>
      <c r="J2133">
        <v>6.7</v>
      </c>
      <c r="K2133">
        <v>0.15</v>
      </c>
      <c r="L2133">
        <v>1.3</v>
      </c>
      <c r="M2133" t="s">
        <v>6999</v>
      </c>
      <c r="N2133">
        <v>47.52</v>
      </c>
      <c r="O2133" t="s">
        <v>1229</v>
      </c>
      <c r="P2133">
        <v>6.82</v>
      </c>
      <c r="Q2133">
        <v>6.5</v>
      </c>
      <c r="R2133">
        <v>6.62</v>
      </c>
      <c r="S2133">
        <v>6.67</v>
      </c>
      <c r="T2133">
        <v>4.8</v>
      </c>
      <c r="U2133">
        <v>1.69</v>
      </c>
      <c r="V2133">
        <v>-14.5</v>
      </c>
      <c r="W2133">
        <v>-476</v>
      </c>
      <c r="X2133">
        <v>6.63</v>
      </c>
      <c r="Y2133" t="s">
        <v>1843</v>
      </c>
      <c r="Z2133" t="s">
        <v>1074</v>
      </c>
      <c r="AA2133">
        <v>1.05</v>
      </c>
      <c r="AB2133">
        <v>409</v>
      </c>
      <c r="AC2133">
        <v>801</v>
      </c>
      <c r="AD2133">
        <v>1.86</v>
      </c>
      <c r="AE2133" t="s">
        <v>4037</v>
      </c>
      <c r="AF2133" t="s">
        <v>4574</v>
      </c>
      <c r="AG2133" t="s">
        <v>4649</v>
      </c>
      <c r="AH2133" t="s">
        <v>585</v>
      </c>
      <c r="AI2133">
        <v>0.75</v>
      </c>
      <c r="AJ2133">
        <v>0.3</v>
      </c>
      <c r="AK2133">
        <v>3.19</v>
      </c>
      <c r="AL2133">
        <v>5.15</v>
      </c>
    </row>
    <row r="2134" spans="1:38" x14ac:dyDescent="0.25">
      <c r="A2134">
        <v>2133</v>
      </c>
      <c r="B2134" t="str">
        <f xml:space="preserve"> "603168"</f>
        <v>603168</v>
      </c>
      <c r="C2134" t="s">
        <v>7000</v>
      </c>
      <c r="D2134">
        <v>23.66</v>
      </c>
      <c r="E2134">
        <v>1.1100000000000001</v>
      </c>
      <c r="F2134">
        <v>0.26</v>
      </c>
      <c r="G2134" t="s">
        <v>4303</v>
      </c>
      <c r="H2134">
        <v>3</v>
      </c>
      <c r="I2134">
        <v>23.66</v>
      </c>
      <c r="J2134">
        <v>23.67</v>
      </c>
      <c r="K2134">
        <v>0</v>
      </c>
      <c r="L2134">
        <v>1.03</v>
      </c>
      <c r="M2134" t="s">
        <v>7001</v>
      </c>
      <c r="N2134">
        <v>35.29</v>
      </c>
      <c r="O2134" t="s">
        <v>392</v>
      </c>
      <c r="P2134">
        <v>23.78</v>
      </c>
      <c r="Q2134">
        <v>23.2</v>
      </c>
      <c r="R2134">
        <v>23.27</v>
      </c>
      <c r="S2134">
        <v>23.4</v>
      </c>
      <c r="T2134">
        <v>2.48</v>
      </c>
      <c r="U2134">
        <v>1.1200000000000001</v>
      </c>
      <c r="V2134">
        <v>-32.630000000000003</v>
      </c>
      <c r="W2134">
        <v>-217</v>
      </c>
      <c r="X2134">
        <v>23.58</v>
      </c>
      <c r="Y2134">
        <v>7468</v>
      </c>
      <c r="Z2134">
        <v>9252</v>
      </c>
      <c r="AA2134">
        <v>0.81</v>
      </c>
      <c r="AB2134">
        <v>1</v>
      </c>
      <c r="AC2134">
        <v>39</v>
      </c>
      <c r="AD2134">
        <v>3.66</v>
      </c>
      <c r="AE2134" t="s">
        <v>1051</v>
      </c>
      <c r="AF2134" t="s">
        <v>7002</v>
      </c>
      <c r="AG2134" t="s">
        <v>2339</v>
      </c>
      <c r="AH2134" t="s">
        <v>5838</v>
      </c>
      <c r="AI2134">
        <v>1.68</v>
      </c>
      <c r="AJ2134">
        <v>2.96</v>
      </c>
      <c r="AK2134">
        <v>3.17</v>
      </c>
      <c r="AL2134">
        <v>5.6</v>
      </c>
    </row>
    <row r="2135" spans="1:38" x14ac:dyDescent="0.25">
      <c r="A2135">
        <v>2134</v>
      </c>
      <c r="B2135" t="str">
        <f xml:space="preserve"> "002265"</f>
        <v>002265</v>
      </c>
      <c r="C2135" t="s">
        <v>7003</v>
      </c>
      <c r="D2135">
        <v>18.420000000000002</v>
      </c>
      <c r="E2135">
        <v>-1.02</v>
      </c>
      <c r="F2135">
        <v>-0.19</v>
      </c>
      <c r="G2135" t="s">
        <v>42</v>
      </c>
      <c r="H2135">
        <v>571</v>
      </c>
      <c r="I2135">
        <v>18.420000000000002</v>
      </c>
      <c r="J2135">
        <v>18.43</v>
      </c>
      <c r="K2135">
        <v>0</v>
      </c>
      <c r="L2135">
        <v>1.19</v>
      </c>
      <c r="M2135" t="s">
        <v>7004</v>
      </c>
      <c r="N2135">
        <v>196.7</v>
      </c>
      <c r="O2135" t="s">
        <v>648</v>
      </c>
      <c r="P2135">
        <v>18.579999999999998</v>
      </c>
      <c r="Q2135">
        <v>18.32</v>
      </c>
      <c r="R2135">
        <v>18.43</v>
      </c>
      <c r="S2135">
        <v>18.61</v>
      </c>
      <c r="T2135">
        <v>1.4</v>
      </c>
      <c r="U2135">
        <v>0.96</v>
      </c>
      <c r="V2135">
        <v>46.72</v>
      </c>
      <c r="W2135">
        <v>1012</v>
      </c>
      <c r="X2135">
        <v>18.440000000000001</v>
      </c>
      <c r="Y2135" t="s">
        <v>2088</v>
      </c>
      <c r="Z2135" t="s">
        <v>3941</v>
      </c>
      <c r="AA2135">
        <v>2</v>
      </c>
      <c r="AB2135">
        <v>450</v>
      </c>
      <c r="AC2135">
        <v>76</v>
      </c>
      <c r="AD2135">
        <v>6.11</v>
      </c>
      <c r="AE2135" t="s">
        <v>2264</v>
      </c>
      <c r="AF2135" t="s">
        <v>7002</v>
      </c>
      <c r="AG2135" t="s">
        <v>2218</v>
      </c>
      <c r="AH2135" t="s">
        <v>5512</v>
      </c>
      <c r="AI2135">
        <v>-1.44</v>
      </c>
      <c r="AJ2135">
        <v>-1.97</v>
      </c>
      <c r="AK2135">
        <v>3.73</v>
      </c>
      <c r="AL2135">
        <v>7.35</v>
      </c>
    </row>
    <row r="2136" spans="1:38" x14ac:dyDescent="0.25">
      <c r="A2136">
        <v>2135</v>
      </c>
      <c r="B2136" t="str">
        <f xml:space="preserve"> "002649"</f>
        <v>002649</v>
      </c>
      <c r="C2136" t="s">
        <v>7005</v>
      </c>
      <c r="D2136">
        <v>11.11</v>
      </c>
      <c r="E2136">
        <v>1.46</v>
      </c>
      <c r="F2136">
        <v>0.16</v>
      </c>
      <c r="G2136" t="s">
        <v>1901</v>
      </c>
      <c r="H2136">
        <v>558</v>
      </c>
      <c r="I2136">
        <v>11.1</v>
      </c>
      <c r="J2136">
        <v>11.11</v>
      </c>
      <c r="K2136">
        <v>-0.09</v>
      </c>
      <c r="L2136">
        <v>2.0499999999999998</v>
      </c>
      <c r="M2136" t="s">
        <v>7006</v>
      </c>
      <c r="N2136">
        <v>37.96</v>
      </c>
      <c r="O2136" t="s">
        <v>893</v>
      </c>
      <c r="P2136">
        <v>11.2</v>
      </c>
      <c r="Q2136">
        <v>10.88</v>
      </c>
      <c r="R2136">
        <v>10.96</v>
      </c>
      <c r="S2136">
        <v>10.95</v>
      </c>
      <c r="T2136">
        <v>2.92</v>
      </c>
      <c r="U2136">
        <v>0.79</v>
      </c>
      <c r="V2136">
        <v>-1.19</v>
      </c>
      <c r="W2136">
        <v>-41</v>
      </c>
      <c r="X2136">
        <v>11.06</v>
      </c>
      <c r="Y2136" t="s">
        <v>1884</v>
      </c>
      <c r="Z2136" t="s">
        <v>800</v>
      </c>
      <c r="AA2136">
        <v>0.93</v>
      </c>
      <c r="AB2136">
        <v>218</v>
      </c>
      <c r="AC2136">
        <v>29</v>
      </c>
      <c r="AD2136">
        <v>3.09</v>
      </c>
      <c r="AE2136" t="s">
        <v>4260</v>
      </c>
      <c r="AF2136" t="s">
        <v>6797</v>
      </c>
      <c r="AG2136" t="s">
        <v>3080</v>
      </c>
      <c r="AH2136" t="s">
        <v>1391</v>
      </c>
      <c r="AI2136">
        <v>-1.59</v>
      </c>
      <c r="AJ2136">
        <v>6.93</v>
      </c>
      <c r="AK2136">
        <v>7.28</v>
      </c>
      <c r="AL2136">
        <v>15.01</v>
      </c>
    </row>
    <row r="2137" spans="1:38" x14ac:dyDescent="0.25">
      <c r="A2137">
        <v>2136</v>
      </c>
      <c r="B2137" t="str">
        <f xml:space="preserve"> "603299"</f>
        <v>603299</v>
      </c>
      <c r="C2137" t="s">
        <v>7007</v>
      </c>
      <c r="D2137" t="s">
        <v>616</v>
      </c>
      <c r="E2137" t="s">
        <v>616</v>
      </c>
      <c r="F2137" t="s">
        <v>616</v>
      </c>
      <c r="G2137" t="s">
        <v>616</v>
      </c>
      <c r="H2137" t="s">
        <v>616</v>
      </c>
      <c r="I2137" t="s">
        <v>616</v>
      </c>
      <c r="J2137" t="s">
        <v>616</v>
      </c>
      <c r="K2137" t="s">
        <v>616</v>
      </c>
      <c r="L2137" t="s">
        <v>616</v>
      </c>
      <c r="M2137" t="s">
        <v>616</v>
      </c>
      <c r="N2137">
        <v>38.22</v>
      </c>
      <c r="O2137" t="s">
        <v>667</v>
      </c>
      <c r="P2137" t="s">
        <v>616</v>
      </c>
      <c r="Q2137" t="s">
        <v>616</v>
      </c>
      <c r="R2137" t="s">
        <v>616</v>
      </c>
      <c r="S2137">
        <v>10.47</v>
      </c>
      <c r="T2137" t="s">
        <v>616</v>
      </c>
      <c r="U2137" t="s">
        <v>616</v>
      </c>
      <c r="V2137" t="s">
        <v>616</v>
      </c>
      <c r="W2137" t="s">
        <v>616</v>
      </c>
      <c r="X2137" t="s">
        <v>616</v>
      </c>
      <c r="Y2137" t="s">
        <v>616</v>
      </c>
      <c r="Z2137" t="s">
        <v>616</v>
      </c>
      <c r="AA2137" t="s">
        <v>616</v>
      </c>
      <c r="AB2137" t="s">
        <v>616</v>
      </c>
      <c r="AC2137" t="s">
        <v>616</v>
      </c>
      <c r="AD2137">
        <v>2.89</v>
      </c>
      <c r="AE2137" t="s">
        <v>4885</v>
      </c>
      <c r="AF2137" t="s">
        <v>6797</v>
      </c>
      <c r="AG2137" t="s">
        <v>4858</v>
      </c>
      <c r="AH2137" t="s">
        <v>1644</v>
      </c>
      <c r="AI2137">
        <v>0</v>
      </c>
      <c r="AJ2137">
        <v>0</v>
      </c>
      <c r="AK2137">
        <v>0</v>
      </c>
      <c r="AL2137">
        <v>0</v>
      </c>
    </row>
    <row r="2138" spans="1:38" x14ac:dyDescent="0.25">
      <c r="A2138">
        <v>2137</v>
      </c>
      <c r="B2138" t="str">
        <f xml:space="preserve"> "002823"</f>
        <v>002823</v>
      </c>
      <c r="C2138" t="s">
        <v>7008</v>
      </c>
      <c r="D2138">
        <v>20.16</v>
      </c>
      <c r="E2138">
        <v>4.51</v>
      </c>
      <c r="F2138">
        <v>0.87</v>
      </c>
      <c r="G2138" t="s">
        <v>2003</v>
      </c>
      <c r="H2138">
        <v>1375</v>
      </c>
      <c r="I2138">
        <v>20.149999999999999</v>
      </c>
      <c r="J2138">
        <v>20.16</v>
      </c>
      <c r="K2138">
        <v>0</v>
      </c>
      <c r="L2138">
        <v>15.6</v>
      </c>
      <c r="M2138" t="s">
        <v>5840</v>
      </c>
      <c r="N2138">
        <v>39.14</v>
      </c>
      <c r="O2138" t="s">
        <v>2647</v>
      </c>
      <c r="P2138">
        <v>20.27</v>
      </c>
      <c r="Q2138">
        <v>19.100000000000001</v>
      </c>
      <c r="R2138">
        <v>19.23</v>
      </c>
      <c r="S2138">
        <v>19.29</v>
      </c>
      <c r="T2138">
        <v>6.07</v>
      </c>
      <c r="U2138">
        <v>1.85</v>
      </c>
      <c r="V2138">
        <v>-74.89</v>
      </c>
      <c r="W2138">
        <v>-1797</v>
      </c>
      <c r="X2138">
        <v>20</v>
      </c>
      <c r="Y2138" t="s">
        <v>2220</v>
      </c>
      <c r="Z2138" t="s">
        <v>1629</v>
      </c>
      <c r="AA2138">
        <v>0.83</v>
      </c>
      <c r="AB2138">
        <v>46</v>
      </c>
      <c r="AC2138">
        <v>286</v>
      </c>
      <c r="AD2138">
        <v>5.34</v>
      </c>
      <c r="AE2138" t="s">
        <v>726</v>
      </c>
      <c r="AF2138" t="s">
        <v>7009</v>
      </c>
      <c r="AG2138" t="s">
        <v>7010</v>
      </c>
      <c r="AH2138" t="s">
        <v>2100</v>
      </c>
      <c r="AI2138">
        <v>10.65</v>
      </c>
      <c r="AJ2138">
        <v>17.829999999999998</v>
      </c>
      <c r="AK2138">
        <v>47.01</v>
      </c>
      <c r="AL2138">
        <v>57.78</v>
      </c>
    </row>
    <row r="2139" spans="1:38" x14ac:dyDescent="0.25">
      <c r="A2139">
        <v>2138</v>
      </c>
      <c r="B2139" t="str">
        <f xml:space="preserve"> "300089"</f>
        <v>300089</v>
      </c>
      <c r="C2139" t="s">
        <v>7011</v>
      </c>
      <c r="D2139">
        <v>13.46</v>
      </c>
      <c r="E2139">
        <v>-9.85</v>
      </c>
      <c r="F2139">
        <v>-1.47</v>
      </c>
      <c r="G2139" t="s">
        <v>3449</v>
      </c>
      <c r="H2139">
        <v>3829</v>
      </c>
      <c r="I2139">
        <v>13.46</v>
      </c>
      <c r="J2139">
        <v>13.47</v>
      </c>
      <c r="K2139">
        <v>0</v>
      </c>
      <c r="L2139">
        <v>9.58</v>
      </c>
      <c r="M2139" t="s">
        <v>5407</v>
      </c>
      <c r="N2139">
        <v>162.99</v>
      </c>
      <c r="O2139" t="s">
        <v>1058</v>
      </c>
      <c r="P2139">
        <v>14.72</v>
      </c>
      <c r="Q2139">
        <v>13.44</v>
      </c>
      <c r="R2139">
        <v>14.72</v>
      </c>
      <c r="S2139">
        <v>14.93</v>
      </c>
      <c r="T2139">
        <v>8.57</v>
      </c>
      <c r="U2139">
        <v>7.51</v>
      </c>
      <c r="V2139">
        <v>58.65</v>
      </c>
      <c r="W2139">
        <v>5106</v>
      </c>
      <c r="X2139">
        <v>13.62</v>
      </c>
      <c r="Y2139" t="s">
        <v>148</v>
      </c>
      <c r="Z2139" t="s">
        <v>1780</v>
      </c>
      <c r="AA2139">
        <v>0.96</v>
      </c>
      <c r="AB2139">
        <v>192</v>
      </c>
      <c r="AC2139">
        <v>246</v>
      </c>
      <c r="AD2139">
        <v>3.31</v>
      </c>
      <c r="AE2139" t="s">
        <v>5826</v>
      </c>
      <c r="AF2139" t="s">
        <v>7009</v>
      </c>
      <c r="AG2139" t="s">
        <v>6431</v>
      </c>
      <c r="AH2139" t="s">
        <v>1845</v>
      </c>
      <c r="AI2139">
        <v>0</v>
      </c>
      <c r="AJ2139">
        <v>0</v>
      </c>
      <c r="AK2139">
        <v>9.58</v>
      </c>
      <c r="AL2139">
        <v>9.58</v>
      </c>
    </row>
    <row r="2140" spans="1:38" x14ac:dyDescent="0.25">
      <c r="A2140">
        <v>2139</v>
      </c>
      <c r="B2140" t="str">
        <f xml:space="preserve"> "002391"</f>
        <v>002391</v>
      </c>
      <c r="C2140" t="s">
        <v>7012</v>
      </c>
      <c r="D2140">
        <v>16.27</v>
      </c>
      <c r="E2140">
        <v>0.18</v>
      </c>
      <c r="F2140">
        <v>0.03</v>
      </c>
      <c r="G2140" t="s">
        <v>5073</v>
      </c>
      <c r="H2140">
        <v>343</v>
      </c>
      <c r="I2140">
        <v>16.260000000000002</v>
      </c>
      <c r="J2140">
        <v>16.27</v>
      </c>
      <c r="K2140">
        <v>-0.12</v>
      </c>
      <c r="L2140">
        <v>1.77</v>
      </c>
      <c r="M2140" t="s">
        <v>7013</v>
      </c>
      <c r="N2140">
        <v>24.19</v>
      </c>
      <c r="O2140" t="s">
        <v>2060</v>
      </c>
      <c r="P2140">
        <v>16.53</v>
      </c>
      <c r="Q2140">
        <v>16.2</v>
      </c>
      <c r="R2140">
        <v>16.239999999999998</v>
      </c>
      <c r="S2140">
        <v>16.239999999999998</v>
      </c>
      <c r="T2140">
        <v>2.0299999999999998</v>
      </c>
      <c r="U2140">
        <v>0.71</v>
      </c>
      <c r="V2140">
        <v>16.850000000000001</v>
      </c>
      <c r="W2140">
        <v>246</v>
      </c>
      <c r="X2140">
        <v>16.37</v>
      </c>
      <c r="Y2140" t="s">
        <v>3238</v>
      </c>
      <c r="Z2140" t="s">
        <v>3090</v>
      </c>
      <c r="AA2140">
        <v>0.77</v>
      </c>
      <c r="AB2140">
        <v>124</v>
      </c>
      <c r="AC2140">
        <v>70</v>
      </c>
      <c r="AD2140">
        <v>1.99</v>
      </c>
      <c r="AE2140" t="s">
        <v>839</v>
      </c>
      <c r="AF2140" t="s">
        <v>7009</v>
      </c>
      <c r="AG2140" t="s">
        <v>1197</v>
      </c>
      <c r="AH2140" t="s">
        <v>6196</v>
      </c>
      <c r="AI2140">
        <v>1.37</v>
      </c>
      <c r="AJ2140">
        <v>5.0999999999999996</v>
      </c>
      <c r="AK2140">
        <v>6.22</v>
      </c>
      <c r="AL2140">
        <v>14.26</v>
      </c>
    </row>
    <row r="2141" spans="1:38" x14ac:dyDescent="0.25">
      <c r="A2141">
        <v>2140</v>
      </c>
      <c r="B2141" t="str">
        <f xml:space="preserve"> "300206"</f>
        <v>300206</v>
      </c>
      <c r="C2141" t="s">
        <v>7014</v>
      </c>
      <c r="D2141">
        <v>9.99</v>
      </c>
      <c r="E2141">
        <v>-1.67</v>
      </c>
      <c r="F2141">
        <v>-0.17</v>
      </c>
      <c r="G2141" t="s">
        <v>335</v>
      </c>
      <c r="H2141">
        <v>2564</v>
      </c>
      <c r="I2141">
        <v>9.99</v>
      </c>
      <c r="J2141">
        <v>10</v>
      </c>
      <c r="K2141">
        <v>-0.2</v>
      </c>
      <c r="L2141">
        <v>5.62</v>
      </c>
      <c r="M2141" t="s">
        <v>1935</v>
      </c>
      <c r="N2141">
        <v>59.83</v>
      </c>
      <c r="O2141" t="s">
        <v>1552</v>
      </c>
      <c r="P2141">
        <v>10.33</v>
      </c>
      <c r="Q2141">
        <v>9.92</v>
      </c>
      <c r="R2141">
        <v>10.09</v>
      </c>
      <c r="S2141">
        <v>10.16</v>
      </c>
      <c r="T2141">
        <v>4.04</v>
      </c>
      <c r="U2141">
        <v>0.98</v>
      </c>
      <c r="V2141">
        <v>52.92</v>
      </c>
      <c r="W2141">
        <v>4067</v>
      </c>
      <c r="X2141">
        <v>10.1</v>
      </c>
      <c r="Y2141" t="s">
        <v>991</v>
      </c>
      <c r="Z2141" t="s">
        <v>300</v>
      </c>
      <c r="AA2141">
        <v>1.21</v>
      </c>
      <c r="AB2141">
        <v>2979</v>
      </c>
      <c r="AC2141">
        <v>738</v>
      </c>
      <c r="AD2141">
        <v>4.74</v>
      </c>
      <c r="AE2141" t="s">
        <v>5355</v>
      </c>
      <c r="AF2141" t="s">
        <v>6179</v>
      </c>
      <c r="AG2141" t="s">
        <v>5326</v>
      </c>
      <c r="AH2141" t="s">
        <v>585</v>
      </c>
      <c r="AI2141">
        <v>-1.19</v>
      </c>
      <c r="AJ2141">
        <v>11.37</v>
      </c>
      <c r="AK2141">
        <v>27.04</v>
      </c>
      <c r="AL2141">
        <v>34.25</v>
      </c>
    </row>
    <row r="2142" spans="1:38" x14ac:dyDescent="0.25">
      <c r="A2142">
        <v>2141</v>
      </c>
      <c r="B2142" t="str">
        <f xml:space="preserve"> "002300"</f>
        <v>002300</v>
      </c>
      <c r="C2142" t="s">
        <v>7015</v>
      </c>
      <c r="D2142">
        <v>10.76</v>
      </c>
      <c r="E2142">
        <v>-0.28000000000000003</v>
      </c>
      <c r="F2142">
        <v>-0.03</v>
      </c>
      <c r="G2142" t="s">
        <v>846</v>
      </c>
      <c r="H2142">
        <v>1941</v>
      </c>
      <c r="I2142">
        <v>10.75</v>
      </c>
      <c r="J2142">
        <v>10.76</v>
      </c>
      <c r="K2142">
        <v>-0.09</v>
      </c>
      <c r="L2142">
        <v>1.23</v>
      </c>
      <c r="M2142" t="s">
        <v>7016</v>
      </c>
      <c r="N2142">
        <v>72.88</v>
      </c>
      <c r="O2142" t="s">
        <v>680</v>
      </c>
      <c r="P2142">
        <v>10.85</v>
      </c>
      <c r="Q2142">
        <v>10.68</v>
      </c>
      <c r="R2142">
        <v>10.79</v>
      </c>
      <c r="S2142">
        <v>10.79</v>
      </c>
      <c r="T2142">
        <v>1.58</v>
      </c>
      <c r="U2142">
        <v>0.67</v>
      </c>
      <c r="V2142">
        <v>-44.56</v>
      </c>
      <c r="W2142">
        <v>-1754</v>
      </c>
      <c r="X2142">
        <v>10.75</v>
      </c>
      <c r="Y2142" t="s">
        <v>4189</v>
      </c>
      <c r="Z2142" t="s">
        <v>1509</v>
      </c>
      <c r="AA2142">
        <v>1.58</v>
      </c>
      <c r="AB2142">
        <v>263</v>
      </c>
      <c r="AC2142">
        <v>1083</v>
      </c>
      <c r="AD2142">
        <v>4.6100000000000003</v>
      </c>
      <c r="AE2142" t="s">
        <v>5788</v>
      </c>
      <c r="AF2142" t="s">
        <v>6179</v>
      </c>
      <c r="AG2142" t="s">
        <v>3807</v>
      </c>
      <c r="AH2142" t="s">
        <v>1562</v>
      </c>
      <c r="AI2142">
        <v>-1.74</v>
      </c>
      <c r="AJ2142">
        <v>1.32</v>
      </c>
      <c r="AK2142">
        <v>6.32</v>
      </c>
      <c r="AL2142">
        <v>10.39</v>
      </c>
    </row>
    <row r="2143" spans="1:38" x14ac:dyDescent="0.25">
      <c r="A2143">
        <v>2142</v>
      </c>
      <c r="B2143" t="str">
        <f xml:space="preserve"> "002751"</f>
        <v>002751</v>
      </c>
      <c r="C2143" t="s">
        <v>7017</v>
      </c>
      <c r="D2143">
        <v>40.85</v>
      </c>
      <c r="E2143">
        <v>0.96</v>
      </c>
      <c r="F2143">
        <v>0.39</v>
      </c>
      <c r="G2143" t="s">
        <v>691</v>
      </c>
      <c r="H2143">
        <v>589</v>
      </c>
      <c r="I2143">
        <v>40.840000000000003</v>
      </c>
      <c r="J2143">
        <v>40.85</v>
      </c>
      <c r="K2143">
        <v>0.05</v>
      </c>
      <c r="L2143">
        <v>1.55</v>
      </c>
      <c r="M2143" t="s">
        <v>7018</v>
      </c>
      <c r="N2143">
        <v>354.04</v>
      </c>
      <c r="O2143" t="s">
        <v>1469</v>
      </c>
      <c r="P2143">
        <v>40.9</v>
      </c>
      <c r="Q2143">
        <v>40.33</v>
      </c>
      <c r="R2143">
        <v>40.5</v>
      </c>
      <c r="S2143">
        <v>40.46</v>
      </c>
      <c r="T2143">
        <v>1.41</v>
      </c>
      <c r="U2143">
        <v>0.63</v>
      </c>
      <c r="V2143">
        <v>-15.92</v>
      </c>
      <c r="W2143">
        <v>-64</v>
      </c>
      <c r="X2143">
        <v>40.659999999999997</v>
      </c>
      <c r="Y2143">
        <v>5088</v>
      </c>
      <c r="Z2143">
        <v>6789</v>
      </c>
      <c r="AA2143">
        <v>0.75</v>
      </c>
      <c r="AB2143">
        <v>54</v>
      </c>
      <c r="AC2143">
        <v>52</v>
      </c>
      <c r="AD2143">
        <v>11.88</v>
      </c>
      <c r="AE2143" t="s">
        <v>2327</v>
      </c>
      <c r="AF2143" t="s">
        <v>6179</v>
      </c>
      <c r="AG2143" t="s">
        <v>7019</v>
      </c>
      <c r="AH2143" t="s">
        <v>731</v>
      </c>
      <c r="AI2143">
        <v>-0.12</v>
      </c>
      <c r="AJ2143">
        <v>2.25</v>
      </c>
      <c r="AK2143">
        <v>7.89</v>
      </c>
      <c r="AL2143">
        <v>13.84</v>
      </c>
    </row>
    <row r="2144" spans="1:38" x14ac:dyDescent="0.25">
      <c r="A2144">
        <v>2143</v>
      </c>
      <c r="B2144" t="str">
        <f xml:space="preserve"> "603012"</f>
        <v>603012</v>
      </c>
      <c r="C2144" t="s">
        <v>7020</v>
      </c>
      <c r="D2144">
        <v>9.16</v>
      </c>
      <c r="E2144">
        <v>-0.11</v>
      </c>
      <c r="F2144">
        <v>-0.01</v>
      </c>
      <c r="G2144" t="s">
        <v>712</v>
      </c>
      <c r="H2144">
        <v>7</v>
      </c>
      <c r="I2144">
        <v>9.15</v>
      </c>
      <c r="J2144">
        <v>9.16</v>
      </c>
      <c r="K2144">
        <v>0</v>
      </c>
      <c r="L2144">
        <v>0.67</v>
      </c>
      <c r="M2144" t="s">
        <v>7021</v>
      </c>
      <c r="N2144">
        <v>37.69</v>
      </c>
      <c r="O2144" t="s">
        <v>2647</v>
      </c>
      <c r="P2144">
        <v>9.2100000000000009</v>
      </c>
      <c r="Q2144">
        <v>9.06</v>
      </c>
      <c r="R2144">
        <v>9.14</v>
      </c>
      <c r="S2144">
        <v>9.17</v>
      </c>
      <c r="T2144">
        <v>1.64</v>
      </c>
      <c r="U2144">
        <v>0.75</v>
      </c>
      <c r="V2144">
        <v>-46.21</v>
      </c>
      <c r="W2144">
        <v>-716</v>
      </c>
      <c r="X2144">
        <v>9.1199999999999992</v>
      </c>
      <c r="Y2144" t="s">
        <v>4303</v>
      </c>
      <c r="Z2144" t="s">
        <v>3941</v>
      </c>
      <c r="AA2144">
        <v>1.45</v>
      </c>
      <c r="AB2144">
        <v>60</v>
      </c>
      <c r="AC2144">
        <v>41</v>
      </c>
      <c r="AD2144">
        <v>2.35</v>
      </c>
      <c r="AE2144" t="s">
        <v>3382</v>
      </c>
      <c r="AF2144" t="s">
        <v>1562</v>
      </c>
      <c r="AG2144" t="s">
        <v>5006</v>
      </c>
      <c r="AH2144" t="s">
        <v>1662</v>
      </c>
      <c r="AI2144">
        <v>2</v>
      </c>
      <c r="AJ2144">
        <v>3.85</v>
      </c>
      <c r="AK2144">
        <v>3.24</v>
      </c>
      <c r="AL2144">
        <v>5.13</v>
      </c>
    </row>
    <row r="2145" spans="1:38" x14ac:dyDescent="0.25">
      <c r="A2145">
        <v>2144</v>
      </c>
      <c r="B2145" t="str">
        <f xml:space="preserve"> "000670"</f>
        <v>000670</v>
      </c>
      <c r="C2145" t="s">
        <v>7022</v>
      </c>
      <c r="D2145">
        <v>7.14</v>
      </c>
      <c r="E2145">
        <v>0.56000000000000005</v>
      </c>
      <c r="F2145">
        <v>0.04</v>
      </c>
      <c r="G2145" t="s">
        <v>1169</v>
      </c>
      <c r="H2145">
        <v>5623</v>
      </c>
      <c r="I2145">
        <v>7.13</v>
      </c>
      <c r="J2145">
        <v>7.14</v>
      </c>
      <c r="K2145">
        <v>0.14000000000000001</v>
      </c>
      <c r="L2145">
        <v>4.76</v>
      </c>
      <c r="M2145" t="s">
        <v>7023</v>
      </c>
      <c r="N2145">
        <v>589.88</v>
      </c>
      <c r="O2145" t="s">
        <v>553</v>
      </c>
      <c r="P2145">
        <v>7.23</v>
      </c>
      <c r="Q2145">
        <v>6.91</v>
      </c>
      <c r="R2145">
        <v>7.09</v>
      </c>
      <c r="S2145">
        <v>7.1</v>
      </c>
      <c r="T2145">
        <v>4.51</v>
      </c>
      <c r="U2145">
        <v>0.49</v>
      </c>
      <c r="V2145">
        <v>27.81</v>
      </c>
      <c r="W2145">
        <v>3223</v>
      </c>
      <c r="X2145">
        <v>7.12</v>
      </c>
      <c r="Y2145" t="s">
        <v>1583</v>
      </c>
      <c r="Z2145" t="s">
        <v>184</v>
      </c>
      <c r="AA2145">
        <v>1.04</v>
      </c>
      <c r="AB2145">
        <v>1635</v>
      </c>
      <c r="AC2145">
        <v>161</v>
      </c>
      <c r="AD2145">
        <v>8.2200000000000006</v>
      </c>
      <c r="AE2145" t="s">
        <v>458</v>
      </c>
      <c r="AF2145" t="s">
        <v>1562</v>
      </c>
      <c r="AG2145" t="s">
        <v>477</v>
      </c>
      <c r="AH2145" t="s">
        <v>374</v>
      </c>
      <c r="AI2145">
        <v>-8.23</v>
      </c>
      <c r="AJ2145">
        <v>-1.1100000000000001</v>
      </c>
      <c r="AK2145">
        <v>20.51</v>
      </c>
      <c r="AL2145">
        <v>53.08</v>
      </c>
    </row>
    <row r="2146" spans="1:38" x14ac:dyDescent="0.25">
      <c r="A2146">
        <v>2145</v>
      </c>
      <c r="B2146" t="str">
        <f xml:space="preserve"> "600209"</f>
        <v>600209</v>
      </c>
      <c r="C2146" t="s">
        <v>7024</v>
      </c>
      <c r="D2146" t="s">
        <v>616</v>
      </c>
      <c r="E2146" t="s">
        <v>616</v>
      </c>
      <c r="F2146" t="s">
        <v>616</v>
      </c>
      <c r="G2146" t="s">
        <v>616</v>
      </c>
      <c r="H2146" t="s">
        <v>616</v>
      </c>
      <c r="I2146" t="s">
        <v>616</v>
      </c>
      <c r="J2146" t="s">
        <v>616</v>
      </c>
      <c r="K2146" t="s">
        <v>616</v>
      </c>
      <c r="L2146" t="s">
        <v>616</v>
      </c>
      <c r="M2146" t="s">
        <v>616</v>
      </c>
      <c r="N2146">
        <v>-182.81</v>
      </c>
      <c r="O2146" t="s">
        <v>2309</v>
      </c>
      <c r="P2146" t="s">
        <v>616</v>
      </c>
      <c r="Q2146" t="s">
        <v>616</v>
      </c>
      <c r="R2146" t="s">
        <v>616</v>
      </c>
      <c r="S2146">
        <v>13.28</v>
      </c>
      <c r="T2146" t="s">
        <v>616</v>
      </c>
      <c r="U2146" t="s">
        <v>616</v>
      </c>
      <c r="V2146" t="s">
        <v>616</v>
      </c>
      <c r="W2146" t="s">
        <v>616</v>
      </c>
      <c r="X2146" t="s">
        <v>616</v>
      </c>
      <c r="Y2146" t="s">
        <v>616</v>
      </c>
      <c r="Z2146" t="s">
        <v>616</v>
      </c>
      <c r="AA2146" t="s">
        <v>616</v>
      </c>
      <c r="AB2146" t="s">
        <v>616</v>
      </c>
      <c r="AC2146" t="s">
        <v>616</v>
      </c>
      <c r="AD2146">
        <v>8.99</v>
      </c>
      <c r="AE2146" t="s">
        <v>2259</v>
      </c>
      <c r="AF2146" t="s">
        <v>1562</v>
      </c>
      <c r="AG2146" t="s">
        <v>5765</v>
      </c>
      <c r="AH2146" t="s">
        <v>4722</v>
      </c>
      <c r="AI2146">
        <v>0</v>
      </c>
      <c r="AJ2146">
        <v>0</v>
      </c>
      <c r="AK2146">
        <v>0</v>
      </c>
      <c r="AL2146">
        <v>0</v>
      </c>
    </row>
    <row r="2147" spans="1:38" x14ac:dyDescent="0.25">
      <c r="A2147">
        <v>2146</v>
      </c>
      <c r="B2147" t="str">
        <f xml:space="preserve"> "000571"</f>
        <v>000571</v>
      </c>
      <c r="C2147" t="s">
        <v>7025</v>
      </c>
      <c r="D2147">
        <v>7.16</v>
      </c>
      <c r="E2147">
        <v>-0.56000000000000005</v>
      </c>
      <c r="F2147">
        <v>-0.04</v>
      </c>
      <c r="G2147" t="s">
        <v>6634</v>
      </c>
      <c r="H2147">
        <v>2737</v>
      </c>
      <c r="I2147">
        <v>7.16</v>
      </c>
      <c r="J2147">
        <v>7.17</v>
      </c>
      <c r="K2147">
        <v>-0.14000000000000001</v>
      </c>
      <c r="L2147">
        <v>0.86</v>
      </c>
      <c r="M2147" t="s">
        <v>7026</v>
      </c>
      <c r="N2147">
        <v>60.15</v>
      </c>
      <c r="O2147" t="s">
        <v>150</v>
      </c>
      <c r="P2147">
        <v>7.22</v>
      </c>
      <c r="Q2147">
        <v>7.15</v>
      </c>
      <c r="R2147">
        <v>7.19</v>
      </c>
      <c r="S2147">
        <v>7.2</v>
      </c>
      <c r="T2147">
        <v>0.97</v>
      </c>
      <c r="U2147">
        <v>0.94</v>
      </c>
      <c r="V2147">
        <v>22.9</v>
      </c>
      <c r="W2147">
        <v>3677</v>
      </c>
      <c r="X2147">
        <v>7.18</v>
      </c>
      <c r="Y2147" t="s">
        <v>1947</v>
      </c>
      <c r="Z2147" t="s">
        <v>1887</v>
      </c>
      <c r="AA2147">
        <v>2.04</v>
      </c>
      <c r="AB2147">
        <v>1560</v>
      </c>
      <c r="AC2147">
        <v>1689</v>
      </c>
      <c r="AD2147">
        <v>2.66</v>
      </c>
      <c r="AE2147" t="s">
        <v>4981</v>
      </c>
      <c r="AF2147" t="s">
        <v>1562</v>
      </c>
      <c r="AG2147" t="s">
        <v>3838</v>
      </c>
      <c r="AH2147" t="s">
        <v>2462</v>
      </c>
      <c r="AI2147">
        <v>-1.51</v>
      </c>
      <c r="AJ2147">
        <v>0</v>
      </c>
      <c r="AK2147">
        <v>3.15</v>
      </c>
      <c r="AL2147">
        <v>5.43</v>
      </c>
    </row>
    <row r="2148" spans="1:38" x14ac:dyDescent="0.25">
      <c r="A2148">
        <v>2147</v>
      </c>
      <c r="B2148" t="str">
        <f xml:space="preserve"> "002270"</f>
        <v>002270</v>
      </c>
      <c r="C2148" t="s">
        <v>7027</v>
      </c>
      <c r="D2148">
        <v>11.51</v>
      </c>
      <c r="E2148">
        <v>1.23</v>
      </c>
      <c r="F2148">
        <v>0.14000000000000001</v>
      </c>
      <c r="G2148" t="s">
        <v>3877</v>
      </c>
      <c r="H2148">
        <v>126</v>
      </c>
      <c r="I2148">
        <v>11.51</v>
      </c>
      <c r="J2148">
        <v>11.52</v>
      </c>
      <c r="K2148">
        <v>0.09</v>
      </c>
      <c r="L2148">
        <v>1.46</v>
      </c>
      <c r="M2148" t="s">
        <v>7028</v>
      </c>
      <c r="N2148">
        <v>29.56</v>
      </c>
      <c r="O2148" t="s">
        <v>2647</v>
      </c>
      <c r="P2148">
        <v>11.65</v>
      </c>
      <c r="Q2148">
        <v>11.36</v>
      </c>
      <c r="R2148">
        <v>11.39</v>
      </c>
      <c r="S2148">
        <v>11.37</v>
      </c>
      <c r="T2148">
        <v>2.5499999999999998</v>
      </c>
      <c r="U2148">
        <v>0.81</v>
      </c>
      <c r="V2148">
        <v>54.13</v>
      </c>
      <c r="W2148">
        <v>767</v>
      </c>
      <c r="X2148">
        <v>11.52</v>
      </c>
      <c r="Y2148" t="s">
        <v>3603</v>
      </c>
      <c r="Z2148" t="s">
        <v>2370</v>
      </c>
      <c r="AA2148">
        <v>1.37</v>
      </c>
      <c r="AB2148">
        <v>6</v>
      </c>
      <c r="AC2148">
        <v>69</v>
      </c>
      <c r="AD2148">
        <v>2.96</v>
      </c>
      <c r="AE2148" t="s">
        <v>5730</v>
      </c>
      <c r="AF2148" t="s">
        <v>1562</v>
      </c>
      <c r="AG2148" t="s">
        <v>883</v>
      </c>
      <c r="AH2148" t="s">
        <v>2395</v>
      </c>
      <c r="AI2148">
        <v>-1.03</v>
      </c>
      <c r="AJ2148">
        <v>1.5</v>
      </c>
      <c r="AK2148">
        <v>4.62</v>
      </c>
      <c r="AL2148">
        <v>10.46</v>
      </c>
    </row>
    <row r="2149" spans="1:38" x14ac:dyDescent="0.25">
      <c r="A2149">
        <v>2148</v>
      </c>
      <c r="B2149" t="str">
        <f xml:space="preserve"> "300642"</f>
        <v>300642</v>
      </c>
      <c r="C2149" t="s">
        <v>7029</v>
      </c>
      <c r="D2149">
        <v>97.05</v>
      </c>
      <c r="E2149">
        <v>3.34</v>
      </c>
      <c r="F2149">
        <v>3.14</v>
      </c>
      <c r="G2149" t="s">
        <v>125</v>
      </c>
      <c r="H2149">
        <v>194</v>
      </c>
      <c r="I2149">
        <v>97.04</v>
      </c>
      <c r="J2149">
        <v>97.05</v>
      </c>
      <c r="K2149">
        <v>-0.03</v>
      </c>
      <c r="L2149">
        <v>10.17</v>
      </c>
      <c r="M2149" t="s">
        <v>1333</v>
      </c>
      <c r="N2149">
        <v>61.77</v>
      </c>
      <c r="O2149" t="s">
        <v>392</v>
      </c>
      <c r="P2149">
        <v>99.4</v>
      </c>
      <c r="Q2149">
        <v>93.2</v>
      </c>
      <c r="R2149">
        <v>93.99</v>
      </c>
      <c r="S2149">
        <v>93.91</v>
      </c>
      <c r="T2149">
        <v>6.6</v>
      </c>
      <c r="U2149">
        <v>2.09</v>
      </c>
      <c r="V2149">
        <v>6.19</v>
      </c>
      <c r="W2149">
        <v>14</v>
      </c>
      <c r="X2149">
        <v>96.9</v>
      </c>
      <c r="Y2149">
        <v>7027</v>
      </c>
      <c r="Z2149">
        <v>8233</v>
      </c>
      <c r="AA2149">
        <v>0.85</v>
      </c>
      <c r="AB2149">
        <v>12</v>
      </c>
      <c r="AC2149">
        <v>32</v>
      </c>
      <c r="AD2149">
        <v>7.13</v>
      </c>
      <c r="AE2149" t="s">
        <v>5162</v>
      </c>
      <c r="AF2149" t="s">
        <v>6469</v>
      </c>
      <c r="AG2149" t="s">
        <v>7030</v>
      </c>
      <c r="AH2149" t="s">
        <v>801</v>
      </c>
      <c r="AI2149">
        <v>0.41</v>
      </c>
      <c r="AJ2149">
        <v>4.82</v>
      </c>
      <c r="AK2149">
        <v>20.77</v>
      </c>
      <c r="AL2149">
        <v>34.47</v>
      </c>
    </row>
    <row r="2150" spans="1:38" x14ac:dyDescent="0.25">
      <c r="A2150">
        <v>2149</v>
      </c>
      <c r="B2150" t="str">
        <f xml:space="preserve"> "600077"</f>
        <v>600077</v>
      </c>
      <c r="C2150" t="s">
        <v>7031</v>
      </c>
      <c r="D2150">
        <v>4.34</v>
      </c>
      <c r="E2150">
        <v>-0.23</v>
      </c>
      <c r="F2150">
        <v>-0.01</v>
      </c>
      <c r="G2150" t="s">
        <v>833</v>
      </c>
      <c r="H2150">
        <v>200</v>
      </c>
      <c r="I2150">
        <v>4.33</v>
      </c>
      <c r="J2150">
        <v>4.34</v>
      </c>
      <c r="K2150">
        <v>0</v>
      </c>
      <c r="L2150">
        <v>0.3</v>
      </c>
      <c r="M2150" t="s">
        <v>7032</v>
      </c>
      <c r="N2150">
        <v>181.16</v>
      </c>
      <c r="O2150" t="s">
        <v>244</v>
      </c>
      <c r="P2150">
        <v>4.3600000000000003</v>
      </c>
      <c r="Q2150">
        <v>4.32</v>
      </c>
      <c r="R2150">
        <v>4.3600000000000003</v>
      </c>
      <c r="S2150">
        <v>4.3499999999999996</v>
      </c>
      <c r="T2150">
        <v>0.92</v>
      </c>
      <c r="U2150">
        <v>0.75</v>
      </c>
      <c r="V2150">
        <v>-23.02</v>
      </c>
      <c r="W2150">
        <v>-1862</v>
      </c>
      <c r="X2150">
        <v>4.33</v>
      </c>
      <c r="Y2150" t="s">
        <v>2240</v>
      </c>
      <c r="Z2150" t="s">
        <v>3326</v>
      </c>
      <c r="AA2150">
        <v>1.1399999999999999</v>
      </c>
      <c r="AB2150">
        <v>137</v>
      </c>
      <c r="AC2150">
        <v>505</v>
      </c>
      <c r="AD2150">
        <v>1.62</v>
      </c>
      <c r="AE2150" t="s">
        <v>2005</v>
      </c>
      <c r="AF2150" t="s">
        <v>6469</v>
      </c>
      <c r="AG2150" t="s">
        <v>2005</v>
      </c>
      <c r="AH2150" t="s">
        <v>6469</v>
      </c>
      <c r="AI2150">
        <v>-1.1399999999999999</v>
      </c>
      <c r="AJ2150">
        <v>-0.46</v>
      </c>
      <c r="AK2150">
        <v>1.1100000000000001</v>
      </c>
      <c r="AL2150">
        <v>2.2799999999999998</v>
      </c>
    </row>
    <row r="2151" spans="1:38" x14ac:dyDescent="0.25">
      <c r="A2151">
        <v>2150</v>
      </c>
      <c r="B2151" t="str">
        <f xml:space="preserve"> "600088"</f>
        <v>600088</v>
      </c>
      <c r="C2151" t="s">
        <v>7033</v>
      </c>
      <c r="D2151">
        <v>17.52</v>
      </c>
      <c r="E2151">
        <v>1.68</v>
      </c>
      <c r="F2151">
        <v>0.28999999999999998</v>
      </c>
      <c r="G2151" t="s">
        <v>1760</v>
      </c>
      <c r="H2151">
        <v>78</v>
      </c>
      <c r="I2151">
        <v>17.52</v>
      </c>
      <c r="J2151">
        <v>17.57</v>
      </c>
      <c r="K2151">
        <v>0.11</v>
      </c>
      <c r="L2151">
        <v>2.13</v>
      </c>
      <c r="M2151" t="s">
        <v>2442</v>
      </c>
      <c r="N2151">
        <v>58.3</v>
      </c>
      <c r="O2151" t="s">
        <v>1126</v>
      </c>
      <c r="P2151">
        <v>17.73</v>
      </c>
      <c r="Q2151">
        <v>16.91</v>
      </c>
      <c r="R2151">
        <v>17.18</v>
      </c>
      <c r="S2151">
        <v>17.23</v>
      </c>
      <c r="T2151">
        <v>4.76</v>
      </c>
      <c r="U2151">
        <v>2.15</v>
      </c>
      <c r="V2151">
        <v>-4.41</v>
      </c>
      <c r="W2151">
        <v>-72</v>
      </c>
      <c r="X2151">
        <v>17.440000000000001</v>
      </c>
      <c r="Y2151" t="s">
        <v>915</v>
      </c>
      <c r="Z2151" t="s">
        <v>1532</v>
      </c>
      <c r="AA2151">
        <v>1.1200000000000001</v>
      </c>
      <c r="AB2151">
        <v>76</v>
      </c>
      <c r="AC2151">
        <v>21</v>
      </c>
      <c r="AD2151">
        <v>5.49</v>
      </c>
      <c r="AE2151" t="s">
        <v>7034</v>
      </c>
      <c r="AF2151" t="s">
        <v>3411</v>
      </c>
      <c r="AG2151" t="s">
        <v>7034</v>
      </c>
      <c r="AH2151" t="s">
        <v>3411</v>
      </c>
      <c r="AI2151">
        <v>4.47</v>
      </c>
      <c r="AJ2151">
        <v>8.35</v>
      </c>
      <c r="AK2151">
        <v>4.47</v>
      </c>
      <c r="AL2151">
        <v>7.09</v>
      </c>
    </row>
    <row r="2152" spans="1:38" x14ac:dyDescent="0.25">
      <c r="A2152">
        <v>2151</v>
      </c>
      <c r="B2152" t="str">
        <f xml:space="preserve"> "002361"</f>
        <v>002361</v>
      </c>
      <c r="C2152" t="s">
        <v>7035</v>
      </c>
      <c r="D2152">
        <v>6.73</v>
      </c>
      <c r="E2152">
        <v>-0.15</v>
      </c>
      <c r="F2152">
        <v>-0.01</v>
      </c>
      <c r="G2152" t="s">
        <v>2542</v>
      </c>
      <c r="H2152">
        <v>678</v>
      </c>
      <c r="I2152">
        <v>6.73</v>
      </c>
      <c r="J2152">
        <v>6.74</v>
      </c>
      <c r="K2152">
        <v>0</v>
      </c>
      <c r="L2152">
        <v>0.57999999999999996</v>
      </c>
      <c r="M2152" t="s">
        <v>7036</v>
      </c>
      <c r="N2152">
        <v>52.48</v>
      </c>
      <c r="O2152" t="s">
        <v>859</v>
      </c>
      <c r="P2152">
        <v>6.76</v>
      </c>
      <c r="Q2152">
        <v>6.71</v>
      </c>
      <c r="R2152">
        <v>6.75</v>
      </c>
      <c r="S2152">
        <v>6.74</v>
      </c>
      <c r="T2152">
        <v>0.74</v>
      </c>
      <c r="U2152">
        <v>0.61</v>
      </c>
      <c r="V2152">
        <v>0.44</v>
      </c>
      <c r="W2152">
        <v>46</v>
      </c>
      <c r="X2152">
        <v>6.73</v>
      </c>
      <c r="Y2152" t="s">
        <v>3062</v>
      </c>
      <c r="Z2152" t="s">
        <v>3798</v>
      </c>
      <c r="AA2152">
        <v>1.36</v>
      </c>
      <c r="AB2152">
        <v>66</v>
      </c>
      <c r="AC2152">
        <v>1071</v>
      </c>
      <c r="AD2152">
        <v>3.19</v>
      </c>
      <c r="AE2152" t="s">
        <v>1260</v>
      </c>
      <c r="AF2152" t="s">
        <v>3411</v>
      </c>
      <c r="AG2152" t="s">
        <v>477</v>
      </c>
      <c r="AH2152" t="s">
        <v>4527</v>
      </c>
      <c r="AI2152">
        <v>0.75</v>
      </c>
      <c r="AJ2152">
        <v>2.2799999999999998</v>
      </c>
      <c r="AK2152">
        <v>2.42</v>
      </c>
      <c r="AL2152">
        <v>5.28</v>
      </c>
    </row>
    <row r="2153" spans="1:38" x14ac:dyDescent="0.25">
      <c r="A2153">
        <v>2152</v>
      </c>
      <c r="B2153" t="str">
        <f xml:space="preserve"> "002196"</f>
        <v>002196</v>
      </c>
      <c r="C2153" t="s">
        <v>7037</v>
      </c>
      <c r="D2153">
        <v>12.85</v>
      </c>
      <c r="E2153">
        <v>0.16</v>
      </c>
      <c r="F2153">
        <v>0.02</v>
      </c>
      <c r="G2153" t="s">
        <v>1660</v>
      </c>
      <c r="H2153">
        <v>727</v>
      </c>
      <c r="I2153">
        <v>12.85</v>
      </c>
      <c r="J2153">
        <v>12.86</v>
      </c>
      <c r="K2153">
        <v>0.08</v>
      </c>
      <c r="L2153">
        <v>1.87</v>
      </c>
      <c r="M2153" t="s">
        <v>7038</v>
      </c>
      <c r="N2153">
        <v>50.94</v>
      </c>
      <c r="O2153" t="s">
        <v>648</v>
      </c>
      <c r="P2153">
        <v>13.02</v>
      </c>
      <c r="Q2153">
        <v>12.71</v>
      </c>
      <c r="R2153">
        <v>12.87</v>
      </c>
      <c r="S2153">
        <v>12.83</v>
      </c>
      <c r="T2153">
        <v>2.42</v>
      </c>
      <c r="U2153">
        <v>0.5</v>
      </c>
      <c r="V2153">
        <v>10.3</v>
      </c>
      <c r="W2153">
        <v>215</v>
      </c>
      <c r="X2153">
        <v>12.84</v>
      </c>
      <c r="Y2153" t="s">
        <v>2115</v>
      </c>
      <c r="Z2153" t="s">
        <v>87</v>
      </c>
      <c r="AA2153">
        <v>1.1599999999999999</v>
      </c>
      <c r="AB2153">
        <v>309</v>
      </c>
      <c r="AC2153">
        <v>236</v>
      </c>
      <c r="AD2153">
        <v>2.41</v>
      </c>
      <c r="AE2153" t="s">
        <v>1395</v>
      </c>
      <c r="AF2153" t="s">
        <v>750</v>
      </c>
      <c r="AG2153" t="s">
        <v>4989</v>
      </c>
      <c r="AH2153" t="s">
        <v>1817</v>
      </c>
      <c r="AI2153">
        <v>-2.58</v>
      </c>
      <c r="AJ2153">
        <v>0.94</v>
      </c>
      <c r="AK2153">
        <v>8.0299999999999994</v>
      </c>
      <c r="AL2153">
        <v>20.75</v>
      </c>
    </row>
    <row r="2154" spans="1:38" x14ac:dyDescent="0.25">
      <c r="A2154">
        <v>2153</v>
      </c>
      <c r="B2154" t="str">
        <f xml:space="preserve"> "002520"</f>
        <v>002520</v>
      </c>
      <c r="C2154" t="s">
        <v>7039</v>
      </c>
      <c r="D2154">
        <v>10.45</v>
      </c>
      <c r="E2154">
        <v>0.1</v>
      </c>
      <c r="F2154">
        <v>0.01</v>
      </c>
      <c r="G2154" t="s">
        <v>507</v>
      </c>
      <c r="H2154">
        <v>1455</v>
      </c>
      <c r="I2154">
        <v>10.44</v>
      </c>
      <c r="J2154">
        <v>10.45</v>
      </c>
      <c r="K2154">
        <v>-0.19</v>
      </c>
      <c r="L2154">
        <v>0.37</v>
      </c>
      <c r="M2154" t="s">
        <v>7040</v>
      </c>
      <c r="N2154">
        <v>74.25</v>
      </c>
      <c r="O2154" t="s">
        <v>648</v>
      </c>
      <c r="P2154">
        <v>10.53</v>
      </c>
      <c r="Q2154">
        <v>10.43</v>
      </c>
      <c r="R2154">
        <v>10.5</v>
      </c>
      <c r="S2154">
        <v>10.44</v>
      </c>
      <c r="T2154">
        <v>0.96</v>
      </c>
      <c r="U2154">
        <v>0.69</v>
      </c>
      <c r="V2154">
        <v>-27.08</v>
      </c>
      <c r="W2154">
        <v>-702</v>
      </c>
      <c r="X2154">
        <v>10.48</v>
      </c>
      <c r="Y2154">
        <v>9264</v>
      </c>
      <c r="Z2154" t="s">
        <v>75</v>
      </c>
      <c r="AA2154">
        <v>0.91</v>
      </c>
      <c r="AB2154">
        <v>145</v>
      </c>
      <c r="AC2154">
        <v>327</v>
      </c>
      <c r="AD2154">
        <v>3.35</v>
      </c>
      <c r="AE2154" t="s">
        <v>4902</v>
      </c>
      <c r="AF2154" t="s">
        <v>750</v>
      </c>
      <c r="AG2154" t="s">
        <v>1212</v>
      </c>
      <c r="AH2154" t="s">
        <v>4700</v>
      </c>
      <c r="AI2154">
        <v>-1.88</v>
      </c>
      <c r="AJ2154">
        <v>-0.85</v>
      </c>
      <c r="AK2154">
        <v>1.29</v>
      </c>
      <c r="AL2154">
        <v>3.04</v>
      </c>
    </row>
    <row r="2155" spans="1:38" x14ac:dyDescent="0.25">
      <c r="A2155">
        <v>2154</v>
      </c>
      <c r="B2155" t="str">
        <f xml:space="preserve"> "603688"</f>
        <v>603688</v>
      </c>
      <c r="C2155" t="s">
        <v>7041</v>
      </c>
      <c r="D2155">
        <v>17.16</v>
      </c>
      <c r="E2155">
        <v>1.6</v>
      </c>
      <c r="F2155">
        <v>0.27</v>
      </c>
      <c r="G2155" t="s">
        <v>3769</v>
      </c>
      <c r="H2155">
        <v>15</v>
      </c>
      <c r="I2155">
        <v>17.170000000000002</v>
      </c>
      <c r="J2155">
        <v>17.18</v>
      </c>
      <c r="K2155">
        <v>0.59</v>
      </c>
      <c r="L2155">
        <v>4.8499999999999996</v>
      </c>
      <c r="M2155" t="s">
        <v>7042</v>
      </c>
      <c r="N2155">
        <v>68.92</v>
      </c>
      <c r="O2155" t="s">
        <v>859</v>
      </c>
      <c r="P2155">
        <v>17.350000000000001</v>
      </c>
      <c r="Q2155">
        <v>16.5</v>
      </c>
      <c r="R2155">
        <v>16.88</v>
      </c>
      <c r="S2155">
        <v>16.89</v>
      </c>
      <c r="T2155">
        <v>5.03</v>
      </c>
      <c r="U2155">
        <v>1.02</v>
      </c>
      <c r="V2155">
        <v>-21.56</v>
      </c>
      <c r="W2155">
        <v>-111</v>
      </c>
      <c r="X2155">
        <v>16.91</v>
      </c>
      <c r="Y2155" t="s">
        <v>2614</v>
      </c>
      <c r="Z2155" t="s">
        <v>3213</v>
      </c>
      <c r="AA2155">
        <v>0.79</v>
      </c>
      <c r="AB2155">
        <v>174</v>
      </c>
      <c r="AC2155">
        <v>124</v>
      </c>
      <c r="AD2155">
        <v>4.75</v>
      </c>
      <c r="AE2155" t="s">
        <v>4127</v>
      </c>
      <c r="AF2155" t="s">
        <v>750</v>
      </c>
      <c r="AG2155" t="s">
        <v>3574</v>
      </c>
      <c r="AH2155" t="s">
        <v>666</v>
      </c>
      <c r="AI2155">
        <v>-6.23</v>
      </c>
      <c r="AJ2155">
        <v>-2.2799999999999998</v>
      </c>
      <c r="AK2155">
        <v>15.75</v>
      </c>
      <c r="AL2155">
        <v>28.7</v>
      </c>
    </row>
    <row r="2156" spans="1:38" x14ac:dyDescent="0.25">
      <c r="A2156">
        <v>2155</v>
      </c>
      <c r="B2156" t="str">
        <f xml:space="preserve"> "300004"</f>
        <v>300004</v>
      </c>
      <c r="C2156" t="s">
        <v>7043</v>
      </c>
      <c r="D2156" t="s">
        <v>616</v>
      </c>
      <c r="E2156" t="s">
        <v>616</v>
      </c>
      <c r="F2156" t="s">
        <v>616</v>
      </c>
      <c r="G2156" t="s">
        <v>616</v>
      </c>
      <c r="H2156" t="s">
        <v>616</v>
      </c>
      <c r="I2156" t="s">
        <v>616</v>
      </c>
      <c r="J2156" t="s">
        <v>616</v>
      </c>
      <c r="K2156" t="s">
        <v>616</v>
      </c>
      <c r="L2156" t="s">
        <v>616</v>
      </c>
      <c r="M2156" t="s">
        <v>616</v>
      </c>
      <c r="N2156">
        <v>29.25</v>
      </c>
      <c r="O2156" t="s">
        <v>648</v>
      </c>
      <c r="P2156" t="s">
        <v>616</v>
      </c>
      <c r="Q2156" t="s">
        <v>616</v>
      </c>
      <c r="R2156" t="s">
        <v>616</v>
      </c>
      <c r="S2156">
        <v>11.36</v>
      </c>
      <c r="T2156" t="s">
        <v>616</v>
      </c>
      <c r="U2156" t="s">
        <v>616</v>
      </c>
      <c r="V2156" t="s">
        <v>616</v>
      </c>
      <c r="W2156" t="s">
        <v>616</v>
      </c>
      <c r="X2156" t="s">
        <v>616</v>
      </c>
      <c r="Y2156" t="s">
        <v>616</v>
      </c>
      <c r="Z2156" t="s">
        <v>616</v>
      </c>
      <c r="AA2156" t="s">
        <v>616</v>
      </c>
      <c r="AB2156" t="s">
        <v>616</v>
      </c>
      <c r="AC2156" t="s">
        <v>616</v>
      </c>
      <c r="AD2156">
        <v>1.82</v>
      </c>
      <c r="AE2156" t="s">
        <v>4925</v>
      </c>
      <c r="AF2156" t="s">
        <v>5362</v>
      </c>
      <c r="AG2156" t="s">
        <v>3504</v>
      </c>
      <c r="AH2156" t="s">
        <v>7044</v>
      </c>
      <c r="AI2156">
        <v>0</v>
      </c>
      <c r="AJ2156">
        <v>0</v>
      </c>
      <c r="AK2156">
        <v>0</v>
      </c>
      <c r="AL2156">
        <v>0</v>
      </c>
    </row>
    <row r="2157" spans="1:38" x14ac:dyDescent="0.25">
      <c r="A2157">
        <v>2156</v>
      </c>
      <c r="B2157" t="str">
        <f xml:space="preserve"> "600310"</f>
        <v>600310</v>
      </c>
      <c r="C2157" t="s">
        <v>7045</v>
      </c>
      <c r="D2157">
        <v>6.98</v>
      </c>
      <c r="E2157">
        <v>-0.71</v>
      </c>
      <c r="F2157">
        <v>-0.05</v>
      </c>
      <c r="G2157" t="s">
        <v>516</v>
      </c>
      <c r="H2157">
        <v>36</v>
      </c>
      <c r="I2157">
        <v>6.97</v>
      </c>
      <c r="J2157">
        <v>6.98</v>
      </c>
      <c r="K2157">
        <v>0</v>
      </c>
      <c r="L2157">
        <v>1.49</v>
      </c>
      <c r="M2157" t="s">
        <v>7046</v>
      </c>
      <c r="N2157">
        <v>523.20000000000005</v>
      </c>
      <c r="O2157" t="s">
        <v>186</v>
      </c>
      <c r="P2157">
        <v>7.1</v>
      </c>
      <c r="Q2157">
        <v>6.89</v>
      </c>
      <c r="R2157">
        <v>6.95</v>
      </c>
      <c r="S2157">
        <v>7.03</v>
      </c>
      <c r="T2157">
        <v>2.99</v>
      </c>
      <c r="U2157">
        <v>1.48</v>
      </c>
      <c r="V2157">
        <v>32.14</v>
      </c>
      <c r="W2157">
        <v>1655</v>
      </c>
      <c r="X2157">
        <v>7.01</v>
      </c>
      <c r="Y2157" t="s">
        <v>7047</v>
      </c>
      <c r="Z2157" t="s">
        <v>2930</v>
      </c>
      <c r="AA2157">
        <v>1.45</v>
      </c>
      <c r="AB2157">
        <v>947</v>
      </c>
      <c r="AC2157">
        <v>259</v>
      </c>
      <c r="AD2157">
        <v>2.54</v>
      </c>
      <c r="AE2157" t="s">
        <v>5507</v>
      </c>
      <c r="AF2157" t="s">
        <v>5362</v>
      </c>
      <c r="AG2157" t="s">
        <v>5507</v>
      </c>
      <c r="AH2157" t="s">
        <v>5362</v>
      </c>
      <c r="AI2157">
        <v>3.87</v>
      </c>
      <c r="AJ2157">
        <v>6.08</v>
      </c>
      <c r="AK2157">
        <v>5.51</v>
      </c>
      <c r="AL2157">
        <v>6.51</v>
      </c>
    </row>
    <row r="2158" spans="1:38" x14ac:dyDescent="0.25">
      <c r="A2158">
        <v>2157</v>
      </c>
      <c r="B2158" t="str">
        <f xml:space="preserve"> "000931"</f>
        <v>000931</v>
      </c>
      <c r="C2158" t="s">
        <v>7048</v>
      </c>
      <c r="D2158">
        <v>7.67</v>
      </c>
      <c r="E2158">
        <v>1.32</v>
      </c>
      <c r="F2158">
        <v>0.1</v>
      </c>
      <c r="G2158" t="s">
        <v>2673</v>
      </c>
      <c r="H2158">
        <v>689</v>
      </c>
      <c r="I2158">
        <v>7.67</v>
      </c>
      <c r="J2158">
        <v>7.68</v>
      </c>
      <c r="K2158">
        <v>0</v>
      </c>
      <c r="L2158">
        <v>0.68</v>
      </c>
      <c r="M2158" t="s">
        <v>7049</v>
      </c>
      <c r="N2158">
        <v>-44.42</v>
      </c>
      <c r="O2158" t="s">
        <v>244</v>
      </c>
      <c r="P2158">
        <v>7.68</v>
      </c>
      <c r="Q2158">
        <v>7.53</v>
      </c>
      <c r="R2158">
        <v>7.57</v>
      </c>
      <c r="S2158">
        <v>7.57</v>
      </c>
      <c r="T2158">
        <v>1.98</v>
      </c>
      <c r="U2158">
        <v>0.85</v>
      </c>
      <c r="V2158">
        <v>10.6</v>
      </c>
      <c r="W2158">
        <v>714</v>
      </c>
      <c r="X2158">
        <v>7.62</v>
      </c>
      <c r="Y2158" t="s">
        <v>1493</v>
      </c>
      <c r="Z2158" t="s">
        <v>997</v>
      </c>
      <c r="AA2158">
        <v>0.64</v>
      </c>
      <c r="AB2158">
        <v>654</v>
      </c>
      <c r="AC2158">
        <v>657</v>
      </c>
      <c r="AD2158">
        <v>3.81</v>
      </c>
      <c r="AE2158" t="s">
        <v>7050</v>
      </c>
      <c r="AF2158" t="s">
        <v>5362</v>
      </c>
      <c r="AG2158" t="s">
        <v>3634</v>
      </c>
      <c r="AH2158" t="s">
        <v>5770</v>
      </c>
      <c r="AI2158">
        <v>-0.52</v>
      </c>
      <c r="AJ2158">
        <v>3.51</v>
      </c>
      <c r="AK2158">
        <v>2.17</v>
      </c>
      <c r="AL2158">
        <v>4.6900000000000004</v>
      </c>
    </row>
    <row r="2159" spans="1:38" x14ac:dyDescent="0.25">
      <c r="A2159">
        <v>2158</v>
      </c>
      <c r="B2159" t="str">
        <f xml:space="preserve"> "300108"</f>
        <v>300108</v>
      </c>
      <c r="C2159" t="s">
        <v>7051</v>
      </c>
      <c r="D2159">
        <v>9.08</v>
      </c>
      <c r="E2159">
        <v>-1.41</v>
      </c>
      <c r="F2159">
        <v>-0.13</v>
      </c>
      <c r="G2159" t="s">
        <v>2451</v>
      </c>
      <c r="H2159">
        <v>840</v>
      </c>
      <c r="I2159">
        <v>9.08</v>
      </c>
      <c r="J2159">
        <v>9.09</v>
      </c>
      <c r="K2159">
        <v>0.22</v>
      </c>
      <c r="L2159">
        <v>0.67</v>
      </c>
      <c r="M2159" t="s">
        <v>7052</v>
      </c>
      <c r="N2159">
        <v>38.880000000000003</v>
      </c>
      <c r="O2159" t="s">
        <v>667</v>
      </c>
      <c r="P2159">
        <v>9.23</v>
      </c>
      <c r="Q2159">
        <v>8.92</v>
      </c>
      <c r="R2159">
        <v>9.23</v>
      </c>
      <c r="S2159">
        <v>9.2100000000000009</v>
      </c>
      <c r="T2159">
        <v>3.37</v>
      </c>
      <c r="U2159">
        <v>0.89</v>
      </c>
      <c r="V2159">
        <v>1.62</v>
      </c>
      <c r="W2159">
        <v>26</v>
      </c>
      <c r="X2159">
        <v>9.06</v>
      </c>
      <c r="Y2159" t="s">
        <v>468</v>
      </c>
      <c r="Z2159">
        <v>8544</v>
      </c>
      <c r="AA2159">
        <v>2.48</v>
      </c>
      <c r="AB2159">
        <v>171</v>
      </c>
      <c r="AC2159">
        <v>289</v>
      </c>
      <c r="AD2159">
        <v>3.17</v>
      </c>
      <c r="AE2159" t="s">
        <v>4210</v>
      </c>
      <c r="AF2159" t="s">
        <v>5362</v>
      </c>
      <c r="AG2159" t="s">
        <v>5031</v>
      </c>
      <c r="AH2159" t="s">
        <v>567</v>
      </c>
      <c r="AI2159">
        <v>-3.4</v>
      </c>
      <c r="AJ2159">
        <v>-0.66</v>
      </c>
      <c r="AK2159">
        <v>1.74</v>
      </c>
      <c r="AL2159">
        <v>4.46</v>
      </c>
    </row>
    <row r="2160" spans="1:38" x14ac:dyDescent="0.25">
      <c r="A2160">
        <v>2159</v>
      </c>
      <c r="B2160" t="str">
        <f xml:space="preserve"> "603825"</f>
        <v>603825</v>
      </c>
      <c r="C2160" t="s">
        <v>7053</v>
      </c>
      <c r="D2160">
        <v>36.090000000000003</v>
      </c>
      <c r="E2160">
        <v>-0.03</v>
      </c>
      <c r="F2160">
        <v>-0.01</v>
      </c>
      <c r="G2160" t="s">
        <v>433</v>
      </c>
      <c r="H2160">
        <v>6</v>
      </c>
      <c r="I2160">
        <v>36.08</v>
      </c>
      <c r="J2160">
        <v>36.1</v>
      </c>
      <c r="K2160">
        <v>-0.11</v>
      </c>
      <c r="L2160">
        <v>3.8</v>
      </c>
      <c r="M2160" t="s">
        <v>7054</v>
      </c>
      <c r="N2160">
        <v>105.31</v>
      </c>
      <c r="O2160" t="s">
        <v>1126</v>
      </c>
      <c r="P2160">
        <v>36.39</v>
      </c>
      <c r="Q2160">
        <v>35.799999999999997</v>
      </c>
      <c r="R2160">
        <v>36</v>
      </c>
      <c r="S2160">
        <v>36.1</v>
      </c>
      <c r="T2160">
        <v>1.63</v>
      </c>
      <c r="U2160">
        <v>0.57999999999999996</v>
      </c>
      <c r="V2160">
        <v>-50.25</v>
      </c>
      <c r="W2160">
        <v>-297</v>
      </c>
      <c r="X2160">
        <v>36.119999999999997</v>
      </c>
      <c r="Y2160">
        <v>8337</v>
      </c>
      <c r="Z2160">
        <v>6844</v>
      </c>
      <c r="AA2160">
        <v>1.22</v>
      </c>
      <c r="AB2160">
        <v>83</v>
      </c>
      <c r="AC2160">
        <v>77</v>
      </c>
      <c r="AD2160">
        <v>5.1100000000000003</v>
      </c>
      <c r="AE2160" t="s">
        <v>4326</v>
      </c>
      <c r="AF2160" t="s">
        <v>2462</v>
      </c>
      <c r="AG2160" t="s">
        <v>6081</v>
      </c>
      <c r="AH2160" t="s">
        <v>2100</v>
      </c>
      <c r="AI2160">
        <v>-2.09</v>
      </c>
      <c r="AJ2160">
        <v>-0.39</v>
      </c>
      <c r="AK2160">
        <v>15.29</v>
      </c>
      <c r="AL2160">
        <v>36.5</v>
      </c>
    </row>
    <row r="2161" spans="1:38" x14ac:dyDescent="0.25">
      <c r="A2161">
        <v>2160</v>
      </c>
      <c r="B2161" t="str">
        <f xml:space="preserve"> "000007"</f>
        <v>000007</v>
      </c>
      <c r="C2161" t="s">
        <v>7055</v>
      </c>
      <c r="D2161" t="s">
        <v>616</v>
      </c>
      <c r="E2161" t="s">
        <v>616</v>
      </c>
      <c r="F2161" t="s">
        <v>616</v>
      </c>
      <c r="G2161" t="s">
        <v>616</v>
      </c>
      <c r="H2161" t="s">
        <v>616</v>
      </c>
      <c r="I2161" t="s">
        <v>616</v>
      </c>
      <c r="J2161" t="s">
        <v>616</v>
      </c>
      <c r="K2161" t="s">
        <v>616</v>
      </c>
      <c r="L2161" t="s">
        <v>616</v>
      </c>
      <c r="M2161" t="s">
        <v>616</v>
      </c>
      <c r="N2161">
        <v>137.13999999999999</v>
      </c>
      <c r="O2161" t="s">
        <v>951</v>
      </c>
      <c r="P2161" t="s">
        <v>616</v>
      </c>
      <c r="Q2161" t="s">
        <v>616</v>
      </c>
      <c r="R2161" t="s">
        <v>616</v>
      </c>
      <c r="S2161">
        <v>16.66</v>
      </c>
      <c r="T2161" t="s">
        <v>616</v>
      </c>
      <c r="U2161" t="s">
        <v>616</v>
      </c>
      <c r="V2161" t="s">
        <v>616</v>
      </c>
      <c r="W2161" t="s">
        <v>616</v>
      </c>
      <c r="X2161" t="s">
        <v>616</v>
      </c>
      <c r="Y2161" t="s">
        <v>616</v>
      </c>
      <c r="Z2161" t="s">
        <v>616</v>
      </c>
      <c r="AA2161" t="s">
        <v>616</v>
      </c>
      <c r="AB2161" t="s">
        <v>616</v>
      </c>
      <c r="AC2161" t="s">
        <v>616</v>
      </c>
      <c r="AD2161">
        <v>14.74</v>
      </c>
      <c r="AE2161" t="s">
        <v>5176</v>
      </c>
      <c r="AF2161" t="s">
        <v>2462</v>
      </c>
      <c r="AG2161" t="s">
        <v>3440</v>
      </c>
      <c r="AH2161" t="s">
        <v>7056</v>
      </c>
      <c r="AI2161">
        <v>0</v>
      </c>
      <c r="AJ2161">
        <v>0</v>
      </c>
      <c r="AK2161">
        <v>0</v>
      </c>
      <c r="AL2161">
        <v>0.76</v>
      </c>
    </row>
    <row r="2162" spans="1:38" x14ac:dyDescent="0.25">
      <c r="A2162">
        <v>2161</v>
      </c>
      <c r="B2162" t="str">
        <f xml:space="preserve"> "002098"</f>
        <v>002098</v>
      </c>
      <c r="C2162" t="s">
        <v>7057</v>
      </c>
      <c r="D2162">
        <v>16.12</v>
      </c>
      <c r="E2162">
        <v>0.44</v>
      </c>
      <c r="F2162">
        <v>7.0000000000000007E-2</v>
      </c>
      <c r="G2162" t="s">
        <v>3877</v>
      </c>
      <c r="H2162">
        <v>277</v>
      </c>
      <c r="I2162">
        <v>16.11</v>
      </c>
      <c r="J2162">
        <v>16.12</v>
      </c>
      <c r="K2162">
        <v>0</v>
      </c>
      <c r="L2162">
        <v>0.97</v>
      </c>
      <c r="M2162" t="s">
        <v>7058</v>
      </c>
      <c r="N2162">
        <v>44.95</v>
      </c>
      <c r="O2162" t="s">
        <v>1798</v>
      </c>
      <c r="P2162">
        <v>16.170000000000002</v>
      </c>
      <c r="Q2162">
        <v>15.95</v>
      </c>
      <c r="R2162">
        <v>15.95</v>
      </c>
      <c r="S2162">
        <v>16.05</v>
      </c>
      <c r="T2162">
        <v>1.37</v>
      </c>
      <c r="U2162">
        <v>0.73</v>
      </c>
      <c r="V2162">
        <v>-8.19</v>
      </c>
      <c r="W2162">
        <v>-280</v>
      </c>
      <c r="X2162">
        <v>16.09</v>
      </c>
      <c r="Y2162" t="s">
        <v>1114</v>
      </c>
      <c r="Z2162" t="s">
        <v>4237</v>
      </c>
      <c r="AA2162">
        <v>0.95</v>
      </c>
      <c r="AB2162">
        <v>280</v>
      </c>
      <c r="AC2162">
        <v>49</v>
      </c>
      <c r="AD2162">
        <v>5.08</v>
      </c>
      <c r="AE2162" t="s">
        <v>874</v>
      </c>
      <c r="AF2162" t="s">
        <v>2462</v>
      </c>
      <c r="AG2162" t="s">
        <v>4168</v>
      </c>
      <c r="AH2162" t="s">
        <v>5643</v>
      </c>
      <c r="AI2162">
        <v>1.64</v>
      </c>
      <c r="AJ2162">
        <v>5.0199999999999996</v>
      </c>
      <c r="AK2162">
        <v>4.38</v>
      </c>
      <c r="AL2162">
        <v>7.64</v>
      </c>
    </row>
    <row r="2163" spans="1:38" x14ac:dyDescent="0.25">
      <c r="A2163">
        <v>2162</v>
      </c>
      <c r="B2163" t="str">
        <f xml:space="preserve"> "300403"</f>
        <v>300403</v>
      </c>
      <c r="C2163" t="s">
        <v>7059</v>
      </c>
      <c r="D2163">
        <v>17.22</v>
      </c>
      <c r="E2163">
        <v>0.06</v>
      </c>
      <c r="F2163">
        <v>0.01</v>
      </c>
      <c r="G2163" t="s">
        <v>2773</v>
      </c>
      <c r="H2163">
        <v>139</v>
      </c>
      <c r="I2163">
        <v>17.22</v>
      </c>
      <c r="J2163">
        <v>17.23</v>
      </c>
      <c r="K2163">
        <v>0</v>
      </c>
      <c r="L2163">
        <v>1.1100000000000001</v>
      </c>
      <c r="M2163" t="s">
        <v>7060</v>
      </c>
      <c r="N2163">
        <v>29.92</v>
      </c>
      <c r="O2163" t="s">
        <v>648</v>
      </c>
      <c r="P2163">
        <v>17.23</v>
      </c>
      <c r="Q2163">
        <v>17.059999999999999</v>
      </c>
      <c r="R2163">
        <v>17.11</v>
      </c>
      <c r="S2163">
        <v>17.21</v>
      </c>
      <c r="T2163">
        <v>0.99</v>
      </c>
      <c r="U2163">
        <v>0.85</v>
      </c>
      <c r="V2163">
        <v>-17.98</v>
      </c>
      <c r="W2163">
        <v>-251</v>
      </c>
      <c r="X2163">
        <v>17.14</v>
      </c>
      <c r="Y2163">
        <v>9315</v>
      </c>
      <c r="Z2163">
        <v>6986</v>
      </c>
      <c r="AA2163">
        <v>1.33</v>
      </c>
      <c r="AB2163">
        <v>53</v>
      </c>
      <c r="AC2163">
        <v>163</v>
      </c>
      <c r="AD2163">
        <v>4.0999999999999996</v>
      </c>
      <c r="AE2163" t="s">
        <v>4783</v>
      </c>
      <c r="AF2163" t="s">
        <v>2462</v>
      </c>
      <c r="AG2163" t="s">
        <v>2523</v>
      </c>
      <c r="AH2163" t="s">
        <v>2663</v>
      </c>
      <c r="AI2163">
        <v>-0.92</v>
      </c>
      <c r="AJ2163">
        <v>3.05</v>
      </c>
      <c r="AK2163">
        <v>3.81</v>
      </c>
      <c r="AL2163">
        <v>7.67</v>
      </c>
    </row>
    <row r="2164" spans="1:38" x14ac:dyDescent="0.25">
      <c r="A2164">
        <v>2163</v>
      </c>
      <c r="B2164" t="str">
        <f xml:space="preserve"> "002561"</f>
        <v>002561</v>
      </c>
      <c r="C2164" t="s">
        <v>7061</v>
      </c>
      <c r="D2164">
        <v>13.86</v>
      </c>
      <c r="E2164">
        <v>-0.43</v>
      </c>
      <c r="F2164">
        <v>-0.06</v>
      </c>
      <c r="G2164" t="s">
        <v>1842</v>
      </c>
      <c r="H2164">
        <v>1038</v>
      </c>
      <c r="I2164">
        <v>13.86</v>
      </c>
      <c r="J2164">
        <v>13.87</v>
      </c>
      <c r="K2164">
        <v>0</v>
      </c>
      <c r="L2164">
        <v>1.57</v>
      </c>
      <c r="M2164" t="s">
        <v>7062</v>
      </c>
      <c r="N2164">
        <v>25.07</v>
      </c>
      <c r="O2164" t="s">
        <v>532</v>
      </c>
      <c r="P2164">
        <v>13.95</v>
      </c>
      <c r="Q2164">
        <v>13.72</v>
      </c>
      <c r="R2164">
        <v>13.84</v>
      </c>
      <c r="S2164">
        <v>13.92</v>
      </c>
      <c r="T2164">
        <v>1.65</v>
      </c>
      <c r="U2164">
        <v>0.79</v>
      </c>
      <c r="V2164">
        <v>23.76</v>
      </c>
      <c r="W2164">
        <v>404</v>
      </c>
      <c r="X2164">
        <v>13.82</v>
      </c>
      <c r="Y2164" t="s">
        <v>1692</v>
      </c>
      <c r="Z2164" t="s">
        <v>3266</v>
      </c>
      <c r="AA2164">
        <v>1.58</v>
      </c>
      <c r="AB2164">
        <v>82</v>
      </c>
      <c r="AC2164">
        <v>43</v>
      </c>
      <c r="AD2164">
        <v>2.84</v>
      </c>
      <c r="AE2164" t="s">
        <v>4149</v>
      </c>
      <c r="AF2164" t="s">
        <v>5454</v>
      </c>
      <c r="AG2164" t="s">
        <v>3245</v>
      </c>
      <c r="AH2164" t="s">
        <v>6037</v>
      </c>
      <c r="AI2164">
        <v>-0.22</v>
      </c>
      <c r="AJ2164">
        <v>2.5099999999999998</v>
      </c>
      <c r="AK2164">
        <v>6.86</v>
      </c>
      <c r="AL2164">
        <v>11.55</v>
      </c>
    </row>
    <row r="2165" spans="1:38" x14ac:dyDescent="0.25">
      <c r="A2165">
        <v>2164</v>
      </c>
      <c r="B2165" t="str">
        <f xml:space="preserve"> "300259"</f>
        <v>300259</v>
      </c>
      <c r="C2165" t="s">
        <v>7063</v>
      </c>
      <c r="D2165">
        <v>10.78</v>
      </c>
      <c r="E2165">
        <v>0</v>
      </c>
      <c r="F2165">
        <v>0</v>
      </c>
      <c r="G2165" t="s">
        <v>1974</v>
      </c>
      <c r="H2165">
        <v>486</v>
      </c>
      <c r="I2165">
        <v>10.77</v>
      </c>
      <c r="J2165">
        <v>10.78</v>
      </c>
      <c r="K2165">
        <v>-0.09</v>
      </c>
      <c r="L2165">
        <v>1.72</v>
      </c>
      <c r="M2165" t="s">
        <v>7064</v>
      </c>
      <c r="N2165">
        <v>80.17</v>
      </c>
      <c r="O2165" t="s">
        <v>1372</v>
      </c>
      <c r="P2165">
        <v>10.83</v>
      </c>
      <c r="Q2165">
        <v>10.67</v>
      </c>
      <c r="R2165">
        <v>10.78</v>
      </c>
      <c r="S2165">
        <v>10.78</v>
      </c>
      <c r="T2165">
        <v>1.48</v>
      </c>
      <c r="U2165">
        <v>1.03</v>
      </c>
      <c r="V2165">
        <v>-60.75</v>
      </c>
      <c r="W2165">
        <v>-1998</v>
      </c>
      <c r="X2165">
        <v>10.75</v>
      </c>
      <c r="Y2165" t="s">
        <v>3931</v>
      </c>
      <c r="Z2165" t="s">
        <v>4118</v>
      </c>
      <c r="AA2165">
        <v>1.18</v>
      </c>
      <c r="AB2165">
        <v>93</v>
      </c>
      <c r="AC2165">
        <v>371</v>
      </c>
      <c r="AD2165">
        <v>3.33</v>
      </c>
      <c r="AE2165" t="s">
        <v>1900</v>
      </c>
      <c r="AF2165" t="s">
        <v>5454</v>
      </c>
      <c r="AG2165" t="s">
        <v>2208</v>
      </c>
      <c r="AH2165" t="s">
        <v>1479</v>
      </c>
      <c r="AI2165">
        <v>0.47</v>
      </c>
      <c r="AJ2165">
        <v>2.08</v>
      </c>
      <c r="AK2165">
        <v>5.38</v>
      </c>
      <c r="AL2165">
        <v>10.11</v>
      </c>
    </row>
    <row r="2166" spans="1:38" x14ac:dyDescent="0.25">
      <c r="A2166">
        <v>2165</v>
      </c>
      <c r="B2166" t="str">
        <f xml:space="preserve"> "300086"</f>
        <v>300086</v>
      </c>
      <c r="C2166" t="s">
        <v>7065</v>
      </c>
      <c r="D2166">
        <v>12.8</v>
      </c>
      <c r="E2166">
        <v>0.39</v>
      </c>
      <c r="F2166">
        <v>0.05</v>
      </c>
      <c r="G2166" t="s">
        <v>1259</v>
      </c>
      <c r="H2166">
        <v>500</v>
      </c>
      <c r="I2166">
        <v>12.76</v>
      </c>
      <c r="J2166">
        <v>12.8</v>
      </c>
      <c r="K2166">
        <v>0.39</v>
      </c>
      <c r="L2166">
        <v>0.28000000000000003</v>
      </c>
      <c r="M2166" t="s">
        <v>6426</v>
      </c>
      <c r="N2166">
        <v>90.45</v>
      </c>
      <c r="O2166" t="s">
        <v>392</v>
      </c>
      <c r="P2166">
        <v>12.85</v>
      </c>
      <c r="Q2166">
        <v>12.68</v>
      </c>
      <c r="R2166">
        <v>12.71</v>
      </c>
      <c r="S2166">
        <v>12.75</v>
      </c>
      <c r="T2166">
        <v>1.33</v>
      </c>
      <c r="U2166">
        <v>0.48</v>
      </c>
      <c r="V2166">
        <v>27.6</v>
      </c>
      <c r="W2166">
        <v>653</v>
      </c>
      <c r="X2166">
        <v>12.75</v>
      </c>
      <c r="Y2166">
        <v>6720</v>
      </c>
      <c r="Z2166">
        <v>5442</v>
      </c>
      <c r="AA2166">
        <v>1.23</v>
      </c>
      <c r="AB2166">
        <v>199</v>
      </c>
      <c r="AC2166">
        <v>558</v>
      </c>
      <c r="AD2166">
        <v>3.14</v>
      </c>
      <c r="AE2166" t="s">
        <v>3370</v>
      </c>
      <c r="AF2166" t="s">
        <v>5454</v>
      </c>
      <c r="AG2166" t="s">
        <v>6142</v>
      </c>
      <c r="AH2166" t="s">
        <v>6370</v>
      </c>
      <c r="AI2166">
        <v>0</v>
      </c>
      <c r="AJ2166">
        <v>4.49</v>
      </c>
      <c r="AK2166">
        <v>1.27</v>
      </c>
      <c r="AL2166">
        <v>3.2</v>
      </c>
    </row>
    <row r="2167" spans="1:38" x14ac:dyDescent="0.25">
      <c r="A2167">
        <v>2166</v>
      </c>
      <c r="B2167" t="str">
        <f xml:space="preserve"> "000722"</f>
        <v>000722</v>
      </c>
      <c r="C2167" t="s">
        <v>7066</v>
      </c>
      <c r="D2167">
        <v>12.4</v>
      </c>
      <c r="E2167">
        <v>0.32</v>
      </c>
      <c r="F2167">
        <v>0.04</v>
      </c>
      <c r="G2167" t="s">
        <v>3180</v>
      </c>
      <c r="H2167">
        <v>668</v>
      </c>
      <c r="I2167">
        <v>12.4</v>
      </c>
      <c r="J2167">
        <v>12.41</v>
      </c>
      <c r="K2167">
        <v>0</v>
      </c>
      <c r="L2167">
        <v>0.83</v>
      </c>
      <c r="M2167" t="s">
        <v>7067</v>
      </c>
      <c r="N2167">
        <v>42.36</v>
      </c>
      <c r="O2167" t="s">
        <v>186</v>
      </c>
      <c r="P2167">
        <v>12.6</v>
      </c>
      <c r="Q2167">
        <v>12.33</v>
      </c>
      <c r="R2167">
        <v>12.36</v>
      </c>
      <c r="S2167">
        <v>12.36</v>
      </c>
      <c r="T2167">
        <v>2.1800000000000002</v>
      </c>
      <c r="U2167">
        <v>0.78</v>
      </c>
      <c r="V2167">
        <v>28.07</v>
      </c>
      <c r="W2167">
        <v>731</v>
      </c>
      <c r="X2167">
        <v>12.44</v>
      </c>
      <c r="Y2167" t="s">
        <v>658</v>
      </c>
      <c r="Z2167" t="s">
        <v>899</v>
      </c>
      <c r="AA2167">
        <v>1.06</v>
      </c>
      <c r="AB2167">
        <v>93</v>
      </c>
      <c r="AC2167">
        <v>288</v>
      </c>
      <c r="AD2167">
        <v>2.08</v>
      </c>
      <c r="AE2167" t="s">
        <v>4114</v>
      </c>
      <c r="AF2167" t="s">
        <v>5454</v>
      </c>
      <c r="AG2167" t="s">
        <v>4114</v>
      </c>
      <c r="AH2167" t="s">
        <v>5454</v>
      </c>
      <c r="AI2167">
        <v>0.24</v>
      </c>
      <c r="AJ2167">
        <v>3.85</v>
      </c>
      <c r="AK2167">
        <v>2.68</v>
      </c>
      <c r="AL2167">
        <v>6.11</v>
      </c>
    </row>
    <row r="2168" spans="1:38" x14ac:dyDescent="0.25">
      <c r="A2168">
        <v>2167</v>
      </c>
      <c r="B2168" t="str">
        <f xml:space="preserve"> "603988"</f>
        <v>603988</v>
      </c>
      <c r="C2168" t="s">
        <v>7068</v>
      </c>
      <c r="D2168">
        <v>71.849999999999994</v>
      </c>
      <c r="E2168">
        <v>0.41</v>
      </c>
      <c r="F2168">
        <v>0.28999999999999998</v>
      </c>
      <c r="G2168">
        <v>678</v>
      </c>
      <c r="H2168">
        <v>10</v>
      </c>
      <c r="I2168">
        <v>71.64</v>
      </c>
      <c r="J2168">
        <v>71.900000000000006</v>
      </c>
      <c r="K2168">
        <v>0.15</v>
      </c>
      <c r="L2168">
        <v>0.3</v>
      </c>
      <c r="M2168" t="s">
        <v>7069</v>
      </c>
      <c r="N2168">
        <v>161.76</v>
      </c>
      <c r="O2168" t="s">
        <v>648</v>
      </c>
      <c r="P2168">
        <v>71.930000000000007</v>
      </c>
      <c r="Q2168">
        <v>71.099999999999994</v>
      </c>
      <c r="R2168">
        <v>71.099999999999994</v>
      </c>
      <c r="S2168">
        <v>71.56</v>
      </c>
      <c r="T2168">
        <v>1.1599999999999999</v>
      </c>
      <c r="U2168">
        <v>0.52</v>
      </c>
      <c r="V2168">
        <v>-11.41</v>
      </c>
      <c r="W2168">
        <v>-3</v>
      </c>
      <c r="X2168">
        <v>71.69</v>
      </c>
      <c r="Y2168">
        <v>279</v>
      </c>
      <c r="Z2168">
        <v>399</v>
      </c>
      <c r="AA2168">
        <v>0.7</v>
      </c>
      <c r="AB2168">
        <v>4</v>
      </c>
      <c r="AC2168">
        <v>2</v>
      </c>
      <c r="AD2168">
        <v>8.82</v>
      </c>
      <c r="AE2168" t="s">
        <v>5802</v>
      </c>
      <c r="AF2168" t="s">
        <v>5956</v>
      </c>
      <c r="AG2168" t="s">
        <v>7070</v>
      </c>
      <c r="AH2168" t="s">
        <v>3071</v>
      </c>
      <c r="AI2168">
        <v>-0.06</v>
      </c>
      <c r="AJ2168">
        <v>-0.32</v>
      </c>
      <c r="AK2168">
        <v>1.38</v>
      </c>
      <c r="AL2168">
        <v>3.2</v>
      </c>
    </row>
    <row r="2169" spans="1:38" x14ac:dyDescent="0.25">
      <c r="A2169">
        <v>2168</v>
      </c>
      <c r="B2169" t="str">
        <f xml:space="preserve"> "002628"</f>
        <v>002628</v>
      </c>
      <c r="C2169" t="s">
        <v>7071</v>
      </c>
      <c r="D2169">
        <v>7.78</v>
      </c>
      <c r="E2169">
        <v>0.13</v>
      </c>
      <c r="F2169">
        <v>0.01</v>
      </c>
      <c r="G2169" t="s">
        <v>5066</v>
      </c>
      <c r="H2169">
        <v>415</v>
      </c>
      <c r="I2169">
        <v>7.78</v>
      </c>
      <c r="J2169">
        <v>7.79</v>
      </c>
      <c r="K2169">
        <v>0.26</v>
      </c>
      <c r="L2169">
        <v>0.59</v>
      </c>
      <c r="M2169" t="s">
        <v>7072</v>
      </c>
      <c r="N2169">
        <v>196.68</v>
      </c>
      <c r="O2169" t="s">
        <v>263</v>
      </c>
      <c r="P2169">
        <v>7.9</v>
      </c>
      <c r="Q2169">
        <v>7.75</v>
      </c>
      <c r="R2169">
        <v>7.77</v>
      </c>
      <c r="S2169">
        <v>7.77</v>
      </c>
      <c r="T2169">
        <v>1.93</v>
      </c>
      <c r="U2169">
        <v>0.96</v>
      </c>
      <c r="V2169">
        <v>3.88</v>
      </c>
      <c r="W2169">
        <v>101</v>
      </c>
      <c r="X2169">
        <v>7.82</v>
      </c>
      <c r="Y2169" t="s">
        <v>275</v>
      </c>
      <c r="Z2169" t="s">
        <v>3238</v>
      </c>
      <c r="AA2169">
        <v>1.35</v>
      </c>
      <c r="AB2169">
        <v>54</v>
      </c>
      <c r="AC2169">
        <v>270</v>
      </c>
      <c r="AD2169">
        <v>2.16</v>
      </c>
      <c r="AE2169" t="s">
        <v>5203</v>
      </c>
      <c r="AF2169" t="s">
        <v>5020</v>
      </c>
      <c r="AG2169" t="s">
        <v>3845</v>
      </c>
      <c r="AH2169" t="s">
        <v>6274</v>
      </c>
      <c r="AI2169">
        <v>-4.3099999999999996</v>
      </c>
      <c r="AJ2169">
        <v>-2.75</v>
      </c>
      <c r="AK2169">
        <v>2.04</v>
      </c>
      <c r="AL2169">
        <v>3.67</v>
      </c>
    </row>
    <row r="2170" spans="1:38" x14ac:dyDescent="0.25">
      <c r="A2170">
        <v>2169</v>
      </c>
      <c r="B2170" t="str">
        <f xml:space="preserve"> "000949"</f>
        <v>000949</v>
      </c>
      <c r="C2170" t="s">
        <v>7073</v>
      </c>
      <c r="D2170">
        <v>4.5599999999999996</v>
      </c>
      <c r="E2170">
        <v>0.66</v>
      </c>
      <c r="F2170">
        <v>0.03</v>
      </c>
      <c r="G2170" t="s">
        <v>1884</v>
      </c>
      <c r="H2170">
        <v>138</v>
      </c>
      <c r="I2170">
        <v>4.5599999999999996</v>
      </c>
      <c r="J2170">
        <v>4.57</v>
      </c>
      <c r="K2170">
        <v>-0.22</v>
      </c>
      <c r="L2170">
        <v>0.4</v>
      </c>
      <c r="M2170" t="s">
        <v>7074</v>
      </c>
      <c r="N2170">
        <v>58.67</v>
      </c>
      <c r="O2170" t="s">
        <v>1798</v>
      </c>
      <c r="P2170">
        <v>4.57</v>
      </c>
      <c r="Q2170">
        <v>4.51</v>
      </c>
      <c r="R2170">
        <v>4.53</v>
      </c>
      <c r="S2170">
        <v>4.53</v>
      </c>
      <c r="T2170">
        <v>1.32</v>
      </c>
      <c r="U2170">
        <v>0.9</v>
      </c>
      <c r="V2170">
        <v>-38.35</v>
      </c>
      <c r="W2170">
        <v>-7764</v>
      </c>
      <c r="X2170">
        <v>4.55</v>
      </c>
      <c r="Y2170" t="s">
        <v>884</v>
      </c>
      <c r="Z2170" t="s">
        <v>1420</v>
      </c>
      <c r="AA2170">
        <v>0.9</v>
      </c>
      <c r="AB2170">
        <v>781</v>
      </c>
      <c r="AC2170">
        <v>3488</v>
      </c>
      <c r="AD2170">
        <v>1.6</v>
      </c>
      <c r="AE2170" t="s">
        <v>126</v>
      </c>
      <c r="AF2170" t="s">
        <v>4892</v>
      </c>
      <c r="AG2170" t="s">
        <v>707</v>
      </c>
      <c r="AH2170" t="s">
        <v>6514</v>
      </c>
      <c r="AI2170">
        <v>0.22</v>
      </c>
      <c r="AJ2170">
        <v>3.17</v>
      </c>
      <c r="AK2170">
        <v>1.29</v>
      </c>
      <c r="AL2170">
        <v>2.59</v>
      </c>
    </row>
    <row r="2171" spans="1:38" x14ac:dyDescent="0.25">
      <c r="A2171">
        <v>2170</v>
      </c>
      <c r="B2171" t="str">
        <f xml:space="preserve"> "002686"</f>
        <v>002686</v>
      </c>
      <c r="C2171" t="s">
        <v>7075</v>
      </c>
      <c r="D2171">
        <v>12.94</v>
      </c>
      <c r="E2171">
        <v>-0.31</v>
      </c>
      <c r="F2171">
        <v>-0.04</v>
      </c>
      <c r="G2171" t="s">
        <v>4788</v>
      </c>
      <c r="H2171">
        <v>206</v>
      </c>
      <c r="I2171">
        <v>12.94</v>
      </c>
      <c r="J2171">
        <v>12.95</v>
      </c>
      <c r="K2171">
        <v>-0.08</v>
      </c>
      <c r="L2171">
        <v>0.73</v>
      </c>
      <c r="M2171" t="s">
        <v>7076</v>
      </c>
      <c r="N2171">
        <v>44.43</v>
      </c>
      <c r="O2171" t="s">
        <v>648</v>
      </c>
      <c r="P2171">
        <v>13.06</v>
      </c>
      <c r="Q2171">
        <v>12.85</v>
      </c>
      <c r="R2171">
        <v>13</v>
      </c>
      <c r="S2171">
        <v>12.98</v>
      </c>
      <c r="T2171">
        <v>1.62</v>
      </c>
      <c r="U2171">
        <v>0.7</v>
      </c>
      <c r="V2171">
        <v>3.56</v>
      </c>
      <c r="W2171">
        <v>51</v>
      </c>
      <c r="X2171">
        <v>12.92</v>
      </c>
      <c r="Y2171" t="s">
        <v>1821</v>
      </c>
      <c r="Z2171">
        <v>7373</v>
      </c>
      <c r="AA2171">
        <v>1.83</v>
      </c>
      <c r="AB2171">
        <v>285</v>
      </c>
      <c r="AC2171">
        <v>126</v>
      </c>
      <c r="AD2171">
        <v>4.03</v>
      </c>
      <c r="AE2171" t="s">
        <v>879</v>
      </c>
      <c r="AF2171" t="s">
        <v>4892</v>
      </c>
      <c r="AG2171" t="s">
        <v>4870</v>
      </c>
      <c r="AH2171" t="s">
        <v>7077</v>
      </c>
      <c r="AI2171">
        <v>0.62</v>
      </c>
      <c r="AJ2171">
        <v>1.41</v>
      </c>
      <c r="AK2171">
        <v>3</v>
      </c>
      <c r="AL2171">
        <v>5.99</v>
      </c>
    </row>
    <row r="2172" spans="1:38" x14ac:dyDescent="0.25">
      <c r="A2172">
        <v>2171</v>
      </c>
      <c r="B2172" t="str">
        <f xml:space="preserve"> "300392"</f>
        <v>300392</v>
      </c>
      <c r="C2172" t="s">
        <v>7078</v>
      </c>
      <c r="D2172" t="s">
        <v>616</v>
      </c>
      <c r="E2172" t="s">
        <v>616</v>
      </c>
      <c r="F2172" t="s">
        <v>616</v>
      </c>
      <c r="G2172" t="s">
        <v>616</v>
      </c>
      <c r="H2172" t="s">
        <v>616</v>
      </c>
      <c r="I2172" t="s">
        <v>616</v>
      </c>
      <c r="J2172" t="s">
        <v>616</v>
      </c>
      <c r="K2172" t="s">
        <v>616</v>
      </c>
      <c r="L2172" t="s">
        <v>616</v>
      </c>
      <c r="M2172" t="s">
        <v>616</v>
      </c>
      <c r="N2172">
        <v>485.18</v>
      </c>
      <c r="O2172" t="s">
        <v>1126</v>
      </c>
      <c r="P2172" t="s">
        <v>616</v>
      </c>
      <c r="Q2172" t="s">
        <v>616</v>
      </c>
      <c r="R2172" t="s">
        <v>616</v>
      </c>
      <c r="S2172">
        <v>14.93</v>
      </c>
      <c r="T2172" t="s">
        <v>616</v>
      </c>
      <c r="U2172" t="s">
        <v>616</v>
      </c>
      <c r="V2172" t="s">
        <v>616</v>
      </c>
      <c r="W2172" t="s">
        <v>616</v>
      </c>
      <c r="X2172" t="s">
        <v>616</v>
      </c>
      <c r="Y2172" t="s">
        <v>616</v>
      </c>
      <c r="Z2172" t="s">
        <v>616</v>
      </c>
      <c r="AA2172" t="s">
        <v>616</v>
      </c>
      <c r="AB2172" t="s">
        <v>616</v>
      </c>
      <c r="AC2172" t="s">
        <v>616</v>
      </c>
      <c r="AD2172">
        <v>9.2899999999999991</v>
      </c>
      <c r="AE2172" t="s">
        <v>497</v>
      </c>
      <c r="AF2172" t="s">
        <v>4892</v>
      </c>
      <c r="AG2172" t="s">
        <v>608</v>
      </c>
      <c r="AH2172" t="s">
        <v>3257</v>
      </c>
      <c r="AI2172">
        <v>0</v>
      </c>
      <c r="AJ2172">
        <v>0</v>
      </c>
      <c r="AK2172">
        <v>0</v>
      </c>
      <c r="AL2172">
        <v>4.63</v>
      </c>
    </row>
    <row r="2173" spans="1:38" x14ac:dyDescent="0.25">
      <c r="A2173">
        <v>2172</v>
      </c>
      <c r="B2173" t="str">
        <f xml:space="preserve"> "603889"</f>
        <v>603889</v>
      </c>
      <c r="C2173" t="s">
        <v>7079</v>
      </c>
      <c r="D2173">
        <v>14.56</v>
      </c>
      <c r="E2173">
        <v>1.04</v>
      </c>
      <c r="F2173">
        <v>0.15</v>
      </c>
      <c r="G2173" t="s">
        <v>885</v>
      </c>
      <c r="H2173">
        <v>10</v>
      </c>
      <c r="I2173">
        <v>14.52</v>
      </c>
      <c r="J2173">
        <v>14.54</v>
      </c>
      <c r="K2173">
        <v>0.41</v>
      </c>
      <c r="L2173">
        <v>2.27</v>
      </c>
      <c r="M2173" t="s">
        <v>7080</v>
      </c>
      <c r="N2173">
        <v>25.6</v>
      </c>
      <c r="O2173" t="s">
        <v>1443</v>
      </c>
      <c r="P2173">
        <v>14.61</v>
      </c>
      <c r="Q2173">
        <v>14.31</v>
      </c>
      <c r="R2173">
        <v>14.35</v>
      </c>
      <c r="S2173">
        <v>14.41</v>
      </c>
      <c r="T2173">
        <v>2.08</v>
      </c>
      <c r="U2173">
        <v>1.18</v>
      </c>
      <c r="V2173">
        <v>-6.22</v>
      </c>
      <c r="W2173">
        <v>-288</v>
      </c>
      <c r="X2173">
        <v>14.49</v>
      </c>
      <c r="Y2173" t="s">
        <v>3041</v>
      </c>
      <c r="Z2173" t="s">
        <v>468</v>
      </c>
      <c r="AA2173">
        <v>0.51</v>
      </c>
      <c r="AB2173">
        <v>80</v>
      </c>
      <c r="AC2173">
        <v>10</v>
      </c>
      <c r="AD2173">
        <v>2.71</v>
      </c>
      <c r="AE2173" t="s">
        <v>2817</v>
      </c>
      <c r="AF2173" t="s">
        <v>4892</v>
      </c>
      <c r="AG2173" t="s">
        <v>223</v>
      </c>
      <c r="AH2173" t="s">
        <v>666</v>
      </c>
      <c r="AI2173">
        <v>2.39</v>
      </c>
      <c r="AJ2173">
        <v>4.97</v>
      </c>
      <c r="AK2173">
        <v>5.57</v>
      </c>
      <c r="AL2173">
        <v>11.9</v>
      </c>
    </row>
    <row r="2174" spans="1:38" x14ac:dyDescent="0.25">
      <c r="A2174">
        <v>2173</v>
      </c>
      <c r="B2174" t="str">
        <f xml:space="preserve"> "603559"</f>
        <v>603559</v>
      </c>
      <c r="C2174" t="s">
        <v>7081</v>
      </c>
      <c r="D2174">
        <v>43.36</v>
      </c>
      <c r="E2174">
        <v>-1.45</v>
      </c>
      <c r="F2174">
        <v>-0.64</v>
      </c>
      <c r="G2174" t="s">
        <v>1242</v>
      </c>
      <c r="H2174">
        <v>39</v>
      </c>
      <c r="I2174">
        <v>43.36</v>
      </c>
      <c r="J2174">
        <v>43.39</v>
      </c>
      <c r="K2174">
        <v>7.0000000000000007E-2</v>
      </c>
      <c r="L2174">
        <v>35.25</v>
      </c>
      <c r="M2174" t="s">
        <v>2472</v>
      </c>
      <c r="N2174">
        <v>268.47000000000003</v>
      </c>
      <c r="O2174" t="s">
        <v>580</v>
      </c>
      <c r="P2174">
        <v>44.96</v>
      </c>
      <c r="Q2174">
        <v>41.9</v>
      </c>
      <c r="R2174">
        <v>42.85</v>
      </c>
      <c r="S2174">
        <v>44</v>
      </c>
      <c r="T2174">
        <v>6.95</v>
      </c>
      <c r="U2174">
        <v>0.63</v>
      </c>
      <c r="V2174">
        <v>46.93</v>
      </c>
      <c r="W2174">
        <v>424</v>
      </c>
      <c r="X2174">
        <v>43.19</v>
      </c>
      <c r="Y2174" t="s">
        <v>2826</v>
      </c>
      <c r="Z2174" t="s">
        <v>3177</v>
      </c>
      <c r="AA2174">
        <v>1.24</v>
      </c>
      <c r="AB2174">
        <v>12</v>
      </c>
      <c r="AC2174">
        <v>27</v>
      </c>
      <c r="AD2174">
        <v>11.04</v>
      </c>
      <c r="AE2174" t="s">
        <v>2646</v>
      </c>
      <c r="AF2174" t="s">
        <v>7082</v>
      </c>
      <c r="AG2174" t="s">
        <v>6031</v>
      </c>
      <c r="AH2174" t="s">
        <v>2246</v>
      </c>
      <c r="AI2174">
        <v>-8.08</v>
      </c>
      <c r="AJ2174">
        <v>19.350000000000001</v>
      </c>
      <c r="AK2174">
        <v>133.80000000000001</v>
      </c>
      <c r="AL2174">
        <v>314.39999999999998</v>
      </c>
    </row>
    <row r="2175" spans="1:38" x14ac:dyDescent="0.25">
      <c r="A2175">
        <v>2174</v>
      </c>
      <c r="B2175" t="str">
        <f xml:space="preserve"> "300248"</f>
        <v>300248</v>
      </c>
      <c r="C2175" t="s">
        <v>7083</v>
      </c>
      <c r="D2175">
        <v>17.63</v>
      </c>
      <c r="E2175">
        <v>-1.51</v>
      </c>
      <c r="F2175">
        <v>-0.27</v>
      </c>
      <c r="G2175" t="s">
        <v>3481</v>
      </c>
      <c r="H2175">
        <v>1398</v>
      </c>
      <c r="I2175">
        <v>17.63</v>
      </c>
      <c r="J2175">
        <v>17.64</v>
      </c>
      <c r="K2175">
        <v>-0.17</v>
      </c>
      <c r="L2175">
        <v>2.59</v>
      </c>
      <c r="M2175" t="s">
        <v>7084</v>
      </c>
      <c r="N2175">
        <v>129.51</v>
      </c>
      <c r="O2175" t="s">
        <v>893</v>
      </c>
      <c r="P2175">
        <v>17.75</v>
      </c>
      <c r="Q2175">
        <v>17.5</v>
      </c>
      <c r="R2175">
        <v>17.600000000000001</v>
      </c>
      <c r="S2175">
        <v>17.899999999999999</v>
      </c>
      <c r="T2175">
        <v>1.4</v>
      </c>
      <c r="U2175">
        <v>0.8</v>
      </c>
      <c r="V2175">
        <v>57.55</v>
      </c>
      <c r="W2175">
        <v>1518</v>
      </c>
      <c r="X2175">
        <v>17.64</v>
      </c>
      <c r="Y2175" t="s">
        <v>3039</v>
      </c>
      <c r="Z2175" t="s">
        <v>3892</v>
      </c>
      <c r="AA2175">
        <v>1.69</v>
      </c>
      <c r="AB2175">
        <v>1</v>
      </c>
      <c r="AC2175">
        <v>21</v>
      </c>
      <c r="AD2175">
        <v>4.76</v>
      </c>
      <c r="AE2175" t="s">
        <v>981</v>
      </c>
      <c r="AF2175" t="s">
        <v>7082</v>
      </c>
      <c r="AG2175" t="s">
        <v>1075</v>
      </c>
      <c r="AH2175" t="s">
        <v>1975</v>
      </c>
      <c r="AI2175">
        <v>0.23</v>
      </c>
      <c r="AJ2175">
        <v>4.9400000000000004</v>
      </c>
      <c r="AK2175">
        <v>13.11</v>
      </c>
      <c r="AL2175">
        <v>18.89</v>
      </c>
    </row>
    <row r="2176" spans="1:38" x14ac:dyDescent="0.25">
      <c r="A2176">
        <v>2175</v>
      </c>
      <c r="B2176" t="str">
        <f xml:space="preserve"> "002832"</f>
        <v>002832</v>
      </c>
      <c r="C2176" t="s">
        <v>7085</v>
      </c>
      <c r="D2176">
        <v>53.54</v>
      </c>
      <c r="E2176">
        <v>1.98</v>
      </c>
      <c r="F2176">
        <v>1.04</v>
      </c>
      <c r="G2176">
        <v>4352</v>
      </c>
      <c r="H2176">
        <v>7</v>
      </c>
      <c r="I2176">
        <v>53.53</v>
      </c>
      <c r="J2176">
        <v>53.54</v>
      </c>
      <c r="K2176">
        <v>-0.02</v>
      </c>
      <c r="L2176">
        <v>1.63</v>
      </c>
      <c r="M2176" t="s">
        <v>7086</v>
      </c>
      <c r="N2176">
        <v>34.01</v>
      </c>
      <c r="O2176" t="s">
        <v>1443</v>
      </c>
      <c r="P2176">
        <v>53.55</v>
      </c>
      <c r="Q2176">
        <v>52.33</v>
      </c>
      <c r="R2176">
        <v>52.49</v>
      </c>
      <c r="S2176">
        <v>52.5</v>
      </c>
      <c r="T2176">
        <v>2.3199999999999998</v>
      </c>
      <c r="U2176">
        <v>2.23</v>
      </c>
      <c r="V2176">
        <v>-36</v>
      </c>
      <c r="W2176">
        <v>-54</v>
      </c>
      <c r="X2176">
        <v>53.2</v>
      </c>
      <c r="Y2176">
        <v>1601</v>
      </c>
      <c r="Z2176">
        <v>2751</v>
      </c>
      <c r="AA2176">
        <v>0.57999999999999996</v>
      </c>
      <c r="AB2176">
        <v>1</v>
      </c>
      <c r="AC2176">
        <v>14</v>
      </c>
      <c r="AD2176">
        <v>4.3099999999999996</v>
      </c>
      <c r="AE2176" t="s">
        <v>1314</v>
      </c>
      <c r="AF2176" t="s">
        <v>5291</v>
      </c>
      <c r="AG2176" t="s">
        <v>7087</v>
      </c>
      <c r="AH2176" t="s">
        <v>2246</v>
      </c>
      <c r="AI2176">
        <v>1.46</v>
      </c>
      <c r="AJ2176">
        <v>5.58</v>
      </c>
      <c r="AK2176">
        <v>3.18</v>
      </c>
      <c r="AL2176">
        <v>5.28</v>
      </c>
    </row>
    <row r="2177" spans="1:38" x14ac:dyDescent="0.25">
      <c r="A2177">
        <v>2176</v>
      </c>
      <c r="B2177" t="str">
        <f xml:space="preserve"> "300249"</f>
        <v>300249</v>
      </c>
      <c r="C2177" t="s">
        <v>7088</v>
      </c>
      <c r="D2177">
        <v>12.79</v>
      </c>
      <c r="E2177">
        <v>4.58</v>
      </c>
      <c r="F2177">
        <v>0.56000000000000005</v>
      </c>
      <c r="G2177" t="s">
        <v>121</v>
      </c>
      <c r="H2177">
        <v>448</v>
      </c>
      <c r="I2177">
        <v>12.78</v>
      </c>
      <c r="J2177">
        <v>12.79</v>
      </c>
      <c r="K2177">
        <v>0</v>
      </c>
      <c r="L2177">
        <v>1</v>
      </c>
      <c r="M2177" t="s">
        <v>7089</v>
      </c>
      <c r="N2177">
        <v>122.1</v>
      </c>
      <c r="O2177" t="s">
        <v>648</v>
      </c>
      <c r="P2177">
        <v>13.2</v>
      </c>
      <c r="Q2177">
        <v>12.22</v>
      </c>
      <c r="R2177">
        <v>12.3</v>
      </c>
      <c r="S2177">
        <v>12.23</v>
      </c>
      <c r="T2177">
        <v>8.01</v>
      </c>
      <c r="U2177">
        <v>3.32</v>
      </c>
      <c r="V2177">
        <v>-6.98</v>
      </c>
      <c r="W2177">
        <v>-107</v>
      </c>
      <c r="X2177">
        <v>12.64</v>
      </c>
      <c r="Y2177">
        <v>9656</v>
      </c>
      <c r="Z2177" t="s">
        <v>1340</v>
      </c>
      <c r="AA2177">
        <v>0.53</v>
      </c>
      <c r="AB2177">
        <v>139</v>
      </c>
      <c r="AC2177">
        <v>299</v>
      </c>
      <c r="AD2177">
        <v>7.3</v>
      </c>
      <c r="AE2177" t="s">
        <v>2744</v>
      </c>
      <c r="AF2177" t="s">
        <v>5291</v>
      </c>
      <c r="AG2177" t="s">
        <v>273</v>
      </c>
      <c r="AH2177" t="s">
        <v>1406</v>
      </c>
      <c r="AI2177">
        <v>3.98</v>
      </c>
      <c r="AJ2177">
        <v>5.09</v>
      </c>
      <c r="AK2177">
        <v>1.48</v>
      </c>
      <c r="AL2177">
        <v>2.5099999999999998</v>
      </c>
    </row>
    <row r="2178" spans="1:38" x14ac:dyDescent="0.25">
      <c r="A2178">
        <v>2177</v>
      </c>
      <c r="B2178" t="str">
        <f xml:space="preserve"> "300512"</f>
        <v>300512</v>
      </c>
      <c r="C2178" t="s">
        <v>7090</v>
      </c>
      <c r="D2178">
        <v>21.12</v>
      </c>
      <c r="E2178">
        <v>0.72</v>
      </c>
      <c r="F2178">
        <v>0.15</v>
      </c>
      <c r="G2178" t="s">
        <v>1973</v>
      </c>
      <c r="H2178">
        <v>830</v>
      </c>
      <c r="I2178">
        <v>21.12</v>
      </c>
      <c r="J2178">
        <v>21.13</v>
      </c>
      <c r="K2178">
        <v>0.05</v>
      </c>
      <c r="L2178">
        <v>4.05</v>
      </c>
      <c r="M2178" t="s">
        <v>7091</v>
      </c>
      <c r="N2178">
        <v>32.54</v>
      </c>
      <c r="O2178" t="s">
        <v>648</v>
      </c>
      <c r="P2178">
        <v>21.25</v>
      </c>
      <c r="Q2178">
        <v>20.74</v>
      </c>
      <c r="R2178">
        <v>20.86</v>
      </c>
      <c r="S2178">
        <v>20.97</v>
      </c>
      <c r="T2178">
        <v>2.4300000000000002</v>
      </c>
      <c r="U2178">
        <v>0.86</v>
      </c>
      <c r="V2178">
        <v>30.07</v>
      </c>
      <c r="W2178">
        <v>328</v>
      </c>
      <c r="X2178">
        <v>21.02</v>
      </c>
      <c r="Y2178" t="s">
        <v>2558</v>
      </c>
      <c r="Z2178" t="s">
        <v>1508</v>
      </c>
      <c r="AA2178">
        <v>1.02</v>
      </c>
      <c r="AB2178">
        <v>7</v>
      </c>
      <c r="AC2178">
        <v>127</v>
      </c>
      <c r="AD2178">
        <v>4.37</v>
      </c>
      <c r="AE2178" t="s">
        <v>4296</v>
      </c>
      <c r="AF2178" t="s">
        <v>2371</v>
      </c>
      <c r="AG2178" t="s">
        <v>7092</v>
      </c>
      <c r="AH2178" t="s">
        <v>1778</v>
      </c>
      <c r="AI2178">
        <v>4.3</v>
      </c>
      <c r="AJ2178">
        <v>8.6999999999999993</v>
      </c>
      <c r="AK2178">
        <v>20.86</v>
      </c>
      <c r="AL2178">
        <v>27.68</v>
      </c>
    </row>
    <row r="2179" spans="1:38" x14ac:dyDescent="0.25">
      <c r="A2179">
        <v>2178</v>
      </c>
      <c r="B2179" t="str">
        <f xml:space="preserve"> "600613"</f>
        <v>600613</v>
      </c>
      <c r="C2179" t="s">
        <v>7093</v>
      </c>
      <c r="D2179">
        <v>10.66</v>
      </c>
      <c r="E2179">
        <v>1.23</v>
      </c>
      <c r="F2179">
        <v>0.13</v>
      </c>
      <c r="G2179" t="s">
        <v>2702</v>
      </c>
      <c r="H2179">
        <v>11</v>
      </c>
      <c r="I2179">
        <v>10.66</v>
      </c>
      <c r="J2179">
        <v>10.67</v>
      </c>
      <c r="K2179">
        <v>0.09</v>
      </c>
      <c r="L2179">
        <v>1.02</v>
      </c>
      <c r="M2179" t="s">
        <v>7094</v>
      </c>
      <c r="N2179">
        <v>55.61</v>
      </c>
      <c r="O2179" t="s">
        <v>392</v>
      </c>
      <c r="P2179">
        <v>10.8</v>
      </c>
      <c r="Q2179">
        <v>10.45</v>
      </c>
      <c r="R2179">
        <v>10.49</v>
      </c>
      <c r="S2179">
        <v>10.53</v>
      </c>
      <c r="T2179">
        <v>3.32</v>
      </c>
      <c r="U2179">
        <v>1.58</v>
      </c>
      <c r="V2179">
        <v>-42.45</v>
      </c>
      <c r="W2179">
        <v>-970</v>
      </c>
      <c r="X2179">
        <v>10.67</v>
      </c>
      <c r="Y2179" t="s">
        <v>2509</v>
      </c>
      <c r="Z2179" t="s">
        <v>393</v>
      </c>
      <c r="AA2179">
        <v>0.71</v>
      </c>
      <c r="AB2179">
        <v>10</v>
      </c>
      <c r="AC2179">
        <v>558</v>
      </c>
      <c r="AD2179">
        <v>2.4</v>
      </c>
      <c r="AE2179" t="s">
        <v>1900</v>
      </c>
      <c r="AF2179" t="s">
        <v>4009</v>
      </c>
      <c r="AG2179" t="s">
        <v>4285</v>
      </c>
      <c r="AH2179" t="s">
        <v>1344</v>
      </c>
      <c r="AI2179">
        <v>0.09</v>
      </c>
      <c r="AJ2179">
        <v>4.72</v>
      </c>
      <c r="AK2179">
        <v>2.33</v>
      </c>
      <c r="AL2179">
        <v>4.25</v>
      </c>
    </row>
    <row r="2180" spans="1:38" x14ac:dyDescent="0.25">
      <c r="A2180">
        <v>2179</v>
      </c>
      <c r="B2180" t="str">
        <f xml:space="preserve"> "601968"</f>
        <v>601968</v>
      </c>
      <c r="C2180" t="s">
        <v>7095</v>
      </c>
      <c r="D2180">
        <v>6.83</v>
      </c>
      <c r="E2180">
        <v>0.89</v>
      </c>
      <c r="F2180">
        <v>0.06</v>
      </c>
      <c r="G2180" t="s">
        <v>2272</v>
      </c>
      <c r="H2180">
        <v>10</v>
      </c>
      <c r="I2180">
        <v>6.83</v>
      </c>
      <c r="J2180">
        <v>6.84</v>
      </c>
      <c r="K2180">
        <v>-0.15</v>
      </c>
      <c r="L2180">
        <v>1.7</v>
      </c>
      <c r="M2180" t="s">
        <v>7096</v>
      </c>
      <c r="N2180">
        <v>-121.09</v>
      </c>
      <c r="O2180" t="s">
        <v>3873</v>
      </c>
      <c r="P2180">
        <v>6.98</v>
      </c>
      <c r="Q2180">
        <v>6.77</v>
      </c>
      <c r="R2180">
        <v>6.77</v>
      </c>
      <c r="S2180">
        <v>6.77</v>
      </c>
      <c r="T2180">
        <v>3.1</v>
      </c>
      <c r="U2180">
        <v>1.75</v>
      </c>
      <c r="V2180">
        <v>-33.17</v>
      </c>
      <c r="W2180">
        <v>-1658</v>
      </c>
      <c r="X2180">
        <v>6.87</v>
      </c>
      <c r="Y2180" t="s">
        <v>6749</v>
      </c>
      <c r="Z2180" t="s">
        <v>2459</v>
      </c>
      <c r="AA2180">
        <v>0.72</v>
      </c>
      <c r="AB2180">
        <v>358</v>
      </c>
      <c r="AC2180">
        <v>78</v>
      </c>
      <c r="AD2180">
        <v>2.87</v>
      </c>
      <c r="AE2180" t="s">
        <v>4255</v>
      </c>
      <c r="AF2180" t="s">
        <v>4009</v>
      </c>
      <c r="AG2180" t="s">
        <v>7097</v>
      </c>
      <c r="AH2180" t="s">
        <v>289</v>
      </c>
      <c r="AI2180">
        <v>0.59</v>
      </c>
      <c r="AJ2180">
        <v>3.48</v>
      </c>
      <c r="AK2180">
        <v>4.0199999999999996</v>
      </c>
      <c r="AL2180">
        <v>6.56</v>
      </c>
    </row>
    <row r="2181" spans="1:38" x14ac:dyDescent="0.25">
      <c r="A2181">
        <v>2180</v>
      </c>
      <c r="B2181" t="str">
        <f xml:space="preserve"> "002225"</f>
        <v>002225</v>
      </c>
      <c r="C2181" t="s">
        <v>7098</v>
      </c>
      <c r="D2181">
        <v>6.39</v>
      </c>
      <c r="E2181">
        <v>0.63</v>
      </c>
      <c r="F2181">
        <v>0.04</v>
      </c>
      <c r="G2181" t="s">
        <v>5959</v>
      </c>
      <c r="H2181">
        <v>1181</v>
      </c>
      <c r="I2181">
        <v>6.38</v>
      </c>
      <c r="J2181">
        <v>6.39</v>
      </c>
      <c r="K2181">
        <v>0</v>
      </c>
      <c r="L2181">
        <v>1.31</v>
      </c>
      <c r="M2181" t="s">
        <v>7099</v>
      </c>
      <c r="N2181">
        <v>50.98</v>
      </c>
      <c r="O2181" t="s">
        <v>859</v>
      </c>
      <c r="P2181">
        <v>6.41</v>
      </c>
      <c r="Q2181">
        <v>6.3</v>
      </c>
      <c r="R2181">
        <v>6.31</v>
      </c>
      <c r="S2181">
        <v>6.35</v>
      </c>
      <c r="T2181">
        <v>1.73</v>
      </c>
      <c r="U2181">
        <v>0.56000000000000005</v>
      </c>
      <c r="V2181">
        <v>2.61</v>
      </c>
      <c r="W2181">
        <v>302</v>
      </c>
      <c r="X2181">
        <v>6.37</v>
      </c>
      <c r="Y2181" t="s">
        <v>1739</v>
      </c>
      <c r="Z2181" t="s">
        <v>2180</v>
      </c>
      <c r="AA2181">
        <v>1.05</v>
      </c>
      <c r="AB2181">
        <v>564</v>
      </c>
      <c r="AC2181">
        <v>623</v>
      </c>
      <c r="AD2181">
        <v>2.38</v>
      </c>
      <c r="AE2181" t="s">
        <v>2101</v>
      </c>
      <c r="AF2181" t="s">
        <v>4009</v>
      </c>
      <c r="AG2181" t="s">
        <v>2121</v>
      </c>
      <c r="AH2181" t="s">
        <v>1794</v>
      </c>
      <c r="AI2181">
        <v>-7.26</v>
      </c>
      <c r="AJ2181">
        <v>-5.47</v>
      </c>
      <c r="AK2181">
        <v>7.63</v>
      </c>
      <c r="AL2181">
        <v>13.05</v>
      </c>
    </row>
    <row r="2182" spans="1:38" x14ac:dyDescent="0.25">
      <c r="A2182">
        <v>2181</v>
      </c>
      <c r="B2182" t="str">
        <f xml:space="preserve"> "300071"</f>
        <v>300071</v>
      </c>
      <c r="C2182" t="s">
        <v>7100</v>
      </c>
      <c r="D2182">
        <v>8.3800000000000008</v>
      </c>
      <c r="E2182">
        <v>0.12</v>
      </c>
      <c r="F2182">
        <v>0.01</v>
      </c>
      <c r="G2182" t="s">
        <v>3050</v>
      </c>
      <c r="H2182">
        <v>664</v>
      </c>
      <c r="I2182">
        <v>8.3800000000000008</v>
      </c>
      <c r="J2182">
        <v>8.39</v>
      </c>
      <c r="K2182">
        <v>0.12</v>
      </c>
      <c r="L2182">
        <v>1.26</v>
      </c>
      <c r="M2182" t="s">
        <v>7101</v>
      </c>
      <c r="N2182">
        <v>77.41</v>
      </c>
      <c r="O2182" t="s">
        <v>1126</v>
      </c>
      <c r="P2182">
        <v>8.41</v>
      </c>
      <c r="Q2182">
        <v>8.3000000000000007</v>
      </c>
      <c r="R2182">
        <v>8.3699999999999992</v>
      </c>
      <c r="S2182">
        <v>8.3699999999999992</v>
      </c>
      <c r="T2182">
        <v>1.31</v>
      </c>
      <c r="U2182">
        <v>0.65</v>
      </c>
      <c r="V2182">
        <v>-11.99</v>
      </c>
      <c r="W2182">
        <v>-708</v>
      </c>
      <c r="X2182">
        <v>8.3699999999999992</v>
      </c>
      <c r="Y2182" t="s">
        <v>2559</v>
      </c>
      <c r="Z2182" t="s">
        <v>432</v>
      </c>
      <c r="AA2182">
        <v>1.56</v>
      </c>
      <c r="AB2182">
        <v>350</v>
      </c>
      <c r="AC2182">
        <v>775</v>
      </c>
      <c r="AD2182">
        <v>4.75</v>
      </c>
      <c r="AE2182" t="s">
        <v>4517</v>
      </c>
      <c r="AF2182" t="s">
        <v>4009</v>
      </c>
      <c r="AG2182" t="s">
        <v>3259</v>
      </c>
      <c r="AH2182" t="s">
        <v>2837</v>
      </c>
      <c r="AI2182">
        <v>-1.18</v>
      </c>
      <c r="AJ2182">
        <v>2.7</v>
      </c>
      <c r="AK2182">
        <v>6.43</v>
      </c>
      <c r="AL2182">
        <v>10.85</v>
      </c>
    </row>
    <row r="2183" spans="1:38" x14ac:dyDescent="0.25">
      <c r="A2183">
        <v>2182</v>
      </c>
      <c r="B2183" t="str">
        <f xml:space="preserve"> "002172"</f>
        <v>002172</v>
      </c>
      <c r="C2183" t="s">
        <v>7102</v>
      </c>
      <c r="D2183">
        <v>7.75</v>
      </c>
      <c r="E2183">
        <v>0.39</v>
      </c>
      <c r="F2183">
        <v>0.03</v>
      </c>
      <c r="G2183" t="s">
        <v>3190</v>
      </c>
      <c r="H2183">
        <v>255</v>
      </c>
      <c r="I2183">
        <v>7.74</v>
      </c>
      <c r="J2183">
        <v>7.75</v>
      </c>
      <c r="K2183">
        <v>0.13</v>
      </c>
      <c r="L2183">
        <v>0.54</v>
      </c>
      <c r="M2183" t="s">
        <v>7103</v>
      </c>
      <c r="N2183">
        <v>29.41</v>
      </c>
      <c r="O2183" t="s">
        <v>1798</v>
      </c>
      <c r="P2183">
        <v>7.76</v>
      </c>
      <c r="Q2183">
        <v>7.67</v>
      </c>
      <c r="R2183">
        <v>7.72</v>
      </c>
      <c r="S2183">
        <v>7.72</v>
      </c>
      <c r="T2183">
        <v>1.17</v>
      </c>
      <c r="U2183">
        <v>0.83</v>
      </c>
      <c r="V2183">
        <v>-9.5399999999999991</v>
      </c>
      <c r="W2183">
        <v>-667</v>
      </c>
      <c r="X2183">
        <v>7.72</v>
      </c>
      <c r="Y2183" t="s">
        <v>3946</v>
      </c>
      <c r="Z2183" t="s">
        <v>1077</v>
      </c>
      <c r="AA2183">
        <v>1.27</v>
      </c>
      <c r="AB2183">
        <v>429</v>
      </c>
      <c r="AC2183">
        <v>586</v>
      </c>
      <c r="AD2183">
        <v>4.26</v>
      </c>
      <c r="AE2183" t="s">
        <v>4534</v>
      </c>
      <c r="AF2183" t="s">
        <v>5866</v>
      </c>
      <c r="AG2183" t="s">
        <v>4885</v>
      </c>
      <c r="AH2183" t="s">
        <v>6640</v>
      </c>
      <c r="AI2183">
        <v>-1.27</v>
      </c>
      <c r="AJ2183">
        <v>2.11</v>
      </c>
      <c r="AK2183">
        <v>1.69</v>
      </c>
      <c r="AL2183">
        <v>3.76</v>
      </c>
    </row>
    <row r="2184" spans="1:38" x14ac:dyDescent="0.25">
      <c r="A2184">
        <v>2183</v>
      </c>
      <c r="B2184" t="str">
        <f xml:space="preserve"> "300129"</f>
        <v>300129</v>
      </c>
      <c r="C2184" t="s">
        <v>7104</v>
      </c>
      <c r="D2184">
        <v>7.81</v>
      </c>
      <c r="E2184">
        <v>0.77</v>
      </c>
      <c r="F2184">
        <v>0.06</v>
      </c>
      <c r="G2184" t="s">
        <v>2126</v>
      </c>
      <c r="H2184">
        <v>425</v>
      </c>
      <c r="I2184">
        <v>7.81</v>
      </c>
      <c r="J2184">
        <v>7.82</v>
      </c>
      <c r="K2184">
        <v>-0.13</v>
      </c>
      <c r="L2184">
        <v>0.37</v>
      </c>
      <c r="M2184" t="s">
        <v>7105</v>
      </c>
      <c r="N2184">
        <v>26.21</v>
      </c>
      <c r="O2184" t="s">
        <v>680</v>
      </c>
      <c r="P2184">
        <v>7.82</v>
      </c>
      <c r="Q2184">
        <v>7.67</v>
      </c>
      <c r="R2184">
        <v>7.75</v>
      </c>
      <c r="S2184">
        <v>7.75</v>
      </c>
      <c r="T2184">
        <v>1.94</v>
      </c>
      <c r="U2184">
        <v>0.92</v>
      </c>
      <c r="V2184">
        <v>-53.32</v>
      </c>
      <c r="W2184">
        <v>-2358</v>
      </c>
      <c r="X2184">
        <v>7.77</v>
      </c>
      <c r="Y2184">
        <v>7151</v>
      </c>
      <c r="Z2184" t="s">
        <v>1411</v>
      </c>
      <c r="AA2184">
        <v>0.65</v>
      </c>
      <c r="AB2184">
        <v>625</v>
      </c>
      <c r="AC2184">
        <v>480</v>
      </c>
      <c r="AD2184">
        <v>2.57</v>
      </c>
      <c r="AE2184" t="s">
        <v>5196</v>
      </c>
      <c r="AF2184" t="s">
        <v>5866</v>
      </c>
      <c r="AG2184" t="s">
        <v>3800</v>
      </c>
      <c r="AH2184" t="s">
        <v>6267</v>
      </c>
      <c r="AI2184">
        <v>-0.13</v>
      </c>
      <c r="AJ2184">
        <v>2.09</v>
      </c>
      <c r="AK2184">
        <v>1.04</v>
      </c>
      <c r="AL2184">
        <v>2.38</v>
      </c>
    </row>
    <row r="2185" spans="1:38" x14ac:dyDescent="0.25">
      <c r="A2185">
        <v>2184</v>
      </c>
      <c r="B2185" t="str">
        <f xml:space="preserve"> "300384"</f>
        <v>300384</v>
      </c>
      <c r="C2185" t="s">
        <v>7106</v>
      </c>
      <c r="D2185" t="s">
        <v>616</v>
      </c>
      <c r="E2185" t="s">
        <v>616</v>
      </c>
      <c r="F2185" t="s">
        <v>616</v>
      </c>
      <c r="G2185" t="s">
        <v>616</v>
      </c>
      <c r="H2185" t="s">
        <v>616</v>
      </c>
      <c r="I2185" t="s">
        <v>616</v>
      </c>
      <c r="J2185" t="s">
        <v>616</v>
      </c>
      <c r="K2185" t="s">
        <v>616</v>
      </c>
      <c r="L2185" t="s">
        <v>616</v>
      </c>
      <c r="M2185" t="s">
        <v>616</v>
      </c>
      <c r="N2185">
        <v>50.03</v>
      </c>
      <c r="O2185" t="s">
        <v>1798</v>
      </c>
      <c r="P2185" t="s">
        <v>616</v>
      </c>
      <c r="Q2185" t="s">
        <v>616</v>
      </c>
      <c r="R2185" t="s">
        <v>616</v>
      </c>
      <c r="S2185">
        <v>33.9</v>
      </c>
      <c r="T2185" t="s">
        <v>616</v>
      </c>
      <c r="U2185" t="s">
        <v>616</v>
      </c>
      <c r="V2185" t="s">
        <v>616</v>
      </c>
      <c r="W2185" t="s">
        <v>616</v>
      </c>
      <c r="X2185" t="s">
        <v>616</v>
      </c>
      <c r="Y2185" t="s">
        <v>616</v>
      </c>
      <c r="Z2185" t="s">
        <v>616</v>
      </c>
      <c r="AA2185" t="s">
        <v>616</v>
      </c>
      <c r="AB2185" t="s">
        <v>616</v>
      </c>
      <c r="AC2185" t="s">
        <v>616</v>
      </c>
      <c r="AD2185">
        <v>3.62</v>
      </c>
      <c r="AE2185" t="s">
        <v>5701</v>
      </c>
      <c r="AF2185" t="s">
        <v>5866</v>
      </c>
      <c r="AG2185" t="s">
        <v>7107</v>
      </c>
      <c r="AH2185" t="s">
        <v>3289</v>
      </c>
      <c r="AI2185">
        <v>0</v>
      </c>
      <c r="AJ2185">
        <v>0</v>
      </c>
      <c r="AK2185">
        <v>0</v>
      </c>
      <c r="AL2185">
        <v>0</v>
      </c>
    </row>
    <row r="2186" spans="1:38" x14ac:dyDescent="0.25">
      <c r="A2186">
        <v>2185</v>
      </c>
      <c r="B2186" t="str">
        <f xml:space="preserve"> "000833"</f>
        <v>000833</v>
      </c>
      <c r="C2186" t="s">
        <v>7108</v>
      </c>
      <c r="D2186">
        <v>8.49</v>
      </c>
      <c r="E2186">
        <v>-0.82</v>
      </c>
      <c r="F2186">
        <v>-7.0000000000000007E-2</v>
      </c>
      <c r="G2186" t="s">
        <v>4164</v>
      </c>
      <c r="H2186">
        <v>853</v>
      </c>
      <c r="I2186">
        <v>8.49</v>
      </c>
      <c r="J2186">
        <v>8.5</v>
      </c>
      <c r="K2186">
        <v>-0.12</v>
      </c>
      <c r="L2186">
        <v>1.35</v>
      </c>
      <c r="M2186" t="s">
        <v>7109</v>
      </c>
      <c r="N2186">
        <v>85.14</v>
      </c>
      <c r="O2186" t="s">
        <v>406</v>
      </c>
      <c r="P2186">
        <v>8.61</v>
      </c>
      <c r="Q2186">
        <v>8.44</v>
      </c>
      <c r="R2186">
        <v>8.5500000000000007</v>
      </c>
      <c r="S2186">
        <v>8.56</v>
      </c>
      <c r="T2186">
        <v>1.99</v>
      </c>
      <c r="U2186">
        <v>0.86</v>
      </c>
      <c r="V2186">
        <v>-14.09</v>
      </c>
      <c r="W2186">
        <v>-705</v>
      </c>
      <c r="X2186">
        <v>8.5</v>
      </c>
      <c r="Y2186" t="s">
        <v>2427</v>
      </c>
      <c r="Z2186" t="s">
        <v>4374</v>
      </c>
      <c r="AA2186">
        <v>1.68</v>
      </c>
      <c r="AB2186">
        <v>673</v>
      </c>
      <c r="AC2186">
        <v>1812</v>
      </c>
      <c r="AD2186">
        <v>2.13</v>
      </c>
      <c r="AE2186" t="s">
        <v>3634</v>
      </c>
      <c r="AF2186" t="s">
        <v>4169</v>
      </c>
      <c r="AG2186" t="s">
        <v>5099</v>
      </c>
      <c r="AH2186" t="s">
        <v>3324</v>
      </c>
      <c r="AI2186">
        <v>1.56</v>
      </c>
      <c r="AJ2186">
        <v>4.8099999999999996</v>
      </c>
      <c r="AK2186">
        <v>6</v>
      </c>
      <c r="AL2186">
        <v>9.19</v>
      </c>
    </row>
    <row r="2187" spans="1:38" x14ac:dyDescent="0.25">
      <c r="A2187">
        <v>2186</v>
      </c>
      <c r="B2187" t="str">
        <f xml:space="preserve"> "300130"</f>
        <v>300130</v>
      </c>
      <c r="C2187" t="s">
        <v>7110</v>
      </c>
      <c r="D2187">
        <v>23.6</v>
      </c>
      <c r="E2187">
        <v>-1.46</v>
      </c>
      <c r="F2187">
        <v>-0.35</v>
      </c>
      <c r="G2187" t="s">
        <v>2427</v>
      </c>
      <c r="H2187">
        <v>673</v>
      </c>
      <c r="I2187">
        <v>23.6</v>
      </c>
      <c r="J2187">
        <v>23.61</v>
      </c>
      <c r="K2187">
        <v>0</v>
      </c>
      <c r="L2187">
        <v>2.0299999999999998</v>
      </c>
      <c r="M2187" t="s">
        <v>7111</v>
      </c>
      <c r="N2187">
        <v>91.09</v>
      </c>
      <c r="O2187" t="s">
        <v>553</v>
      </c>
      <c r="P2187">
        <v>24.31</v>
      </c>
      <c r="Q2187">
        <v>23.54</v>
      </c>
      <c r="R2187">
        <v>23.82</v>
      </c>
      <c r="S2187">
        <v>23.95</v>
      </c>
      <c r="T2187">
        <v>3.22</v>
      </c>
      <c r="U2187">
        <v>0.47</v>
      </c>
      <c r="V2187">
        <v>25.36</v>
      </c>
      <c r="W2187">
        <v>225</v>
      </c>
      <c r="X2187">
        <v>23.81</v>
      </c>
      <c r="Y2187" t="s">
        <v>1381</v>
      </c>
      <c r="Z2187" t="s">
        <v>691</v>
      </c>
      <c r="AA2187">
        <v>1.7</v>
      </c>
      <c r="AB2187">
        <v>434</v>
      </c>
      <c r="AC2187">
        <v>57</v>
      </c>
      <c r="AD2187">
        <v>3.75</v>
      </c>
      <c r="AE2187" t="s">
        <v>2521</v>
      </c>
      <c r="AF2187" t="s">
        <v>4169</v>
      </c>
      <c r="AG2187" t="s">
        <v>1750</v>
      </c>
      <c r="AH2187" t="s">
        <v>1817</v>
      </c>
      <c r="AI2187">
        <v>0.08</v>
      </c>
      <c r="AJ2187">
        <v>13.46</v>
      </c>
      <c r="AK2187">
        <v>10.93</v>
      </c>
      <c r="AL2187">
        <v>22.23</v>
      </c>
    </row>
    <row r="2188" spans="1:38" x14ac:dyDescent="0.25">
      <c r="A2188">
        <v>2187</v>
      </c>
      <c r="B2188" t="str">
        <f xml:space="preserve"> "603345"</f>
        <v>603345</v>
      </c>
      <c r="C2188" t="s">
        <v>7112</v>
      </c>
      <c r="D2188">
        <v>26.19</v>
      </c>
      <c r="E2188">
        <v>-0.04</v>
      </c>
      <c r="F2188">
        <v>-0.01</v>
      </c>
      <c r="G2188" t="s">
        <v>1374</v>
      </c>
      <c r="H2188">
        <v>28</v>
      </c>
      <c r="I2188">
        <v>26.18</v>
      </c>
      <c r="J2188">
        <v>26.19</v>
      </c>
      <c r="K2188">
        <v>0.15</v>
      </c>
      <c r="L2188">
        <v>4.83</v>
      </c>
      <c r="M2188" t="s">
        <v>7113</v>
      </c>
      <c r="N2188">
        <v>27.31</v>
      </c>
      <c r="O2188" t="s">
        <v>406</v>
      </c>
      <c r="P2188">
        <v>26.53</v>
      </c>
      <c r="Q2188">
        <v>26.13</v>
      </c>
      <c r="R2188">
        <v>26.13</v>
      </c>
      <c r="S2188">
        <v>26.2</v>
      </c>
      <c r="T2188">
        <v>1.53</v>
      </c>
      <c r="U2188">
        <v>0.48</v>
      </c>
      <c r="V2188">
        <v>9.91</v>
      </c>
      <c r="W2188">
        <v>139</v>
      </c>
      <c r="X2188">
        <v>26.26</v>
      </c>
      <c r="Y2188" t="s">
        <v>2365</v>
      </c>
      <c r="Z2188" t="s">
        <v>808</v>
      </c>
      <c r="AA2188">
        <v>1.36</v>
      </c>
      <c r="AB2188">
        <v>37</v>
      </c>
      <c r="AC2188">
        <v>77</v>
      </c>
      <c r="AD2188">
        <v>3.55</v>
      </c>
      <c r="AE2188" t="s">
        <v>1914</v>
      </c>
      <c r="AF2188" t="s">
        <v>4722</v>
      </c>
      <c r="AG2188" t="s">
        <v>7114</v>
      </c>
      <c r="AH2188" t="s">
        <v>1715</v>
      </c>
      <c r="AI2188">
        <v>-1.87</v>
      </c>
      <c r="AJ2188">
        <v>9.35</v>
      </c>
      <c r="AK2188">
        <v>19.59</v>
      </c>
      <c r="AL2188">
        <v>55.04</v>
      </c>
    </row>
    <row r="2189" spans="1:38" x14ac:dyDescent="0.25">
      <c r="A2189">
        <v>2188</v>
      </c>
      <c r="B2189" t="str">
        <f xml:space="preserve"> "600135"</f>
        <v>600135</v>
      </c>
      <c r="C2189" t="s">
        <v>7115</v>
      </c>
      <c r="D2189">
        <v>15.14</v>
      </c>
      <c r="E2189">
        <v>0.2</v>
      </c>
      <c r="F2189">
        <v>0.03</v>
      </c>
      <c r="G2189" t="s">
        <v>2839</v>
      </c>
      <c r="H2189">
        <v>7</v>
      </c>
      <c r="I2189">
        <v>15.13</v>
      </c>
      <c r="J2189">
        <v>15.14</v>
      </c>
      <c r="K2189">
        <v>7.0000000000000007E-2</v>
      </c>
      <c r="L2189">
        <v>1.42</v>
      </c>
      <c r="M2189" t="s">
        <v>7116</v>
      </c>
      <c r="N2189">
        <v>56.74</v>
      </c>
      <c r="O2189" t="s">
        <v>859</v>
      </c>
      <c r="P2189">
        <v>15.19</v>
      </c>
      <c r="Q2189">
        <v>15.02</v>
      </c>
      <c r="R2189">
        <v>15.05</v>
      </c>
      <c r="S2189">
        <v>15.11</v>
      </c>
      <c r="T2189">
        <v>1.1299999999999999</v>
      </c>
      <c r="U2189">
        <v>0.81</v>
      </c>
      <c r="V2189">
        <v>8.1999999999999993</v>
      </c>
      <c r="W2189">
        <v>257</v>
      </c>
      <c r="X2189">
        <v>15.12</v>
      </c>
      <c r="Y2189" t="s">
        <v>1796</v>
      </c>
      <c r="Z2189" t="s">
        <v>2696</v>
      </c>
      <c r="AA2189">
        <v>1.07</v>
      </c>
      <c r="AB2189">
        <v>100</v>
      </c>
      <c r="AC2189">
        <v>123</v>
      </c>
      <c r="AD2189">
        <v>3.37</v>
      </c>
      <c r="AE2189" t="s">
        <v>4181</v>
      </c>
      <c r="AF2189" t="s">
        <v>1957</v>
      </c>
      <c r="AG2189" t="s">
        <v>2591</v>
      </c>
      <c r="AH2189" t="s">
        <v>1746</v>
      </c>
      <c r="AI2189">
        <v>-1.1100000000000001</v>
      </c>
      <c r="AJ2189">
        <v>0.73</v>
      </c>
      <c r="AK2189">
        <v>4.84</v>
      </c>
      <c r="AL2189">
        <v>10.17</v>
      </c>
    </row>
    <row r="2190" spans="1:38" x14ac:dyDescent="0.25">
      <c r="A2190">
        <v>2189</v>
      </c>
      <c r="B2190" t="str">
        <f xml:space="preserve"> "300196"</f>
        <v>300196</v>
      </c>
      <c r="C2190" t="s">
        <v>7117</v>
      </c>
      <c r="D2190">
        <v>13.3</v>
      </c>
      <c r="E2190">
        <v>-0.37</v>
      </c>
      <c r="F2190">
        <v>-0.05</v>
      </c>
      <c r="G2190" t="s">
        <v>2159</v>
      </c>
      <c r="H2190">
        <v>439</v>
      </c>
      <c r="I2190">
        <v>13.3</v>
      </c>
      <c r="J2190">
        <v>13.31</v>
      </c>
      <c r="K2190">
        <v>0</v>
      </c>
      <c r="L2190">
        <v>1.43</v>
      </c>
      <c r="M2190" t="s">
        <v>3485</v>
      </c>
      <c r="N2190">
        <v>26.9</v>
      </c>
      <c r="O2190" t="s">
        <v>859</v>
      </c>
      <c r="P2190">
        <v>13.38</v>
      </c>
      <c r="Q2190">
        <v>13.17</v>
      </c>
      <c r="R2190">
        <v>13.24</v>
      </c>
      <c r="S2190">
        <v>13.35</v>
      </c>
      <c r="T2190">
        <v>1.57</v>
      </c>
      <c r="U2190">
        <v>1.08</v>
      </c>
      <c r="V2190">
        <v>-24.8</v>
      </c>
      <c r="W2190">
        <v>-246</v>
      </c>
      <c r="X2190">
        <v>13.26</v>
      </c>
      <c r="Y2190" t="s">
        <v>1653</v>
      </c>
      <c r="Z2190" t="s">
        <v>1578</v>
      </c>
      <c r="AA2190">
        <v>1.2</v>
      </c>
      <c r="AB2190">
        <v>68</v>
      </c>
      <c r="AC2190">
        <v>191</v>
      </c>
      <c r="AD2190">
        <v>2.44</v>
      </c>
      <c r="AE2190" t="s">
        <v>5006</v>
      </c>
      <c r="AF2190" t="s">
        <v>1957</v>
      </c>
      <c r="AG2190" t="s">
        <v>4480</v>
      </c>
      <c r="AH2190" t="s">
        <v>4411</v>
      </c>
      <c r="AI2190">
        <v>-1.26</v>
      </c>
      <c r="AJ2190">
        <v>2.0699999999999998</v>
      </c>
      <c r="AK2190">
        <v>3.87</v>
      </c>
      <c r="AL2190">
        <v>8.0399999999999991</v>
      </c>
    </row>
    <row r="2191" spans="1:38" x14ac:dyDescent="0.25">
      <c r="A2191">
        <v>2190</v>
      </c>
      <c r="B2191" t="str">
        <f xml:space="preserve"> "603602"</f>
        <v>603602</v>
      </c>
      <c r="C2191" t="s">
        <v>7118</v>
      </c>
      <c r="D2191">
        <v>70.53</v>
      </c>
      <c r="E2191">
        <v>3.6</v>
      </c>
      <c r="F2191">
        <v>2.4500000000000002</v>
      </c>
      <c r="G2191" t="s">
        <v>983</v>
      </c>
      <c r="H2191">
        <v>55</v>
      </c>
      <c r="I2191">
        <v>70.489999999999995</v>
      </c>
      <c r="J2191">
        <v>70.5</v>
      </c>
      <c r="K2191">
        <v>-0.21</v>
      </c>
      <c r="L2191">
        <v>43.25</v>
      </c>
      <c r="M2191" t="s">
        <v>6430</v>
      </c>
      <c r="N2191">
        <v>112.46</v>
      </c>
      <c r="O2191" t="s">
        <v>580</v>
      </c>
      <c r="P2191">
        <v>71.5</v>
      </c>
      <c r="Q2191">
        <v>64.900000000000006</v>
      </c>
      <c r="R2191">
        <v>66</v>
      </c>
      <c r="S2191">
        <v>68.08</v>
      </c>
      <c r="T2191">
        <v>9.69</v>
      </c>
      <c r="U2191">
        <v>1.01</v>
      </c>
      <c r="V2191">
        <v>-63.16</v>
      </c>
      <c r="W2191">
        <v>-144</v>
      </c>
      <c r="X2191">
        <v>67.959999999999994</v>
      </c>
      <c r="Y2191" t="s">
        <v>3559</v>
      </c>
      <c r="Z2191" t="s">
        <v>3606</v>
      </c>
      <c r="AA2191">
        <v>1</v>
      </c>
      <c r="AB2191">
        <v>2</v>
      </c>
      <c r="AC2191">
        <v>3</v>
      </c>
      <c r="AD2191">
        <v>9.2799999999999994</v>
      </c>
      <c r="AE2191" t="s">
        <v>5802</v>
      </c>
      <c r="AF2191" t="s">
        <v>6274</v>
      </c>
      <c r="AG2191" t="s">
        <v>5562</v>
      </c>
      <c r="AH2191" t="s">
        <v>1715</v>
      </c>
      <c r="AI2191">
        <v>2</v>
      </c>
      <c r="AJ2191">
        <v>16.600000000000001</v>
      </c>
      <c r="AK2191">
        <v>121.25</v>
      </c>
      <c r="AL2191">
        <v>256.56</v>
      </c>
    </row>
    <row r="2192" spans="1:38" x14ac:dyDescent="0.25">
      <c r="A2192">
        <v>2191</v>
      </c>
      <c r="B2192" t="str">
        <f xml:space="preserve"> "601599"</f>
        <v>601599</v>
      </c>
      <c r="C2192" t="s">
        <v>7119</v>
      </c>
      <c r="D2192">
        <v>6.31</v>
      </c>
      <c r="E2192">
        <v>0.32</v>
      </c>
      <c r="F2192">
        <v>0.02</v>
      </c>
      <c r="G2192" t="s">
        <v>5952</v>
      </c>
      <c r="H2192">
        <v>300</v>
      </c>
      <c r="I2192">
        <v>6.31</v>
      </c>
      <c r="J2192">
        <v>6.32</v>
      </c>
      <c r="K2192">
        <v>-0.16</v>
      </c>
      <c r="L2192">
        <v>1.0900000000000001</v>
      </c>
      <c r="M2192" t="s">
        <v>7120</v>
      </c>
      <c r="N2192">
        <v>38.58</v>
      </c>
      <c r="O2192" t="s">
        <v>1443</v>
      </c>
      <c r="P2192">
        <v>6.35</v>
      </c>
      <c r="Q2192">
        <v>6.23</v>
      </c>
      <c r="R2192">
        <v>6.27</v>
      </c>
      <c r="S2192">
        <v>6.29</v>
      </c>
      <c r="T2192">
        <v>1.91</v>
      </c>
      <c r="U2192">
        <v>0.65</v>
      </c>
      <c r="V2192">
        <v>-57.54</v>
      </c>
      <c r="W2192">
        <v>-7404</v>
      </c>
      <c r="X2192">
        <v>6.29</v>
      </c>
      <c r="Y2192" t="s">
        <v>2023</v>
      </c>
      <c r="Z2192" t="s">
        <v>6807</v>
      </c>
      <c r="AA2192">
        <v>1.02</v>
      </c>
      <c r="AB2192">
        <v>49</v>
      </c>
      <c r="AC2192">
        <v>739</v>
      </c>
      <c r="AD2192">
        <v>2.11</v>
      </c>
      <c r="AE2192" t="s">
        <v>2531</v>
      </c>
      <c r="AF2192" t="s">
        <v>6274</v>
      </c>
      <c r="AG2192" t="s">
        <v>5903</v>
      </c>
      <c r="AH2192" t="s">
        <v>6420</v>
      </c>
      <c r="AI2192">
        <v>2.44</v>
      </c>
      <c r="AJ2192">
        <v>10.31</v>
      </c>
      <c r="AK2192">
        <v>5.63</v>
      </c>
      <c r="AL2192">
        <v>9.41</v>
      </c>
    </row>
    <row r="2193" spans="1:38" x14ac:dyDescent="0.25">
      <c r="A2193">
        <v>2192</v>
      </c>
      <c r="B2193" t="str">
        <f xml:space="preserve"> "002350"</f>
        <v>002350</v>
      </c>
      <c r="C2193" t="s">
        <v>7121</v>
      </c>
      <c r="D2193">
        <v>14.57</v>
      </c>
      <c r="E2193">
        <v>-3.25</v>
      </c>
      <c r="F2193">
        <v>-0.49</v>
      </c>
      <c r="G2193" t="s">
        <v>3296</v>
      </c>
      <c r="H2193">
        <v>7984</v>
      </c>
      <c r="I2193">
        <v>14.57</v>
      </c>
      <c r="J2193">
        <v>14.6</v>
      </c>
      <c r="K2193">
        <v>-1.49</v>
      </c>
      <c r="L2193">
        <v>5.29</v>
      </c>
      <c r="M2193" t="s">
        <v>726</v>
      </c>
      <c r="N2193">
        <v>203.54</v>
      </c>
      <c r="O2193" t="s">
        <v>680</v>
      </c>
      <c r="P2193">
        <v>15.1</v>
      </c>
      <c r="Q2193">
        <v>14.56</v>
      </c>
      <c r="R2193">
        <v>15.1</v>
      </c>
      <c r="S2193">
        <v>15.06</v>
      </c>
      <c r="T2193">
        <v>3.59</v>
      </c>
      <c r="U2193">
        <v>0.61</v>
      </c>
      <c r="V2193">
        <v>83.18</v>
      </c>
      <c r="W2193">
        <v>2165</v>
      </c>
      <c r="X2193">
        <v>14.81</v>
      </c>
      <c r="Y2193" t="s">
        <v>1668</v>
      </c>
      <c r="Z2193" t="s">
        <v>161</v>
      </c>
      <c r="AA2193">
        <v>1.48</v>
      </c>
      <c r="AB2193">
        <v>17</v>
      </c>
      <c r="AC2193">
        <v>7</v>
      </c>
      <c r="AD2193">
        <v>4.9000000000000004</v>
      </c>
      <c r="AE2193" t="s">
        <v>6040</v>
      </c>
      <c r="AF2193" t="s">
        <v>6274</v>
      </c>
      <c r="AG2193" t="s">
        <v>4785</v>
      </c>
      <c r="AH2193" t="s">
        <v>5370</v>
      </c>
      <c r="AI2193">
        <v>-4.21</v>
      </c>
      <c r="AJ2193">
        <v>-0.88</v>
      </c>
      <c r="AK2193">
        <v>15.38</v>
      </c>
      <c r="AL2193">
        <v>48.69</v>
      </c>
    </row>
    <row r="2194" spans="1:38" x14ac:dyDescent="0.25">
      <c r="A2194">
        <v>2193</v>
      </c>
      <c r="B2194" t="str">
        <f xml:space="preserve"> "600683"</f>
        <v>600683</v>
      </c>
      <c r="C2194" t="s">
        <v>7122</v>
      </c>
      <c r="D2194">
        <v>7.61</v>
      </c>
      <c r="E2194">
        <v>-0.65</v>
      </c>
      <c r="F2194">
        <v>-0.05</v>
      </c>
      <c r="G2194" t="s">
        <v>2115</v>
      </c>
      <c r="H2194">
        <v>59</v>
      </c>
      <c r="I2194">
        <v>7.61</v>
      </c>
      <c r="J2194">
        <v>7.62</v>
      </c>
      <c r="K2194">
        <v>-0.26</v>
      </c>
      <c r="L2194">
        <v>0.39</v>
      </c>
      <c r="M2194" t="s">
        <v>5440</v>
      </c>
      <c r="N2194">
        <v>62.04</v>
      </c>
      <c r="O2194" t="s">
        <v>244</v>
      </c>
      <c r="P2194">
        <v>7.7</v>
      </c>
      <c r="Q2194">
        <v>7.6</v>
      </c>
      <c r="R2194">
        <v>7.67</v>
      </c>
      <c r="S2194">
        <v>7.66</v>
      </c>
      <c r="T2194">
        <v>1.31</v>
      </c>
      <c r="U2194">
        <v>0.59</v>
      </c>
      <c r="V2194">
        <v>-33.729999999999997</v>
      </c>
      <c r="W2194">
        <v>-694</v>
      </c>
      <c r="X2194">
        <v>7.64</v>
      </c>
      <c r="Y2194" t="s">
        <v>2255</v>
      </c>
      <c r="Z2194" t="s">
        <v>2616</v>
      </c>
      <c r="AA2194">
        <v>1.2</v>
      </c>
      <c r="AB2194">
        <v>97</v>
      </c>
      <c r="AC2194">
        <v>542</v>
      </c>
      <c r="AD2194">
        <v>2.72</v>
      </c>
      <c r="AE2194" t="s">
        <v>6228</v>
      </c>
      <c r="AF2194" t="s">
        <v>6274</v>
      </c>
      <c r="AG2194" t="s">
        <v>6228</v>
      </c>
      <c r="AH2194" t="s">
        <v>6274</v>
      </c>
      <c r="AI2194">
        <v>0.53</v>
      </c>
      <c r="AJ2194">
        <v>-0.78</v>
      </c>
      <c r="AK2194">
        <v>1.35</v>
      </c>
      <c r="AL2194">
        <v>3.73</v>
      </c>
    </row>
    <row r="2195" spans="1:38" x14ac:dyDescent="0.25">
      <c r="A2195">
        <v>2194</v>
      </c>
      <c r="B2195" t="str">
        <f xml:space="preserve"> "300007"</f>
        <v>300007</v>
      </c>
      <c r="C2195" t="s">
        <v>7123</v>
      </c>
      <c r="D2195">
        <v>19.2</v>
      </c>
      <c r="E2195">
        <v>4.8600000000000003</v>
      </c>
      <c r="F2195">
        <v>0.89</v>
      </c>
      <c r="G2195" t="s">
        <v>363</v>
      </c>
      <c r="H2195">
        <v>5822</v>
      </c>
      <c r="I2195">
        <v>19.190000000000001</v>
      </c>
      <c r="J2195">
        <v>19.2</v>
      </c>
      <c r="K2195">
        <v>0.37</v>
      </c>
      <c r="L2195">
        <v>4.88</v>
      </c>
      <c r="M2195" t="s">
        <v>2526</v>
      </c>
      <c r="N2195">
        <v>51.04</v>
      </c>
      <c r="O2195" t="s">
        <v>1372</v>
      </c>
      <c r="P2195">
        <v>19.2</v>
      </c>
      <c r="Q2195">
        <v>18.010000000000002</v>
      </c>
      <c r="R2195">
        <v>18.2</v>
      </c>
      <c r="S2195">
        <v>18.309999999999999</v>
      </c>
      <c r="T2195">
        <v>6.5</v>
      </c>
      <c r="U2195">
        <v>2.13</v>
      </c>
      <c r="V2195">
        <v>-20</v>
      </c>
      <c r="W2195">
        <v>-225</v>
      </c>
      <c r="X2195">
        <v>18.73</v>
      </c>
      <c r="Y2195" t="s">
        <v>1786</v>
      </c>
      <c r="Z2195" t="s">
        <v>3735</v>
      </c>
      <c r="AA2195">
        <v>0.54</v>
      </c>
      <c r="AB2195">
        <v>18</v>
      </c>
      <c r="AC2195">
        <v>566</v>
      </c>
      <c r="AD2195">
        <v>4.24</v>
      </c>
      <c r="AE2195" t="s">
        <v>6621</v>
      </c>
      <c r="AF2195" t="s">
        <v>6418</v>
      </c>
      <c r="AG2195" t="s">
        <v>3123</v>
      </c>
      <c r="AH2195" t="s">
        <v>7124</v>
      </c>
      <c r="AI2195">
        <v>1.32</v>
      </c>
      <c r="AJ2195">
        <v>7.99</v>
      </c>
      <c r="AK2195">
        <v>9.2799999999999994</v>
      </c>
      <c r="AL2195">
        <v>16.350000000000001</v>
      </c>
    </row>
    <row r="2196" spans="1:38" x14ac:dyDescent="0.25">
      <c r="A2196">
        <v>2195</v>
      </c>
      <c r="B2196" t="str">
        <f xml:space="preserve"> "603167"</f>
        <v>603167</v>
      </c>
      <c r="C2196" t="s">
        <v>7125</v>
      </c>
      <c r="D2196">
        <v>11.68</v>
      </c>
      <c r="E2196">
        <v>-0.34</v>
      </c>
      <c r="F2196">
        <v>-0.04</v>
      </c>
      <c r="G2196" t="s">
        <v>2962</v>
      </c>
      <c r="H2196">
        <v>2</v>
      </c>
      <c r="I2196">
        <v>11.68</v>
      </c>
      <c r="J2196">
        <v>11.69</v>
      </c>
      <c r="K2196">
        <v>0.17</v>
      </c>
      <c r="L2196">
        <v>1.02</v>
      </c>
      <c r="M2196" t="s">
        <v>7126</v>
      </c>
      <c r="N2196">
        <v>11.8</v>
      </c>
      <c r="O2196" t="s">
        <v>440</v>
      </c>
      <c r="P2196">
        <v>11.75</v>
      </c>
      <c r="Q2196">
        <v>11.64</v>
      </c>
      <c r="R2196">
        <v>11.72</v>
      </c>
      <c r="S2196">
        <v>11.72</v>
      </c>
      <c r="T2196">
        <v>0.94</v>
      </c>
      <c r="U2196">
        <v>0.97</v>
      </c>
      <c r="V2196">
        <v>20.39</v>
      </c>
      <c r="W2196">
        <v>916</v>
      </c>
      <c r="X2196">
        <v>11.68</v>
      </c>
      <c r="Y2196" t="s">
        <v>4431</v>
      </c>
      <c r="Z2196" t="s">
        <v>1578</v>
      </c>
      <c r="AA2196">
        <v>1.94</v>
      </c>
      <c r="AB2196">
        <v>98</v>
      </c>
      <c r="AC2196">
        <v>274</v>
      </c>
      <c r="AD2196">
        <v>1.81</v>
      </c>
      <c r="AE2196" t="s">
        <v>2852</v>
      </c>
      <c r="AF2196" t="s">
        <v>5385</v>
      </c>
      <c r="AG2196" t="s">
        <v>2852</v>
      </c>
      <c r="AH2196" t="s">
        <v>5385</v>
      </c>
      <c r="AI2196">
        <v>-0.43</v>
      </c>
      <c r="AJ2196">
        <v>1.04</v>
      </c>
      <c r="AK2196">
        <v>3.25</v>
      </c>
      <c r="AL2196">
        <v>6.24</v>
      </c>
    </row>
    <row r="2197" spans="1:38" x14ac:dyDescent="0.25">
      <c r="A2197">
        <v>2196</v>
      </c>
      <c r="B2197" t="str">
        <f xml:space="preserve"> "600523"</f>
        <v>600523</v>
      </c>
      <c r="C2197" t="s">
        <v>7127</v>
      </c>
      <c r="D2197">
        <v>19.46</v>
      </c>
      <c r="E2197">
        <v>-0.87</v>
      </c>
      <c r="F2197">
        <v>-0.17</v>
      </c>
      <c r="G2197" t="s">
        <v>1454</v>
      </c>
      <c r="H2197">
        <v>10</v>
      </c>
      <c r="I2197">
        <v>19.440000000000001</v>
      </c>
      <c r="J2197">
        <v>19.45</v>
      </c>
      <c r="K2197">
        <v>0.15</v>
      </c>
      <c r="L2197">
        <v>0.72</v>
      </c>
      <c r="M2197" t="s">
        <v>3402</v>
      </c>
      <c r="N2197">
        <v>28.54</v>
      </c>
      <c r="O2197" t="s">
        <v>169</v>
      </c>
      <c r="P2197">
        <v>19.559999999999999</v>
      </c>
      <c r="Q2197">
        <v>19.3</v>
      </c>
      <c r="R2197">
        <v>19.510000000000002</v>
      </c>
      <c r="S2197">
        <v>19.63</v>
      </c>
      <c r="T2197">
        <v>1.32</v>
      </c>
      <c r="U2197">
        <v>0.86</v>
      </c>
      <c r="V2197">
        <v>6.57</v>
      </c>
      <c r="W2197">
        <v>37</v>
      </c>
      <c r="X2197">
        <v>19.41</v>
      </c>
      <c r="Y2197" t="s">
        <v>1799</v>
      </c>
      <c r="Z2197">
        <v>8046</v>
      </c>
      <c r="AA2197">
        <v>1.58</v>
      </c>
      <c r="AB2197">
        <v>17</v>
      </c>
      <c r="AC2197">
        <v>30</v>
      </c>
      <c r="AD2197">
        <v>2.62</v>
      </c>
      <c r="AE2197" t="s">
        <v>4989</v>
      </c>
      <c r="AF2197" t="s">
        <v>5385</v>
      </c>
      <c r="AG2197" t="s">
        <v>4989</v>
      </c>
      <c r="AH2197" t="s">
        <v>5385</v>
      </c>
      <c r="AI2197">
        <v>0.31</v>
      </c>
      <c r="AJ2197">
        <v>2.5299999999999998</v>
      </c>
      <c r="AK2197">
        <v>2.93</v>
      </c>
      <c r="AL2197">
        <v>4.91</v>
      </c>
    </row>
    <row r="2198" spans="1:38" x14ac:dyDescent="0.25">
      <c r="A2198">
        <v>2197</v>
      </c>
      <c r="B2198" t="str">
        <f xml:space="preserve"> "600995"</f>
        <v>600995</v>
      </c>
      <c r="C2198" t="s">
        <v>7128</v>
      </c>
      <c r="D2198">
        <v>11.74</v>
      </c>
      <c r="E2198">
        <v>-0.84</v>
      </c>
      <c r="F2198">
        <v>-0.1</v>
      </c>
      <c r="G2198" t="s">
        <v>337</v>
      </c>
      <c r="H2198">
        <v>7</v>
      </c>
      <c r="I2198">
        <v>11.75</v>
      </c>
      <c r="J2198">
        <v>11.76</v>
      </c>
      <c r="K2198">
        <v>0.09</v>
      </c>
      <c r="L2198">
        <v>2.33</v>
      </c>
      <c r="M2198" t="s">
        <v>2065</v>
      </c>
      <c r="N2198">
        <v>14.1</v>
      </c>
      <c r="O2198" t="s">
        <v>186</v>
      </c>
      <c r="P2198">
        <v>11.99</v>
      </c>
      <c r="Q2198">
        <v>11.61</v>
      </c>
      <c r="R2198">
        <v>11.75</v>
      </c>
      <c r="S2198">
        <v>11.84</v>
      </c>
      <c r="T2198">
        <v>3.21</v>
      </c>
      <c r="U2198">
        <v>1.06</v>
      </c>
      <c r="V2198">
        <v>-34.42</v>
      </c>
      <c r="W2198">
        <v>-631</v>
      </c>
      <c r="X2198">
        <v>11.75</v>
      </c>
      <c r="Y2198" t="s">
        <v>4183</v>
      </c>
      <c r="Z2198" t="s">
        <v>832</v>
      </c>
      <c r="AA2198">
        <v>1.42</v>
      </c>
      <c r="AB2198">
        <v>378</v>
      </c>
      <c r="AC2198">
        <v>372</v>
      </c>
      <c r="AD2198">
        <v>3.22</v>
      </c>
      <c r="AE2198" t="s">
        <v>4285</v>
      </c>
      <c r="AF2198" t="s">
        <v>5385</v>
      </c>
      <c r="AG2198" t="s">
        <v>4285</v>
      </c>
      <c r="AH2198" t="s">
        <v>5385</v>
      </c>
      <c r="AI2198">
        <v>4.45</v>
      </c>
      <c r="AJ2198">
        <v>6.34</v>
      </c>
      <c r="AK2198">
        <v>11.22</v>
      </c>
      <c r="AL2198">
        <v>13.31</v>
      </c>
    </row>
    <row r="2199" spans="1:38" x14ac:dyDescent="0.25">
      <c r="A2199">
        <v>2198</v>
      </c>
      <c r="B2199" t="str">
        <f xml:space="preserve"> "300428"</f>
        <v>300428</v>
      </c>
      <c r="C2199" t="s">
        <v>7129</v>
      </c>
      <c r="D2199">
        <v>23.14</v>
      </c>
      <c r="E2199">
        <v>0.35</v>
      </c>
      <c r="F2199">
        <v>0.08</v>
      </c>
      <c r="G2199" t="s">
        <v>3042</v>
      </c>
      <c r="H2199">
        <v>278</v>
      </c>
      <c r="I2199">
        <v>23.13</v>
      </c>
      <c r="J2199">
        <v>23.14</v>
      </c>
      <c r="K2199">
        <v>0.04</v>
      </c>
      <c r="L2199">
        <v>3.2</v>
      </c>
      <c r="M2199" t="s">
        <v>7130</v>
      </c>
      <c r="N2199">
        <v>77.63</v>
      </c>
      <c r="O2199" t="s">
        <v>449</v>
      </c>
      <c r="P2199">
        <v>23.21</v>
      </c>
      <c r="Q2199">
        <v>22.81</v>
      </c>
      <c r="R2199">
        <v>23.18</v>
      </c>
      <c r="S2199">
        <v>23.06</v>
      </c>
      <c r="T2199">
        <v>1.73</v>
      </c>
      <c r="U2199">
        <v>0.79</v>
      </c>
      <c r="V2199">
        <v>-8.19</v>
      </c>
      <c r="W2199">
        <v>-38</v>
      </c>
      <c r="X2199">
        <v>23</v>
      </c>
      <c r="Y2199" t="s">
        <v>75</v>
      </c>
      <c r="Z2199">
        <v>9747</v>
      </c>
      <c r="AA2199">
        <v>1.05</v>
      </c>
      <c r="AB2199">
        <v>33</v>
      </c>
      <c r="AC2199">
        <v>136</v>
      </c>
      <c r="AD2199">
        <v>8.7100000000000009</v>
      </c>
      <c r="AE2199" t="s">
        <v>343</v>
      </c>
      <c r="AF2199" t="s">
        <v>3323</v>
      </c>
      <c r="AG2199" t="s">
        <v>7131</v>
      </c>
      <c r="AH2199" t="s">
        <v>2100</v>
      </c>
      <c r="AI2199">
        <v>0.3</v>
      </c>
      <c r="AJ2199">
        <v>2.4300000000000002</v>
      </c>
      <c r="AK2199">
        <v>14.81</v>
      </c>
      <c r="AL2199">
        <v>23.47</v>
      </c>
    </row>
    <row r="2200" spans="1:38" x14ac:dyDescent="0.25">
      <c r="A2200">
        <v>2199</v>
      </c>
      <c r="B2200" t="str">
        <f xml:space="preserve"> "300500"</f>
        <v>300500</v>
      </c>
      <c r="C2200" t="s">
        <v>7132</v>
      </c>
      <c r="D2200">
        <v>45.6</v>
      </c>
      <c r="E2200">
        <v>-2.56</v>
      </c>
      <c r="F2200">
        <v>-1.2</v>
      </c>
      <c r="G2200" t="s">
        <v>3725</v>
      </c>
      <c r="H2200">
        <v>2310</v>
      </c>
      <c r="I2200">
        <v>45.6</v>
      </c>
      <c r="J2200">
        <v>45.62</v>
      </c>
      <c r="K2200">
        <v>0</v>
      </c>
      <c r="L2200">
        <v>19.11</v>
      </c>
      <c r="M2200" t="s">
        <v>4836</v>
      </c>
      <c r="N2200">
        <v>86.75</v>
      </c>
      <c r="O2200" t="s">
        <v>263</v>
      </c>
      <c r="P2200">
        <v>46.75</v>
      </c>
      <c r="Q2200">
        <v>45.2</v>
      </c>
      <c r="R2200">
        <v>46.6</v>
      </c>
      <c r="S2200">
        <v>46.8</v>
      </c>
      <c r="T2200">
        <v>3.31</v>
      </c>
      <c r="U2200">
        <v>0.56000000000000005</v>
      </c>
      <c r="V2200">
        <v>46.9</v>
      </c>
      <c r="W2200">
        <v>194</v>
      </c>
      <c r="X2200">
        <v>45.75</v>
      </c>
      <c r="Y2200" t="s">
        <v>3585</v>
      </c>
      <c r="Z2200" t="s">
        <v>2193</v>
      </c>
      <c r="AA2200">
        <v>1.26</v>
      </c>
      <c r="AB2200">
        <v>111</v>
      </c>
      <c r="AC2200">
        <v>41</v>
      </c>
      <c r="AD2200">
        <v>7.85</v>
      </c>
      <c r="AE2200" t="s">
        <v>2442</v>
      </c>
      <c r="AF2200" t="s">
        <v>3323</v>
      </c>
      <c r="AG2200" t="s">
        <v>7133</v>
      </c>
      <c r="AH2200" t="s">
        <v>2760</v>
      </c>
      <c r="AI2200">
        <v>-5.88</v>
      </c>
      <c r="AJ2200">
        <v>11.06</v>
      </c>
      <c r="AK2200">
        <v>75.23</v>
      </c>
      <c r="AL2200">
        <v>191.38</v>
      </c>
    </row>
    <row r="2201" spans="1:38" x14ac:dyDescent="0.25">
      <c r="A2201">
        <v>2200</v>
      </c>
      <c r="B2201" t="str">
        <f xml:space="preserve"> "300641"</f>
        <v>300641</v>
      </c>
      <c r="C2201" t="s">
        <v>7134</v>
      </c>
      <c r="D2201">
        <v>19.46</v>
      </c>
      <c r="E2201">
        <v>0.67</v>
      </c>
      <c r="F2201">
        <v>0.13</v>
      </c>
      <c r="G2201" t="s">
        <v>3401</v>
      </c>
      <c r="H2201">
        <v>1007</v>
      </c>
      <c r="I2201">
        <v>19.45</v>
      </c>
      <c r="J2201">
        <v>19.46</v>
      </c>
      <c r="K2201">
        <v>-0.05</v>
      </c>
      <c r="L2201">
        <v>6.46</v>
      </c>
      <c r="M2201" t="s">
        <v>7135</v>
      </c>
      <c r="N2201">
        <v>36.81</v>
      </c>
      <c r="O2201" t="s">
        <v>667</v>
      </c>
      <c r="P2201">
        <v>19.72</v>
      </c>
      <c r="Q2201">
        <v>19.260000000000002</v>
      </c>
      <c r="R2201">
        <v>19.399999999999999</v>
      </c>
      <c r="S2201">
        <v>19.329999999999998</v>
      </c>
      <c r="T2201">
        <v>2.38</v>
      </c>
      <c r="U2201">
        <v>0.85</v>
      </c>
      <c r="V2201">
        <v>-35.909999999999997</v>
      </c>
      <c r="W2201">
        <v>-365</v>
      </c>
      <c r="X2201">
        <v>19.46</v>
      </c>
      <c r="Y2201" t="s">
        <v>507</v>
      </c>
      <c r="Z2201" t="s">
        <v>2846</v>
      </c>
      <c r="AA2201">
        <v>0.72</v>
      </c>
      <c r="AB2201">
        <v>86</v>
      </c>
      <c r="AC2201">
        <v>28</v>
      </c>
      <c r="AD2201">
        <v>4.54</v>
      </c>
      <c r="AE2201" t="s">
        <v>2668</v>
      </c>
      <c r="AF2201" t="s">
        <v>6370</v>
      </c>
      <c r="AG2201" t="s">
        <v>7136</v>
      </c>
      <c r="AH2201" t="s">
        <v>803</v>
      </c>
      <c r="AI2201">
        <v>1.41</v>
      </c>
      <c r="AJ2201">
        <v>2.96</v>
      </c>
      <c r="AK2201">
        <v>28.11</v>
      </c>
      <c r="AL2201">
        <v>44.61</v>
      </c>
    </row>
    <row r="2202" spans="1:38" x14ac:dyDescent="0.25">
      <c r="A2202">
        <v>2201</v>
      </c>
      <c r="B2202" t="str">
        <f xml:space="preserve"> "600212"</f>
        <v>600212</v>
      </c>
      <c r="C2202" t="s">
        <v>7137</v>
      </c>
      <c r="D2202">
        <v>10.95</v>
      </c>
      <c r="E2202">
        <v>-0.36</v>
      </c>
      <c r="F2202">
        <v>-0.04</v>
      </c>
      <c r="G2202" t="s">
        <v>318</v>
      </c>
      <c r="H2202">
        <v>1101</v>
      </c>
      <c r="I2202">
        <v>10.88</v>
      </c>
      <c r="J2202">
        <v>10.95</v>
      </c>
      <c r="K2202">
        <v>0.46</v>
      </c>
      <c r="L2202">
        <v>1.24</v>
      </c>
      <c r="M2202" t="s">
        <v>7138</v>
      </c>
      <c r="N2202">
        <v>199.44</v>
      </c>
      <c r="O2202" t="s">
        <v>3277</v>
      </c>
      <c r="P2202">
        <v>11.15</v>
      </c>
      <c r="Q2202">
        <v>10.86</v>
      </c>
      <c r="R2202">
        <v>11.09</v>
      </c>
      <c r="S2202">
        <v>10.99</v>
      </c>
      <c r="T2202">
        <v>2.64</v>
      </c>
      <c r="U2202">
        <v>0.71</v>
      </c>
      <c r="V2202">
        <v>-33.49</v>
      </c>
      <c r="W2202">
        <v>-662</v>
      </c>
      <c r="X2202">
        <v>11.02</v>
      </c>
      <c r="Y2202" t="s">
        <v>1973</v>
      </c>
      <c r="Z2202" t="s">
        <v>1908</v>
      </c>
      <c r="AA2202">
        <v>0.98</v>
      </c>
      <c r="AB2202">
        <v>181</v>
      </c>
      <c r="AC2202">
        <v>5</v>
      </c>
      <c r="AD2202">
        <v>7.41</v>
      </c>
      <c r="AE2202" t="s">
        <v>4649</v>
      </c>
      <c r="AF2202" t="s">
        <v>6370</v>
      </c>
      <c r="AG2202" t="s">
        <v>4649</v>
      </c>
      <c r="AH2202" t="s">
        <v>6370</v>
      </c>
      <c r="AI2202">
        <v>-5.44</v>
      </c>
      <c r="AJ2202">
        <v>-4.28</v>
      </c>
      <c r="AK2202">
        <v>4.92</v>
      </c>
      <c r="AL2202">
        <v>10</v>
      </c>
    </row>
    <row r="2203" spans="1:38" x14ac:dyDescent="0.25">
      <c r="A2203">
        <v>2202</v>
      </c>
      <c r="B2203" t="str">
        <f xml:space="preserve"> "002369"</f>
        <v>002369</v>
      </c>
      <c r="C2203" t="s">
        <v>7139</v>
      </c>
      <c r="D2203">
        <v>9.7100000000000009</v>
      </c>
      <c r="E2203">
        <v>-1.42</v>
      </c>
      <c r="F2203">
        <v>-0.14000000000000001</v>
      </c>
      <c r="G2203" t="s">
        <v>2480</v>
      </c>
      <c r="H2203">
        <v>1707</v>
      </c>
      <c r="I2203">
        <v>9.6999999999999993</v>
      </c>
      <c r="J2203">
        <v>9.7100000000000009</v>
      </c>
      <c r="K2203">
        <v>0.1</v>
      </c>
      <c r="L2203">
        <v>2.31</v>
      </c>
      <c r="M2203" t="s">
        <v>7140</v>
      </c>
      <c r="N2203">
        <v>1545.59</v>
      </c>
      <c r="O2203" t="s">
        <v>553</v>
      </c>
      <c r="P2203">
        <v>9.9700000000000006</v>
      </c>
      <c r="Q2203">
        <v>9.6300000000000008</v>
      </c>
      <c r="R2203">
        <v>9.8699999999999992</v>
      </c>
      <c r="S2203">
        <v>9.85</v>
      </c>
      <c r="T2203">
        <v>3.45</v>
      </c>
      <c r="U2203">
        <v>0.7</v>
      </c>
      <c r="V2203">
        <v>71.86</v>
      </c>
      <c r="W2203">
        <v>2247</v>
      </c>
      <c r="X2203">
        <v>9.74</v>
      </c>
      <c r="Y2203" t="s">
        <v>3864</v>
      </c>
      <c r="Z2203" t="s">
        <v>953</v>
      </c>
      <c r="AA2203">
        <v>1.1100000000000001</v>
      </c>
      <c r="AB2203">
        <v>729</v>
      </c>
      <c r="AC2203">
        <v>149</v>
      </c>
      <c r="AD2203">
        <v>2.67</v>
      </c>
      <c r="AE2203" t="s">
        <v>6122</v>
      </c>
      <c r="AF2203" t="s">
        <v>6370</v>
      </c>
      <c r="AG2203" t="s">
        <v>1893</v>
      </c>
      <c r="AH2203" t="s">
        <v>760</v>
      </c>
      <c r="AI2203">
        <v>-1.42</v>
      </c>
      <c r="AJ2203">
        <v>3.85</v>
      </c>
      <c r="AK2203">
        <v>8.77</v>
      </c>
      <c r="AL2203">
        <v>18.899999999999999</v>
      </c>
    </row>
    <row r="2204" spans="1:38" x14ac:dyDescent="0.25">
      <c r="A2204">
        <v>2203</v>
      </c>
      <c r="B2204" t="str">
        <f xml:space="preserve"> "000032"</f>
        <v>000032</v>
      </c>
      <c r="C2204" t="s">
        <v>7141</v>
      </c>
      <c r="D2204">
        <v>13.26</v>
      </c>
      <c r="E2204">
        <v>-0.38</v>
      </c>
      <c r="F2204">
        <v>-0.05</v>
      </c>
      <c r="G2204" t="s">
        <v>1745</v>
      </c>
      <c r="H2204">
        <v>554</v>
      </c>
      <c r="I2204">
        <v>13.26</v>
      </c>
      <c r="J2204">
        <v>13.27</v>
      </c>
      <c r="K2204">
        <v>0.08</v>
      </c>
      <c r="L2204">
        <v>0.8</v>
      </c>
      <c r="M2204" t="s">
        <v>7142</v>
      </c>
      <c r="N2204">
        <v>110.33</v>
      </c>
      <c r="O2204" t="s">
        <v>553</v>
      </c>
      <c r="P2204">
        <v>13.38</v>
      </c>
      <c r="Q2204">
        <v>13.2</v>
      </c>
      <c r="R2204">
        <v>13.32</v>
      </c>
      <c r="S2204">
        <v>13.31</v>
      </c>
      <c r="T2204">
        <v>1.35</v>
      </c>
      <c r="U2204">
        <v>0.84</v>
      </c>
      <c r="V2204">
        <v>23.02</v>
      </c>
      <c r="W2204">
        <v>265</v>
      </c>
      <c r="X2204">
        <v>13.24</v>
      </c>
      <c r="Y2204" t="s">
        <v>2558</v>
      </c>
      <c r="Z2204">
        <v>6377</v>
      </c>
      <c r="AA2204">
        <v>2.4900000000000002</v>
      </c>
      <c r="AB2204">
        <v>81</v>
      </c>
      <c r="AC2204">
        <v>98</v>
      </c>
      <c r="AD2204">
        <v>3.85</v>
      </c>
      <c r="AE2204" t="s">
        <v>5070</v>
      </c>
      <c r="AF2204" t="s">
        <v>6370</v>
      </c>
      <c r="AG2204" t="s">
        <v>4858</v>
      </c>
      <c r="AH2204" t="s">
        <v>1817</v>
      </c>
      <c r="AI2204">
        <v>-1.56</v>
      </c>
      <c r="AJ2204">
        <v>0.99</v>
      </c>
      <c r="AK2204">
        <v>2.4500000000000002</v>
      </c>
      <c r="AL2204">
        <v>5.55</v>
      </c>
    </row>
    <row r="2205" spans="1:38" x14ac:dyDescent="0.25">
      <c r="A2205">
        <v>2204</v>
      </c>
      <c r="B2205" t="str">
        <f xml:space="preserve"> "603388"</f>
        <v>603388</v>
      </c>
      <c r="C2205" t="s">
        <v>7143</v>
      </c>
      <c r="D2205">
        <v>27.99</v>
      </c>
      <c r="E2205">
        <v>3.67</v>
      </c>
      <c r="F2205">
        <v>0.99</v>
      </c>
      <c r="G2205" t="s">
        <v>2470</v>
      </c>
      <c r="H2205">
        <v>49</v>
      </c>
      <c r="I2205">
        <v>28.02</v>
      </c>
      <c r="J2205">
        <v>28.05</v>
      </c>
      <c r="K2205">
        <v>-0.71</v>
      </c>
      <c r="L2205">
        <v>33.31</v>
      </c>
      <c r="M2205" t="s">
        <v>4013</v>
      </c>
      <c r="N2205">
        <v>91.75</v>
      </c>
      <c r="O2205" t="s">
        <v>1221</v>
      </c>
      <c r="P2205">
        <v>29</v>
      </c>
      <c r="Q2205">
        <v>26.05</v>
      </c>
      <c r="R2205">
        <v>26.43</v>
      </c>
      <c r="S2205">
        <v>27</v>
      </c>
      <c r="T2205">
        <v>10.93</v>
      </c>
      <c r="U2205">
        <v>1.45</v>
      </c>
      <c r="V2205">
        <v>12.38</v>
      </c>
      <c r="W2205">
        <v>76</v>
      </c>
      <c r="X2205">
        <v>27.79</v>
      </c>
      <c r="Y2205" t="s">
        <v>216</v>
      </c>
      <c r="Z2205" t="s">
        <v>2535</v>
      </c>
      <c r="AA2205">
        <v>0.99</v>
      </c>
      <c r="AB2205">
        <v>1</v>
      </c>
      <c r="AC2205">
        <v>22</v>
      </c>
      <c r="AD2205">
        <v>7.87</v>
      </c>
      <c r="AE2205" t="s">
        <v>1485</v>
      </c>
      <c r="AF2205" t="s">
        <v>6370</v>
      </c>
      <c r="AG2205" t="s">
        <v>3869</v>
      </c>
      <c r="AH2205" t="s">
        <v>803</v>
      </c>
      <c r="AI2205">
        <v>9.64</v>
      </c>
      <c r="AJ2205">
        <v>6.43</v>
      </c>
      <c r="AK2205">
        <v>87.99</v>
      </c>
      <c r="AL2205">
        <v>148.43</v>
      </c>
    </row>
    <row r="2206" spans="1:38" x14ac:dyDescent="0.25">
      <c r="A2206">
        <v>2205</v>
      </c>
      <c r="B2206" t="str">
        <f xml:space="preserve"> "600624"</f>
        <v>600624</v>
      </c>
      <c r="C2206" t="s">
        <v>7144</v>
      </c>
      <c r="D2206">
        <v>8.16</v>
      </c>
      <c r="E2206">
        <v>-1.21</v>
      </c>
      <c r="F2206">
        <v>-0.1</v>
      </c>
      <c r="G2206" t="s">
        <v>1028</v>
      </c>
      <c r="H2206">
        <v>275</v>
      </c>
      <c r="I2206">
        <v>8.16</v>
      </c>
      <c r="J2206">
        <v>8.17</v>
      </c>
      <c r="K2206">
        <v>0</v>
      </c>
      <c r="L2206">
        <v>2.42</v>
      </c>
      <c r="M2206" t="s">
        <v>3058</v>
      </c>
      <c r="N2206">
        <v>151.69</v>
      </c>
      <c r="O2206" t="s">
        <v>3277</v>
      </c>
      <c r="P2206">
        <v>8.4</v>
      </c>
      <c r="Q2206">
        <v>8.1300000000000008</v>
      </c>
      <c r="R2206">
        <v>8.1999999999999993</v>
      </c>
      <c r="S2206">
        <v>8.26</v>
      </c>
      <c r="T2206">
        <v>3.27</v>
      </c>
      <c r="U2206">
        <v>0.84</v>
      </c>
      <c r="V2206">
        <v>34.909999999999997</v>
      </c>
      <c r="W2206">
        <v>2513</v>
      </c>
      <c r="X2206">
        <v>8.25</v>
      </c>
      <c r="Y2206" t="s">
        <v>6439</v>
      </c>
      <c r="Z2206" t="s">
        <v>1751</v>
      </c>
      <c r="AA2206">
        <v>1.44</v>
      </c>
      <c r="AB2206">
        <v>322</v>
      </c>
      <c r="AC2206">
        <v>610</v>
      </c>
      <c r="AD2206">
        <v>5.2</v>
      </c>
      <c r="AE2206" t="s">
        <v>2612</v>
      </c>
      <c r="AF2206" t="s">
        <v>1449</v>
      </c>
      <c r="AG2206" t="s">
        <v>2612</v>
      </c>
      <c r="AH2206" t="s">
        <v>1449</v>
      </c>
      <c r="AI2206">
        <v>0.99</v>
      </c>
      <c r="AJ2206">
        <v>5.29</v>
      </c>
      <c r="AK2206">
        <v>11.49</v>
      </c>
      <c r="AL2206">
        <v>16.829999999999998</v>
      </c>
    </row>
    <row r="2207" spans="1:38" x14ac:dyDescent="0.25">
      <c r="A2207">
        <v>2206</v>
      </c>
      <c r="B2207" t="str">
        <f xml:space="preserve"> "300497"</f>
        <v>300497</v>
      </c>
      <c r="C2207" t="s">
        <v>7145</v>
      </c>
      <c r="D2207">
        <v>49.7</v>
      </c>
      <c r="E2207">
        <v>1.95</v>
      </c>
      <c r="F2207">
        <v>0.95</v>
      </c>
      <c r="G2207" t="s">
        <v>394</v>
      </c>
      <c r="H2207">
        <v>245</v>
      </c>
      <c r="I2207">
        <v>49.69</v>
      </c>
      <c r="J2207">
        <v>49.7</v>
      </c>
      <c r="K2207">
        <v>0.04</v>
      </c>
      <c r="L2207">
        <v>3.84</v>
      </c>
      <c r="M2207" t="s">
        <v>2114</v>
      </c>
      <c r="N2207">
        <v>27.61</v>
      </c>
      <c r="O2207" t="s">
        <v>392</v>
      </c>
      <c r="P2207">
        <v>49.92</v>
      </c>
      <c r="Q2207">
        <v>48.6</v>
      </c>
      <c r="R2207">
        <v>48.92</v>
      </c>
      <c r="S2207">
        <v>48.75</v>
      </c>
      <c r="T2207">
        <v>2.71</v>
      </c>
      <c r="U2207">
        <v>1.82</v>
      </c>
      <c r="V2207">
        <v>58.2</v>
      </c>
      <c r="W2207">
        <v>142</v>
      </c>
      <c r="X2207">
        <v>49.52</v>
      </c>
      <c r="Y2207">
        <v>8591</v>
      </c>
      <c r="Z2207" t="s">
        <v>3234</v>
      </c>
      <c r="AA2207">
        <v>0.61</v>
      </c>
      <c r="AB2207">
        <v>122</v>
      </c>
      <c r="AC2207">
        <v>17</v>
      </c>
      <c r="AD2207">
        <v>6.45</v>
      </c>
      <c r="AE2207" t="s">
        <v>2114</v>
      </c>
      <c r="AF2207" t="s">
        <v>1746</v>
      </c>
      <c r="AG2207" t="s">
        <v>7146</v>
      </c>
      <c r="AH2207" t="s">
        <v>2341</v>
      </c>
      <c r="AI2207">
        <v>0.75</v>
      </c>
      <c r="AJ2207">
        <v>4.63</v>
      </c>
      <c r="AK2207">
        <v>8.3000000000000007</v>
      </c>
      <c r="AL2207">
        <v>14.41</v>
      </c>
    </row>
    <row r="2208" spans="1:38" x14ac:dyDescent="0.25">
      <c r="A2208">
        <v>2207</v>
      </c>
      <c r="B2208" t="str">
        <f xml:space="preserve"> "603689"</f>
        <v>603689</v>
      </c>
      <c r="C2208" t="s">
        <v>7147</v>
      </c>
      <c r="D2208">
        <v>16.61</v>
      </c>
      <c r="E2208">
        <v>0.48</v>
      </c>
      <c r="F2208">
        <v>0.08</v>
      </c>
      <c r="G2208" t="s">
        <v>800</v>
      </c>
      <c r="H2208">
        <v>32</v>
      </c>
      <c r="I2208">
        <v>16.600000000000001</v>
      </c>
      <c r="J2208">
        <v>16.61</v>
      </c>
      <c r="K2208">
        <v>-0.06</v>
      </c>
      <c r="L2208">
        <v>5.24</v>
      </c>
      <c r="M2208" t="s">
        <v>7148</v>
      </c>
      <c r="N2208">
        <v>43.25</v>
      </c>
      <c r="O2208" t="s">
        <v>61</v>
      </c>
      <c r="P2208">
        <v>16.72</v>
      </c>
      <c r="Q2208">
        <v>16.350000000000001</v>
      </c>
      <c r="R2208">
        <v>16.579999999999998</v>
      </c>
      <c r="S2208">
        <v>16.53</v>
      </c>
      <c r="T2208">
        <v>2.2400000000000002</v>
      </c>
      <c r="U2208">
        <v>1.04</v>
      </c>
      <c r="V2208">
        <v>-47.5</v>
      </c>
      <c r="W2208">
        <v>-1004</v>
      </c>
      <c r="X2208">
        <v>16.55</v>
      </c>
      <c r="Y2208" t="s">
        <v>4023</v>
      </c>
      <c r="Z2208" t="s">
        <v>1454</v>
      </c>
      <c r="AA2208">
        <v>1.1200000000000001</v>
      </c>
      <c r="AB2208">
        <v>76</v>
      </c>
      <c r="AC2208">
        <v>18</v>
      </c>
      <c r="AD2208">
        <v>3.1</v>
      </c>
      <c r="AE2208" t="s">
        <v>1512</v>
      </c>
      <c r="AF2208" t="s">
        <v>1746</v>
      </c>
      <c r="AG2208" t="s">
        <v>7149</v>
      </c>
      <c r="AH2208" t="s">
        <v>803</v>
      </c>
      <c r="AI2208">
        <v>0.73</v>
      </c>
      <c r="AJ2208">
        <v>6.13</v>
      </c>
      <c r="AK2208">
        <v>16.57</v>
      </c>
      <c r="AL2208">
        <v>30.32</v>
      </c>
    </row>
    <row r="2209" spans="1:38" x14ac:dyDescent="0.25">
      <c r="A2209">
        <v>2208</v>
      </c>
      <c r="B2209" t="str">
        <f xml:space="preserve"> "000635"</f>
        <v>000635</v>
      </c>
      <c r="C2209" t="s">
        <v>7150</v>
      </c>
      <c r="D2209">
        <v>18.39</v>
      </c>
      <c r="E2209">
        <v>-1.24</v>
      </c>
      <c r="F2209">
        <v>-0.23</v>
      </c>
      <c r="G2209" t="s">
        <v>2695</v>
      </c>
      <c r="H2209">
        <v>408</v>
      </c>
      <c r="I2209">
        <v>18.39</v>
      </c>
      <c r="J2209">
        <v>18.399999999999999</v>
      </c>
      <c r="K2209">
        <v>0</v>
      </c>
      <c r="L2209">
        <v>0.83</v>
      </c>
      <c r="M2209" t="s">
        <v>7151</v>
      </c>
      <c r="N2209">
        <v>39.21</v>
      </c>
      <c r="O2209" t="s">
        <v>667</v>
      </c>
      <c r="P2209">
        <v>18.62</v>
      </c>
      <c r="Q2209">
        <v>18.29</v>
      </c>
      <c r="R2209">
        <v>18.59</v>
      </c>
      <c r="S2209">
        <v>18.62</v>
      </c>
      <c r="T2209">
        <v>1.77</v>
      </c>
      <c r="U2209">
        <v>0.62</v>
      </c>
      <c r="V2209">
        <v>5.4</v>
      </c>
      <c r="W2209">
        <v>47</v>
      </c>
      <c r="X2209">
        <v>18.38</v>
      </c>
      <c r="Y2209" t="s">
        <v>2773</v>
      </c>
      <c r="Z2209">
        <v>8979</v>
      </c>
      <c r="AA2209">
        <v>1.81</v>
      </c>
      <c r="AB2209">
        <v>34</v>
      </c>
      <c r="AC2209">
        <v>104</v>
      </c>
      <c r="AD2209">
        <v>1.88</v>
      </c>
      <c r="AE2209" t="s">
        <v>7152</v>
      </c>
      <c r="AF2209" t="s">
        <v>4940</v>
      </c>
      <c r="AG2209" t="s">
        <v>7152</v>
      </c>
      <c r="AH2209" t="s">
        <v>4940</v>
      </c>
      <c r="AI2209">
        <v>-0.05</v>
      </c>
      <c r="AJ2209">
        <v>5.81</v>
      </c>
      <c r="AK2209">
        <v>3.17</v>
      </c>
      <c r="AL2209">
        <v>7.55</v>
      </c>
    </row>
    <row r="2210" spans="1:38" x14ac:dyDescent="0.25">
      <c r="A2210">
        <v>2209</v>
      </c>
      <c r="B2210" t="str">
        <f xml:space="preserve"> "600979"</f>
        <v>600979</v>
      </c>
      <c r="C2210" t="s">
        <v>7153</v>
      </c>
      <c r="D2210">
        <v>5.87</v>
      </c>
      <c r="E2210">
        <v>0.86</v>
      </c>
      <c r="F2210">
        <v>0.05</v>
      </c>
      <c r="G2210" t="s">
        <v>3929</v>
      </c>
      <c r="H2210">
        <v>40</v>
      </c>
      <c r="I2210">
        <v>5.86</v>
      </c>
      <c r="J2210">
        <v>5.87</v>
      </c>
      <c r="K2210">
        <v>-0.17</v>
      </c>
      <c r="L2210">
        <v>1.06</v>
      </c>
      <c r="M2210" t="s">
        <v>7154</v>
      </c>
      <c r="N2210">
        <v>18.510000000000002</v>
      </c>
      <c r="O2210" t="s">
        <v>2085</v>
      </c>
      <c r="P2210">
        <v>5.9</v>
      </c>
      <c r="Q2210">
        <v>5.8</v>
      </c>
      <c r="R2210">
        <v>5.83</v>
      </c>
      <c r="S2210">
        <v>5.82</v>
      </c>
      <c r="T2210">
        <v>1.72</v>
      </c>
      <c r="U2210">
        <v>1.57</v>
      </c>
      <c r="V2210">
        <v>-19.670000000000002</v>
      </c>
      <c r="W2210">
        <v>-2759</v>
      </c>
      <c r="X2210">
        <v>5.85</v>
      </c>
      <c r="Y2210" t="s">
        <v>1286</v>
      </c>
      <c r="Z2210" t="s">
        <v>1884</v>
      </c>
      <c r="AA2210">
        <v>0.86</v>
      </c>
      <c r="AB2210">
        <v>1944</v>
      </c>
      <c r="AC2210">
        <v>15</v>
      </c>
      <c r="AD2210">
        <v>1.67</v>
      </c>
      <c r="AE2210" t="s">
        <v>3979</v>
      </c>
      <c r="AF2210" t="s">
        <v>6233</v>
      </c>
      <c r="AG2210" t="s">
        <v>6325</v>
      </c>
      <c r="AH2210" t="s">
        <v>7155</v>
      </c>
      <c r="AI2210">
        <v>1.21</v>
      </c>
      <c r="AJ2210">
        <v>4.45</v>
      </c>
      <c r="AK2210">
        <v>2.87</v>
      </c>
      <c r="AL2210">
        <v>4.41</v>
      </c>
    </row>
    <row r="2211" spans="1:38" x14ac:dyDescent="0.25">
      <c r="A2211">
        <v>2210</v>
      </c>
      <c r="B2211" t="str">
        <f xml:space="preserve"> "002612"</f>
        <v>002612</v>
      </c>
      <c r="C2211" t="s">
        <v>7156</v>
      </c>
      <c r="D2211">
        <v>13.91</v>
      </c>
      <c r="E2211">
        <v>0.22</v>
      </c>
      <c r="F2211">
        <v>0.03</v>
      </c>
      <c r="G2211" t="s">
        <v>3519</v>
      </c>
      <c r="H2211">
        <v>791</v>
      </c>
      <c r="I2211">
        <v>13.9</v>
      </c>
      <c r="J2211">
        <v>13.91</v>
      </c>
      <c r="K2211">
        <v>7.0000000000000007E-2</v>
      </c>
      <c r="L2211">
        <v>0.76</v>
      </c>
      <c r="M2211" t="s">
        <v>7157</v>
      </c>
      <c r="N2211">
        <v>51.25</v>
      </c>
      <c r="O2211" t="s">
        <v>1443</v>
      </c>
      <c r="P2211">
        <v>13.95</v>
      </c>
      <c r="Q2211">
        <v>13.7</v>
      </c>
      <c r="R2211">
        <v>13.9</v>
      </c>
      <c r="S2211">
        <v>13.88</v>
      </c>
      <c r="T2211">
        <v>1.8</v>
      </c>
      <c r="U2211">
        <v>0.85</v>
      </c>
      <c r="V2211">
        <v>22.37</v>
      </c>
      <c r="W2211">
        <v>215</v>
      </c>
      <c r="X2211">
        <v>13.82</v>
      </c>
      <c r="Y2211">
        <v>7919</v>
      </c>
      <c r="Z2211">
        <v>8185</v>
      </c>
      <c r="AA2211">
        <v>0.97</v>
      </c>
      <c r="AB2211">
        <v>343</v>
      </c>
      <c r="AC2211">
        <v>136</v>
      </c>
      <c r="AD2211">
        <v>2.2000000000000002</v>
      </c>
      <c r="AE2211" t="s">
        <v>1000</v>
      </c>
      <c r="AF2211" t="s">
        <v>6233</v>
      </c>
      <c r="AG2211" t="s">
        <v>2970</v>
      </c>
      <c r="AH2211" t="s">
        <v>2341</v>
      </c>
      <c r="AI2211">
        <v>0.87</v>
      </c>
      <c r="AJ2211">
        <v>3.65</v>
      </c>
      <c r="AK2211">
        <v>2.74</v>
      </c>
      <c r="AL2211">
        <v>5.25</v>
      </c>
    </row>
    <row r="2212" spans="1:38" x14ac:dyDescent="0.25">
      <c r="A2212">
        <v>2211</v>
      </c>
      <c r="B2212" t="str">
        <f xml:space="preserve"> "300282"</f>
        <v>300282</v>
      </c>
      <c r="C2212" t="s">
        <v>7158</v>
      </c>
      <c r="D2212">
        <v>22.28</v>
      </c>
      <c r="E2212">
        <v>5.69</v>
      </c>
      <c r="F2212">
        <v>1.2</v>
      </c>
      <c r="G2212" t="s">
        <v>1966</v>
      </c>
      <c r="H2212">
        <v>486</v>
      </c>
      <c r="I2212">
        <v>22.28</v>
      </c>
      <c r="J2212">
        <v>22.29</v>
      </c>
      <c r="K2212">
        <v>0.09</v>
      </c>
      <c r="L2212">
        <v>4.1500000000000004</v>
      </c>
      <c r="M2212" t="s">
        <v>4916</v>
      </c>
      <c r="N2212">
        <v>53.58</v>
      </c>
      <c r="O2212" t="s">
        <v>553</v>
      </c>
      <c r="P2212">
        <v>22.69</v>
      </c>
      <c r="Q2212">
        <v>20.96</v>
      </c>
      <c r="R2212">
        <v>21.05</v>
      </c>
      <c r="S2212">
        <v>21.08</v>
      </c>
      <c r="T2212">
        <v>8.2100000000000009</v>
      </c>
      <c r="U2212">
        <v>2.89</v>
      </c>
      <c r="V2212">
        <v>30.97</v>
      </c>
      <c r="W2212">
        <v>262</v>
      </c>
      <c r="X2212">
        <v>21.96</v>
      </c>
      <c r="Y2212" t="s">
        <v>2433</v>
      </c>
      <c r="Z2212" t="s">
        <v>1355</v>
      </c>
      <c r="AA2212">
        <v>0.66</v>
      </c>
      <c r="AB2212">
        <v>340</v>
      </c>
      <c r="AC2212">
        <v>60</v>
      </c>
      <c r="AD2212">
        <v>2.3199999999999998</v>
      </c>
      <c r="AE2212" t="s">
        <v>4750</v>
      </c>
      <c r="AF2212" t="s">
        <v>6233</v>
      </c>
      <c r="AG2212" t="s">
        <v>2146</v>
      </c>
      <c r="AH2212" t="s">
        <v>4866</v>
      </c>
      <c r="AI2212">
        <v>9.32</v>
      </c>
      <c r="AJ2212">
        <v>12.07</v>
      </c>
      <c r="AK2212">
        <v>9.36</v>
      </c>
      <c r="AL2212">
        <v>11.33</v>
      </c>
    </row>
    <row r="2213" spans="1:38" x14ac:dyDescent="0.25">
      <c r="A2213">
        <v>2212</v>
      </c>
      <c r="B2213" t="str">
        <f xml:space="preserve"> "002149"</f>
        <v>002149</v>
      </c>
      <c r="C2213" t="s">
        <v>7159</v>
      </c>
      <c r="D2213">
        <v>13.06</v>
      </c>
      <c r="E2213">
        <v>-2.0299999999999998</v>
      </c>
      <c r="F2213">
        <v>-0.27</v>
      </c>
      <c r="G2213" t="s">
        <v>912</v>
      </c>
      <c r="H2213">
        <v>1924</v>
      </c>
      <c r="I2213">
        <v>13.06</v>
      </c>
      <c r="J2213">
        <v>13.07</v>
      </c>
      <c r="K2213">
        <v>0</v>
      </c>
      <c r="L2213">
        <v>2.5</v>
      </c>
      <c r="M2213" t="s">
        <v>3110</v>
      </c>
      <c r="N2213">
        <v>138.16</v>
      </c>
      <c r="O2213" t="s">
        <v>859</v>
      </c>
      <c r="P2213">
        <v>13.33</v>
      </c>
      <c r="Q2213">
        <v>13</v>
      </c>
      <c r="R2213">
        <v>13.33</v>
      </c>
      <c r="S2213">
        <v>13.33</v>
      </c>
      <c r="T2213">
        <v>2.48</v>
      </c>
      <c r="U2213">
        <v>0.8</v>
      </c>
      <c r="V2213">
        <v>16.47</v>
      </c>
      <c r="W2213">
        <v>869</v>
      </c>
      <c r="X2213">
        <v>13.12</v>
      </c>
      <c r="Y2213" t="s">
        <v>3199</v>
      </c>
      <c r="Z2213" t="s">
        <v>3385</v>
      </c>
      <c r="AA2213">
        <v>2.19</v>
      </c>
      <c r="AB2213">
        <v>179</v>
      </c>
      <c r="AC2213">
        <v>510</v>
      </c>
      <c r="AD2213">
        <v>3.19</v>
      </c>
      <c r="AE2213" t="s">
        <v>5453</v>
      </c>
      <c r="AF2213" t="s">
        <v>6233</v>
      </c>
      <c r="AG2213" t="s">
        <v>5453</v>
      </c>
      <c r="AH2213" t="s">
        <v>6233</v>
      </c>
      <c r="AI2213">
        <v>-2.76</v>
      </c>
      <c r="AJ2213">
        <v>-5.29</v>
      </c>
      <c r="AK2213">
        <v>7.21</v>
      </c>
      <c r="AL2213">
        <v>18.09</v>
      </c>
    </row>
    <row r="2214" spans="1:38" x14ac:dyDescent="0.25">
      <c r="A2214">
        <v>2213</v>
      </c>
      <c r="B2214" t="str">
        <f xml:space="preserve"> "300600"</f>
        <v>300600</v>
      </c>
      <c r="C2214" t="s">
        <v>7160</v>
      </c>
      <c r="D2214">
        <v>55.54</v>
      </c>
      <c r="E2214">
        <v>-0.23</v>
      </c>
      <c r="F2214">
        <v>-0.13</v>
      </c>
      <c r="G2214" t="s">
        <v>5764</v>
      </c>
      <c r="H2214">
        <v>157</v>
      </c>
      <c r="I2214">
        <v>55.53</v>
      </c>
      <c r="J2214">
        <v>55.54</v>
      </c>
      <c r="K2214">
        <v>-0.02</v>
      </c>
      <c r="L2214">
        <v>4.92</v>
      </c>
      <c r="M2214" t="s">
        <v>7161</v>
      </c>
      <c r="N2214">
        <v>47.64</v>
      </c>
      <c r="O2214" t="s">
        <v>635</v>
      </c>
      <c r="P2214">
        <v>56.25</v>
      </c>
      <c r="Q2214">
        <v>55.1</v>
      </c>
      <c r="R2214">
        <v>55.6</v>
      </c>
      <c r="S2214">
        <v>55.67</v>
      </c>
      <c r="T2214">
        <v>2.0699999999999998</v>
      </c>
      <c r="U2214">
        <v>0.94</v>
      </c>
      <c r="V2214">
        <v>-32.950000000000003</v>
      </c>
      <c r="W2214">
        <v>-57</v>
      </c>
      <c r="X2214">
        <v>55.55</v>
      </c>
      <c r="Y2214">
        <v>7258</v>
      </c>
      <c r="Z2214">
        <v>5043</v>
      </c>
      <c r="AA2214">
        <v>1.44</v>
      </c>
      <c r="AB2214">
        <v>25</v>
      </c>
      <c r="AC2214">
        <v>26</v>
      </c>
      <c r="AD2214">
        <v>6.63</v>
      </c>
      <c r="AE2214" t="s">
        <v>4464</v>
      </c>
      <c r="AF2214" t="s">
        <v>6046</v>
      </c>
      <c r="AG2214" t="s">
        <v>5931</v>
      </c>
      <c r="AH2214" t="s">
        <v>895</v>
      </c>
      <c r="AI2214">
        <v>1.68</v>
      </c>
      <c r="AJ2214">
        <v>0.38</v>
      </c>
      <c r="AK2214">
        <v>15.85</v>
      </c>
      <c r="AL2214">
        <v>30.95</v>
      </c>
    </row>
    <row r="2215" spans="1:38" x14ac:dyDescent="0.25">
      <c r="A2215">
        <v>2214</v>
      </c>
      <c r="B2215" t="str">
        <f xml:space="preserve"> "603933"</f>
        <v>603933</v>
      </c>
      <c r="C2215" t="s">
        <v>7162</v>
      </c>
      <c r="D2215">
        <v>54.08</v>
      </c>
      <c r="E2215">
        <v>2.95</v>
      </c>
      <c r="F2215">
        <v>1.55</v>
      </c>
      <c r="G2215" t="s">
        <v>1416</v>
      </c>
      <c r="H2215">
        <v>4</v>
      </c>
      <c r="I2215">
        <v>54.1</v>
      </c>
      <c r="J2215">
        <v>54.11</v>
      </c>
      <c r="K2215">
        <v>-0.04</v>
      </c>
      <c r="L2215">
        <v>8.5399999999999991</v>
      </c>
      <c r="M2215" t="s">
        <v>2827</v>
      </c>
      <c r="N2215">
        <v>33.17</v>
      </c>
      <c r="O2215" t="s">
        <v>380</v>
      </c>
      <c r="P2215">
        <v>54.21</v>
      </c>
      <c r="Q2215">
        <v>52.02</v>
      </c>
      <c r="R2215">
        <v>52.47</v>
      </c>
      <c r="S2215">
        <v>52.53</v>
      </c>
      <c r="T2215">
        <v>4.17</v>
      </c>
      <c r="U2215">
        <v>1.23</v>
      </c>
      <c r="V2215">
        <v>46.48</v>
      </c>
      <c r="W2215">
        <v>356</v>
      </c>
      <c r="X2215">
        <v>53.37</v>
      </c>
      <c r="Y2215" t="s">
        <v>1685</v>
      </c>
      <c r="Z2215" t="s">
        <v>2991</v>
      </c>
      <c r="AA2215">
        <v>0.86</v>
      </c>
      <c r="AB2215">
        <v>11</v>
      </c>
      <c r="AC2215">
        <v>30</v>
      </c>
      <c r="AD2215">
        <v>3.99</v>
      </c>
      <c r="AE2215" t="s">
        <v>2611</v>
      </c>
      <c r="AF2215" t="s">
        <v>6046</v>
      </c>
      <c r="AG2215" t="s">
        <v>6462</v>
      </c>
      <c r="AH2215" t="s">
        <v>895</v>
      </c>
      <c r="AI2215">
        <v>-0.53</v>
      </c>
      <c r="AJ2215">
        <v>2.89</v>
      </c>
      <c r="AK2215">
        <v>23.57</v>
      </c>
      <c r="AL2215">
        <v>43.25</v>
      </c>
    </row>
    <row r="2216" spans="1:38" x14ac:dyDescent="0.25">
      <c r="A2216">
        <v>2215</v>
      </c>
      <c r="B2216" t="str">
        <f xml:space="preserve"> "300213"</f>
        <v>300213</v>
      </c>
      <c r="C2216" t="s">
        <v>7163</v>
      </c>
      <c r="D2216">
        <v>9.33</v>
      </c>
      <c r="E2216">
        <v>-0.74</v>
      </c>
      <c r="F2216">
        <v>-7.0000000000000007E-2</v>
      </c>
      <c r="G2216" t="s">
        <v>2226</v>
      </c>
      <c r="H2216">
        <v>571</v>
      </c>
      <c r="I2216">
        <v>9.33</v>
      </c>
      <c r="J2216">
        <v>9.34</v>
      </c>
      <c r="K2216">
        <v>-0.11</v>
      </c>
      <c r="L2216">
        <v>1.26</v>
      </c>
      <c r="M2216" t="s">
        <v>7164</v>
      </c>
      <c r="N2216">
        <v>84.19</v>
      </c>
      <c r="O2216" t="s">
        <v>580</v>
      </c>
      <c r="P2216">
        <v>9.4499999999999993</v>
      </c>
      <c r="Q2216">
        <v>9.26</v>
      </c>
      <c r="R2216">
        <v>9.41</v>
      </c>
      <c r="S2216">
        <v>9.4</v>
      </c>
      <c r="T2216">
        <v>2.02</v>
      </c>
      <c r="U2216">
        <v>0.51</v>
      </c>
      <c r="V2216">
        <v>38.83</v>
      </c>
      <c r="W2216">
        <v>1394</v>
      </c>
      <c r="X2216">
        <v>9.33</v>
      </c>
      <c r="Y2216" t="s">
        <v>2696</v>
      </c>
      <c r="Z2216" t="s">
        <v>433</v>
      </c>
      <c r="AA2216">
        <v>1.66</v>
      </c>
      <c r="AB2216">
        <v>144</v>
      </c>
      <c r="AC2216">
        <v>114</v>
      </c>
      <c r="AD2216">
        <v>3.43</v>
      </c>
      <c r="AE2216" t="s">
        <v>6272</v>
      </c>
      <c r="AF2216" t="s">
        <v>6046</v>
      </c>
      <c r="AG2216" t="s">
        <v>391</v>
      </c>
      <c r="AH2216" t="s">
        <v>3355</v>
      </c>
      <c r="AI2216">
        <v>-4.5</v>
      </c>
      <c r="AJ2216">
        <v>0.11</v>
      </c>
      <c r="AK2216">
        <v>5.76</v>
      </c>
      <c r="AL2216">
        <v>13.69</v>
      </c>
    </row>
    <row r="2217" spans="1:38" x14ac:dyDescent="0.25">
      <c r="A2217">
        <v>2216</v>
      </c>
      <c r="B2217" t="str">
        <f xml:space="preserve"> "300279"</f>
        <v>300279</v>
      </c>
      <c r="C2217" t="s">
        <v>7165</v>
      </c>
      <c r="D2217">
        <v>12.36</v>
      </c>
      <c r="E2217">
        <v>0.08</v>
      </c>
      <c r="F2217">
        <v>0.01</v>
      </c>
      <c r="G2217" t="s">
        <v>2432</v>
      </c>
      <c r="H2217">
        <v>875</v>
      </c>
      <c r="I2217">
        <v>12.36</v>
      </c>
      <c r="J2217">
        <v>12.37</v>
      </c>
      <c r="K2217">
        <v>0</v>
      </c>
      <c r="L2217">
        <v>1.45</v>
      </c>
      <c r="M2217" t="s">
        <v>7166</v>
      </c>
      <c r="N2217">
        <v>54.69</v>
      </c>
      <c r="O2217" t="s">
        <v>553</v>
      </c>
      <c r="P2217">
        <v>12.5</v>
      </c>
      <c r="Q2217">
        <v>12.2</v>
      </c>
      <c r="R2217">
        <v>12.37</v>
      </c>
      <c r="S2217">
        <v>12.35</v>
      </c>
      <c r="T2217">
        <v>2.4300000000000002</v>
      </c>
      <c r="U2217">
        <v>1.38</v>
      </c>
      <c r="V2217">
        <v>2.4700000000000002</v>
      </c>
      <c r="W2217">
        <v>24</v>
      </c>
      <c r="X2217">
        <v>12.29</v>
      </c>
      <c r="Y2217" t="s">
        <v>2088</v>
      </c>
      <c r="Z2217" t="s">
        <v>3387</v>
      </c>
      <c r="AA2217">
        <v>1.19</v>
      </c>
      <c r="AB2217">
        <v>293</v>
      </c>
      <c r="AC2217">
        <v>8</v>
      </c>
      <c r="AD2217">
        <v>3.36</v>
      </c>
      <c r="AE2217" t="s">
        <v>1676</v>
      </c>
      <c r="AF2217" t="s">
        <v>6046</v>
      </c>
      <c r="AG2217" t="s">
        <v>2218</v>
      </c>
      <c r="AH2217" t="s">
        <v>1845</v>
      </c>
      <c r="AI2217">
        <v>-1.75</v>
      </c>
      <c r="AJ2217">
        <v>2.91</v>
      </c>
      <c r="AK2217">
        <v>3.7</v>
      </c>
      <c r="AL2217">
        <v>6.72</v>
      </c>
    </row>
    <row r="2218" spans="1:38" x14ac:dyDescent="0.25">
      <c r="A2218">
        <v>2217</v>
      </c>
      <c r="B2218" t="str">
        <f xml:space="preserve"> "603016"</f>
        <v>603016</v>
      </c>
      <c r="C2218" t="s">
        <v>7167</v>
      </c>
      <c r="D2218">
        <v>37.450000000000003</v>
      </c>
      <c r="E2218">
        <v>-0.82</v>
      </c>
      <c r="F2218">
        <v>-0.31</v>
      </c>
      <c r="G2218" t="s">
        <v>2968</v>
      </c>
      <c r="H2218">
        <v>3</v>
      </c>
      <c r="I2218">
        <v>37.450000000000003</v>
      </c>
      <c r="J2218">
        <v>37.479999999999997</v>
      </c>
      <c r="K2218">
        <v>-0.13</v>
      </c>
      <c r="L2218">
        <v>2.33</v>
      </c>
      <c r="M2218" t="s">
        <v>4157</v>
      </c>
      <c r="N2218">
        <v>95.26</v>
      </c>
      <c r="O2218" t="s">
        <v>680</v>
      </c>
      <c r="P2218">
        <v>38.159999999999997</v>
      </c>
      <c r="Q2218">
        <v>37.35</v>
      </c>
      <c r="R2218">
        <v>37.76</v>
      </c>
      <c r="S2218">
        <v>37.76</v>
      </c>
      <c r="T2218">
        <v>2.15</v>
      </c>
      <c r="U2218">
        <v>0.66</v>
      </c>
      <c r="V2218">
        <v>21.66</v>
      </c>
      <c r="W2218">
        <v>73</v>
      </c>
      <c r="X2218">
        <v>37.659999999999997</v>
      </c>
      <c r="Y2218">
        <v>8935</v>
      </c>
      <c r="Z2218">
        <v>7481</v>
      </c>
      <c r="AA2218">
        <v>1.19</v>
      </c>
      <c r="AB2218">
        <v>141</v>
      </c>
      <c r="AC2218">
        <v>8</v>
      </c>
      <c r="AD2218">
        <v>6.99</v>
      </c>
      <c r="AE2218" t="s">
        <v>1333</v>
      </c>
      <c r="AF2218" t="s">
        <v>6046</v>
      </c>
      <c r="AG2218" t="s">
        <v>7168</v>
      </c>
      <c r="AH2218" t="s">
        <v>1279</v>
      </c>
      <c r="AI2218">
        <v>-3.03</v>
      </c>
      <c r="AJ2218">
        <v>2.69</v>
      </c>
      <c r="AK2218">
        <v>8.07</v>
      </c>
      <c r="AL2218">
        <v>19.93</v>
      </c>
    </row>
    <row r="2219" spans="1:38" x14ac:dyDescent="0.25">
      <c r="A2219">
        <v>2218</v>
      </c>
      <c r="B2219" t="str">
        <f xml:space="preserve"> "603717"</f>
        <v>603717</v>
      </c>
      <c r="C2219" t="s">
        <v>7169</v>
      </c>
      <c r="D2219">
        <v>32.07</v>
      </c>
      <c r="E2219">
        <v>10.02</v>
      </c>
      <c r="F2219">
        <v>2.92</v>
      </c>
      <c r="G2219" t="s">
        <v>728</v>
      </c>
      <c r="H2219">
        <v>5</v>
      </c>
      <c r="I2219">
        <v>32.07</v>
      </c>
      <c r="J2219" t="s">
        <v>616</v>
      </c>
      <c r="K2219">
        <v>0</v>
      </c>
      <c r="L2219">
        <v>18.84</v>
      </c>
      <c r="M2219" t="s">
        <v>5050</v>
      </c>
      <c r="N2219">
        <v>68.44</v>
      </c>
      <c r="O2219" t="s">
        <v>1221</v>
      </c>
      <c r="P2219">
        <v>32.07</v>
      </c>
      <c r="Q2219">
        <v>29.15</v>
      </c>
      <c r="R2219">
        <v>29.15</v>
      </c>
      <c r="S2219">
        <v>29.15</v>
      </c>
      <c r="T2219">
        <v>10.02</v>
      </c>
      <c r="U2219">
        <v>3.93</v>
      </c>
      <c r="V2219">
        <v>100</v>
      </c>
      <c r="W2219">
        <v>6900</v>
      </c>
      <c r="X2219">
        <v>31.02</v>
      </c>
      <c r="Y2219" t="s">
        <v>2398</v>
      </c>
      <c r="Z2219" t="s">
        <v>1524</v>
      </c>
      <c r="AA2219">
        <v>0.82</v>
      </c>
      <c r="AB2219">
        <v>6755</v>
      </c>
      <c r="AC2219">
        <v>0</v>
      </c>
      <c r="AD2219">
        <v>4.57</v>
      </c>
      <c r="AE2219" t="s">
        <v>4916</v>
      </c>
      <c r="AF2219" t="s">
        <v>4700</v>
      </c>
      <c r="AG2219" t="s">
        <v>7170</v>
      </c>
      <c r="AH2219" t="s">
        <v>1047</v>
      </c>
      <c r="AI2219">
        <v>9.83</v>
      </c>
      <c r="AJ2219">
        <v>15.4</v>
      </c>
      <c r="AK2219">
        <v>30.31</v>
      </c>
      <c r="AL2219">
        <v>42.81</v>
      </c>
    </row>
    <row r="2220" spans="1:38" x14ac:dyDescent="0.25">
      <c r="A2220">
        <v>2219</v>
      </c>
      <c r="B2220" t="str">
        <f xml:space="preserve"> "002034"</f>
        <v>002034</v>
      </c>
      <c r="C2220" t="s">
        <v>7171</v>
      </c>
      <c r="D2220">
        <v>51.25</v>
      </c>
      <c r="E2220">
        <v>0.27</v>
      </c>
      <c r="F2220">
        <v>0.14000000000000001</v>
      </c>
      <c r="G2220">
        <v>3524</v>
      </c>
      <c r="H2220">
        <v>116</v>
      </c>
      <c r="I2220">
        <v>51.15</v>
      </c>
      <c r="J2220">
        <v>51.25</v>
      </c>
      <c r="K2220">
        <v>-0.04</v>
      </c>
      <c r="L2220">
        <v>0.56999999999999995</v>
      </c>
      <c r="M2220" t="s">
        <v>7172</v>
      </c>
      <c r="N2220">
        <v>472.37</v>
      </c>
      <c r="O2220" t="s">
        <v>1443</v>
      </c>
      <c r="P2220">
        <v>51.6</v>
      </c>
      <c r="Q2220">
        <v>50.55</v>
      </c>
      <c r="R2220">
        <v>50.81</v>
      </c>
      <c r="S2220">
        <v>51.11</v>
      </c>
      <c r="T2220">
        <v>2.0499999999999998</v>
      </c>
      <c r="U2220">
        <v>0.84</v>
      </c>
      <c r="V2220">
        <v>-52.86</v>
      </c>
      <c r="W2220">
        <v>-146</v>
      </c>
      <c r="X2220">
        <v>50.89</v>
      </c>
      <c r="Y2220">
        <v>2173</v>
      </c>
      <c r="Z2220">
        <v>1351</v>
      </c>
      <c r="AA2220">
        <v>1.61</v>
      </c>
      <c r="AB2220">
        <v>1</v>
      </c>
      <c r="AC2220">
        <v>9</v>
      </c>
      <c r="AD2220">
        <v>6.57</v>
      </c>
      <c r="AE2220" t="s">
        <v>1120</v>
      </c>
      <c r="AF2220" t="s">
        <v>4700</v>
      </c>
      <c r="AG2220" t="s">
        <v>7173</v>
      </c>
      <c r="AH2220" t="s">
        <v>4062</v>
      </c>
      <c r="AI2220">
        <v>1.2</v>
      </c>
      <c r="AJ2220">
        <v>1.85</v>
      </c>
      <c r="AK2220">
        <v>2.42</v>
      </c>
      <c r="AL2220">
        <v>3.94</v>
      </c>
    </row>
    <row r="2221" spans="1:38" x14ac:dyDescent="0.25">
      <c r="A2221">
        <v>2220</v>
      </c>
      <c r="B2221" t="str">
        <f xml:space="preserve"> "000520"</f>
        <v>000520</v>
      </c>
      <c r="C2221" t="s">
        <v>7174</v>
      </c>
      <c r="D2221">
        <v>5.47</v>
      </c>
      <c r="E2221">
        <v>4.1900000000000004</v>
      </c>
      <c r="F2221">
        <v>0.22</v>
      </c>
      <c r="G2221" t="s">
        <v>53</v>
      </c>
      <c r="H2221" t="s">
        <v>1986</v>
      </c>
      <c r="I2221">
        <v>5.46</v>
      </c>
      <c r="J2221">
        <v>5.47</v>
      </c>
      <c r="K2221">
        <v>0.18</v>
      </c>
      <c r="L2221">
        <v>3.39</v>
      </c>
      <c r="M2221" t="s">
        <v>3201</v>
      </c>
      <c r="N2221">
        <v>147.22</v>
      </c>
      <c r="O2221" t="s">
        <v>440</v>
      </c>
      <c r="P2221">
        <v>5.5</v>
      </c>
      <c r="Q2221">
        <v>5.27</v>
      </c>
      <c r="R2221">
        <v>5.29</v>
      </c>
      <c r="S2221">
        <v>5.25</v>
      </c>
      <c r="T2221">
        <v>4.38</v>
      </c>
      <c r="U2221">
        <v>5.17</v>
      </c>
      <c r="V2221">
        <v>23.16</v>
      </c>
      <c r="W2221">
        <v>7138</v>
      </c>
      <c r="X2221">
        <v>5.4</v>
      </c>
      <c r="Y2221" t="s">
        <v>982</v>
      </c>
      <c r="Z2221" t="s">
        <v>1044</v>
      </c>
      <c r="AA2221">
        <v>0.7</v>
      </c>
      <c r="AB2221">
        <v>9505</v>
      </c>
      <c r="AC2221">
        <v>608</v>
      </c>
      <c r="AD2221">
        <v>19.43</v>
      </c>
      <c r="AE2221" t="s">
        <v>262</v>
      </c>
      <c r="AF2221" t="s">
        <v>4700</v>
      </c>
      <c r="AG2221" t="s">
        <v>262</v>
      </c>
      <c r="AH2221" t="s">
        <v>4700</v>
      </c>
      <c r="AI2221">
        <v>3.6</v>
      </c>
      <c r="AJ2221">
        <v>6.21</v>
      </c>
      <c r="AK2221">
        <v>4.62</v>
      </c>
      <c r="AL2221">
        <v>6.66</v>
      </c>
    </row>
    <row r="2222" spans="1:38" x14ac:dyDescent="0.25">
      <c r="A2222">
        <v>2221</v>
      </c>
      <c r="B2222" t="str">
        <f xml:space="preserve"> "300099"</f>
        <v>300099</v>
      </c>
      <c r="C2222" t="s">
        <v>7175</v>
      </c>
      <c r="D2222">
        <v>8.3800000000000008</v>
      </c>
      <c r="E2222">
        <v>-1.06</v>
      </c>
      <c r="F2222">
        <v>-0.09</v>
      </c>
      <c r="G2222" t="s">
        <v>1516</v>
      </c>
      <c r="H2222">
        <v>831</v>
      </c>
      <c r="I2222">
        <v>8.3800000000000008</v>
      </c>
      <c r="J2222">
        <v>8.39</v>
      </c>
      <c r="K2222">
        <v>0</v>
      </c>
      <c r="L2222">
        <v>2</v>
      </c>
      <c r="M2222" t="s">
        <v>7176</v>
      </c>
      <c r="N2222">
        <v>436.37</v>
      </c>
      <c r="O2222" t="s">
        <v>1372</v>
      </c>
      <c r="P2222">
        <v>8.44</v>
      </c>
      <c r="Q2222">
        <v>8.31</v>
      </c>
      <c r="R2222">
        <v>8.4</v>
      </c>
      <c r="S2222">
        <v>8.4700000000000006</v>
      </c>
      <c r="T2222">
        <v>1.53</v>
      </c>
      <c r="U2222">
        <v>0.65</v>
      </c>
      <c r="V2222">
        <v>20.5</v>
      </c>
      <c r="W2222">
        <v>991</v>
      </c>
      <c r="X2222">
        <v>8.36</v>
      </c>
      <c r="Y2222" t="s">
        <v>1623</v>
      </c>
      <c r="Z2222" t="s">
        <v>1961</v>
      </c>
      <c r="AA2222">
        <v>1.96</v>
      </c>
      <c r="AB2222">
        <v>924</v>
      </c>
      <c r="AC2222">
        <v>265</v>
      </c>
      <c r="AD2222">
        <v>3.47</v>
      </c>
      <c r="AE2222" t="s">
        <v>3899</v>
      </c>
      <c r="AF2222" t="s">
        <v>1295</v>
      </c>
      <c r="AG2222" t="s">
        <v>5852</v>
      </c>
      <c r="AH2222" t="s">
        <v>1231</v>
      </c>
      <c r="AI2222">
        <v>-2.33</v>
      </c>
      <c r="AJ2222">
        <v>1.7</v>
      </c>
      <c r="AK2222">
        <v>7.95</v>
      </c>
      <c r="AL2222">
        <v>17.46</v>
      </c>
    </row>
    <row r="2223" spans="1:38" x14ac:dyDescent="0.25">
      <c r="A2223">
        <v>2222</v>
      </c>
      <c r="B2223" t="str">
        <f xml:space="preserve"> "002775"</f>
        <v>002775</v>
      </c>
      <c r="C2223" t="s">
        <v>7177</v>
      </c>
      <c r="D2223">
        <v>22.3</v>
      </c>
      <c r="E2223">
        <v>3</v>
      </c>
      <c r="F2223">
        <v>0.65</v>
      </c>
      <c r="G2223" t="s">
        <v>2266</v>
      </c>
      <c r="H2223">
        <v>978</v>
      </c>
      <c r="I2223">
        <v>22.3</v>
      </c>
      <c r="J2223">
        <v>22.31</v>
      </c>
      <c r="K2223">
        <v>0.13</v>
      </c>
      <c r="L2223">
        <v>3.01</v>
      </c>
      <c r="M2223" t="s">
        <v>7178</v>
      </c>
      <c r="N2223">
        <v>26.71</v>
      </c>
      <c r="O2223" t="s">
        <v>1221</v>
      </c>
      <c r="P2223">
        <v>22.57</v>
      </c>
      <c r="Q2223">
        <v>21.5</v>
      </c>
      <c r="R2223">
        <v>21.51</v>
      </c>
      <c r="S2223">
        <v>21.65</v>
      </c>
      <c r="T2223">
        <v>4.9400000000000004</v>
      </c>
      <c r="U2223">
        <v>1.93</v>
      </c>
      <c r="V2223">
        <v>-22.21</v>
      </c>
      <c r="W2223">
        <v>-153</v>
      </c>
      <c r="X2223">
        <v>22.07</v>
      </c>
      <c r="Y2223" t="s">
        <v>3234</v>
      </c>
      <c r="Z2223" t="s">
        <v>2653</v>
      </c>
      <c r="AA2223">
        <v>0.67</v>
      </c>
      <c r="AB2223">
        <v>9</v>
      </c>
      <c r="AC2223">
        <v>55</v>
      </c>
      <c r="AD2223">
        <v>4.2</v>
      </c>
      <c r="AE2223" t="s">
        <v>1051</v>
      </c>
      <c r="AF2223" t="s">
        <v>1295</v>
      </c>
      <c r="AG2223" t="s">
        <v>2827</v>
      </c>
      <c r="AH2223" t="s">
        <v>2597</v>
      </c>
      <c r="AI2223">
        <v>1.46</v>
      </c>
      <c r="AJ2223">
        <v>5.79</v>
      </c>
      <c r="AK2223">
        <v>5.85</v>
      </c>
      <c r="AL2223">
        <v>10.82</v>
      </c>
    </row>
    <row r="2224" spans="1:38" x14ac:dyDescent="0.25">
      <c r="A2224">
        <v>2223</v>
      </c>
      <c r="B2224" t="str">
        <f xml:space="preserve"> "000912"</f>
        <v>000912</v>
      </c>
      <c r="C2224" t="s">
        <v>7179</v>
      </c>
      <c r="D2224">
        <v>9.4499999999999993</v>
      </c>
      <c r="E2224">
        <v>0</v>
      </c>
      <c r="F2224">
        <v>0</v>
      </c>
      <c r="G2224" t="s">
        <v>104</v>
      </c>
      <c r="H2224">
        <v>1465</v>
      </c>
      <c r="I2224">
        <v>9.44</v>
      </c>
      <c r="J2224">
        <v>9.4499999999999993</v>
      </c>
      <c r="K2224">
        <v>0.11</v>
      </c>
      <c r="L2224">
        <v>1.28</v>
      </c>
      <c r="M2224" t="s">
        <v>7180</v>
      </c>
      <c r="N2224">
        <v>-71.239999999999995</v>
      </c>
      <c r="O2224" t="s">
        <v>1936</v>
      </c>
      <c r="P2224">
        <v>9.5500000000000007</v>
      </c>
      <c r="Q2224">
        <v>9.3000000000000007</v>
      </c>
      <c r="R2224">
        <v>9.3800000000000008</v>
      </c>
      <c r="S2224">
        <v>9.4499999999999993</v>
      </c>
      <c r="T2224">
        <v>2.65</v>
      </c>
      <c r="U2224">
        <v>0.52</v>
      </c>
      <c r="V2224">
        <v>-52.35</v>
      </c>
      <c r="W2224">
        <v>-2704</v>
      </c>
      <c r="X2224">
        <v>9.42</v>
      </c>
      <c r="Y2224" t="s">
        <v>3606</v>
      </c>
      <c r="Z2224" t="s">
        <v>1525</v>
      </c>
      <c r="AA2224">
        <v>1.37</v>
      </c>
      <c r="AB2224">
        <v>357</v>
      </c>
      <c r="AC2224">
        <v>1168</v>
      </c>
      <c r="AD2224">
        <v>69.56</v>
      </c>
      <c r="AE2224" t="s">
        <v>5355</v>
      </c>
      <c r="AF2224" t="s">
        <v>1295</v>
      </c>
      <c r="AG2224" t="s">
        <v>5355</v>
      </c>
      <c r="AH2224" t="s">
        <v>1295</v>
      </c>
      <c r="AI2224">
        <v>0.43</v>
      </c>
      <c r="AJ2224">
        <v>-2.17</v>
      </c>
      <c r="AK2224">
        <v>6.94</v>
      </c>
      <c r="AL2224">
        <v>13.7</v>
      </c>
    </row>
    <row r="2225" spans="1:38" x14ac:dyDescent="0.25">
      <c r="A2225">
        <v>2224</v>
      </c>
      <c r="B2225" t="str">
        <f xml:space="preserve"> "002738"</f>
        <v>002738</v>
      </c>
      <c r="C2225" t="s">
        <v>7181</v>
      </c>
      <c r="D2225" t="s">
        <v>616</v>
      </c>
      <c r="E2225" t="s">
        <v>616</v>
      </c>
      <c r="F2225" t="s">
        <v>616</v>
      </c>
      <c r="G2225" t="s">
        <v>616</v>
      </c>
      <c r="H2225" t="s">
        <v>616</v>
      </c>
      <c r="I2225" t="s">
        <v>616</v>
      </c>
      <c r="J2225" t="s">
        <v>616</v>
      </c>
      <c r="K2225" t="s">
        <v>616</v>
      </c>
      <c r="L2225" t="s">
        <v>616</v>
      </c>
      <c r="M2225" t="s">
        <v>616</v>
      </c>
      <c r="N2225">
        <v>145.85</v>
      </c>
      <c r="O2225" t="s">
        <v>263</v>
      </c>
      <c r="P2225" t="s">
        <v>616</v>
      </c>
      <c r="Q2225" t="s">
        <v>616</v>
      </c>
      <c r="R2225" t="s">
        <v>616</v>
      </c>
      <c r="S2225">
        <v>28.66</v>
      </c>
      <c r="T2225" t="s">
        <v>616</v>
      </c>
      <c r="U2225" t="s">
        <v>616</v>
      </c>
      <c r="V2225" t="s">
        <v>616</v>
      </c>
      <c r="W2225" t="s">
        <v>616</v>
      </c>
      <c r="X2225" t="s">
        <v>616</v>
      </c>
      <c r="Y2225" t="s">
        <v>616</v>
      </c>
      <c r="Z2225" t="s">
        <v>616</v>
      </c>
      <c r="AA2225" t="s">
        <v>616</v>
      </c>
      <c r="AB2225" t="s">
        <v>616</v>
      </c>
      <c r="AC2225" t="s">
        <v>616</v>
      </c>
      <c r="AD2225">
        <v>8.93</v>
      </c>
      <c r="AE2225" t="s">
        <v>2662</v>
      </c>
      <c r="AF2225" t="s">
        <v>5947</v>
      </c>
      <c r="AG2225" t="s">
        <v>1907</v>
      </c>
      <c r="AH2225" t="s">
        <v>1880</v>
      </c>
      <c r="AI2225">
        <v>0</v>
      </c>
      <c r="AJ2225">
        <v>0</v>
      </c>
      <c r="AK2225">
        <v>0</v>
      </c>
      <c r="AL2225">
        <v>4.45</v>
      </c>
    </row>
    <row r="2226" spans="1:38" x14ac:dyDescent="0.25">
      <c r="A2226">
        <v>2225</v>
      </c>
      <c r="B2226" t="str">
        <f xml:space="preserve"> "600328"</f>
        <v>600328</v>
      </c>
      <c r="C2226" t="s">
        <v>7182</v>
      </c>
      <c r="D2226" t="s">
        <v>616</v>
      </c>
      <c r="E2226" t="s">
        <v>616</v>
      </c>
      <c r="F2226" t="s">
        <v>616</v>
      </c>
      <c r="G2226" t="s">
        <v>616</v>
      </c>
      <c r="H2226" t="s">
        <v>616</v>
      </c>
      <c r="I2226" t="s">
        <v>616</v>
      </c>
      <c r="J2226" t="s">
        <v>616</v>
      </c>
      <c r="K2226" t="s">
        <v>616</v>
      </c>
      <c r="L2226" t="s">
        <v>616</v>
      </c>
      <c r="M2226" t="s">
        <v>616</v>
      </c>
      <c r="N2226">
        <v>23.71</v>
      </c>
      <c r="O2226" t="s">
        <v>667</v>
      </c>
      <c r="P2226" t="s">
        <v>616</v>
      </c>
      <c r="Q2226" t="s">
        <v>616</v>
      </c>
      <c r="R2226" t="s">
        <v>616</v>
      </c>
      <c r="S2226">
        <v>12.59</v>
      </c>
      <c r="T2226" t="s">
        <v>616</v>
      </c>
      <c r="U2226" t="s">
        <v>616</v>
      </c>
      <c r="V2226" t="s">
        <v>616</v>
      </c>
      <c r="W2226" t="s">
        <v>616</v>
      </c>
      <c r="X2226" t="s">
        <v>616</v>
      </c>
      <c r="Y2226" t="s">
        <v>616</v>
      </c>
      <c r="Z2226" t="s">
        <v>616</v>
      </c>
      <c r="AA2226" t="s">
        <v>616</v>
      </c>
      <c r="AB2226" t="s">
        <v>616</v>
      </c>
      <c r="AC2226" t="s">
        <v>616</v>
      </c>
      <c r="AD2226">
        <v>2.62</v>
      </c>
      <c r="AE2226" t="s">
        <v>963</v>
      </c>
      <c r="AF2226" t="s">
        <v>6037</v>
      </c>
      <c r="AG2226" t="s">
        <v>963</v>
      </c>
      <c r="AH2226" t="s">
        <v>6037</v>
      </c>
      <c r="AI2226">
        <v>0</v>
      </c>
      <c r="AJ2226">
        <v>0</v>
      </c>
      <c r="AK2226">
        <v>0</v>
      </c>
      <c r="AL2226">
        <v>0</v>
      </c>
    </row>
    <row r="2227" spans="1:38" x14ac:dyDescent="0.25">
      <c r="A2227">
        <v>2226</v>
      </c>
      <c r="B2227" t="str">
        <f xml:space="preserve"> "600834"</f>
        <v>600834</v>
      </c>
      <c r="C2227" t="s">
        <v>7183</v>
      </c>
      <c r="D2227">
        <v>11.55</v>
      </c>
      <c r="E2227">
        <v>-0.35</v>
      </c>
      <c r="F2227">
        <v>-0.04</v>
      </c>
      <c r="G2227" t="s">
        <v>1578</v>
      </c>
      <c r="H2227">
        <v>24</v>
      </c>
      <c r="I2227">
        <v>11.55</v>
      </c>
      <c r="J2227">
        <v>11.56</v>
      </c>
      <c r="K2227">
        <v>0.17</v>
      </c>
      <c r="L2227">
        <v>0.35</v>
      </c>
      <c r="M2227" t="s">
        <v>7184</v>
      </c>
      <c r="N2227">
        <v>60.14</v>
      </c>
      <c r="O2227" t="s">
        <v>274</v>
      </c>
      <c r="P2227">
        <v>11.61</v>
      </c>
      <c r="Q2227">
        <v>11.45</v>
      </c>
      <c r="R2227">
        <v>11.61</v>
      </c>
      <c r="S2227">
        <v>11.59</v>
      </c>
      <c r="T2227">
        <v>1.38</v>
      </c>
      <c r="U2227">
        <v>0.99</v>
      </c>
      <c r="V2227">
        <v>27.86</v>
      </c>
      <c r="W2227">
        <v>484</v>
      </c>
      <c r="X2227">
        <v>11.51</v>
      </c>
      <c r="Y2227" t="s">
        <v>2800</v>
      </c>
      <c r="Z2227">
        <v>6088</v>
      </c>
      <c r="AA2227">
        <v>1.73</v>
      </c>
      <c r="AB2227">
        <v>56</v>
      </c>
      <c r="AC2227">
        <v>14</v>
      </c>
      <c r="AD2227">
        <v>3.78</v>
      </c>
      <c r="AE2227" t="s">
        <v>1994</v>
      </c>
      <c r="AF2227" t="s">
        <v>6037</v>
      </c>
      <c r="AG2227" t="s">
        <v>1994</v>
      </c>
      <c r="AH2227" t="s">
        <v>6037</v>
      </c>
      <c r="AI2227">
        <v>0.61</v>
      </c>
      <c r="AJ2227">
        <v>2.12</v>
      </c>
      <c r="AK2227">
        <v>1.4</v>
      </c>
      <c r="AL2227">
        <v>2.1</v>
      </c>
    </row>
    <row r="2228" spans="1:38" x14ac:dyDescent="0.25">
      <c r="A2228">
        <v>2227</v>
      </c>
      <c r="B2228" t="str">
        <f xml:space="preserve"> "603222"</f>
        <v>603222</v>
      </c>
      <c r="C2228" t="s">
        <v>7185</v>
      </c>
      <c r="D2228">
        <v>17.23</v>
      </c>
      <c r="E2228">
        <v>-0.17</v>
      </c>
      <c r="F2228">
        <v>-0.03</v>
      </c>
      <c r="G2228">
        <v>6611</v>
      </c>
      <c r="H2228">
        <v>31</v>
      </c>
      <c r="I2228">
        <v>17.25</v>
      </c>
      <c r="J2228">
        <v>17.27</v>
      </c>
      <c r="K2228">
        <v>-0.46</v>
      </c>
      <c r="L2228">
        <v>0.59</v>
      </c>
      <c r="M2228" t="s">
        <v>7186</v>
      </c>
      <c r="N2228">
        <v>137.86000000000001</v>
      </c>
      <c r="O2228" t="s">
        <v>392</v>
      </c>
      <c r="P2228">
        <v>17.34</v>
      </c>
      <c r="Q2228">
        <v>17.02</v>
      </c>
      <c r="R2228">
        <v>17.22</v>
      </c>
      <c r="S2228">
        <v>17.260000000000002</v>
      </c>
      <c r="T2228">
        <v>1.85</v>
      </c>
      <c r="U2228">
        <v>0.33</v>
      </c>
      <c r="V2228">
        <v>22.47</v>
      </c>
      <c r="W2228">
        <v>131</v>
      </c>
      <c r="X2228">
        <v>17.25</v>
      </c>
      <c r="Y2228">
        <v>3345</v>
      </c>
      <c r="Z2228">
        <v>3266</v>
      </c>
      <c r="AA2228">
        <v>1.02</v>
      </c>
      <c r="AB2228">
        <v>43</v>
      </c>
      <c r="AC2228">
        <v>12</v>
      </c>
      <c r="AD2228">
        <v>7.38</v>
      </c>
      <c r="AE2228" t="s">
        <v>2738</v>
      </c>
      <c r="AF2228" t="s">
        <v>6037</v>
      </c>
      <c r="AG2228" t="s">
        <v>2869</v>
      </c>
      <c r="AH2228" t="s">
        <v>931</v>
      </c>
      <c r="AI2228">
        <v>-1.49</v>
      </c>
      <c r="AJ2228">
        <v>2.5</v>
      </c>
      <c r="AK2228">
        <v>2.64</v>
      </c>
      <c r="AL2228">
        <v>9.3800000000000008</v>
      </c>
    </row>
    <row r="2229" spans="1:38" x14ac:dyDescent="0.25">
      <c r="A2229">
        <v>2228</v>
      </c>
      <c r="B2229" t="str">
        <f xml:space="preserve"> "000698"</f>
        <v>000698</v>
      </c>
      <c r="C2229" t="s">
        <v>7187</v>
      </c>
      <c r="D2229">
        <v>6.72</v>
      </c>
      <c r="E2229">
        <v>0.15</v>
      </c>
      <c r="F2229">
        <v>0.01</v>
      </c>
      <c r="G2229" t="s">
        <v>2181</v>
      </c>
      <c r="H2229">
        <v>339</v>
      </c>
      <c r="I2229">
        <v>6.72</v>
      </c>
      <c r="J2229">
        <v>6.73</v>
      </c>
      <c r="K2229">
        <v>0.15</v>
      </c>
      <c r="L2229">
        <v>1.02</v>
      </c>
      <c r="M2229" t="s">
        <v>7188</v>
      </c>
      <c r="N2229">
        <v>24.09</v>
      </c>
      <c r="O2229" t="s">
        <v>61</v>
      </c>
      <c r="P2229">
        <v>6.74</v>
      </c>
      <c r="Q2229">
        <v>6.69</v>
      </c>
      <c r="R2229">
        <v>6.73</v>
      </c>
      <c r="S2229">
        <v>6.71</v>
      </c>
      <c r="T2229">
        <v>0.75</v>
      </c>
      <c r="U2229">
        <v>0.86</v>
      </c>
      <c r="V2229">
        <v>-15.68</v>
      </c>
      <c r="W2229">
        <v>-1000</v>
      </c>
      <c r="X2229">
        <v>6.71</v>
      </c>
      <c r="Y2229" t="s">
        <v>659</v>
      </c>
      <c r="Z2229" t="s">
        <v>3234</v>
      </c>
      <c r="AA2229">
        <v>2.14</v>
      </c>
      <c r="AB2229">
        <v>148</v>
      </c>
      <c r="AC2229">
        <v>810</v>
      </c>
      <c r="AD2229">
        <v>1.28</v>
      </c>
      <c r="AE2229" t="s">
        <v>5578</v>
      </c>
      <c r="AF2229" t="s">
        <v>6037</v>
      </c>
      <c r="AG2229" t="s">
        <v>5565</v>
      </c>
      <c r="AH2229" t="s">
        <v>2795</v>
      </c>
      <c r="AI2229">
        <v>-1.18</v>
      </c>
      <c r="AJ2229">
        <v>1.36</v>
      </c>
      <c r="AK2229">
        <v>3.2</v>
      </c>
      <c r="AL2229">
        <v>6.95</v>
      </c>
    </row>
    <row r="2230" spans="1:38" x14ac:dyDescent="0.25">
      <c r="A2230">
        <v>2229</v>
      </c>
      <c r="B2230" t="str">
        <f xml:space="preserve"> "002691"</f>
        <v>002691</v>
      </c>
      <c r="C2230" t="s">
        <v>7189</v>
      </c>
      <c r="D2230">
        <v>27.53</v>
      </c>
      <c r="E2230">
        <v>0.25</v>
      </c>
      <c r="F2230">
        <v>7.0000000000000007E-2</v>
      </c>
      <c r="G2230">
        <v>3746</v>
      </c>
      <c r="H2230">
        <v>23</v>
      </c>
      <c r="I2230">
        <v>27.49</v>
      </c>
      <c r="J2230">
        <v>27.53</v>
      </c>
      <c r="K2230">
        <v>0.04</v>
      </c>
      <c r="L2230">
        <v>0.19</v>
      </c>
      <c r="M2230" t="s">
        <v>7190</v>
      </c>
      <c r="N2230">
        <v>471.77</v>
      </c>
      <c r="O2230" t="s">
        <v>648</v>
      </c>
      <c r="P2230">
        <v>27.71</v>
      </c>
      <c r="Q2230">
        <v>27.15</v>
      </c>
      <c r="R2230">
        <v>27.4</v>
      </c>
      <c r="S2230">
        <v>27.46</v>
      </c>
      <c r="T2230">
        <v>2.04</v>
      </c>
      <c r="U2230">
        <v>0.78</v>
      </c>
      <c r="V2230">
        <v>-46.77</v>
      </c>
      <c r="W2230">
        <v>-344</v>
      </c>
      <c r="X2230">
        <v>27.51</v>
      </c>
      <c r="Y2230">
        <v>2009</v>
      </c>
      <c r="Z2230">
        <v>1737</v>
      </c>
      <c r="AA2230">
        <v>1.1599999999999999</v>
      </c>
      <c r="AB2230">
        <v>118</v>
      </c>
      <c r="AC2230">
        <v>416</v>
      </c>
      <c r="AD2230">
        <v>6.42</v>
      </c>
      <c r="AE2230" t="s">
        <v>1485</v>
      </c>
      <c r="AF2230" t="s">
        <v>6037</v>
      </c>
      <c r="AG2230" t="s">
        <v>3339</v>
      </c>
      <c r="AH2230" t="s">
        <v>3539</v>
      </c>
      <c r="AI2230">
        <v>-1.1499999999999999</v>
      </c>
      <c r="AJ2230">
        <v>-0.94</v>
      </c>
      <c r="AK2230">
        <v>0.69</v>
      </c>
      <c r="AL2230">
        <v>1.39</v>
      </c>
    </row>
    <row r="2231" spans="1:38" x14ac:dyDescent="0.25">
      <c r="A2231">
        <v>2230</v>
      </c>
      <c r="B2231" t="str">
        <f xml:space="preserve"> "000597"</f>
        <v>000597</v>
      </c>
      <c r="C2231" t="s">
        <v>7191</v>
      </c>
      <c r="D2231">
        <v>11.6</v>
      </c>
      <c r="E2231">
        <v>1.75</v>
      </c>
      <c r="F2231">
        <v>0.2</v>
      </c>
      <c r="G2231" t="s">
        <v>728</v>
      </c>
      <c r="H2231">
        <v>3139</v>
      </c>
      <c r="I2231">
        <v>11.59</v>
      </c>
      <c r="J2231">
        <v>11.6</v>
      </c>
      <c r="K2231">
        <v>0.09</v>
      </c>
      <c r="L2231">
        <v>1.72</v>
      </c>
      <c r="M2231" t="s">
        <v>7192</v>
      </c>
      <c r="N2231">
        <v>69.349999999999994</v>
      </c>
      <c r="O2231" t="s">
        <v>392</v>
      </c>
      <c r="P2231">
        <v>11.61</v>
      </c>
      <c r="Q2231">
        <v>11.35</v>
      </c>
      <c r="R2231">
        <v>11.36</v>
      </c>
      <c r="S2231">
        <v>11.4</v>
      </c>
      <c r="T2231">
        <v>2.2799999999999998</v>
      </c>
      <c r="U2231">
        <v>1.25</v>
      </c>
      <c r="V2231">
        <v>-47.15</v>
      </c>
      <c r="W2231">
        <v>-1871</v>
      </c>
      <c r="X2231">
        <v>11.54</v>
      </c>
      <c r="Y2231" t="s">
        <v>928</v>
      </c>
      <c r="Z2231" t="s">
        <v>2790</v>
      </c>
      <c r="AA2231">
        <v>0.67</v>
      </c>
      <c r="AB2231">
        <v>197</v>
      </c>
      <c r="AC2231">
        <v>781</v>
      </c>
      <c r="AD2231">
        <v>2.34</v>
      </c>
      <c r="AE2231" t="s">
        <v>998</v>
      </c>
      <c r="AF2231" t="s">
        <v>6037</v>
      </c>
      <c r="AG2231" t="s">
        <v>5057</v>
      </c>
      <c r="AH2231" t="s">
        <v>3539</v>
      </c>
      <c r="AI2231">
        <v>0.35</v>
      </c>
      <c r="AJ2231">
        <v>4.6900000000000004</v>
      </c>
      <c r="AK2231">
        <v>4.92</v>
      </c>
      <c r="AL2231">
        <v>8.6</v>
      </c>
    </row>
    <row r="2232" spans="1:38" x14ac:dyDescent="0.25">
      <c r="A2232">
        <v>2231</v>
      </c>
      <c r="B2232" t="str">
        <f xml:space="preserve"> "000005"</f>
        <v>000005</v>
      </c>
      <c r="C2232" t="s">
        <v>7193</v>
      </c>
      <c r="D2232">
        <v>5.2</v>
      </c>
      <c r="E2232">
        <v>2.36</v>
      </c>
      <c r="F2232">
        <v>0.12</v>
      </c>
      <c r="G2232" t="s">
        <v>689</v>
      </c>
      <c r="H2232">
        <v>4118</v>
      </c>
      <c r="I2232">
        <v>5.19</v>
      </c>
      <c r="J2232">
        <v>5.2</v>
      </c>
      <c r="K2232">
        <v>0.19</v>
      </c>
      <c r="L2232">
        <v>1.49</v>
      </c>
      <c r="M2232" t="s">
        <v>7194</v>
      </c>
      <c r="N2232">
        <v>-154.99</v>
      </c>
      <c r="O2232" t="s">
        <v>244</v>
      </c>
      <c r="P2232">
        <v>5.26</v>
      </c>
      <c r="Q2232">
        <v>5.04</v>
      </c>
      <c r="R2232">
        <v>5.08</v>
      </c>
      <c r="S2232">
        <v>5.08</v>
      </c>
      <c r="T2232">
        <v>4.33</v>
      </c>
      <c r="U2232">
        <v>1.68</v>
      </c>
      <c r="V2232">
        <v>-40.08</v>
      </c>
      <c r="W2232">
        <v>-8835</v>
      </c>
      <c r="X2232">
        <v>5.16</v>
      </c>
      <c r="Y2232" t="s">
        <v>3819</v>
      </c>
      <c r="Z2232" t="s">
        <v>4213</v>
      </c>
      <c r="AA2232">
        <v>0.61</v>
      </c>
      <c r="AB2232">
        <v>1388</v>
      </c>
      <c r="AC2232">
        <v>5642</v>
      </c>
      <c r="AD2232">
        <v>4.3499999999999996</v>
      </c>
      <c r="AE2232" t="s">
        <v>1554</v>
      </c>
      <c r="AF2232" t="s">
        <v>5793</v>
      </c>
      <c r="AG2232" t="s">
        <v>6024</v>
      </c>
      <c r="AH2232" t="s">
        <v>722</v>
      </c>
      <c r="AI2232">
        <v>1.96</v>
      </c>
      <c r="AJ2232">
        <v>3.79</v>
      </c>
      <c r="AK2232">
        <v>3.57</v>
      </c>
      <c r="AL2232">
        <v>5.92</v>
      </c>
    </row>
    <row r="2233" spans="1:38" x14ac:dyDescent="0.25">
      <c r="A2233">
        <v>2232</v>
      </c>
      <c r="B2233" t="str">
        <f xml:space="preserve"> "002012"</f>
        <v>002012</v>
      </c>
      <c r="C2233" t="s">
        <v>7195</v>
      </c>
      <c r="D2233" t="s">
        <v>616</v>
      </c>
      <c r="E2233" t="s">
        <v>616</v>
      </c>
      <c r="F2233" t="s">
        <v>616</v>
      </c>
      <c r="G2233" t="s">
        <v>616</v>
      </c>
      <c r="H2233" t="s">
        <v>616</v>
      </c>
      <c r="I2233" t="s">
        <v>616</v>
      </c>
      <c r="J2233" t="s">
        <v>616</v>
      </c>
      <c r="K2233" t="s">
        <v>616</v>
      </c>
      <c r="L2233" t="s">
        <v>616</v>
      </c>
      <c r="M2233" t="s">
        <v>616</v>
      </c>
      <c r="N2233">
        <v>126.01</v>
      </c>
      <c r="O2233" t="s">
        <v>1874</v>
      </c>
      <c r="P2233" t="s">
        <v>616</v>
      </c>
      <c r="Q2233" t="s">
        <v>616</v>
      </c>
      <c r="R2233" t="s">
        <v>616</v>
      </c>
      <c r="S2233">
        <v>11.77</v>
      </c>
      <c r="T2233" t="s">
        <v>616</v>
      </c>
      <c r="U2233" t="s">
        <v>616</v>
      </c>
      <c r="V2233" t="s">
        <v>616</v>
      </c>
      <c r="W2233" t="s">
        <v>616</v>
      </c>
      <c r="X2233" t="s">
        <v>616</v>
      </c>
      <c r="Y2233" t="s">
        <v>616</v>
      </c>
      <c r="Z2233" t="s">
        <v>616</v>
      </c>
      <c r="AA2233" t="s">
        <v>616</v>
      </c>
      <c r="AB2233" t="s">
        <v>616</v>
      </c>
      <c r="AC2233" t="s">
        <v>616</v>
      </c>
      <c r="AD2233">
        <v>4.58</v>
      </c>
      <c r="AE2233" t="s">
        <v>2820</v>
      </c>
      <c r="AF2233" t="s">
        <v>5793</v>
      </c>
      <c r="AG2233" t="s">
        <v>2820</v>
      </c>
      <c r="AH2233" t="s">
        <v>5793</v>
      </c>
      <c r="AI2233">
        <v>0</v>
      </c>
      <c r="AJ2233">
        <v>0</v>
      </c>
      <c r="AK2233">
        <v>0</v>
      </c>
      <c r="AL2233">
        <v>0</v>
      </c>
    </row>
    <row r="2234" spans="1:38" x14ac:dyDescent="0.25">
      <c r="A2234">
        <v>2233</v>
      </c>
      <c r="B2234" t="str">
        <f xml:space="preserve"> "300119"</f>
        <v>300119</v>
      </c>
      <c r="C2234" t="s">
        <v>7196</v>
      </c>
      <c r="D2234">
        <v>13.6</v>
      </c>
      <c r="E2234">
        <v>-0.66</v>
      </c>
      <c r="F2234">
        <v>-0.09</v>
      </c>
      <c r="G2234" t="s">
        <v>2298</v>
      </c>
      <c r="H2234">
        <v>84</v>
      </c>
      <c r="I2234">
        <v>13.6</v>
      </c>
      <c r="J2234">
        <v>13.64</v>
      </c>
      <c r="K2234">
        <v>-0.44</v>
      </c>
      <c r="L2234">
        <v>1.49</v>
      </c>
      <c r="M2234" t="s">
        <v>7197</v>
      </c>
      <c r="N2234">
        <v>48.95</v>
      </c>
      <c r="O2234" t="s">
        <v>392</v>
      </c>
      <c r="P2234">
        <v>13.78</v>
      </c>
      <c r="Q2234">
        <v>13.56</v>
      </c>
      <c r="R2234">
        <v>13.7</v>
      </c>
      <c r="S2234">
        <v>13.69</v>
      </c>
      <c r="T2234">
        <v>1.61</v>
      </c>
      <c r="U2234">
        <v>2.14</v>
      </c>
      <c r="V2234">
        <v>15.17</v>
      </c>
      <c r="W2234">
        <v>177</v>
      </c>
      <c r="X2234">
        <v>13.62</v>
      </c>
      <c r="Y2234">
        <v>8354</v>
      </c>
      <c r="Z2234" t="s">
        <v>6749</v>
      </c>
      <c r="AA2234">
        <v>0.38</v>
      </c>
      <c r="AB2234">
        <v>253</v>
      </c>
      <c r="AC2234">
        <v>38</v>
      </c>
      <c r="AD2234">
        <v>2.9</v>
      </c>
      <c r="AE2234" t="s">
        <v>3418</v>
      </c>
      <c r="AF2234" t="s">
        <v>5793</v>
      </c>
      <c r="AG2234" t="s">
        <v>2526</v>
      </c>
      <c r="AH2234" t="s">
        <v>7198</v>
      </c>
      <c r="AI2234">
        <v>-2.65</v>
      </c>
      <c r="AJ2234">
        <v>0.67</v>
      </c>
      <c r="AK2234">
        <v>3.01</v>
      </c>
      <c r="AL2234">
        <v>4.9800000000000004</v>
      </c>
    </row>
    <row r="2235" spans="1:38" x14ac:dyDescent="0.25">
      <c r="A2235">
        <v>2234</v>
      </c>
      <c r="B2235" t="str">
        <f xml:space="preserve"> "600386"</f>
        <v>600386</v>
      </c>
      <c r="C2235" t="s">
        <v>7199</v>
      </c>
      <c r="D2235">
        <v>6.82</v>
      </c>
      <c r="E2235">
        <v>0.15</v>
      </c>
      <c r="F2235">
        <v>0.01</v>
      </c>
      <c r="G2235" t="s">
        <v>2023</v>
      </c>
      <c r="H2235">
        <v>80</v>
      </c>
      <c r="I2235">
        <v>6.81</v>
      </c>
      <c r="J2235">
        <v>6.82</v>
      </c>
      <c r="K2235">
        <v>0</v>
      </c>
      <c r="L2235">
        <v>0.57999999999999996</v>
      </c>
      <c r="M2235" t="s">
        <v>7200</v>
      </c>
      <c r="N2235">
        <v>60.69</v>
      </c>
      <c r="O2235" t="s">
        <v>274</v>
      </c>
      <c r="P2235">
        <v>6.83</v>
      </c>
      <c r="Q2235">
        <v>6.74</v>
      </c>
      <c r="R2235">
        <v>6.78</v>
      </c>
      <c r="S2235">
        <v>6.81</v>
      </c>
      <c r="T2235">
        <v>1.32</v>
      </c>
      <c r="U2235">
        <v>0.76</v>
      </c>
      <c r="V2235">
        <v>-31.76</v>
      </c>
      <c r="W2235">
        <v>-1478</v>
      </c>
      <c r="X2235">
        <v>6.79</v>
      </c>
      <c r="Y2235" t="s">
        <v>3931</v>
      </c>
      <c r="Z2235" t="s">
        <v>394</v>
      </c>
      <c r="AA2235">
        <v>1.06</v>
      </c>
      <c r="AB2235">
        <v>180</v>
      </c>
      <c r="AC2235">
        <v>771</v>
      </c>
      <c r="AD2235">
        <v>3.14</v>
      </c>
      <c r="AE2235" t="s">
        <v>3838</v>
      </c>
      <c r="AF2235" t="s">
        <v>5793</v>
      </c>
      <c r="AG2235" t="s">
        <v>3838</v>
      </c>
      <c r="AH2235" t="s">
        <v>5793</v>
      </c>
      <c r="AI2235">
        <v>-1.45</v>
      </c>
      <c r="AJ2235">
        <v>1.64</v>
      </c>
      <c r="AK2235">
        <v>2.21</v>
      </c>
      <c r="AL2235">
        <v>4.3899999999999997</v>
      </c>
    </row>
    <row r="2236" spans="1:38" x14ac:dyDescent="0.25">
      <c r="A2236">
        <v>2235</v>
      </c>
      <c r="B2236" t="str">
        <f xml:space="preserve"> "300696"</f>
        <v>300696</v>
      </c>
      <c r="C2236" t="s">
        <v>7201</v>
      </c>
      <c r="D2236">
        <v>79.75</v>
      </c>
      <c r="E2236">
        <v>0.95</v>
      </c>
      <c r="F2236">
        <v>0.75</v>
      </c>
      <c r="G2236" t="s">
        <v>3946</v>
      </c>
      <c r="H2236">
        <v>275</v>
      </c>
      <c r="I2236">
        <v>79.73</v>
      </c>
      <c r="J2236">
        <v>79.75</v>
      </c>
      <c r="K2236">
        <v>-0.1</v>
      </c>
      <c r="L2236">
        <v>9.75</v>
      </c>
      <c r="M2236" t="s">
        <v>2973</v>
      </c>
      <c r="N2236">
        <v>76.459999999999994</v>
      </c>
      <c r="O2236" t="s">
        <v>926</v>
      </c>
      <c r="P2236">
        <v>80.58</v>
      </c>
      <c r="Q2236">
        <v>78.209999999999994</v>
      </c>
      <c r="R2236">
        <v>78.66</v>
      </c>
      <c r="S2236">
        <v>79</v>
      </c>
      <c r="T2236">
        <v>3</v>
      </c>
      <c r="U2236">
        <v>0.73</v>
      </c>
      <c r="V2236">
        <v>-68.069999999999993</v>
      </c>
      <c r="W2236">
        <v>-226</v>
      </c>
      <c r="X2236">
        <v>79.53</v>
      </c>
      <c r="Y2236">
        <v>8248</v>
      </c>
      <c r="Z2236">
        <v>8572</v>
      </c>
      <c r="AA2236">
        <v>0.96</v>
      </c>
      <c r="AB2236">
        <v>1</v>
      </c>
      <c r="AC2236">
        <v>46</v>
      </c>
      <c r="AD2236">
        <v>8.33</v>
      </c>
      <c r="AE2236" t="s">
        <v>7202</v>
      </c>
      <c r="AF2236" t="s">
        <v>5793</v>
      </c>
      <c r="AG2236" t="s">
        <v>7203</v>
      </c>
      <c r="AH2236" t="s">
        <v>1047</v>
      </c>
      <c r="AI2236">
        <v>-1.04</v>
      </c>
      <c r="AJ2236">
        <v>-1.3</v>
      </c>
      <c r="AK2236">
        <v>36.659999999999997</v>
      </c>
      <c r="AL2236">
        <v>76.88</v>
      </c>
    </row>
    <row r="2237" spans="1:38" x14ac:dyDescent="0.25">
      <c r="A2237">
        <v>2236</v>
      </c>
      <c r="B2237" t="str">
        <f xml:space="preserve"> "000837"</f>
        <v>000837</v>
      </c>
      <c r="C2237" t="s">
        <v>7204</v>
      </c>
      <c r="D2237">
        <v>7.93</v>
      </c>
      <c r="E2237">
        <v>2.59</v>
      </c>
      <c r="F2237">
        <v>0.2</v>
      </c>
      <c r="G2237" t="s">
        <v>3469</v>
      </c>
      <c r="H2237" t="s">
        <v>4112</v>
      </c>
      <c r="I2237">
        <v>7.92</v>
      </c>
      <c r="J2237">
        <v>7.93</v>
      </c>
      <c r="K2237">
        <v>0.25</v>
      </c>
      <c r="L2237">
        <v>2.69</v>
      </c>
      <c r="M2237" t="s">
        <v>943</v>
      </c>
      <c r="N2237">
        <v>751.01</v>
      </c>
      <c r="O2237" t="s">
        <v>648</v>
      </c>
      <c r="P2237">
        <v>7.95</v>
      </c>
      <c r="Q2237">
        <v>7.6</v>
      </c>
      <c r="R2237">
        <v>7.73</v>
      </c>
      <c r="S2237">
        <v>7.73</v>
      </c>
      <c r="T2237">
        <v>4.53</v>
      </c>
      <c r="U2237">
        <v>2.39</v>
      </c>
      <c r="V2237">
        <v>11.95</v>
      </c>
      <c r="W2237">
        <v>1844</v>
      </c>
      <c r="X2237">
        <v>7.79</v>
      </c>
      <c r="Y2237" t="s">
        <v>5030</v>
      </c>
      <c r="Z2237" t="s">
        <v>7205</v>
      </c>
      <c r="AA2237">
        <v>0.72</v>
      </c>
      <c r="AB2237">
        <v>1310</v>
      </c>
      <c r="AC2237">
        <v>731</v>
      </c>
      <c r="AD2237">
        <v>1.95</v>
      </c>
      <c r="AE2237" t="s">
        <v>6186</v>
      </c>
      <c r="AF2237" t="s">
        <v>5793</v>
      </c>
      <c r="AG2237" t="s">
        <v>3782</v>
      </c>
      <c r="AH2237" t="s">
        <v>2412</v>
      </c>
      <c r="AI2237">
        <v>3.52</v>
      </c>
      <c r="AJ2237">
        <v>6.44</v>
      </c>
      <c r="AK2237">
        <v>5.88</v>
      </c>
      <c r="AL2237">
        <v>8.31</v>
      </c>
    </row>
    <row r="2238" spans="1:38" x14ac:dyDescent="0.25">
      <c r="A2238">
        <v>2237</v>
      </c>
      <c r="B2238" t="str">
        <f xml:space="preserve"> "002536"</f>
        <v>002536</v>
      </c>
      <c r="C2238" t="s">
        <v>7206</v>
      </c>
      <c r="D2238">
        <v>16.440000000000001</v>
      </c>
      <c r="E2238">
        <v>0</v>
      </c>
      <c r="F2238">
        <v>0</v>
      </c>
      <c r="G2238" t="s">
        <v>3696</v>
      </c>
      <c r="H2238">
        <v>452</v>
      </c>
      <c r="I2238">
        <v>16.440000000000001</v>
      </c>
      <c r="J2238">
        <v>16.45</v>
      </c>
      <c r="K2238">
        <v>0</v>
      </c>
      <c r="L2238">
        <v>0.66</v>
      </c>
      <c r="M2238" t="s">
        <v>7207</v>
      </c>
      <c r="N2238">
        <v>29</v>
      </c>
      <c r="O2238" t="s">
        <v>169</v>
      </c>
      <c r="P2238">
        <v>16.55</v>
      </c>
      <c r="Q2238">
        <v>16.3</v>
      </c>
      <c r="R2238">
        <v>16.309999999999999</v>
      </c>
      <c r="S2238">
        <v>16.440000000000001</v>
      </c>
      <c r="T2238">
        <v>1.52</v>
      </c>
      <c r="U2238">
        <v>0.38</v>
      </c>
      <c r="V2238">
        <v>-50.48</v>
      </c>
      <c r="W2238">
        <v>-669</v>
      </c>
      <c r="X2238">
        <v>16.43</v>
      </c>
      <c r="Y2238">
        <v>9116</v>
      </c>
      <c r="Z2238" t="s">
        <v>2241</v>
      </c>
      <c r="AA2238">
        <v>0.8</v>
      </c>
      <c r="AB2238">
        <v>157</v>
      </c>
      <c r="AC2238">
        <v>119</v>
      </c>
      <c r="AD2238">
        <v>2.89</v>
      </c>
      <c r="AE2238" t="s">
        <v>3522</v>
      </c>
      <c r="AF2238" t="s">
        <v>3539</v>
      </c>
      <c r="AG2238" t="s">
        <v>3440</v>
      </c>
      <c r="AH2238" t="s">
        <v>4539</v>
      </c>
      <c r="AI2238">
        <v>0.55000000000000004</v>
      </c>
      <c r="AJ2238">
        <v>7.03</v>
      </c>
      <c r="AK2238">
        <v>3.55</v>
      </c>
      <c r="AL2238">
        <v>9.4600000000000009</v>
      </c>
    </row>
    <row r="2239" spans="1:38" x14ac:dyDescent="0.25">
      <c r="A2239">
        <v>2238</v>
      </c>
      <c r="B2239" t="str">
        <f xml:space="preserve"> "300013"</f>
        <v>300013</v>
      </c>
      <c r="C2239" t="s">
        <v>7208</v>
      </c>
      <c r="D2239">
        <v>18.420000000000002</v>
      </c>
      <c r="E2239">
        <v>-1.76</v>
      </c>
      <c r="F2239">
        <v>-0.33</v>
      </c>
      <c r="G2239" t="s">
        <v>1547</v>
      </c>
      <c r="H2239">
        <v>816</v>
      </c>
      <c r="I2239">
        <v>18.41</v>
      </c>
      <c r="J2239">
        <v>18.420000000000002</v>
      </c>
      <c r="K2239">
        <v>-0.05</v>
      </c>
      <c r="L2239">
        <v>1.8</v>
      </c>
      <c r="M2239" t="s">
        <v>7209</v>
      </c>
      <c r="N2239">
        <v>78.790000000000006</v>
      </c>
      <c r="O2239" t="s">
        <v>274</v>
      </c>
      <c r="P2239">
        <v>18.850000000000001</v>
      </c>
      <c r="Q2239">
        <v>18.3</v>
      </c>
      <c r="R2239">
        <v>18.59</v>
      </c>
      <c r="S2239">
        <v>18.75</v>
      </c>
      <c r="T2239">
        <v>2.93</v>
      </c>
      <c r="U2239">
        <v>0.56999999999999995</v>
      </c>
      <c r="V2239">
        <v>-21.6</v>
      </c>
      <c r="W2239">
        <v>-184</v>
      </c>
      <c r="X2239">
        <v>18.559999999999999</v>
      </c>
      <c r="Y2239" t="s">
        <v>3695</v>
      </c>
      <c r="Z2239" t="s">
        <v>1113</v>
      </c>
      <c r="AA2239">
        <v>1.38</v>
      </c>
      <c r="AB2239">
        <v>40</v>
      </c>
      <c r="AC2239">
        <v>233</v>
      </c>
      <c r="AD2239">
        <v>4.05</v>
      </c>
      <c r="AE2239" t="s">
        <v>2173</v>
      </c>
      <c r="AF2239" t="s">
        <v>3539</v>
      </c>
      <c r="AG2239" t="s">
        <v>4011</v>
      </c>
      <c r="AH2239" t="s">
        <v>1100</v>
      </c>
      <c r="AI2239">
        <v>-2.02</v>
      </c>
      <c r="AJ2239">
        <v>6.17</v>
      </c>
      <c r="AK2239">
        <v>6.82</v>
      </c>
      <c r="AL2239">
        <v>17.46</v>
      </c>
    </row>
    <row r="2240" spans="1:38" x14ac:dyDescent="0.25">
      <c r="A2240">
        <v>2239</v>
      </c>
      <c r="B2240" t="str">
        <f xml:space="preserve"> "300177"</f>
        <v>300177</v>
      </c>
      <c r="C2240" t="s">
        <v>7210</v>
      </c>
      <c r="D2240">
        <v>12.26</v>
      </c>
      <c r="E2240">
        <v>-1.53</v>
      </c>
      <c r="F2240">
        <v>-0.19</v>
      </c>
      <c r="G2240" t="s">
        <v>5757</v>
      </c>
      <c r="H2240">
        <v>1611</v>
      </c>
      <c r="I2240">
        <v>12.26</v>
      </c>
      <c r="J2240">
        <v>12.27</v>
      </c>
      <c r="K2240">
        <v>0</v>
      </c>
      <c r="L2240">
        <v>1.79</v>
      </c>
      <c r="M2240" t="s">
        <v>7211</v>
      </c>
      <c r="N2240">
        <v>112.84</v>
      </c>
      <c r="O2240" t="s">
        <v>580</v>
      </c>
      <c r="P2240">
        <v>12.45</v>
      </c>
      <c r="Q2240">
        <v>12.2</v>
      </c>
      <c r="R2240">
        <v>12.43</v>
      </c>
      <c r="S2240">
        <v>12.45</v>
      </c>
      <c r="T2240">
        <v>2.0099999999999998</v>
      </c>
      <c r="U2240">
        <v>0.55000000000000004</v>
      </c>
      <c r="V2240">
        <v>18.62</v>
      </c>
      <c r="W2240">
        <v>509</v>
      </c>
      <c r="X2240">
        <v>12.29</v>
      </c>
      <c r="Y2240" t="s">
        <v>2808</v>
      </c>
      <c r="Z2240" t="s">
        <v>3042</v>
      </c>
      <c r="AA2240">
        <v>1.8</v>
      </c>
      <c r="AB2240">
        <v>174</v>
      </c>
      <c r="AC2240">
        <v>124</v>
      </c>
      <c r="AD2240">
        <v>3.4</v>
      </c>
      <c r="AE2240" t="s">
        <v>252</v>
      </c>
      <c r="AF2240" t="s">
        <v>3540</v>
      </c>
      <c r="AG2240" t="s">
        <v>7097</v>
      </c>
      <c r="AH2240" t="s">
        <v>3290</v>
      </c>
      <c r="AI2240">
        <v>-2.31</v>
      </c>
      <c r="AJ2240">
        <v>5.33</v>
      </c>
      <c r="AK2240">
        <v>10.17</v>
      </c>
      <c r="AL2240">
        <v>17.260000000000002</v>
      </c>
    </row>
    <row r="2241" spans="1:38" x14ac:dyDescent="0.25">
      <c r="A2241">
        <v>2240</v>
      </c>
      <c r="B2241" t="str">
        <f xml:space="preserve"> "002033"</f>
        <v>002033</v>
      </c>
      <c r="C2241" t="s">
        <v>7212</v>
      </c>
      <c r="D2241">
        <v>9.9499999999999993</v>
      </c>
      <c r="E2241">
        <v>0.4</v>
      </c>
      <c r="F2241">
        <v>0.04</v>
      </c>
      <c r="G2241" t="s">
        <v>2298</v>
      </c>
      <c r="H2241">
        <v>261</v>
      </c>
      <c r="I2241">
        <v>9.94</v>
      </c>
      <c r="J2241">
        <v>9.9499999999999993</v>
      </c>
      <c r="K2241">
        <v>0</v>
      </c>
      <c r="L2241">
        <v>0.56000000000000005</v>
      </c>
      <c r="M2241" t="s">
        <v>7213</v>
      </c>
      <c r="N2241">
        <v>27.36</v>
      </c>
      <c r="O2241" t="s">
        <v>951</v>
      </c>
      <c r="P2241">
        <v>9.9600000000000009</v>
      </c>
      <c r="Q2241">
        <v>9.9</v>
      </c>
      <c r="R2241">
        <v>9.93</v>
      </c>
      <c r="S2241">
        <v>9.91</v>
      </c>
      <c r="T2241">
        <v>0.61</v>
      </c>
      <c r="U2241">
        <v>0.62</v>
      </c>
      <c r="V2241">
        <v>0.87</v>
      </c>
      <c r="W2241">
        <v>46</v>
      </c>
      <c r="X2241">
        <v>9.93</v>
      </c>
      <c r="Y2241" t="s">
        <v>3251</v>
      </c>
      <c r="Z2241" t="s">
        <v>2991</v>
      </c>
      <c r="AA2241">
        <v>1.6</v>
      </c>
      <c r="AB2241">
        <v>106</v>
      </c>
      <c r="AC2241">
        <v>135</v>
      </c>
      <c r="AD2241">
        <v>2.46</v>
      </c>
      <c r="AE2241" t="s">
        <v>1809</v>
      </c>
      <c r="AF2241" t="s">
        <v>5359</v>
      </c>
      <c r="AG2241" t="s">
        <v>1809</v>
      </c>
      <c r="AH2241" t="s">
        <v>5359</v>
      </c>
      <c r="AI2241">
        <v>-0.4</v>
      </c>
      <c r="AJ2241">
        <v>-1.49</v>
      </c>
      <c r="AK2241">
        <v>1.9</v>
      </c>
      <c r="AL2241">
        <v>5.07</v>
      </c>
    </row>
    <row r="2242" spans="1:38" x14ac:dyDescent="0.25">
      <c r="A2242">
        <v>2241</v>
      </c>
      <c r="B2242" t="str">
        <f xml:space="preserve"> "002169"</f>
        <v>002169</v>
      </c>
      <c r="C2242" t="s">
        <v>7214</v>
      </c>
      <c r="D2242">
        <v>6.93</v>
      </c>
      <c r="E2242">
        <v>-0.14000000000000001</v>
      </c>
      <c r="F2242">
        <v>-0.01</v>
      </c>
      <c r="G2242" t="s">
        <v>2541</v>
      </c>
      <c r="H2242">
        <v>361</v>
      </c>
      <c r="I2242">
        <v>6.93</v>
      </c>
      <c r="J2242">
        <v>6.94</v>
      </c>
      <c r="K2242">
        <v>0</v>
      </c>
      <c r="L2242">
        <v>1.07</v>
      </c>
      <c r="M2242" t="s">
        <v>2990</v>
      </c>
      <c r="N2242">
        <v>40.65</v>
      </c>
      <c r="O2242" t="s">
        <v>680</v>
      </c>
      <c r="P2242">
        <v>6.95</v>
      </c>
      <c r="Q2242">
        <v>6.84</v>
      </c>
      <c r="R2242">
        <v>6.9</v>
      </c>
      <c r="S2242">
        <v>6.94</v>
      </c>
      <c r="T2242">
        <v>1.59</v>
      </c>
      <c r="U2242">
        <v>1.37</v>
      </c>
      <c r="V2242">
        <v>-18.62</v>
      </c>
      <c r="W2242">
        <v>-578</v>
      </c>
      <c r="X2242">
        <v>6.89</v>
      </c>
      <c r="Y2242" t="s">
        <v>6551</v>
      </c>
      <c r="Z2242" t="s">
        <v>1705</v>
      </c>
      <c r="AA2242">
        <v>1.6</v>
      </c>
      <c r="AB2242">
        <v>274</v>
      </c>
      <c r="AC2242">
        <v>676</v>
      </c>
      <c r="AD2242">
        <v>2.0099999999999998</v>
      </c>
      <c r="AE2242" t="s">
        <v>5251</v>
      </c>
      <c r="AF2242" t="s">
        <v>5648</v>
      </c>
      <c r="AG2242" t="s">
        <v>5481</v>
      </c>
      <c r="AH2242" t="s">
        <v>4633</v>
      </c>
      <c r="AI2242">
        <v>-1.98</v>
      </c>
      <c r="AJ2242">
        <v>3.43</v>
      </c>
      <c r="AK2242">
        <v>2.39</v>
      </c>
      <c r="AL2242">
        <v>4.97</v>
      </c>
    </row>
    <row r="2243" spans="1:38" x14ac:dyDescent="0.25">
      <c r="A2243">
        <v>2242</v>
      </c>
      <c r="B2243" t="str">
        <f xml:space="preserve"> "603978"</f>
        <v>603978</v>
      </c>
      <c r="C2243" t="s">
        <v>7215</v>
      </c>
      <c r="D2243">
        <v>68.209999999999994</v>
      </c>
      <c r="E2243">
        <v>-0.45</v>
      </c>
      <c r="F2243">
        <v>-0.31</v>
      </c>
      <c r="G2243" t="s">
        <v>316</v>
      </c>
      <c r="H2243">
        <v>21</v>
      </c>
      <c r="I2243">
        <v>68.19</v>
      </c>
      <c r="J2243">
        <v>68.2</v>
      </c>
      <c r="K2243">
        <v>-0.04</v>
      </c>
      <c r="L2243">
        <v>5.84</v>
      </c>
      <c r="M2243" t="s">
        <v>7216</v>
      </c>
      <c r="N2243">
        <v>55.01</v>
      </c>
      <c r="O2243" t="s">
        <v>449</v>
      </c>
      <c r="P2243">
        <v>69.88</v>
      </c>
      <c r="Q2243">
        <v>67.7</v>
      </c>
      <c r="R2243">
        <v>68.48</v>
      </c>
      <c r="S2243">
        <v>68.52</v>
      </c>
      <c r="T2243">
        <v>3.18</v>
      </c>
      <c r="U2243">
        <v>0.5</v>
      </c>
      <c r="V2243">
        <v>9.09</v>
      </c>
      <c r="W2243">
        <v>13</v>
      </c>
      <c r="X2243">
        <v>68.540000000000006</v>
      </c>
      <c r="Y2243">
        <v>6602</v>
      </c>
      <c r="Z2243">
        <v>5072</v>
      </c>
      <c r="AA2243">
        <v>1.3</v>
      </c>
      <c r="AB2243">
        <v>1</v>
      </c>
      <c r="AC2243">
        <v>1</v>
      </c>
      <c r="AD2243">
        <v>4.32</v>
      </c>
      <c r="AE2243" t="s">
        <v>5802</v>
      </c>
      <c r="AF2243" t="s">
        <v>5648</v>
      </c>
      <c r="AG2243" t="s">
        <v>5562</v>
      </c>
      <c r="AH2243" t="s">
        <v>1434</v>
      </c>
      <c r="AI2243">
        <v>-4.8499999999999996</v>
      </c>
      <c r="AJ2243">
        <v>3.92</v>
      </c>
      <c r="AK2243">
        <v>22.92</v>
      </c>
      <c r="AL2243">
        <v>63.82</v>
      </c>
    </row>
    <row r="2244" spans="1:38" x14ac:dyDescent="0.25">
      <c r="A2244">
        <v>2243</v>
      </c>
      <c r="B2244" t="str">
        <f xml:space="preserve"> "600461"</f>
        <v>600461</v>
      </c>
      <c r="C2244" t="s">
        <v>7217</v>
      </c>
      <c r="D2244">
        <v>6.91</v>
      </c>
      <c r="E2244">
        <v>2.83</v>
      </c>
      <c r="F2244">
        <v>0.19</v>
      </c>
      <c r="G2244" t="s">
        <v>1242</v>
      </c>
      <c r="H2244">
        <v>1</v>
      </c>
      <c r="I2244">
        <v>6.9</v>
      </c>
      <c r="J2244">
        <v>6.91</v>
      </c>
      <c r="K2244">
        <v>0</v>
      </c>
      <c r="L2244">
        <v>1.95</v>
      </c>
      <c r="M2244" t="s">
        <v>7218</v>
      </c>
      <c r="N2244">
        <v>21.85</v>
      </c>
      <c r="O2244" t="s">
        <v>2085</v>
      </c>
      <c r="P2244">
        <v>6.94</v>
      </c>
      <c r="Q2244">
        <v>6.71</v>
      </c>
      <c r="R2244">
        <v>6.74</v>
      </c>
      <c r="S2244">
        <v>6.72</v>
      </c>
      <c r="T2244">
        <v>3.42</v>
      </c>
      <c r="U2244">
        <v>2.3199999999999998</v>
      </c>
      <c r="V2244">
        <v>-67.59</v>
      </c>
      <c r="W2244">
        <v>-5732</v>
      </c>
      <c r="X2244">
        <v>6.84</v>
      </c>
      <c r="Y2244" t="s">
        <v>650</v>
      </c>
      <c r="Z2244" t="s">
        <v>226</v>
      </c>
      <c r="AA2244">
        <v>0.61</v>
      </c>
      <c r="AB2244">
        <v>311</v>
      </c>
      <c r="AC2244">
        <v>122</v>
      </c>
      <c r="AD2244">
        <v>1.78</v>
      </c>
      <c r="AE2244" t="s">
        <v>3429</v>
      </c>
      <c r="AF2244" t="s">
        <v>5648</v>
      </c>
      <c r="AG2244" t="s">
        <v>5521</v>
      </c>
      <c r="AH2244" t="s">
        <v>2633</v>
      </c>
      <c r="AI2244">
        <v>1.92</v>
      </c>
      <c r="AJ2244">
        <v>2.98</v>
      </c>
      <c r="AK2244">
        <v>3.51</v>
      </c>
      <c r="AL2244">
        <v>6.14</v>
      </c>
    </row>
    <row r="2245" spans="1:38" x14ac:dyDescent="0.25">
      <c r="A2245">
        <v>2244</v>
      </c>
      <c r="B2245" t="str">
        <f xml:space="preserve"> "000422"</f>
        <v>000422</v>
      </c>
      <c r="C2245" t="s">
        <v>7219</v>
      </c>
      <c r="D2245">
        <v>6.07</v>
      </c>
      <c r="E2245">
        <v>0.33</v>
      </c>
      <c r="F2245">
        <v>0.02</v>
      </c>
      <c r="G2245" t="s">
        <v>727</v>
      </c>
      <c r="H2245">
        <v>1850</v>
      </c>
      <c r="I2245">
        <v>6.07</v>
      </c>
      <c r="J2245">
        <v>6.08</v>
      </c>
      <c r="K2245">
        <v>0</v>
      </c>
      <c r="L2245">
        <v>1.1000000000000001</v>
      </c>
      <c r="M2245" t="s">
        <v>7220</v>
      </c>
      <c r="N2245">
        <v>32.99</v>
      </c>
      <c r="O2245" t="s">
        <v>1936</v>
      </c>
      <c r="P2245">
        <v>6.1</v>
      </c>
      <c r="Q2245">
        <v>6.02</v>
      </c>
      <c r="R2245">
        <v>6.05</v>
      </c>
      <c r="S2245">
        <v>6.05</v>
      </c>
      <c r="T2245">
        <v>1.32</v>
      </c>
      <c r="U2245">
        <v>0.79</v>
      </c>
      <c r="V2245">
        <v>-17.95</v>
      </c>
      <c r="W2245">
        <v>-3326</v>
      </c>
      <c r="X2245">
        <v>6.06</v>
      </c>
      <c r="Y2245" t="s">
        <v>1230</v>
      </c>
      <c r="Z2245" t="s">
        <v>3171</v>
      </c>
      <c r="AA2245">
        <v>1.02</v>
      </c>
      <c r="AB2245">
        <v>867</v>
      </c>
      <c r="AC2245">
        <v>877</v>
      </c>
      <c r="AD2245">
        <v>1.1200000000000001</v>
      </c>
      <c r="AE2245" t="s">
        <v>5027</v>
      </c>
      <c r="AF2245" t="s">
        <v>7221</v>
      </c>
      <c r="AG2245" t="s">
        <v>5027</v>
      </c>
      <c r="AH2245" t="s">
        <v>7221</v>
      </c>
      <c r="AI2245">
        <v>-0.33</v>
      </c>
      <c r="AJ2245">
        <v>2.71</v>
      </c>
      <c r="AK2245">
        <v>3.89</v>
      </c>
      <c r="AL2245">
        <v>8.1</v>
      </c>
    </row>
    <row r="2246" spans="1:38" x14ac:dyDescent="0.25">
      <c r="A2246">
        <v>2245</v>
      </c>
      <c r="B2246" t="str">
        <f xml:space="preserve"> "000037"</f>
        <v>000037</v>
      </c>
      <c r="C2246" t="s">
        <v>7222</v>
      </c>
      <c r="D2246">
        <v>9.0399999999999991</v>
      </c>
      <c r="E2246">
        <v>0</v>
      </c>
      <c r="F2246">
        <v>0</v>
      </c>
      <c r="G2246" t="s">
        <v>1869</v>
      </c>
      <c r="H2246">
        <v>217</v>
      </c>
      <c r="I2246">
        <v>9.0399999999999991</v>
      </c>
      <c r="J2246">
        <v>9.0500000000000007</v>
      </c>
      <c r="K2246">
        <v>0</v>
      </c>
      <c r="L2246">
        <v>0.34</v>
      </c>
      <c r="M2246" t="s">
        <v>7223</v>
      </c>
      <c r="N2246">
        <v>-120.4</v>
      </c>
      <c r="O2246" t="s">
        <v>186</v>
      </c>
      <c r="P2246">
        <v>9.1</v>
      </c>
      <c r="Q2246">
        <v>8.9600000000000009</v>
      </c>
      <c r="R2246">
        <v>9.0299999999999994</v>
      </c>
      <c r="S2246">
        <v>9.0399999999999991</v>
      </c>
      <c r="T2246">
        <v>1.55</v>
      </c>
      <c r="U2246">
        <v>0.53</v>
      </c>
      <c r="V2246">
        <v>-20.45</v>
      </c>
      <c r="W2246">
        <v>-1068</v>
      </c>
      <c r="X2246">
        <v>9.02</v>
      </c>
      <c r="Y2246">
        <v>5696</v>
      </c>
      <c r="Z2246">
        <v>5681</v>
      </c>
      <c r="AA2246">
        <v>1</v>
      </c>
      <c r="AB2246">
        <v>317</v>
      </c>
      <c r="AC2246">
        <v>584</v>
      </c>
      <c r="AD2246">
        <v>2.84</v>
      </c>
      <c r="AE2246" t="s">
        <v>1951</v>
      </c>
      <c r="AF2246" t="s">
        <v>7221</v>
      </c>
      <c r="AG2246" t="s">
        <v>935</v>
      </c>
      <c r="AH2246" t="s">
        <v>2108</v>
      </c>
      <c r="AI2246">
        <v>0.22</v>
      </c>
      <c r="AJ2246">
        <v>3.79</v>
      </c>
      <c r="AK2246">
        <v>1.41</v>
      </c>
      <c r="AL2246">
        <v>3.48</v>
      </c>
    </row>
    <row r="2247" spans="1:38" x14ac:dyDescent="0.25">
      <c r="A2247">
        <v>2246</v>
      </c>
      <c r="B2247" t="str">
        <f xml:space="preserve"> "300117"</f>
        <v>300117</v>
      </c>
      <c r="C2247" t="s">
        <v>7224</v>
      </c>
      <c r="D2247">
        <v>7.6</v>
      </c>
      <c r="E2247">
        <v>0.4</v>
      </c>
      <c r="F2247">
        <v>0.03</v>
      </c>
      <c r="G2247" t="s">
        <v>873</v>
      </c>
      <c r="H2247">
        <v>1851</v>
      </c>
      <c r="I2247">
        <v>7.59</v>
      </c>
      <c r="J2247">
        <v>7.6</v>
      </c>
      <c r="K2247">
        <v>0</v>
      </c>
      <c r="L2247">
        <v>1.7</v>
      </c>
      <c r="M2247" t="s">
        <v>7225</v>
      </c>
      <c r="N2247">
        <v>132.13999999999999</v>
      </c>
      <c r="O2247" t="s">
        <v>562</v>
      </c>
      <c r="P2247">
        <v>7.69</v>
      </c>
      <c r="Q2247">
        <v>7.46</v>
      </c>
      <c r="R2247">
        <v>7.58</v>
      </c>
      <c r="S2247">
        <v>7.57</v>
      </c>
      <c r="T2247">
        <v>3.04</v>
      </c>
      <c r="U2247">
        <v>1.03</v>
      </c>
      <c r="V2247">
        <v>28.77</v>
      </c>
      <c r="W2247">
        <v>1354</v>
      </c>
      <c r="X2247">
        <v>7.57</v>
      </c>
      <c r="Y2247" t="s">
        <v>1187</v>
      </c>
      <c r="Z2247" t="s">
        <v>2401</v>
      </c>
      <c r="AA2247">
        <v>0.91</v>
      </c>
      <c r="AB2247">
        <v>823</v>
      </c>
      <c r="AC2247">
        <v>30</v>
      </c>
      <c r="AD2247">
        <v>3.83</v>
      </c>
      <c r="AE2247" t="s">
        <v>3478</v>
      </c>
      <c r="AF2247" t="s">
        <v>7221</v>
      </c>
      <c r="AG2247" t="s">
        <v>4052</v>
      </c>
      <c r="AH2247" t="s">
        <v>5920</v>
      </c>
      <c r="AI2247">
        <v>-2.44</v>
      </c>
      <c r="AJ2247">
        <v>-0.39</v>
      </c>
      <c r="AK2247">
        <v>4.22</v>
      </c>
      <c r="AL2247">
        <v>9.94</v>
      </c>
    </row>
    <row r="2248" spans="1:38" x14ac:dyDescent="0.25">
      <c r="A2248">
        <v>2247</v>
      </c>
      <c r="B2248" t="str">
        <f xml:space="preserve"> "600425"</f>
        <v>600425</v>
      </c>
      <c r="C2248" t="s">
        <v>7226</v>
      </c>
      <c r="D2248">
        <v>3.95</v>
      </c>
      <c r="E2248">
        <v>1.28</v>
      </c>
      <c r="F2248">
        <v>0.05</v>
      </c>
      <c r="G2248" t="s">
        <v>2743</v>
      </c>
      <c r="H2248">
        <v>11</v>
      </c>
      <c r="I2248">
        <v>3.95</v>
      </c>
      <c r="J2248">
        <v>3.96</v>
      </c>
      <c r="K2248">
        <v>0</v>
      </c>
      <c r="L2248">
        <v>0.95</v>
      </c>
      <c r="M2248" t="s">
        <v>7227</v>
      </c>
      <c r="N2248">
        <v>-22.16</v>
      </c>
      <c r="O2248" t="s">
        <v>562</v>
      </c>
      <c r="P2248">
        <v>3.97</v>
      </c>
      <c r="Q2248">
        <v>3.88</v>
      </c>
      <c r="R2248">
        <v>3.9</v>
      </c>
      <c r="S2248">
        <v>3.9</v>
      </c>
      <c r="T2248">
        <v>2.31</v>
      </c>
      <c r="U2248">
        <v>0.93</v>
      </c>
      <c r="V2248">
        <v>-74.150000000000006</v>
      </c>
      <c r="W2248" t="s">
        <v>7228</v>
      </c>
      <c r="X2248">
        <v>3.94</v>
      </c>
      <c r="Y2248" t="s">
        <v>4032</v>
      </c>
      <c r="Z2248" t="s">
        <v>2178</v>
      </c>
      <c r="AA2248">
        <v>0.56999999999999995</v>
      </c>
      <c r="AB2248">
        <v>837</v>
      </c>
      <c r="AC2248">
        <v>3577</v>
      </c>
      <c r="AD2248">
        <v>1.41</v>
      </c>
      <c r="AE2248" t="s">
        <v>1047</v>
      </c>
      <c r="AF2248" t="s">
        <v>7221</v>
      </c>
      <c r="AG2248" t="s">
        <v>1047</v>
      </c>
      <c r="AH2248" t="s">
        <v>7221</v>
      </c>
      <c r="AI2248">
        <v>1.8</v>
      </c>
      <c r="AJ2248">
        <v>4.5</v>
      </c>
      <c r="AK2248">
        <v>3.25</v>
      </c>
      <c r="AL2248">
        <v>6.12</v>
      </c>
    </row>
    <row r="2249" spans="1:38" x14ac:dyDescent="0.25">
      <c r="A2249">
        <v>2248</v>
      </c>
      <c r="B2249" t="str">
        <f xml:space="preserve"> "300322"</f>
        <v>300322</v>
      </c>
      <c r="C2249" t="s">
        <v>7229</v>
      </c>
      <c r="D2249">
        <v>13.36</v>
      </c>
      <c r="E2249">
        <v>-1.26</v>
      </c>
      <c r="F2249">
        <v>-0.17</v>
      </c>
      <c r="G2249" t="s">
        <v>1242</v>
      </c>
      <c r="H2249">
        <v>1488</v>
      </c>
      <c r="I2249">
        <v>13.35</v>
      </c>
      <c r="J2249">
        <v>13.36</v>
      </c>
      <c r="K2249">
        <v>0.3</v>
      </c>
      <c r="L2249">
        <v>3.13</v>
      </c>
      <c r="M2249" t="s">
        <v>621</v>
      </c>
      <c r="N2249">
        <v>344.89</v>
      </c>
      <c r="O2249" t="s">
        <v>580</v>
      </c>
      <c r="P2249">
        <v>13.47</v>
      </c>
      <c r="Q2249">
        <v>13.13</v>
      </c>
      <c r="R2249">
        <v>13.29</v>
      </c>
      <c r="S2249">
        <v>13.53</v>
      </c>
      <c r="T2249">
        <v>2.5099999999999998</v>
      </c>
      <c r="U2249">
        <v>0.51</v>
      </c>
      <c r="V2249">
        <v>42.86</v>
      </c>
      <c r="W2249">
        <v>1497</v>
      </c>
      <c r="X2249">
        <v>13.31</v>
      </c>
      <c r="Y2249" t="s">
        <v>1005</v>
      </c>
      <c r="Z2249" t="s">
        <v>2702</v>
      </c>
      <c r="AA2249">
        <v>1.36</v>
      </c>
      <c r="AB2249">
        <v>76</v>
      </c>
      <c r="AC2249">
        <v>340</v>
      </c>
      <c r="AD2249">
        <v>9.31</v>
      </c>
      <c r="AE2249" t="s">
        <v>2912</v>
      </c>
      <c r="AF2249" t="s">
        <v>463</v>
      </c>
      <c r="AG2249" t="s">
        <v>4785</v>
      </c>
      <c r="AH2249" t="s">
        <v>722</v>
      </c>
      <c r="AI2249">
        <v>-4.2300000000000004</v>
      </c>
      <c r="AJ2249">
        <v>9.33</v>
      </c>
      <c r="AK2249">
        <v>10.87</v>
      </c>
      <c r="AL2249">
        <v>33.57</v>
      </c>
    </row>
    <row r="2250" spans="1:38" x14ac:dyDescent="0.25">
      <c r="A2250">
        <v>2249</v>
      </c>
      <c r="B2250" t="str">
        <f xml:space="preserve"> "603066"</f>
        <v>603066</v>
      </c>
      <c r="C2250" t="s">
        <v>7230</v>
      </c>
      <c r="D2250">
        <v>17.989999999999998</v>
      </c>
      <c r="E2250">
        <v>-4.3099999999999996</v>
      </c>
      <c r="F2250">
        <v>-0.81</v>
      </c>
      <c r="G2250" t="s">
        <v>53</v>
      </c>
      <c r="H2250">
        <v>783</v>
      </c>
      <c r="I2250">
        <v>17.96</v>
      </c>
      <c r="J2250">
        <v>17.989999999999998</v>
      </c>
      <c r="K2250">
        <v>0.06</v>
      </c>
      <c r="L2250">
        <v>24.92</v>
      </c>
      <c r="M2250" t="s">
        <v>4640</v>
      </c>
      <c r="N2250">
        <v>63.68</v>
      </c>
      <c r="O2250" t="s">
        <v>274</v>
      </c>
      <c r="P2250">
        <v>19.3</v>
      </c>
      <c r="Q2250">
        <v>17.690000000000001</v>
      </c>
      <c r="R2250">
        <v>19.3</v>
      </c>
      <c r="S2250">
        <v>18.8</v>
      </c>
      <c r="T2250">
        <v>8.56</v>
      </c>
      <c r="U2250">
        <v>1.4</v>
      </c>
      <c r="V2250">
        <v>-10.44</v>
      </c>
      <c r="W2250">
        <v>-250</v>
      </c>
      <c r="X2250">
        <v>18.37</v>
      </c>
      <c r="Y2250" t="s">
        <v>2955</v>
      </c>
      <c r="Z2250" t="s">
        <v>280</v>
      </c>
      <c r="AA2250">
        <v>1.24</v>
      </c>
      <c r="AB2250">
        <v>78</v>
      </c>
      <c r="AC2250">
        <v>652</v>
      </c>
      <c r="AD2250">
        <v>6.57</v>
      </c>
      <c r="AE2250" t="s">
        <v>1857</v>
      </c>
      <c r="AF2250" t="s">
        <v>463</v>
      </c>
      <c r="AG2250" t="s">
        <v>746</v>
      </c>
      <c r="AH2250" t="s">
        <v>3293</v>
      </c>
      <c r="AI2250">
        <v>10.23</v>
      </c>
      <c r="AJ2250">
        <v>23.73</v>
      </c>
      <c r="AK2250">
        <v>85.81</v>
      </c>
      <c r="AL2250">
        <v>114.06</v>
      </c>
    </row>
    <row r="2251" spans="1:38" x14ac:dyDescent="0.25">
      <c r="A2251">
        <v>2250</v>
      </c>
      <c r="B2251" t="str">
        <f xml:space="preserve"> "300545"</f>
        <v>300545</v>
      </c>
      <c r="C2251" t="s">
        <v>7231</v>
      </c>
      <c r="D2251">
        <v>75.39</v>
      </c>
      <c r="E2251">
        <v>0.13</v>
      </c>
      <c r="F2251">
        <v>0.1</v>
      </c>
      <c r="G2251" t="s">
        <v>1153</v>
      </c>
      <c r="H2251">
        <v>130</v>
      </c>
      <c r="I2251">
        <v>75.39</v>
      </c>
      <c r="J2251">
        <v>75.400000000000006</v>
      </c>
      <c r="K2251">
        <v>0.05</v>
      </c>
      <c r="L2251">
        <v>6.03</v>
      </c>
      <c r="M2251" t="s">
        <v>1635</v>
      </c>
      <c r="N2251">
        <v>103</v>
      </c>
      <c r="O2251" t="s">
        <v>380</v>
      </c>
      <c r="P2251">
        <v>77.400000000000006</v>
      </c>
      <c r="Q2251">
        <v>73.56</v>
      </c>
      <c r="R2251">
        <v>75.319999999999993</v>
      </c>
      <c r="S2251">
        <v>75.290000000000006</v>
      </c>
      <c r="T2251">
        <v>5.0999999999999996</v>
      </c>
      <c r="U2251">
        <v>0.88</v>
      </c>
      <c r="V2251">
        <v>12.59</v>
      </c>
      <c r="W2251">
        <v>17</v>
      </c>
      <c r="X2251">
        <v>75.69</v>
      </c>
      <c r="Y2251">
        <v>6511</v>
      </c>
      <c r="Z2251">
        <v>7462</v>
      </c>
      <c r="AA2251">
        <v>0.87</v>
      </c>
      <c r="AB2251">
        <v>14</v>
      </c>
      <c r="AC2251">
        <v>13</v>
      </c>
      <c r="AD2251">
        <v>10.78</v>
      </c>
      <c r="AE2251" t="s">
        <v>7232</v>
      </c>
      <c r="AF2251" t="s">
        <v>5920</v>
      </c>
      <c r="AG2251" t="s">
        <v>7103</v>
      </c>
      <c r="AH2251" t="s">
        <v>2314</v>
      </c>
      <c r="AI2251">
        <v>7.16</v>
      </c>
      <c r="AJ2251">
        <v>16.09</v>
      </c>
      <c r="AK2251">
        <v>22.65</v>
      </c>
      <c r="AL2251">
        <v>40.32</v>
      </c>
    </row>
    <row r="2252" spans="1:38" x14ac:dyDescent="0.25">
      <c r="A2252">
        <v>2251</v>
      </c>
      <c r="B2252" t="str">
        <f xml:space="preserve"> "000919"</f>
        <v>000919</v>
      </c>
      <c r="C2252" t="s">
        <v>7233</v>
      </c>
      <c r="D2252">
        <v>10.75</v>
      </c>
      <c r="E2252">
        <v>0.19</v>
      </c>
      <c r="F2252">
        <v>0.02</v>
      </c>
      <c r="G2252" t="s">
        <v>6106</v>
      </c>
      <c r="H2252">
        <v>1098</v>
      </c>
      <c r="I2252">
        <v>10.74</v>
      </c>
      <c r="J2252">
        <v>10.75</v>
      </c>
      <c r="K2252">
        <v>0</v>
      </c>
      <c r="L2252">
        <v>1.2</v>
      </c>
      <c r="M2252" t="s">
        <v>7234</v>
      </c>
      <c r="N2252">
        <v>26.93</v>
      </c>
      <c r="O2252" t="s">
        <v>392</v>
      </c>
      <c r="P2252">
        <v>10.83</v>
      </c>
      <c r="Q2252">
        <v>10.66</v>
      </c>
      <c r="R2252">
        <v>10.72</v>
      </c>
      <c r="S2252">
        <v>10.73</v>
      </c>
      <c r="T2252">
        <v>1.58</v>
      </c>
      <c r="U2252">
        <v>0.68</v>
      </c>
      <c r="V2252">
        <v>24.1</v>
      </c>
      <c r="W2252">
        <v>719</v>
      </c>
      <c r="X2252">
        <v>10.76</v>
      </c>
      <c r="Y2252" t="s">
        <v>2116</v>
      </c>
      <c r="Z2252" t="s">
        <v>1374</v>
      </c>
      <c r="AA2252">
        <v>1.31</v>
      </c>
      <c r="AB2252">
        <v>300</v>
      </c>
      <c r="AC2252">
        <v>266</v>
      </c>
      <c r="AD2252">
        <v>2.2000000000000002</v>
      </c>
      <c r="AE2252" t="s">
        <v>2028</v>
      </c>
      <c r="AF2252" t="s">
        <v>3801</v>
      </c>
      <c r="AG2252" t="s">
        <v>1613</v>
      </c>
      <c r="AH2252" t="s">
        <v>5969</v>
      </c>
      <c r="AI2252">
        <v>-1.38</v>
      </c>
      <c r="AJ2252">
        <v>3.27</v>
      </c>
      <c r="AK2252">
        <v>5.03</v>
      </c>
      <c r="AL2252">
        <v>10</v>
      </c>
    </row>
    <row r="2253" spans="1:38" x14ac:dyDescent="0.25">
      <c r="A2253">
        <v>2252</v>
      </c>
      <c r="B2253" t="str">
        <f xml:space="preserve"> "600225"</f>
        <v>600225</v>
      </c>
      <c r="C2253" t="s">
        <v>7235</v>
      </c>
      <c r="D2253">
        <v>5.79</v>
      </c>
      <c r="E2253">
        <v>0</v>
      </c>
      <c r="F2253">
        <v>0</v>
      </c>
      <c r="G2253" t="s">
        <v>3086</v>
      </c>
      <c r="H2253">
        <v>50</v>
      </c>
      <c r="I2253">
        <v>5.79</v>
      </c>
      <c r="J2253">
        <v>5.8</v>
      </c>
      <c r="K2253">
        <v>0.17</v>
      </c>
      <c r="L2253">
        <v>0.32</v>
      </c>
      <c r="M2253" t="s">
        <v>7236</v>
      </c>
      <c r="N2253">
        <v>6.05</v>
      </c>
      <c r="O2253" t="s">
        <v>244</v>
      </c>
      <c r="P2253">
        <v>5.8</v>
      </c>
      <c r="Q2253">
        <v>5.76</v>
      </c>
      <c r="R2253">
        <v>5.77</v>
      </c>
      <c r="S2253">
        <v>5.79</v>
      </c>
      <c r="T2253">
        <v>0.69</v>
      </c>
      <c r="U2253">
        <v>0.61</v>
      </c>
      <c r="V2253">
        <v>-47.8</v>
      </c>
      <c r="W2253">
        <v>-8257</v>
      </c>
      <c r="X2253">
        <v>5.78</v>
      </c>
      <c r="Y2253" t="s">
        <v>3946</v>
      </c>
      <c r="Z2253" t="s">
        <v>5181</v>
      </c>
      <c r="AA2253">
        <v>1.58</v>
      </c>
      <c r="AB2253">
        <v>441</v>
      </c>
      <c r="AC2253">
        <v>3267</v>
      </c>
      <c r="AD2253">
        <v>2.89</v>
      </c>
      <c r="AE2253" t="s">
        <v>3132</v>
      </c>
      <c r="AF2253" t="s">
        <v>3801</v>
      </c>
      <c r="AG2253" t="s">
        <v>6529</v>
      </c>
      <c r="AH2253" t="s">
        <v>6603</v>
      </c>
      <c r="AI2253">
        <v>0</v>
      </c>
      <c r="AJ2253">
        <v>1.76</v>
      </c>
      <c r="AK2253">
        <v>1.29</v>
      </c>
      <c r="AL2253">
        <v>2.97</v>
      </c>
    </row>
    <row r="2254" spans="1:38" x14ac:dyDescent="0.25">
      <c r="A2254">
        <v>2253</v>
      </c>
      <c r="B2254" t="str">
        <f xml:space="preserve"> "603667"</f>
        <v>603667</v>
      </c>
      <c r="C2254" t="s">
        <v>7237</v>
      </c>
      <c r="D2254">
        <v>26.76</v>
      </c>
      <c r="E2254">
        <v>-0.45</v>
      </c>
      <c r="F2254">
        <v>-0.12</v>
      </c>
      <c r="G2254" t="s">
        <v>2616</v>
      </c>
      <c r="H2254">
        <v>3</v>
      </c>
      <c r="I2254">
        <v>26.75</v>
      </c>
      <c r="J2254">
        <v>26.76</v>
      </c>
      <c r="K2254">
        <v>-0.11</v>
      </c>
      <c r="L2254">
        <v>2.58</v>
      </c>
      <c r="M2254" t="s">
        <v>7238</v>
      </c>
      <c r="N2254">
        <v>50.3</v>
      </c>
      <c r="O2254" t="s">
        <v>648</v>
      </c>
      <c r="P2254">
        <v>27.15</v>
      </c>
      <c r="Q2254">
        <v>26.37</v>
      </c>
      <c r="R2254">
        <v>26.9</v>
      </c>
      <c r="S2254">
        <v>26.88</v>
      </c>
      <c r="T2254">
        <v>2.9</v>
      </c>
      <c r="U2254">
        <v>0.82</v>
      </c>
      <c r="V2254">
        <v>25.71</v>
      </c>
      <c r="W2254">
        <v>90</v>
      </c>
      <c r="X2254">
        <v>26.69</v>
      </c>
      <c r="Y2254">
        <v>8227</v>
      </c>
      <c r="Z2254">
        <v>4847</v>
      </c>
      <c r="AA2254">
        <v>1.7</v>
      </c>
      <c r="AB2254">
        <v>97</v>
      </c>
      <c r="AC2254">
        <v>3</v>
      </c>
      <c r="AD2254">
        <v>4.6500000000000004</v>
      </c>
      <c r="AE2254" t="s">
        <v>1404</v>
      </c>
      <c r="AF2254" t="s">
        <v>3801</v>
      </c>
      <c r="AG2254" t="s">
        <v>7239</v>
      </c>
      <c r="AH2254" t="s">
        <v>1587</v>
      </c>
      <c r="AI2254">
        <v>3.84</v>
      </c>
      <c r="AJ2254">
        <v>2.76</v>
      </c>
      <c r="AK2254">
        <v>11.63</v>
      </c>
      <c r="AL2254">
        <v>18.29</v>
      </c>
    </row>
    <row r="2255" spans="1:38" x14ac:dyDescent="0.25">
      <c r="A2255">
        <v>2254</v>
      </c>
      <c r="B2255" t="str">
        <f xml:space="preserve"> "300443"</f>
        <v>300443</v>
      </c>
      <c r="C2255" t="s">
        <v>7240</v>
      </c>
      <c r="D2255">
        <v>22.72</v>
      </c>
      <c r="E2255">
        <v>-0.92</v>
      </c>
      <c r="F2255">
        <v>-0.21</v>
      </c>
      <c r="G2255" t="s">
        <v>1381</v>
      </c>
      <c r="H2255">
        <v>405</v>
      </c>
      <c r="I2255">
        <v>22.71</v>
      </c>
      <c r="J2255">
        <v>22.72</v>
      </c>
      <c r="K2255">
        <v>0</v>
      </c>
      <c r="L2255">
        <v>1.58</v>
      </c>
      <c r="M2255" t="s">
        <v>7241</v>
      </c>
      <c r="N2255">
        <v>27.81</v>
      </c>
      <c r="O2255" t="s">
        <v>648</v>
      </c>
      <c r="P2255">
        <v>22.84</v>
      </c>
      <c r="Q2255">
        <v>22.52</v>
      </c>
      <c r="R2255">
        <v>22.7</v>
      </c>
      <c r="S2255">
        <v>22.93</v>
      </c>
      <c r="T2255">
        <v>1.4</v>
      </c>
      <c r="U2255">
        <v>1.17</v>
      </c>
      <c r="V2255">
        <v>6.01</v>
      </c>
      <c r="W2255">
        <v>39</v>
      </c>
      <c r="X2255">
        <v>22.67</v>
      </c>
      <c r="Y2255" t="s">
        <v>1411</v>
      </c>
      <c r="Z2255">
        <v>9163</v>
      </c>
      <c r="AA2255">
        <v>1.2</v>
      </c>
      <c r="AB2255">
        <v>105</v>
      </c>
      <c r="AC2255">
        <v>37</v>
      </c>
      <c r="AD2255">
        <v>3.45</v>
      </c>
      <c r="AE2255" t="s">
        <v>1197</v>
      </c>
      <c r="AF2255" t="s">
        <v>5969</v>
      </c>
      <c r="AG2255" t="s">
        <v>2239</v>
      </c>
      <c r="AH2255" t="s">
        <v>93</v>
      </c>
      <c r="AI2255">
        <v>-1.52</v>
      </c>
      <c r="AJ2255">
        <v>2.81</v>
      </c>
      <c r="AK2255">
        <v>4.68</v>
      </c>
      <c r="AL2255">
        <v>8.33</v>
      </c>
    </row>
    <row r="2256" spans="1:38" x14ac:dyDescent="0.25">
      <c r="A2256">
        <v>2255</v>
      </c>
      <c r="B2256" t="str">
        <f xml:space="preserve"> "300303"</f>
        <v>300303</v>
      </c>
      <c r="C2256" t="s">
        <v>7242</v>
      </c>
      <c r="D2256">
        <v>4.32</v>
      </c>
      <c r="E2256">
        <v>2.13</v>
      </c>
      <c r="F2256">
        <v>0.09</v>
      </c>
      <c r="G2256" t="s">
        <v>3625</v>
      </c>
      <c r="H2256">
        <v>2684</v>
      </c>
      <c r="I2256">
        <v>4.3099999999999996</v>
      </c>
      <c r="J2256">
        <v>4.32</v>
      </c>
      <c r="K2256">
        <v>-0.23</v>
      </c>
      <c r="L2256">
        <v>2.33</v>
      </c>
      <c r="M2256" t="s">
        <v>2179</v>
      </c>
      <c r="N2256">
        <v>37.56</v>
      </c>
      <c r="O2256" t="s">
        <v>380</v>
      </c>
      <c r="P2256">
        <v>4.41</v>
      </c>
      <c r="Q2256">
        <v>4.2</v>
      </c>
      <c r="R2256">
        <v>4.2300000000000004</v>
      </c>
      <c r="S2256">
        <v>4.2300000000000004</v>
      </c>
      <c r="T2256">
        <v>4.96</v>
      </c>
      <c r="U2256">
        <v>2.4</v>
      </c>
      <c r="V2256">
        <v>4.97</v>
      </c>
      <c r="W2256">
        <v>2193</v>
      </c>
      <c r="X2256">
        <v>4.33</v>
      </c>
      <c r="Y2256" t="s">
        <v>1814</v>
      </c>
      <c r="Z2256" t="s">
        <v>1771</v>
      </c>
      <c r="AA2256">
        <v>0.75</v>
      </c>
      <c r="AB2256">
        <v>1699</v>
      </c>
      <c r="AC2256">
        <v>4938</v>
      </c>
      <c r="AD2256">
        <v>2.96</v>
      </c>
      <c r="AE2256" t="s">
        <v>2674</v>
      </c>
      <c r="AF2256" t="s">
        <v>5969</v>
      </c>
      <c r="AG2256" t="s">
        <v>1766</v>
      </c>
      <c r="AH2256" t="s">
        <v>716</v>
      </c>
      <c r="AI2256">
        <v>0.47</v>
      </c>
      <c r="AJ2256">
        <v>4.3499999999999996</v>
      </c>
      <c r="AK2256">
        <v>4.63</v>
      </c>
      <c r="AL2256">
        <v>7.17</v>
      </c>
    </row>
    <row r="2257" spans="1:38" x14ac:dyDescent="0.25">
      <c r="A2257">
        <v>2256</v>
      </c>
      <c r="B2257" t="str">
        <f xml:space="preserve"> "002746"</f>
        <v>002746</v>
      </c>
      <c r="C2257" t="s">
        <v>7243</v>
      </c>
      <c r="D2257">
        <v>29.7</v>
      </c>
      <c r="E2257">
        <v>-0.34</v>
      </c>
      <c r="F2257">
        <v>-0.1</v>
      </c>
      <c r="G2257">
        <v>8990</v>
      </c>
      <c r="H2257">
        <v>260</v>
      </c>
      <c r="I2257">
        <v>29.7</v>
      </c>
      <c r="J2257">
        <v>29.72</v>
      </c>
      <c r="K2257">
        <v>-0.1</v>
      </c>
      <c r="L2257">
        <v>1.1000000000000001</v>
      </c>
      <c r="M2257" t="s">
        <v>7244</v>
      </c>
      <c r="N2257">
        <v>72.88</v>
      </c>
      <c r="O2257" t="s">
        <v>622</v>
      </c>
      <c r="P2257">
        <v>29.9</v>
      </c>
      <c r="Q2257">
        <v>29.6</v>
      </c>
      <c r="R2257">
        <v>29.75</v>
      </c>
      <c r="S2257">
        <v>29.8</v>
      </c>
      <c r="T2257">
        <v>1.01</v>
      </c>
      <c r="U2257">
        <v>0.62</v>
      </c>
      <c r="V2257">
        <v>2.54</v>
      </c>
      <c r="W2257">
        <v>21</v>
      </c>
      <c r="X2257">
        <v>29.72</v>
      </c>
      <c r="Y2257">
        <v>4944</v>
      </c>
      <c r="Z2257">
        <v>4047</v>
      </c>
      <c r="AA2257">
        <v>1.22</v>
      </c>
      <c r="AB2257">
        <v>275</v>
      </c>
      <c r="AC2257">
        <v>84</v>
      </c>
      <c r="AD2257">
        <v>2.63</v>
      </c>
      <c r="AE2257" t="s">
        <v>2637</v>
      </c>
      <c r="AF2257" t="s">
        <v>7245</v>
      </c>
      <c r="AG2257" t="s">
        <v>7246</v>
      </c>
      <c r="AH2257" t="s">
        <v>1700</v>
      </c>
      <c r="AI2257">
        <v>-1</v>
      </c>
      <c r="AJ2257">
        <v>3.3</v>
      </c>
      <c r="AK2257">
        <v>5.71</v>
      </c>
      <c r="AL2257">
        <v>10.01</v>
      </c>
    </row>
    <row r="2258" spans="1:38" x14ac:dyDescent="0.25">
      <c r="A2258">
        <v>2257</v>
      </c>
      <c r="B2258" t="str">
        <f xml:space="preserve"> "000782"</f>
        <v>000782</v>
      </c>
      <c r="C2258" t="s">
        <v>7247</v>
      </c>
      <c r="D2258">
        <v>10.220000000000001</v>
      </c>
      <c r="E2258">
        <v>-0.87</v>
      </c>
      <c r="F2258">
        <v>-0.09</v>
      </c>
      <c r="G2258" t="s">
        <v>3168</v>
      </c>
      <c r="H2258">
        <v>544</v>
      </c>
      <c r="I2258">
        <v>10.220000000000001</v>
      </c>
      <c r="J2258">
        <v>10.23</v>
      </c>
      <c r="K2258">
        <v>0.1</v>
      </c>
      <c r="L2258">
        <v>1.33</v>
      </c>
      <c r="M2258" t="s">
        <v>7248</v>
      </c>
      <c r="N2258">
        <v>266.76</v>
      </c>
      <c r="O2258" t="s">
        <v>1798</v>
      </c>
      <c r="P2258">
        <v>10.39</v>
      </c>
      <c r="Q2258">
        <v>10.18</v>
      </c>
      <c r="R2258">
        <v>10.31</v>
      </c>
      <c r="S2258">
        <v>10.31</v>
      </c>
      <c r="T2258">
        <v>2.04</v>
      </c>
      <c r="U2258">
        <v>0.87</v>
      </c>
      <c r="V2258">
        <v>52.2</v>
      </c>
      <c r="W2258">
        <v>1277</v>
      </c>
      <c r="X2258">
        <v>10.25</v>
      </c>
      <c r="Y2258" t="s">
        <v>1476</v>
      </c>
      <c r="Z2258" t="s">
        <v>4303</v>
      </c>
      <c r="AA2258">
        <v>1.54</v>
      </c>
      <c r="AB2258">
        <v>220</v>
      </c>
      <c r="AC2258">
        <v>117</v>
      </c>
      <c r="AD2258">
        <v>4.6500000000000004</v>
      </c>
      <c r="AE2258" t="s">
        <v>2438</v>
      </c>
      <c r="AF2258" t="s">
        <v>7245</v>
      </c>
      <c r="AG2258" t="s">
        <v>5819</v>
      </c>
      <c r="AH2258" t="s">
        <v>3830</v>
      </c>
      <c r="AI2258">
        <v>1.69</v>
      </c>
      <c r="AJ2258">
        <v>3.13</v>
      </c>
      <c r="AK2258">
        <v>5.25</v>
      </c>
      <c r="AL2258">
        <v>8.91</v>
      </c>
    </row>
    <row r="2259" spans="1:38" x14ac:dyDescent="0.25">
      <c r="A2259">
        <v>2258</v>
      </c>
      <c r="B2259" t="str">
        <f xml:space="preserve"> "000020"</f>
        <v>000020</v>
      </c>
      <c r="C2259" t="s">
        <v>7249</v>
      </c>
      <c r="D2259">
        <v>19.059999999999999</v>
      </c>
      <c r="E2259">
        <v>-0.42</v>
      </c>
      <c r="F2259">
        <v>-0.08</v>
      </c>
      <c r="G2259" t="s">
        <v>2518</v>
      </c>
      <c r="H2259">
        <v>26</v>
      </c>
      <c r="I2259">
        <v>19.059999999999999</v>
      </c>
      <c r="J2259">
        <v>19.09</v>
      </c>
      <c r="K2259">
        <v>-0.16</v>
      </c>
      <c r="L2259">
        <v>0.74</v>
      </c>
      <c r="M2259" t="s">
        <v>6977</v>
      </c>
      <c r="N2259">
        <v>1257.19</v>
      </c>
      <c r="O2259" t="s">
        <v>380</v>
      </c>
      <c r="P2259">
        <v>19.21</v>
      </c>
      <c r="Q2259">
        <v>18.98</v>
      </c>
      <c r="R2259">
        <v>19.190000000000001</v>
      </c>
      <c r="S2259">
        <v>19.14</v>
      </c>
      <c r="T2259">
        <v>1.2</v>
      </c>
      <c r="U2259">
        <v>1.1100000000000001</v>
      </c>
      <c r="V2259">
        <v>-20.67</v>
      </c>
      <c r="W2259">
        <v>-273</v>
      </c>
      <c r="X2259">
        <v>19.03</v>
      </c>
      <c r="Y2259" t="s">
        <v>2800</v>
      </c>
      <c r="Z2259">
        <v>2939</v>
      </c>
      <c r="AA2259">
        <v>3.57</v>
      </c>
      <c r="AB2259">
        <v>102</v>
      </c>
      <c r="AC2259">
        <v>410</v>
      </c>
      <c r="AD2259">
        <v>16.77</v>
      </c>
      <c r="AE2259" t="s">
        <v>4344</v>
      </c>
      <c r="AF2259" t="s">
        <v>7245</v>
      </c>
      <c r="AG2259" t="s">
        <v>2715</v>
      </c>
      <c r="AH2259" t="s">
        <v>1855</v>
      </c>
      <c r="AI2259">
        <v>-0.68</v>
      </c>
      <c r="AJ2259">
        <v>2.97</v>
      </c>
      <c r="AK2259">
        <v>2.21</v>
      </c>
      <c r="AL2259">
        <v>4.08</v>
      </c>
    </row>
    <row r="2260" spans="1:38" x14ac:dyDescent="0.25">
      <c r="A2260">
        <v>2259</v>
      </c>
      <c r="B2260" t="str">
        <f xml:space="preserve"> "300677"</f>
        <v>300677</v>
      </c>
      <c r="C2260" t="s">
        <v>7250</v>
      </c>
      <c r="D2260">
        <v>55.47</v>
      </c>
      <c r="E2260">
        <v>9.99</v>
      </c>
      <c r="F2260">
        <v>5.04</v>
      </c>
      <c r="G2260" t="s">
        <v>3221</v>
      </c>
      <c r="H2260">
        <v>169</v>
      </c>
      <c r="I2260">
        <v>55.47</v>
      </c>
      <c r="J2260" t="s">
        <v>616</v>
      </c>
      <c r="K2260">
        <v>0</v>
      </c>
      <c r="L2260">
        <v>16.57</v>
      </c>
      <c r="M2260" t="s">
        <v>2907</v>
      </c>
      <c r="N2260">
        <v>44.21</v>
      </c>
      <c r="O2260" t="s">
        <v>1552</v>
      </c>
      <c r="P2260">
        <v>55.47</v>
      </c>
      <c r="Q2260">
        <v>53.8</v>
      </c>
      <c r="R2260">
        <v>54.58</v>
      </c>
      <c r="S2260">
        <v>50.43</v>
      </c>
      <c r="T2260">
        <v>3.31</v>
      </c>
      <c r="U2260">
        <v>0.63</v>
      </c>
      <c r="V2260">
        <v>100</v>
      </c>
      <c r="W2260" t="s">
        <v>5764</v>
      </c>
      <c r="X2260">
        <v>55.07</v>
      </c>
      <c r="Y2260" t="s">
        <v>2696</v>
      </c>
      <c r="Z2260" t="s">
        <v>2365</v>
      </c>
      <c r="AA2260">
        <v>1.69</v>
      </c>
      <c r="AB2260" t="s">
        <v>5764</v>
      </c>
      <c r="AC2260">
        <v>0</v>
      </c>
      <c r="AD2260">
        <v>5.39</v>
      </c>
      <c r="AE2260" t="s">
        <v>7251</v>
      </c>
      <c r="AF2260" t="s">
        <v>5370</v>
      </c>
      <c r="AG2260" t="s">
        <v>7252</v>
      </c>
      <c r="AH2260" t="s">
        <v>1587</v>
      </c>
      <c r="AI2260">
        <v>14.96</v>
      </c>
      <c r="AJ2260">
        <v>25.27</v>
      </c>
      <c r="AK2260">
        <v>99.03</v>
      </c>
      <c r="AL2260">
        <v>148.06</v>
      </c>
    </row>
    <row r="2261" spans="1:38" x14ac:dyDescent="0.25">
      <c r="A2261">
        <v>2260</v>
      </c>
      <c r="B2261" t="str">
        <f xml:space="preserve"> "600721"</f>
        <v>600721</v>
      </c>
      <c r="C2261" t="s">
        <v>7253</v>
      </c>
      <c r="D2261">
        <v>13.46</v>
      </c>
      <c r="E2261">
        <v>-0.37</v>
      </c>
      <c r="F2261">
        <v>-0.05</v>
      </c>
      <c r="G2261">
        <v>9178</v>
      </c>
      <c r="H2261">
        <v>2</v>
      </c>
      <c r="I2261">
        <v>13.46</v>
      </c>
      <c r="J2261">
        <v>13.47</v>
      </c>
      <c r="K2261">
        <v>-7.0000000000000007E-2</v>
      </c>
      <c r="L2261">
        <v>0.37</v>
      </c>
      <c r="M2261" t="s">
        <v>7254</v>
      </c>
      <c r="N2261">
        <v>61.1</v>
      </c>
      <c r="O2261" t="s">
        <v>1552</v>
      </c>
      <c r="P2261">
        <v>13.58</v>
      </c>
      <c r="Q2261">
        <v>13.45</v>
      </c>
      <c r="R2261">
        <v>13.52</v>
      </c>
      <c r="S2261">
        <v>13.51</v>
      </c>
      <c r="T2261">
        <v>0.96</v>
      </c>
      <c r="U2261">
        <v>0.37</v>
      </c>
      <c r="V2261">
        <v>-3.01</v>
      </c>
      <c r="W2261">
        <v>-16</v>
      </c>
      <c r="X2261">
        <v>13.49</v>
      </c>
      <c r="Y2261">
        <v>5970</v>
      </c>
      <c r="Z2261">
        <v>3208</v>
      </c>
      <c r="AA2261">
        <v>1.86</v>
      </c>
      <c r="AB2261">
        <v>15</v>
      </c>
      <c r="AC2261">
        <v>20</v>
      </c>
      <c r="AD2261">
        <v>2.31</v>
      </c>
      <c r="AE2261" t="s">
        <v>1000</v>
      </c>
      <c r="AF2261" t="s">
        <v>5370</v>
      </c>
      <c r="AG2261" t="s">
        <v>5466</v>
      </c>
      <c r="AH2261" t="s">
        <v>6804</v>
      </c>
      <c r="AI2261">
        <v>-1.68</v>
      </c>
      <c r="AJ2261">
        <v>6.32</v>
      </c>
      <c r="AK2261">
        <v>2.54</v>
      </c>
      <c r="AL2261">
        <v>5.39</v>
      </c>
    </row>
    <row r="2262" spans="1:38" x14ac:dyDescent="0.25">
      <c r="A2262">
        <v>2261</v>
      </c>
      <c r="B2262" t="str">
        <f xml:space="preserve"> "002072"</f>
        <v>002072</v>
      </c>
      <c r="C2262" t="s">
        <v>7255</v>
      </c>
      <c r="D2262">
        <v>30.61</v>
      </c>
      <c r="E2262">
        <v>-0.28999999999999998</v>
      </c>
      <c r="F2262">
        <v>-0.09</v>
      </c>
      <c r="G2262" t="s">
        <v>3190</v>
      </c>
      <c r="H2262">
        <v>10</v>
      </c>
      <c r="I2262">
        <v>30.58</v>
      </c>
      <c r="J2262">
        <v>30.61</v>
      </c>
      <c r="K2262">
        <v>-0.42</v>
      </c>
      <c r="L2262">
        <v>1.71</v>
      </c>
      <c r="M2262" t="s">
        <v>7256</v>
      </c>
      <c r="N2262">
        <v>986.34</v>
      </c>
      <c r="O2262" t="s">
        <v>893</v>
      </c>
      <c r="P2262">
        <v>30.88</v>
      </c>
      <c r="Q2262">
        <v>30.5</v>
      </c>
      <c r="R2262">
        <v>30.7</v>
      </c>
      <c r="S2262">
        <v>30.7</v>
      </c>
      <c r="T2262">
        <v>1.24</v>
      </c>
      <c r="U2262">
        <v>0.95</v>
      </c>
      <c r="V2262">
        <v>-6.7</v>
      </c>
      <c r="W2262">
        <v>-28</v>
      </c>
      <c r="X2262">
        <v>30.74</v>
      </c>
      <c r="Y2262">
        <v>9639</v>
      </c>
      <c r="Z2262" t="s">
        <v>4118</v>
      </c>
      <c r="AA2262">
        <v>0.47</v>
      </c>
      <c r="AB2262">
        <v>1</v>
      </c>
      <c r="AC2262">
        <v>31</v>
      </c>
      <c r="AD2262">
        <v>54.64</v>
      </c>
      <c r="AE2262" t="s">
        <v>2861</v>
      </c>
      <c r="AF2262" t="s">
        <v>5370</v>
      </c>
      <c r="AG2262" t="s">
        <v>2861</v>
      </c>
      <c r="AH2262" t="s">
        <v>5370</v>
      </c>
      <c r="AI2262">
        <v>1.26</v>
      </c>
      <c r="AJ2262">
        <v>-2.2000000000000002</v>
      </c>
      <c r="AK2262">
        <v>5.09</v>
      </c>
      <c r="AL2262">
        <v>10.71</v>
      </c>
    </row>
    <row r="2263" spans="1:38" x14ac:dyDescent="0.25">
      <c r="A2263">
        <v>2262</v>
      </c>
      <c r="B2263" t="str">
        <f xml:space="preserve"> "002786"</f>
        <v>002786</v>
      </c>
      <c r="C2263" t="s">
        <v>7257</v>
      </c>
      <c r="D2263">
        <v>14.12</v>
      </c>
      <c r="E2263">
        <v>0.21</v>
      </c>
      <c r="F2263">
        <v>0.03</v>
      </c>
      <c r="G2263" t="s">
        <v>2451</v>
      </c>
      <c r="H2263">
        <v>573</v>
      </c>
      <c r="I2263">
        <v>14.12</v>
      </c>
      <c r="J2263">
        <v>14.13</v>
      </c>
      <c r="K2263">
        <v>0</v>
      </c>
      <c r="L2263">
        <v>2.15</v>
      </c>
      <c r="M2263" t="s">
        <v>7258</v>
      </c>
      <c r="N2263">
        <v>88.77</v>
      </c>
      <c r="O2263" t="s">
        <v>648</v>
      </c>
      <c r="P2263">
        <v>14.27</v>
      </c>
      <c r="Q2263">
        <v>13.92</v>
      </c>
      <c r="R2263">
        <v>13.97</v>
      </c>
      <c r="S2263">
        <v>14.09</v>
      </c>
      <c r="T2263">
        <v>2.48</v>
      </c>
      <c r="U2263">
        <v>0.71</v>
      </c>
      <c r="V2263">
        <v>-43.52</v>
      </c>
      <c r="W2263">
        <v>-700</v>
      </c>
      <c r="X2263">
        <v>14.09</v>
      </c>
      <c r="Y2263" t="s">
        <v>2551</v>
      </c>
      <c r="Z2263" t="s">
        <v>2558</v>
      </c>
      <c r="AA2263">
        <v>0.87</v>
      </c>
      <c r="AB2263">
        <v>38</v>
      </c>
      <c r="AC2263">
        <v>319</v>
      </c>
      <c r="AD2263">
        <v>5.03</v>
      </c>
      <c r="AE2263" t="s">
        <v>552</v>
      </c>
      <c r="AF2263" t="s">
        <v>6420</v>
      </c>
      <c r="AG2263" t="s">
        <v>746</v>
      </c>
      <c r="AH2263" t="s">
        <v>931</v>
      </c>
      <c r="AI2263">
        <v>1.44</v>
      </c>
      <c r="AJ2263">
        <v>4.9000000000000004</v>
      </c>
      <c r="AK2263">
        <v>10.29</v>
      </c>
      <c r="AL2263">
        <v>17.32</v>
      </c>
    </row>
    <row r="2264" spans="1:38" x14ac:dyDescent="0.25">
      <c r="A2264">
        <v>2263</v>
      </c>
      <c r="B2264" t="str">
        <f xml:space="preserve"> "600106"</f>
        <v>600106</v>
      </c>
      <c r="C2264" t="s">
        <v>7259</v>
      </c>
      <c r="D2264">
        <v>5.39</v>
      </c>
      <c r="E2264">
        <v>0.19</v>
      </c>
      <c r="F2264">
        <v>0.01</v>
      </c>
      <c r="G2264" t="s">
        <v>2962</v>
      </c>
      <c r="H2264">
        <v>37</v>
      </c>
      <c r="I2264">
        <v>5.38</v>
      </c>
      <c r="J2264">
        <v>5.39</v>
      </c>
      <c r="K2264">
        <v>0</v>
      </c>
      <c r="L2264">
        <v>0.49</v>
      </c>
      <c r="M2264" t="s">
        <v>7260</v>
      </c>
      <c r="N2264">
        <v>15.31</v>
      </c>
      <c r="O2264" t="s">
        <v>1348</v>
      </c>
      <c r="P2264">
        <v>5.4</v>
      </c>
      <c r="Q2264">
        <v>5.35</v>
      </c>
      <c r="R2264">
        <v>5.37</v>
      </c>
      <c r="S2264">
        <v>5.38</v>
      </c>
      <c r="T2264">
        <v>0.93</v>
      </c>
      <c r="U2264">
        <v>0.73</v>
      </c>
      <c r="V2264">
        <v>-23.72</v>
      </c>
      <c r="W2264">
        <v>-3661</v>
      </c>
      <c r="X2264">
        <v>5.38</v>
      </c>
      <c r="Y2264" t="s">
        <v>3896</v>
      </c>
      <c r="Z2264" t="s">
        <v>121</v>
      </c>
      <c r="AA2264">
        <v>0.75</v>
      </c>
      <c r="AB2264">
        <v>876</v>
      </c>
      <c r="AC2264">
        <v>808</v>
      </c>
      <c r="AD2264">
        <v>1.53</v>
      </c>
      <c r="AE2264" t="s">
        <v>4421</v>
      </c>
      <c r="AF2264" t="s">
        <v>6420</v>
      </c>
      <c r="AG2264" t="s">
        <v>4421</v>
      </c>
      <c r="AH2264" t="s">
        <v>6420</v>
      </c>
      <c r="AI2264">
        <v>0.75</v>
      </c>
      <c r="AJ2264">
        <v>3.45</v>
      </c>
      <c r="AK2264">
        <v>2.0299999999999998</v>
      </c>
      <c r="AL2264">
        <v>3.84</v>
      </c>
    </row>
    <row r="2265" spans="1:38" x14ac:dyDescent="0.25">
      <c r="A2265">
        <v>2264</v>
      </c>
      <c r="B2265" t="str">
        <f xml:space="preserve"> "603585"</f>
        <v>603585</v>
      </c>
      <c r="C2265" t="s">
        <v>7261</v>
      </c>
      <c r="D2265">
        <v>35.880000000000003</v>
      </c>
      <c r="E2265">
        <v>1.85</v>
      </c>
      <c r="F2265">
        <v>0.65</v>
      </c>
      <c r="G2265">
        <v>9655</v>
      </c>
      <c r="H2265">
        <v>25</v>
      </c>
      <c r="I2265">
        <v>35.86</v>
      </c>
      <c r="J2265">
        <v>35.93</v>
      </c>
      <c r="K2265">
        <v>-0.17</v>
      </c>
      <c r="L2265">
        <v>2.57</v>
      </c>
      <c r="M2265" t="s">
        <v>7262</v>
      </c>
      <c r="N2265">
        <v>23.74</v>
      </c>
      <c r="O2265" t="s">
        <v>667</v>
      </c>
      <c r="P2265">
        <v>35.99</v>
      </c>
      <c r="Q2265">
        <v>35.11</v>
      </c>
      <c r="R2265">
        <v>35.380000000000003</v>
      </c>
      <c r="S2265">
        <v>35.229999999999997</v>
      </c>
      <c r="T2265">
        <v>2.5</v>
      </c>
      <c r="U2265">
        <v>1.24</v>
      </c>
      <c r="V2265">
        <v>-33.15</v>
      </c>
      <c r="W2265">
        <v>-189</v>
      </c>
      <c r="X2265">
        <v>35.65</v>
      </c>
      <c r="Y2265">
        <v>4202</v>
      </c>
      <c r="Z2265">
        <v>5454</v>
      </c>
      <c r="AA2265">
        <v>0.77</v>
      </c>
      <c r="AB2265">
        <v>16</v>
      </c>
      <c r="AC2265">
        <v>25</v>
      </c>
      <c r="AD2265">
        <v>3.84</v>
      </c>
      <c r="AE2265" t="s">
        <v>598</v>
      </c>
      <c r="AF2265" t="s">
        <v>6420</v>
      </c>
      <c r="AG2265" t="s">
        <v>7263</v>
      </c>
      <c r="AH2265" t="s">
        <v>1587</v>
      </c>
      <c r="AI2265">
        <v>-0.47</v>
      </c>
      <c r="AJ2265">
        <v>3.7</v>
      </c>
      <c r="AK2265">
        <v>6.95</v>
      </c>
      <c r="AL2265">
        <v>12.97</v>
      </c>
    </row>
    <row r="2266" spans="1:38" x14ac:dyDescent="0.25">
      <c r="A2266">
        <v>2265</v>
      </c>
      <c r="B2266" t="str">
        <f xml:space="preserve"> "600130"</f>
        <v>600130</v>
      </c>
      <c r="C2266" t="s">
        <v>7264</v>
      </c>
      <c r="D2266">
        <v>7</v>
      </c>
      <c r="E2266">
        <v>-0.99</v>
      </c>
      <c r="F2266">
        <v>-7.0000000000000007E-2</v>
      </c>
      <c r="G2266" t="s">
        <v>513</v>
      </c>
      <c r="H2266">
        <v>221</v>
      </c>
      <c r="I2266">
        <v>6.99</v>
      </c>
      <c r="J2266">
        <v>7</v>
      </c>
      <c r="K2266">
        <v>-0.14000000000000001</v>
      </c>
      <c r="L2266">
        <v>2.83</v>
      </c>
      <c r="M2266" t="s">
        <v>4271</v>
      </c>
      <c r="N2266">
        <v>-92.19</v>
      </c>
      <c r="O2266" t="s">
        <v>580</v>
      </c>
      <c r="P2266">
        <v>7.11</v>
      </c>
      <c r="Q2266">
        <v>7</v>
      </c>
      <c r="R2266">
        <v>7.09</v>
      </c>
      <c r="S2266">
        <v>7.07</v>
      </c>
      <c r="T2266">
        <v>1.56</v>
      </c>
      <c r="U2266">
        <v>0.81</v>
      </c>
      <c r="V2266">
        <v>20.84</v>
      </c>
      <c r="W2266">
        <v>1466</v>
      </c>
      <c r="X2266">
        <v>7.04</v>
      </c>
      <c r="Y2266" t="s">
        <v>767</v>
      </c>
      <c r="Z2266" t="s">
        <v>3557</v>
      </c>
      <c r="AA2266">
        <v>1.27</v>
      </c>
      <c r="AB2266">
        <v>1042</v>
      </c>
      <c r="AC2266">
        <v>195</v>
      </c>
      <c r="AD2266">
        <v>5.56</v>
      </c>
      <c r="AE2266" t="s">
        <v>3939</v>
      </c>
      <c r="AF2266" t="s">
        <v>6420</v>
      </c>
      <c r="AG2266" t="s">
        <v>3939</v>
      </c>
      <c r="AH2266" t="s">
        <v>6420</v>
      </c>
      <c r="AI2266">
        <v>1.01</v>
      </c>
      <c r="AJ2266">
        <v>4.95</v>
      </c>
      <c r="AK2266">
        <v>11.03</v>
      </c>
      <c r="AL2266">
        <v>20.22</v>
      </c>
    </row>
    <row r="2267" spans="1:38" x14ac:dyDescent="0.25">
      <c r="A2267">
        <v>2266</v>
      </c>
      <c r="B2267" t="str">
        <f xml:space="preserve"> "300094"</f>
        <v>300094</v>
      </c>
      <c r="C2267" t="s">
        <v>7265</v>
      </c>
      <c r="D2267">
        <v>6.85</v>
      </c>
      <c r="E2267">
        <v>0.15</v>
      </c>
      <c r="F2267">
        <v>0.01</v>
      </c>
      <c r="G2267" t="s">
        <v>2189</v>
      </c>
      <c r="H2267">
        <v>206</v>
      </c>
      <c r="I2267">
        <v>6.85</v>
      </c>
      <c r="J2267">
        <v>6.86</v>
      </c>
      <c r="K2267">
        <v>0</v>
      </c>
      <c r="L2267">
        <v>0.48</v>
      </c>
      <c r="M2267" t="s">
        <v>7266</v>
      </c>
      <c r="N2267">
        <v>37.89</v>
      </c>
      <c r="O2267" t="s">
        <v>622</v>
      </c>
      <c r="P2267">
        <v>6.88</v>
      </c>
      <c r="Q2267">
        <v>6.8</v>
      </c>
      <c r="R2267">
        <v>6.84</v>
      </c>
      <c r="S2267">
        <v>6.84</v>
      </c>
      <c r="T2267">
        <v>1.17</v>
      </c>
      <c r="U2267">
        <v>0.74</v>
      </c>
      <c r="V2267">
        <v>-7.58</v>
      </c>
      <c r="W2267">
        <v>-372</v>
      </c>
      <c r="X2267">
        <v>6.84</v>
      </c>
      <c r="Y2267" t="s">
        <v>1504</v>
      </c>
      <c r="Z2267" t="s">
        <v>3130</v>
      </c>
      <c r="AA2267">
        <v>1.1100000000000001</v>
      </c>
      <c r="AB2267">
        <v>200</v>
      </c>
      <c r="AC2267">
        <v>163</v>
      </c>
      <c r="AD2267">
        <v>2.88</v>
      </c>
      <c r="AE2267" t="s">
        <v>5448</v>
      </c>
      <c r="AF2267" t="s">
        <v>4563</v>
      </c>
      <c r="AG2267" t="s">
        <v>6809</v>
      </c>
      <c r="AH2267" t="s">
        <v>1344</v>
      </c>
      <c r="AI2267">
        <v>-0.57999999999999996</v>
      </c>
      <c r="AJ2267">
        <v>2.54</v>
      </c>
      <c r="AK2267">
        <v>1.87</v>
      </c>
      <c r="AL2267">
        <v>3.7</v>
      </c>
    </row>
    <row r="2268" spans="1:38" x14ac:dyDescent="0.25">
      <c r="A2268">
        <v>2267</v>
      </c>
      <c r="B2268" t="str">
        <f xml:space="preserve"> "603636"</f>
        <v>603636</v>
      </c>
      <c r="C2268" t="s">
        <v>7267</v>
      </c>
      <c r="D2268">
        <v>13.18</v>
      </c>
      <c r="E2268">
        <v>0.15</v>
      </c>
      <c r="F2268">
        <v>0.02</v>
      </c>
      <c r="G2268" t="s">
        <v>1356</v>
      </c>
      <c r="H2268">
        <v>4</v>
      </c>
      <c r="I2268">
        <v>13.18</v>
      </c>
      <c r="J2268">
        <v>13.19</v>
      </c>
      <c r="K2268">
        <v>0.08</v>
      </c>
      <c r="L2268">
        <v>3.07</v>
      </c>
      <c r="M2268" t="s">
        <v>7268</v>
      </c>
      <c r="N2268">
        <v>310.19</v>
      </c>
      <c r="O2268" t="s">
        <v>893</v>
      </c>
      <c r="P2268">
        <v>13.49</v>
      </c>
      <c r="Q2268">
        <v>13.12</v>
      </c>
      <c r="R2268">
        <v>13.21</v>
      </c>
      <c r="S2268">
        <v>13.16</v>
      </c>
      <c r="T2268">
        <v>2.81</v>
      </c>
      <c r="U2268">
        <v>0.51</v>
      </c>
      <c r="V2268">
        <v>3.8</v>
      </c>
      <c r="W2268">
        <v>60</v>
      </c>
      <c r="X2268">
        <v>13.31</v>
      </c>
      <c r="Y2268" t="s">
        <v>1705</v>
      </c>
      <c r="Z2268" t="s">
        <v>2696</v>
      </c>
      <c r="AA2268">
        <v>1.07</v>
      </c>
      <c r="AB2268">
        <v>177</v>
      </c>
      <c r="AC2268">
        <v>228</v>
      </c>
      <c r="AD2268">
        <v>6.06</v>
      </c>
      <c r="AE2268" t="s">
        <v>2164</v>
      </c>
      <c r="AF2268" t="s">
        <v>5512</v>
      </c>
      <c r="AG2268" t="s">
        <v>2345</v>
      </c>
      <c r="AH2268" t="s">
        <v>929</v>
      </c>
      <c r="AI2268">
        <v>-3.02</v>
      </c>
      <c r="AJ2268">
        <v>-2.66</v>
      </c>
      <c r="AK2268">
        <v>10.87</v>
      </c>
      <c r="AL2268">
        <v>32.909999999999997</v>
      </c>
    </row>
    <row r="2269" spans="1:38" x14ac:dyDescent="0.25">
      <c r="A2269">
        <v>2268</v>
      </c>
      <c r="B2269" t="str">
        <f xml:space="preserve"> "002575"</f>
        <v>002575</v>
      </c>
      <c r="C2269" t="s">
        <v>7269</v>
      </c>
      <c r="D2269" t="s">
        <v>616</v>
      </c>
      <c r="E2269" t="s">
        <v>616</v>
      </c>
      <c r="F2269" t="s">
        <v>616</v>
      </c>
      <c r="G2269" t="s">
        <v>616</v>
      </c>
      <c r="H2269" t="s">
        <v>616</v>
      </c>
      <c r="I2269" t="s">
        <v>616</v>
      </c>
      <c r="J2269" t="s">
        <v>616</v>
      </c>
      <c r="K2269" t="s">
        <v>616</v>
      </c>
      <c r="L2269" t="s">
        <v>616</v>
      </c>
      <c r="M2269" t="s">
        <v>616</v>
      </c>
      <c r="N2269">
        <v>-210.89</v>
      </c>
      <c r="O2269" t="s">
        <v>807</v>
      </c>
      <c r="P2269" t="s">
        <v>616</v>
      </c>
      <c r="Q2269" t="s">
        <v>616</v>
      </c>
      <c r="R2269" t="s">
        <v>616</v>
      </c>
      <c r="S2269">
        <v>9.1</v>
      </c>
      <c r="T2269" t="s">
        <v>616</v>
      </c>
      <c r="U2269" t="s">
        <v>616</v>
      </c>
      <c r="V2269" t="s">
        <v>616</v>
      </c>
      <c r="W2269" t="s">
        <v>616</v>
      </c>
      <c r="X2269" t="s">
        <v>616</v>
      </c>
      <c r="Y2269" t="s">
        <v>616</v>
      </c>
      <c r="Z2269" t="s">
        <v>616</v>
      </c>
      <c r="AA2269" t="s">
        <v>616</v>
      </c>
      <c r="AB2269" t="s">
        <v>616</v>
      </c>
      <c r="AC2269" t="s">
        <v>616</v>
      </c>
      <c r="AD2269">
        <v>5.95</v>
      </c>
      <c r="AE2269" t="s">
        <v>2428</v>
      </c>
      <c r="AF2269" t="s">
        <v>5512</v>
      </c>
      <c r="AG2269" t="s">
        <v>2428</v>
      </c>
      <c r="AH2269" t="s">
        <v>5512</v>
      </c>
      <c r="AI2269">
        <v>0</v>
      </c>
      <c r="AJ2269">
        <v>0</v>
      </c>
      <c r="AK2269">
        <v>0</v>
      </c>
      <c r="AL2269">
        <v>0</v>
      </c>
    </row>
    <row r="2270" spans="1:38" x14ac:dyDescent="0.25">
      <c r="A2270">
        <v>2269</v>
      </c>
      <c r="B2270" t="str">
        <f xml:space="preserve"> "000026"</f>
        <v>000026</v>
      </c>
      <c r="C2270" t="s">
        <v>7270</v>
      </c>
      <c r="D2270">
        <v>12.2</v>
      </c>
      <c r="E2270">
        <v>1.5</v>
      </c>
      <c r="F2270">
        <v>0.18</v>
      </c>
      <c r="G2270" t="s">
        <v>3881</v>
      </c>
      <c r="H2270">
        <v>670</v>
      </c>
      <c r="I2270">
        <v>12.19</v>
      </c>
      <c r="J2270">
        <v>12.2</v>
      </c>
      <c r="K2270">
        <v>0.08</v>
      </c>
      <c r="L2270">
        <v>1</v>
      </c>
      <c r="M2270" t="s">
        <v>7271</v>
      </c>
      <c r="N2270">
        <v>30.87</v>
      </c>
      <c r="O2270" t="s">
        <v>2984</v>
      </c>
      <c r="P2270">
        <v>12.28</v>
      </c>
      <c r="Q2270">
        <v>12.03</v>
      </c>
      <c r="R2270">
        <v>12.08</v>
      </c>
      <c r="S2270">
        <v>12.02</v>
      </c>
      <c r="T2270">
        <v>2.08</v>
      </c>
      <c r="U2270">
        <v>1.07</v>
      </c>
      <c r="V2270">
        <v>-41.84</v>
      </c>
      <c r="W2270">
        <v>-967</v>
      </c>
      <c r="X2270">
        <v>12.18</v>
      </c>
      <c r="Y2270" t="s">
        <v>2313</v>
      </c>
      <c r="Z2270" t="s">
        <v>3062</v>
      </c>
      <c r="AA2270">
        <v>0.79</v>
      </c>
      <c r="AB2270">
        <v>326</v>
      </c>
      <c r="AC2270">
        <v>377</v>
      </c>
      <c r="AD2270">
        <v>2.21</v>
      </c>
      <c r="AE2270" t="s">
        <v>2259</v>
      </c>
      <c r="AF2270" t="s">
        <v>2160</v>
      </c>
      <c r="AG2270" t="s">
        <v>2425</v>
      </c>
      <c r="AH2270" t="s">
        <v>6413</v>
      </c>
      <c r="AI2270">
        <v>-0.08</v>
      </c>
      <c r="AJ2270">
        <v>4.3600000000000003</v>
      </c>
      <c r="AK2270">
        <v>2.69</v>
      </c>
      <c r="AL2270">
        <v>5.65</v>
      </c>
    </row>
    <row r="2271" spans="1:38" x14ac:dyDescent="0.25">
      <c r="A2271">
        <v>2270</v>
      </c>
      <c r="B2271" t="str">
        <f xml:space="preserve"> "002166"</f>
        <v>002166</v>
      </c>
      <c r="C2271" t="s">
        <v>7272</v>
      </c>
      <c r="D2271">
        <v>12.23</v>
      </c>
      <c r="E2271">
        <v>-1.53</v>
      </c>
      <c r="F2271">
        <v>-0.19</v>
      </c>
      <c r="G2271" t="s">
        <v>59</v>
      </c>
      <c r="H2271">
        <v>1972</v>
      </c>
      <c r="I2271">
        <v>12.23</v>
      </c>
      <c r="J2271">
        <v>12.24</v>
      </c>
      <c r="K2271">
        <v>0</v>
      </c>
      <c r="L2271">
        <v>4.26</v>
      </c>
      <c r="M2271" t="s">
        <v>2267</v>
      </c>
      <c r="N2271">
        <v>37.47</v>
      </c>
      <c r="O2271" t="s">
        <v>392</v>
      </c>
      <c r="P2271">
        <v>12.5</v>
      </c>
      <c r="Q2271">
        <v>12.21</v>
      </c>
      <c r="R2271">
        <v>12.44</v>
      </c>
      <c r="S2271">
        <v>12.42</v>
      </c>
      <c r="T2271">
        <v>2.33</v>
      </c>
      <c r="U2271">
        <v>1.1200000000000001</v>
      </c>
      <c r="V2271">
        <v>43.36</v>
      </c>
      <c r="W2271">
        <v>2842</v>
      </c>
      <c r="X2271">
        <v>12.34</v>
      </c>
      <c r="Y2271" t="s">
        <v>1305</v>
      </c>
      <c r="Z2271" t="s">
        <v>1593</v>
      </c>
      <c r="AA2271">
        <v>1.74</v>
      </c>
      <c r="AB2271">
        <v>1032</v>
      </c>
      <c r="AC2271">
        <v>750</v>
      </c>
      <c r="AD2271">
        <v>5.83</v>
      </c>
      <c r="AE2271" t="s">
        <v>6142</v>
      </c>
      <c r="AF2271" t="s">
        <v>2160</v>
      </c>
      <c r="AG2271" t="s">
        <v>5407</v>
      </c>
      <c r="AH2271" t="s">
        <v>4889</v>
      </c>
      <c r="AI2271">
        <v>0.66</v>
      </c>
      <c r="AJ2271">
        <v>5.07</v>
      </c>
      <c r="AK2271">
        <v>14.33</v>
      </c>
      <c r="AL2271">
        <v>23.24</v>
      </c>
    </row>
    <row r="2272" spans="1:38" x14ac:dyDescent="0.25">
      <c r="A2272">
        <v>2271</v>
      </c>
      <c r="B2272" t="str">
        <f xml:space="preserve"> "601996"</f>
        <v>601996</v>
      </c>
      <c r="C2272" t="s">
        <v>7273</v>
      </c>
      <c r="D2272">
        <v>5.58</v>
      </c>
      <c r="E2272">
        <v>-1.41</v>
      </c>
      <c r="F2272">
        <v>-0.08</v>
      </c>
      <c r="G2272" t="s">
        <v>85</v>
      </c>
      <c r="H2272">
        <v>25</v>
      </c>
      <c r="I2272">
        <v>5.58</v>
      </c>
      <c r="J2272">
        <v>5.59</v>
      </c>
      <c r="K2272">
        <v>0</v>
      </c>
      <c r="L2272">
        <v>3.4</v>
      </c>
      <c r="M2272" t="s">
        <v>3119</v>
      </c>
      <c r="N2272">
        <v>40.01</v>
      </c>
      <c r="O2272" t="s">
        <v>1469</v>
      </c>
      <c r="P2272">
        <v>5.76</v>
      </c>
      <c r="Q2272">
        <v>5.57</v>
      </c>
      <c r="R2272">
        <v>5.59</v>
      </c>
      <c r="S2272">
        <v>5.66</v>
      </c>
      <c r="T2272">
        <v>3.36</v>
      </c>
      <c r="U2272">
        <v>1.03</v>
      </c>
      <c r="V2272">
        <v>43.6</v>
      </c>
      <c r="W2272">
        <v>5014</v>
      </c>
      <c r="X2272">
        <v>5.64</v>
      </c>
      <c r="Y2272" t="s">
        <v>2978</v>
      </c>
      <c r="Z2272" t="s">
        <v>160</v>
      </c>
      <c r="AA2272">
        <v>1.45</v>
      </c>
      <c r="AB2272">
        <v>304</v>
      </c>
      <c r="AC2272">
        <v>1158</v>
      </c>
      <c r="AD2272">
        <v>2.98</v>
      </c>
      <c r="AE2272" t="s">
        <v>2355</v>
      </c>
      <c r="AF2272" t="s">
        <v>2160</v>
      </c>
      <c r="AG2272" t="s">
        <v>214</v>
      </c>
      <c r="AH2272" t="s">
        <v>6939</v>
      </c>
      <c r="AI2272">
        <v>1.82</v>
      </c>
      <c r="AJ2272">
        <v>8.98</v>
      </c>
      <c r="AK2272">
        <v>12.13</v>
      </c>
      <c r="AL2272">
        <v>19.96</v>
      </c>
    </row>
    <row r="2273" spans="1:38" x14ac:dyDescent="0.25">
      <c r="A2273">
        <v>2272</v>
      </c>
      <c r="B2273" t="str">
        <f xml:space="preserve"> "300247"</f>
        <v>300247</v>
      </c>
      <c r="C2273" t="s">
        <v>7274</v>
      </c>
      <c r="D2273">
        <v>6.64</v>
      </c>
      <c r="E2273">
        <v>0.3</v>
      </c>
      <c r="F2273">
        <v>0.02</v>
      </c>
      <c r="G2273" t="s">
        <v>235</v>
      </c>
      <c r="H2273">
        <v>2063</v>
      </c>
      <c r="I2273">
        <v>6.63</v>
      </c>
      <c r="J2273">
        <v>6.64</v>
      </c>
      <c r="K2273">
        <v>0</v>
      </c>
      <c r="L2273">
        <v>3.33</v>
      </c>
      <c r="M2273" t="s">
        <v>679</v>
      </c>
      <c r="N2273">
        <v>77.53</v>
      </c>
      <c r="O2273" t="s">
        <v>648</v>
      </c>
      <c r="P2273">
        <v>6.75</v>
      </c>
      <c r="Q2273">
        <v>6.56</v>
      </c>
      <c r="R2273">
        <v>6.6</v>
      </c>
      <c r="S2273">
        <v>6.62</v>
      </c>
      <c r="T2273">
        <v>2.87</v>
      </c>
      <c r="U2273">
        <v>0.64</v>
      </c>
      <c r="V2273">
        <v>18.07</v>
      </c>
      <c r="W2273">
        <v>1321</v>
      </c>
      <c r="X2273">
        <v>6.65</v>
      </c>
      <c r="Y2273" t="s">
        <v>4984</v>
      </c>
      <c r="Z2273" t="s">
        <v>4196</v>
      </c>
      <c r="AA2273">
        <v>1.33</v>
      </c>
      <c r="AB2273">
        <v>274</v>
      </c>
      <c r="AC2273">
        <v>633</v>
      </c>
      <c r="AD2273">
        <v>2.2799999999999998</v>
      </c>
      <c r="AE2273" t="s">
        <v>2721</v>
      </c>
      <c r="AF2273" t="s">
        <v>2512</v>
      </c>
      <c r="AG2273" t="s">
        <v>4673</v>
      </c>
      <c r="AH2273" t="s">
        <v>2726</v>
      </c>
      <c r="AI2273">
        <v>-3.21</v>
      </c>
      <c r="AJ2273">
        <v>6.75</v>
      </c>
      <c r="AK2273">
        <v>12.21</v>
      </c>
      <c r="AL2273">
        <v>29.48</v>
      </c>
    </row>
    <row r="2274" spans="1:38" x14ac:dyDescent="0.25">
      <c r="A2274">
        <v>2273</v>
      </c>
      <c r="B2274" t="str">
        <f xml:space="preserve"> "300223"</f>
        <v>300223</v>
      </c>
      <c r="C2274" t="s">
        <v>7275</v>
      </c>
      <c r="D2274">
        <v>32</v>
      </c>
      <c r="E2274">
        <v>2.4</v>
      </c>
      <c r="F2274">
        <v>0.75</v>
      </c>
      <c r="G2274" t="s">
        <v>936</v>
      </c>
      <c r="H2274">
        <v>602</v>
      </c>
      <c r="I2274">
        <v>32</v>
      </c>
      <c r="J2274">
        <v>32.020000000000003</v>
      </c>
      <c r="K2274">
        <v>0</v>
      </c>
      <c r="L2274">
        <v>6.89</v>
      </c>
      <c r="M2274" t="s">
        <v>3597</v>
      </c>
      <c r="N2274">
        <v>706.33</v>
      </c>
      <c r="O2274" t="s">
        <v>380</v>
      </c>
      <c r="P2274">
        <v>32.380000000000003</v>
      </c>
      <c r="Q2274">
        <v>30.75</v>
      </c>
      <c r="R2274">
        <v>31.3</v>
      </c>
      <c r="S2274">
        <v>31.25</v>
      </c>
      <c r="T2274">
        <v>5.22</v>
      </c>
      <c r="U2274">
        <v>1.0900000000000001</v>
      </c>
      <c r="V2274">
        <v>24.86</v>
      </c>
      <c r="W2274">
        <v>294</v>
      </c>
      <c r="X2274">
        <v>31.9</v>
      </c>
      <c r="Y2274" t="s">
        <v>1602</v>
      </c>
      <c r="Z2274" t="s">
        <v>2458</v>
      </c>
      <c r="AA2274">
        <v>0.82</v>
      </c>
      <c r="AB2274">
        <v>387</v>
      </c>
      <c r="AC2274">
        <v>88</v>
      </c>
      <c r="AD2274">
        <v>4.84</v>
      </c>
      <c r="AE2274" t="s">
        <v>5701</v>
      </c>
      <c r="AF2274" t="s">
        <v>2512</v>
      </c>
      <c r="AG2274" t="s">
        <v>7276</v>
      </c>
      <c r="AH2274" t="s">
        <v>1021</v>
      </c>
      <c r="AI2274">
        <v>0.76</v>
      </c>
      <c r="AJ2274">
        <v>-2.71</v>
      </c>
      <c r="AK2274">
        <v>15.82</v>
      </c>
      <c r="AL2274">
        <v>38.4</v>
      </c>
    </row>
    <row r="2275" spans="1:38" x14ac:dyDescent="0.25">
      <c r="A2275">
        <v>2274</v>
      </c>
      <c r="B2275" t="str">
        <f xml:space="preserve"> "002116"</f>
        <v>002116</v>
      </c>
      <c r="C2275" t="s">
        <v>7277</v>
      </c>
      <c r="D2275">
        <v>12.76</v>
      </c>
      <c r="E2275">
        <v>-0.16</v>
      </c>
      <c r="F2275">
        <v>-0.02</v>
      </c>
      <c r="G2275" t="s">
        <v>3519</v>
      </c>
      <c r="H2275">
        <v>158</v>
      </c>
      <c r="I2275">
        <v>12.76</v>
      </c>
      <c r="J2275">
        <v>12.77</v>
      </c>
      <c r="K2275">
        <v>0</v>
      </c>
      <c r="L2275">
        <v>0.39</v>
      </c>
      <c r="M2275" t="s">
        <v>7278</v>
      </c>
      <c r="N2275">
        <v>30.27</v>
      </c>
      <c r="O2275" t="s">
        <v>263</v>
      </c>
      <c r="P2275">
        <v>12.84</v>
      </c>
      <c r="Q2275">
        <v>12.7</v>
      </c>
      <c r="R2275">
        <v>12.76</v>
      </c>
      <c r="S2275">
        <v>12.78</v>
      </c>
      <c r="T2275">
        <v>1.1000000000000001</v>
      </c>
      <c r="U2275">
        <v>0.78</v>
      </c>
      <c r="V2275">
        <v>-38.53</v>
      </c>
      <c r="W2275">
        <v>-756</v>
      </c>
      <c r="X2275">
        <v>12.75</v>
      </c>
      <c r="Y2275">
        <v>9926</v>
      </c>
      <c r="Z2275">
        <v>6196</v>
      </c>
      <c r="AA2275">
        <v>1.6</v>
      </c>
      <c r="AB2275">
        <v>72</v>
      </c>
      <c r="AC2275">
        <v>603</v>
      </c>
      <c r="AD2275">
        <v>4.58</v>
      </c>
      <c r="AE2275" t="s">
        <v>3320</v>
      </c>
      <c r="AF2275" t="s">
        <v>5159</v>
      </c>
      <c r="AG2275" t="s">
        <v>4149</v>
      </c>
      <c r="AH2275" t="s">
        <v>565</v>
      </c>
      <c r="AI2275">
        <v>0</v>
      </c>
      <c r="AJ2275">
        <v>2.16</v>
      </c>
      <c r="AK2275">
        <v>1.5</v>
      </c>
      <c r="AL2275">
        <v>2.88</v>
      </c>
    </row>
    <row r="2276" spans="1:38" x14ac:dyDescent="0.25">
      <c r="A2276">
        <v>2275</v>
      </c>
      <c r="B2276" t="str">
        <f xml:space="preserve"> "300448"</f>
        <v>300448</v>
      </c>
      <c r="C2276" t="s">
        <v>7279</v>
      </c>
      <c r="D2276">
        <v>24.39</v>
      </c>
      <c r="E2276">
        <v>-1.85</v>
      </c>
      <c r="F2276">
        <v>-0.46</v>
      </c>
      <c r="G2276">
        <v>6589</v>
      </c>
      <c r="H2276">
        <v>335</v>
      </c>
      <c r="I2276">
        <v>24.38</v>
      </c>
      <c r="J2276">
        <v>24.39</v>
      </c>
      <c r="K2276">
        <v>-0.16</v>
      </c>
      <c r="L2276">
        <v>0.82</v>
      </c>
      <c r="M2276" t="s">
        <v>7280</v>
      </c>
      <c r="N2276">
        <v>366.88</v>
      </c>
      <c r="O2276" t="s">
        <v>893</v>
      </c>
      <c r="P2276">
        <v>24.75</v>
      </c>
      <c r="Q2276">
        <v>24.16</v>
      </c>
      <c r="R2276">
        <v>24.6</v>
      </c>
      <c r="S2276">
        <v>24.85</v>
      </c>
      <c r="T2276">
        <v>2.37</v>
      </c>
      <c r="U2276">
        <v>1.0900000000000001</v>
      </c>
      <c r="V2276">
        <v>-46.87</v>
      </c>
      <c r="W2276">
        <v>-445</v>
      </c>
      <c r="X2276">
        <v>24.35</v>
      </c>
      <c r="Y2276">
        <v>3943</v>
      </c>
      <c r="Z2276">
        <v>2646</v>
      </c>
      <c r="AA2276">
        <v>1.49</v>
      </c>
      <c r="AB2276">
        <v>50</v>
      </c>
      <c r="AC2276">
        <v>87</v>
      </c>
      <c r="AD2276">
        <v>5.23</v>
      </c>
      <c r="AE2276" t="s">
        <v>3597</v>
      </c>
      <c r="AF2276" t="s">
        <v>5159</v>
      </c>
      <c r="AG2276" t="s">
        <v>7281</v>
      </c>
      <c r="AH2276" t="s">
        <v>1193</v>
      </c>
      <c r="AI2276">
        <v>-0.77</v>
      </c>
      <c r="AJ2276">
        <v>0.45</v>
      </c>
      <c r="AK2276">
        <v>2.8</v>
      </c>
      <c r="AL2276">
        <v>4.57</v>
      </c>
    </row>
    <row r="2277" spans="1:38" x14ac:dyDescent="0.25">
      <c r="A2277">
        <v>2276</v>
      </c>
      <c r="B2277" t="str">
        <f xml:space="preserve"> "300041"</f>
        <v>300041</v>
      </c>
      <c r="C2277" t="s">
        <v>7282</v>
      </c>
      <c r="D2277">
        <v>12.51</v>
      </c>
      <c r="E2277">
        <v>0.48</v>
      </c>
      <c r="F2277">
        <v>0.06</v>
      </c>
      <c r="G2277" t="s">
        <v>2714</v>
      </c>
      <c r="H2277">
        <v>373</v>
      </c>
      <c r="I2277">
        <v>12.5</v>
      </c>
      <c r="J2277">
        <v>12.51</v>
      </c>
      <c r="K2277">
        <v>0</v>
      </c>
      <c r="L2277">
        <v>1.37</v>
      </c>
      <c r="M2277" t="s">
        <v>7283</v>
      </c>
      <c r="N2277">
        <v>36.71</v>
      </c>
      <c r="O2277" t="s">
        <v>667</v>
      </c>
      <c r="P2277">
        <v>12.62</v>
      </c>
      <c r="Q2277">
        <v>12.37</v>
      </c>
      <c r="R2277">
        <v>12.45</v>
      </c>
      <c r="S2277">
        <v>12.45</v>
      </c>
      <c r="T2277">
        <v>2.0099999999999998</v>
      </c>
      <c r="U2277">
        <v>0.75</v>
      </c>
      <c r="V2277">
        <v>-8.08</v>
      </c>
      <c r="W2277">
        <v>-109</v>
      </c>
      <c r="X2277">
        <v>12.47</v>
      </c>
      <c r="Y2277" t="s">
        <v>3603</v>
      </c>
      <c r="Z2277" t="s">
        <v>1493</v>
      </c>
      <c r="AA2277">
        <v>0.98</v>
      </c>
      <c r="AB2277">
        <v>25</v>
      </c>
      <c r="AC2277">
        <v>95</v>
      </c>
      <c r="AD2277">
        <v>2.9</v>
      </c>
      <c r="AE2277" t="s">
        <v>5765</v>
      </c>
      <c r="AF2277" t="s">
        <v>5159</v>
      </c>
      <c r="AG2277" t="s">
        <v>925</v>
      </c>
      <c r="AH2277" t="s">
        <v>3324</v>
      </c>
      <c r="AI2277">
        <v>-1.96</v>
      </c>
      <c r="AJ2277">
        <v>0.81</v>
      </c>
      <c r="AK2277">
        <v>5.1100000000000003</v>
      </c>
      <c r="AL2277">
        <v>10.57</v>
      </c>
    </row>
    <row r="2278" spans="1:38" x14ac:dyDescent="0.25">
      <c r="A2278">
        <v>2277</v>
      </c>
      <c r="B2278" t="str">
        <f xml:space="preserve"> "000682"</f>
        <v>000682</v>
      </c>
      <c r="C2278" t="s">
        <v>7284</v>
      </c>
      <c r="D2278">
        <v>5.44</v>
      </c>
      <c r="E2278">
        <v>0.18</v>
      </c>
      <c r="F2278">
        <v>0.01</v>
      </c>
      <c r="G2278" t="s">
        <v>2143</v>
      </c>
      <c r="H2278">
        <v>1154</v>
      </c>
      <c r="I2278">
        <v>5.43</v>
      </c>
      <c r="J2278">
        <v>5.44</v>
      </c>
      <c r="K2278">
        <v>0.18</v>
      </c>
      <c r="L2278">
        <v>0.48</v>
      </c>
      <c r="M2278" t="s">
        <v>7285</v>
      </c>
      <c r="N2278">
        <v>101.57</v>
      </c>
      <c r="O2278" t="s">
        <v>380</v>
      </c>
      <c r="P2278">
        <v>5.45</v>
      </c>
      <c r="Q2278">
        <v>5.41</v>
      </c>
      <c r="R2278">
        <v>5.41</v>
      </c>
      <c r="S2278">
        <v>5.43</v>
      </c>
      <c r="T2278">
        <v>0.74</v>
      </c>
      <c r="U2278">
        <v>0.72</v>
      </c>
      <c r="V2278">
        <v>16.309999999999999</v>
      </c>
      <c r="W2278">
        <v>2260</v>
      </c>
      <c r="X2278">
        <v>5.43</v>
      </c>
      <c r="Y2278" t="s">
        <v>1476</v>
      </c>
      <c r="Z2278" t="s">
        <v>4788</v>
      </c>
      <c r="AA2278">
        <v>1.24</v>
      </c>
      <c r="AB2278">
        <v>23</v>
      </c>
      <c r="AC2278">
        <v>49</v>
      </c>
      <c r="AD2278">
        <v>3.12</v>
      </c>
      <c r="AE2278" t="s">
        <v>2403</v>
      </c>
      <c r="AF2278" t="s">
        <v>6360</v>
      </c>
      <c r="AG2278" t="s">
        <v>2403</v>
      </c>
      <c r="AH2278" t="s">
        <v>6360</v>
      </c>
      <c r="AI2278">
        <v>-0.91</v>
      </c>
      <c r="AJ2278">
        <v>2.84</v>
      </c>
      <c r="AK2278">
        <v>1.78</v>
      </c>
      <c r="AL2278">
        <v>3.81</v>
      </c>
    </row>
    <row r="2279" spans="1:38" x14ac:dyDescent="0.25">
      <c r="A2279">
        <v>2278</v>
      </c>
      <c r="B2279" t="str">
        <f xml:space="preserve"> "600467"</f>
        <v>600467</v>
      </c>
      <c r="C2279" t="s">
        <v>7286</v>
      </c>
      <c r="D2279">
        <v>3.64</v>
      </c>
      <c r="E2279">
        <v>1.68</v>
      </c>
      <c r="F2279">
        <v>0.06</v>
      </c>
      <c r="G2279" t="s">
        <v>225</v>
      </c>
      <c r="H2279">
        <v>19</v>
      </c>
      <c r="I2279">
        <v>3.63</v>
      </c>
      <c r="J2279">
        <v>3.64</v>
      </c>
      <c r="K2279">
        <v>0.28000000000000003</v>
      </c>
      <c r="L2279">
        <v>1.04</v>
      </c>
      <c r="M2279" t="s">
        <v>3969</v>
      </c>
      <c r="N2279">
        <v>60.8</v>
      </c>
      <c r="O2279" t="s">
        <v>622</v>
      </c>
      <c r="P2279">
        <v>3.65</v>
      </c>
      <c r="Q2279">
        <v>3.57</v>
      </c>
      <c r="R2279">
        <v>3.58</v>
      </c>
      <c r="S2279">
        <v>3.58</v>
      </c>
      <c r="T2279">
        <v>2.23</v>
      </c>
      <c r="U2279">
        <v>0.92</v>
      </c>
      <c r="V2279">
        <v>-30.77</v>
      </c>
      <c r="W2279" t="s">
        <v>7287</v>
      </c>
      <c r="X2279">
        <v>3.61</v>
      </c>
      <c r="Y2279" t="s">
        <v>846</v>
      </c>
      <c r="Z2279" t="s">
        <v>7288</v>
      </c>
      <c r="AA2279">
        <v>0.78</v>
      </c>
      <c r="AB2279">
        <v>6647</v>
      </c>
      <c r="AC2279">
        <v>2236</v>
      </c>
      <c r="AD2279">
        <v>1.78</v>
      </c>
      <c r="AE2279" t="s">
        <v>801</v>
      </c>
      <c r="AF2279" t="s">
        <v>6360</v>
      </c>
      <c r="AG2279" t="s">
        <v>801</v>
      </c>
      <c r="AH2279" t="s">
        <v>6360</v>
      </c>
      <c r="AI2279">
        <v>-0.82</v>
      </c>
      <c r="AJ2279">
        <v>2.54</v>
      </c>
      <c r="AK2279">
        <v>3.5</v>
      </c>
      <c r="AL2279">
        <v>6.69</v>
      </c>
    </row>
    <row r="2280" spans="1:38" x14ac:dyDescent="0.25">
      <c r="A2280">
        <v>2279</v>
      </c>
      <c r="B2280" t="str">
        <f xml:space="preserve"> "002813"</f>
        <v>002813</v>
      </c>
      <c r="C2280" t="s">
        <v>7289</v>
      </c>
      <c r="D2280">
        <v>44.31</v>
      </c>
      <c r="E2280">
        <v>-2.94</v>
      </c>
      <c r="F2280">
        <v>-1.34</v>
      </c>
      <c r="G2280" t="s">
        <v>3476</v>
      </c>
      <c r="H2280">
        <v>919</v>
      </c>
      <c r="I2280">
        <v>44.31</v>
      </c>
      <c r="J2280">
        <v>44.32</v>
      </c>
      <c r="K2280">
        <v>-0.05</v>
      </c>
      <c r="L2280">
        <v>13.92</v>
      </c>
      <c r="M2280" t="s">
        <v>823</v>
      </c>
      <c r="N2280">
        <v>154.66</v>
      </c>
      <c r="O2280" t="s">
        <v>580</v>
      </c>
      <c r="P2280">
        <v>45.44</v>
      </c>
      <c r="Q2280">
        <v>44.13</v>
      </c>
      <c r="R2280">
        <v>44.72</v>
      </c>
      <c r="S2280">
        <v>45.65</v>
      </c>
      <c r="T2280">
        <v>2.87</v>
      </c>
      <c r="U2280">
        <v>0.88</v>
      </c>
      <c r="V2280">
        <v>67.150000000000006</v>
      </c>
      <c r="W2280">
        <v>695</v>
      </c>
      <c r="X2280">
        <v>44.55</v>
      </c>
      <c r="Y2280" t="s">
        <v>2786</v>
      </c>
      <c r="Z2280" t="s">
        <v>2580</v>
      </c>
      <c r="AA2280">
        <v>1.4</v>
      </c>
      <c r="AB2280">
        <v>70</v>
      </c>
      <c r="AC2280">
        <v>16</v>
      </c>
      <c r="AD2280">
        <v>8.17</v>
      </c>
      <c r="AE2280" t="s">
        <v>918</v>
      </c>
      <c r="AF2280" t="s">
        <v>6360</v>
      </c>
      <c r="AG2280" t="s">
        <v>3067</v>
      </c>
      <c r="AH2280" t="s">
        <v>3285</v>
      </c>
      <c r="AI2280">
        <v>0.93</v>
      </c>
      <c r="AJ2280">
        <v>5.6</v>
      </c>
      <c r="AK2280">
        <v>56.82</v>
      </c>
      <c r="AL2280">
        <v>93.22</v>
      </c>
    </row>
    <row r="2281" spans="1:38" x14ac:dyDescent="0.25">
      <c r="A2281">
        <v>2280</v>
      </c>
      <c r="B2281" t="str">
        <f xml:space="preserve"> "002297"</f>
        <v>002297</v>
      </c>
      <c r="C2281" t="s">
        <v>7290</v>
      </c>
      <c r="D2281" t="s">
        <v>616</v>
      </c>
      <c r="E2281" t="s">
        <v>616</v>
      </c>
      <c r="F2281" t="s">
        <v>616</v>
      </c>
      <c r="G2281" t="s">
        <v>616</v>
      </c>
      <c r="H2281" t="s">
        <v>616</v>
      </c>
      <c r="I2281" t="s">
        <v>616</v>
      </c>
      <c r="J2281" t="s">
        <v>616</v>
      </c>
      <c r="K2281" t="s">
        <v>616</v>
      </c>
      <c r="L2281" t="s">
        <v>616</v>
      </c>
      <c r="M2281" t="s">
        <v>616</v>
      </c>
      <c r="N2281">
        <v>-225.16</v>
      </c>
      <c r="O2281" t="s">
        <v>859</v>
      </c>
      <c r="P2281" t="s">
        <v>616</v>
      </c>
      <c r="Q2281" t="s">
        <v>616</v>
      </c>
      <c r="R2281" t="s">
        <v>616</v>
      </c>
      <c r="S2281">
        <v>11.28</v>
      </c>
      <c r="T2281" t="s">
        <v>616</v>
      </c>
      <c r="U2281" t="s">
        <v>616</v>
      </c>
      <c r="V2281" t="s">
        <v>616</v>
      </c>
      <c r="W2281" t="s">
        <v>616</v>
      </c>
      <c r="X2281" t="s">
        <v>616</v>
      </c>
      <c r="Y2281" t="s">
        <v>616</v>
      </c>
      <c r="Z2281" t="s">
        <v>616</v>
      </c>
      <c r="AA2281" t="s">
        <v>616</v>
      </c>
      <c r="AB2281" t="s">
        <v>616</v>
      </c>
      <c r="AC2281" t="s">
        <v>616</v>
      </c>
      <c r="AD2281">
        <v>3.37</v>
      </c>
      <c r="AE2281" t="s">
        <v>6453</v>
      </c>
      <c r="AF2281" t="s">
        <v>6360</v>
      </c>
      <c r="AG2281" t="s">
        <v>3924</v>
      </c>
      <c r="AH2281" t="s">
        <v>5998</v>
      </c>
      <c r="AI2281">
        <v>0</v>
      </c>
      <c r="AJ2281">
        <v>0</v>
      </c>
      <c r="AK2281">
        <v>0</v>
      </c>
      <c r="AL2281">
        <v>3.21</v>
      </c>
    </row>
    <row r="2282" spans="1:38" x14ac:dyDescent="0.25">
      <c r="A2282">
        <v>2281</v>
      </c>
      <c r="B2282" t="str">
        <f xml:space="preserve"> "603778"</f>
        <v>603778</v>
      </c>
      <c r="C2282" t="s">
        <v>7291</v>
      </c>
      <c r="D2282">
        <v>10.63</v>
      </c>
      <c r="E2282">
        <v>2.9</v>
      </c>
      <c r="F2282">
        <v>0.3</v>
      </c>
      <c r="G2282" t="s">
        <v>3660</v>
      </c>
      <c r="H2282">
        <v>84</v>
      </c>
      <c r="I2282">
        <v>10.62</v>
      </c>
      <c r="J2282">
        <v>10.63</v>
      </c>
      <c r="K2282">
        <v>0.09</v>
      </c>
      <c r="L2282">
        <v>8.26</v>
      </c>
      <c r="M2282" t="s">
        <v>4935</v>
      </c>
      <c r="N2282">
        <v>122.9</v>
      </c>
      <c r="O2282" t="s">
        <v>1221</v>
      </c>
      <c r="P2282">
        <v>10.76</v>
      </c>
      <c r="Q2282">
        <v>10.23</v>
      </c>
      <c r="R2282">
        <v>10.35</v>
      </c>
      <c r="S2282">
        <v>10.33</v>
      </c>
      <c r="T2282">
        <v>5.13</v>
      </c>
      <c r="U2282">
        <v>1.65</v>
      </c>
      <c r="V2282">
        <v>-22</v>
      </c>
      <c r="W2282">
        <v>-1500</v>
      </c>
      <c r="X2282">
        <v>10.53</v>
      </c>
      <c r="Y2282" t="s">
        <v>7292</v>
      </c>
      <c r="Z2282" t="s">
        <v>498</v>
      </c>
      <c r="AA2282">
        <v>0.7</v>
      </c>
      <c r="AB2282">
        <v>565</v>
      </c>
      <c r="AC2282">
        <v>287</v>
      </c>
      <c r="AD2282">
        <v>5.6</v>
      </c>
      <c r="AE2282" t="s">
        <v>1600</v>
      </c>
      <c r="AF2282" t="s">
        <v>6360</v>
      </c>
      <c r="AG2282" t="s">
        <v>2942</v>
      </c>
      <c r="AH2282" t="s">
        <v>2062</v>
      </c>
      <c r="AI2282">
        <v>4.9400000000000004</v>
      </c>
      <c r="AJ2282">
        <v>8.36</v>
      </c>
      <c r="AK2282">
        <v>26.19</v>
      </c>
      <c r="AL2282">
        <v>33.32</v>
      </c>
    </row>
    <row r="2283" spans="1:38" x14ac:dyDescent="0.25">
      <c r="A2283">
        <v>2282</v>
      </c>
      <c r="B2283" t="str">
        <f xml:space="preserve"> "000780"</f>
        <v>000780</v>
      </c>
      <c r="C2283" t="s">
        <v>7293</v>
      </c>
      <c r="D2283">
        <v>5.24</v>
      </c>
      <c r="E2283">
        <v>0</v>
      </c>
      <c r="F2283">
        <v>0</v>
      </c>
      <c r="G2283" t="s">
        <v>2865</v>
      </c>
      <c r="H2283">
        <v>225</v>
      </c>
      <c r="I2283">
        <v>5.24</v>
      </c>
      <c r="J2283">
        <v>5.25</v>
      </c>
      <c r="K2283">
        <v>0</v>
      </c>
      <c r="L2283">
        <v>0.32</v>
      </c>
      <c r="M2283" t="s">
        <v>7294</v>
      </c>
      <c r="N2283">
        <v>19.600000000000001</v>
      </c>
      <c r="O2283" t="s">
        <v>150</v>
      </c>
      <c r="P2283">
        <v>5.26</v>
      </c>
      <c r="Q2283">
        <v>5.2</v>
      </c>
      <c r="R2283">
        <v>5.25</v>
      </c>
      <c r="S2283">
        <v>5.24</v>
      </c>
      <c r="T2283">
        <v>1.1499999999999999</v>
      </c>
      <c r="U2283">
        <v>0.71</v>
      </c>
      <c r="V2283">
        <v>-1.54</v>
      </c>
      <c r="W2283">
        <v>-111</v>
      </c>
      <c r="X2283">
        <v>5.23</v>
      </c>
      <c r="Y2283" t="s">
        <v>3603</v>
      </c>
      <c r="Z2283" t="s">
        <v>3950</v>
      </c>
      <c r="AA2283">
        <v>1.1299999999999999</v>
      </c>
      <c r="AB2283">
        <v>921</v>
      </c>
      <c r="AC2283">
        <v>478</v>
      </c>
      <c r="AD2283">
        <v>1.25</v>
      </c>
      <c r="AE2283" t="s">
        <v>262</v>
      </c>
      <c r="AF2283" t="s">
        <v>6319</v>
      </c>
      <c r="AG2283" t="s">
        <v>262</v>
      </c>
      <c r="AH2283" t="s">
        <v>6319</v>
      </c>
      <c r="AI2283">
        <v>-0.95</v>
      </c>
      <c r="AJ2283">
        <v>0.38</v>
      </c>
      <c r="AK2283">
        <v>1.47</v>
      </c>
      <c r="AL2283">
        <v>2.61</v>
      </c>
    </row>
    <row r="2284" spans="1:38" x14ac:dyDescent="0.25">
      <c r="A2284">
        <v>2283</v>
      </c>
      <c r="B2284" t="str">
        <f xml:space="preserve"> "603628"</f>
        <v>603628</v>
      </c>
      <c r="C2284" t="s">
        <v>7295</v>
      </c>
      <c r="D2284">
        <v>19.41</v>
      </c>
      <c r="E2284">
        <v>1.0900000000000001</v>
      </c>
      <c r="F2284">
        <v>0.21</v>
      </c>
      <c r="G2284" t="s">
        <v>318</v>
      </c>
      <c r="H2284">
        <v>32</v>
      </c>
      <c r="I2284">
        <v>19.399999999999999</v>
      </c>
      <c r="J2284">
        <v>19.41</v>
      </c>
      <c r="K2284">
        <v>0.05</v>
      </c>
      <c r="L2284">
        <v>9.2899999999999991</v>
      </c>
      <c r="M2284" t="s">
        <v>2442</v>
      </c>
      <c r="N2284">
        <v>110.34</v>
      </c>
      <c r="O2284" t="s">
        <v>380</v>
      </c>
      <c r="P2284">
        <v>19.63</v>
      </c>
      <c r="Q2284">
        <v>18.86</v>
      </c>
      <c r="R2284">
        <v>19.059999999999999</v>
      </c>
      <c r="S2284">
        <v>19.2</v>
      </c>
      <c r="T2284">
        <v>4.01</v>
      </c>
      <c r="U2284">
        <v>1.35</v>
      </c>
      <c r="V2284">
        <v>14.94</v>
      </c>
      <c r="W2284">
        <v>130</v>
      </c>
      <c r="X2284">
        <v>19.29</v>
      </c>
      <c r="Y2284" t="s">
        <v>3190</v>
      </c>
      <c r="Z2284" t="s">
        <v>3965</v>
      </c>
      <c r="AA2284">
        <v>0.9</v>
      </c>
      <c r="AB2284">
        <v>207</v>
      </c>
      <c r="AC2284">
        <v>5</v>
      </c>
      <c r="AD2284">
        <v>5.85</v>
      </c>
      <c r="AE2284" t="s">
        <v>5381</v>
      </c>
      <c r="AF2284" t="s">
        <v>6319</v>
      </c>
      <c r="AG2284" t="s">
        <v>7296</v>
      </c>
      <c r="AH2284" t="s">
        <v>3285</v>
      </c>
      <c r="AI2284">
        <v>1.89</v>
      </c>
      <c r="AJ2284">
        <v>8.86</v>
      </c>
      <c r="AK2284">
        <v>26.47</v>
      </c>
      <c r="AL2284">
        <v>43.58</v>
      </c>
    </row>
    <row r="2285" spans="1:38" x14ac:dyDescent="0.25">
      <c r="A2285">
        <v>2284</v>
      </c>
      <c r="B2285" t="str">
        <f xml:space="preserve"> "002336"</f>
        <v>002336</v>
      </c>
      <c r="C2285" t="s">
        <v>7297</v>
      </c>
      <c r="D2285">
        <v>13.28</v>
      </c>
      <c r="E2285">
        <v>0.38</v>
      </c>
      <c r="F2285">
        <v>0.05</v>
      </c>
      <c r="G2285" t="s">
        <v>3357</v>
      </c>
      <c r="H2285">
        <v>212</v>
      </c>
      <c r="I2285">
        <v>13.27</v>
      </c>
      <c r="J2285">
        <v>13.28</v>
      </c>
      <c r="K2285">
        <v>0</v>
      </c>
      <c r="L2285">
        <v>0.73</v>
      </c>
      <c r="M2285" t="s">
        <v>5625</v>
      </c>
      <c r="N2285">
        <v>-19.71</v>
      </c>
      <c r="O2285" t="s">
        <v>532</v>
      </c>
      <c r="P2285">
        <v>13.37</v>
      </c>
      <c r="Q2285">
        <v>13.01</v>
      </c>
      <c r="R2285">
        <v>13.24</v>
      </c>
      <c r="S2285">
        <v>13.23</v>
      </c>
      <c r="T2285">
        <v>2.72</v>
      </c>
      <c r="U2285">
        <v>0.78</v>
      </c>
      <c r="V2285">
        <v>19.82</v>
      </c>
      <c r="W2285">
        <v>351</v>
      </c>
      <c r="X2285">
        <v>13.21</v>
      </c>
      <c r="Y2285" t="s">
        <v>2991</v>
      </c>
      <c r="Z2285" t="s">
        <v>2616</v>
      </c>
      <c r="AA2285">
        <v>0.9</v>
      </c>
      <c r="AB2285">
        <v>10</v>
      </c>
      <c r="AC2285">
        <v>150</v>
      </c>
      <c r="AD2285">
        <v>2.4500000000000002</v>
      </c>
      <c r="AE2285" t="s">
        <v>1000</v>
      </c>
      <c r="AF2285" t="s">
        <v>6319</v>
      </c>
      <c r="AG2285" t="s">
        <v>935</v>
      </c>
      <c r="AH2285" t="s">
        <v>1316</v>
      </c>
      <c r="AI2285">
        <v>1.68</v>
      </c>
      <c r="AJ2285">
        <v>6.16</v>
      </c>
      <c r="AK2285">
        <v>2.29</v>
      </c>
      <c r="AL2285">
        <v>5.41</v>
      </c>
    </row>
    <row r="2286" spans="1:38" x14ac:dyDescent="0.25">
      <c r="A2286">
        <v>2285</v>
      </c>
      <c r="B2286" t="str">
        <f xml:space="preserve"> "002052"</f>
        <v>002052</v>
      </c>
      <c r="C2286" t="s">
        <v>7298</v>
      </c>
      <c r="D2286">
        <v>7.12</v>
      </c>
      <c r="E2286">
        <v>-0.42</v>
      </c>
      <c r="F2286">
        <v>-0.03</v>
      </c>
      <c r="G2286" t="s">
        <v>1050</v>
      </c>
      <c r="H2286">
        <v>2233</v>
      </c>
      <c r="I2286">
        <v>7.12</v>
      </c>
      <c r="J2286">
        <v>7.13</v>
      </c>
      <c r="K2286">
        <v>-0.14000000000000001</v>
      </c>
      <c r="L2286">
        <v>1.6</v>
      </c>
      <c r="M2286" t="s">
        <v>7299</v>
      </c>
      <c r="N2286">
        <v>1276.97</v>
      </c>
      <c r="O2286" t="s">
        <v>580</v>
      </c>
      <c r="P2286">
        <v>7.17</v>
      </c>
      <c r="Q2286">
        <v>7.04</v>
      </c>
      <c r="R2286">
        <v>7.1</v>
      </c>
      <c r="S2286">
        <v>7.15</v>
      </c>
      <c r="T2286">
        <v>1.82</v>
      </c>
      <c r="U2286">
        <v>0.42</v>
      </c>
      <c r="V2286">
        <v>-13.32</v>
      </c>
      <c r="W2286">
        <v>-1199</v>
      </c>
      <c r="X2286">
        <v>7.1</v>
      </c>
      <c r="Y2286" t="s">
        <v>1629</v>
      </c>
      <c r="Z2286" t="s">
        <v>1539</v>
      </c>
      <c r="AA2286">
        <v>1.57</v>
      </c>
      <c r="AB2286">
        <v>236</v>
      </c>
      <c r="AC2286">
        <v>492</v>
      </c>
      <c r="AD2286">
        <v>5.77</v>
      </c>
      <c r="AE2286" t="s">
        <v>6809</v>
      </c>
      <c r="AF2286" t="s">
        <v>6319</v>
      </c>
      <c r="AG2286" t="s">
        <v>1337</v>
      </c>
      <c r="AH2286" t="s">
        <v>6819</v>
      </c>
      <c r="AI2286">
        <v>-2.33</v>
      </c>
      <c r="AJ2286">
        <v>6.75</v>
      </c>
      <c r="AK2286">
        <v>6.77</v>
      </c>
      <c r="AL2286">
        <v>20.53</v>
      </c>
    </row>
    <row r="2287" spans="1:38" x14ac:dyDescent="0.25">
      <c r="A2287">
        <v>2286</v>
      </c>
      <c r="B2287" t="str">
        <f xml:space="preserve"> "300172"</f>
        <v>300172</v>
      </c>
      <c r="C2287" t="s">
        <v>7300</v>
      </c>
      <c r="D2287">
        <v>10.47</v>
      </c>
      <c r="E2287">
        <v>8.27</v>
      </c>
      <c r="F2287">
        <v>0.8</v>
      </c>
      <c r="G2287" t="s">
        <v>6993</v>
      </c>
      <c r="H2287">
        <v>8699</v>
      </c>
      <c r="I2287">
        <v>10.46</v>
      </c>
      <c r="J2287">
        <v>10.47</v>
      </c>
      <c r="K2287">
        <v>0.1</v>
      </c>
      <c r="L2287">
        <v>11.74</v>
      </c>
      <c r="M2287" t="s">
        <v>3080</v>
      </c>
      <c r="N2287">
        <v>45.82</v>
      </c>
      <c r="O2287" t="s">
        <v>1155</v>
      </c>
      <c r="P2287">
        <v>10.63</v>
      </c>
      <c r="Q2287">
        <v>9.65</v>
      </c>
      <c r="R2287">
        <v>9.67</v>
      </c>
      <c r="S2287">
        <v>9.67</v>
      </c>
      <c r="T2287">
        <v>10.130000000000001</v>
      </c>
      <c r="U2287">
        <v>10.37</v>
      </c>
      <c r="V2287">
        <v>-3.15</v>
      </c>
      <c r="W2287">
        <v>-549</v>
      </c>
      <c r="X2287">
        <v>10.26</v>
      </c>
      <c r="Y2287" t="s">
        <v>1583</v>
      </c>
      <c r="Z2287" t="s">
        <v>255</v>
      </c>
      <c r="AA2287">
        <v>0.56000000000000005</v>
      </c>
      <c r="AB2287">
        <v>480</v>
      </c>
      <c r="AC2287">
        <v>711</v>
      </c>
      <c r="AD2287">
        <v>4.6500000000000004</v>
      </c>
      <c r="AE2287" t="s">
        <v>4321</v>
      </c>
      <c r="AF2287" t="s">
        <v>6319</v>
      </c>
      <c r="AG2287" t="s">
        <v>3744</v>
      </c>
      <c r="AH2287" t="s">
        <v>1845</v>
      </c>
      <c r="AI2287">
        <v>7.27</v>
      </c>
      <c r="AJ2287">
        <v>11.26</v>
      </c>
      <c r="AK2287">
        <v>13.93</v>
      </c>
      <c r="AL2287">
        <v>17.399999999999999</v>
      </c>
    </row>
    <row r="2288" spans="1:38" x14ac:dyDescent="0.25">
      <c r="A2288">
        <v>2287</v>
      </c>
      <c r="B2288" t="str">
        <f xml:space="preserve"> "600530"</f>
        <v>600530</v>
      </c>
      <c r="C2288" t="s">
        <v>7301</v>
      </c>
      <c r="D2288">
        <v>6.8</v>
      </c>
      <c r="E2288">
        <v>0.15</v>
      </c>
      <c r="F2288">
        <v>0.01</v>
      </c>
      <c r="G2288" t="s">
        <v>213</v>
      </c>
      <c r="H2288">
        <v>529</v>
      </c>
      <c r="I2288">
        <v>6.79</v>
      </c>
      <c r="J2288">
        <v>6.8</v>
      </c>
      <c r="K2288">
        <v>0.15</v>
      </c>
      <c r="L2288">
        <v>2.52</v>
      </c>
      <c r="M2288" t="s">
        <v>2973</v>
      </c>
      <c r="N2288">
        <v>44.9</v>
      </c>
      <c r="O2288" t="s">
        <v>392</v>
      </c>
      <c r="P2288">
        <v>6.92</v>
      </c>
      <c r="Q2288">
        <v>6.62</v>
      </c>
      <c r="R2288">
        <v>6.72</v>
      </c>
      <c r="S2288">
        <v>6.79</v>
      </c>
      <c r="T2288">
        <v>4.42</v>
      </c>
      <c r="U2288">
        <v>1.07</v>
      </c>
      <c r="V2288">
        <v>40.75</v>
      </c>
      <c r="W2288">
        <v>3498</v>
      </c>
      <c r="X2288">
        <v>6.8</v>
      </c>
      <c r="Y2288" t="s">
        <v>362</v>
      </c>
      <c r="Z2288" t="s">
        <v>353</v>
      </c>
      <c r="AA2288">
        <v>1.1299999999999999</v>
      </c>
      <c r="AB2288">
        <v>413</v>
      </c>
      <c r="AC2288">
        <v>622</v>
      </c>
      <c r="AD2288">
        <v>3.39</v>
      </c>
      <c r="AE2288" t="s">
        <v>4872</v>
      </c>
      <c r="AF2288" t="s">
        <v>565</v>
      </c>
      <c r="AG2288" t="s">
        <v>4872</v>
      </c>
      <c r="AH2288" t="s">
        <v>565</v>
      </c>
      <c r="AI2288">
        <v>0.74</v>
      </c>
      <c r="AJ2288">
        <v>8.4499999999999993</v>
      </c>
      <c r="AK2288">
        <v>8.1300000000000008</v>
      </c>
      <c r="AL2288">
        <v>14.26</v>
      </c>
    </row>
    <row r="2289" spans="1:38" x14ac:dyDescent="0.25">
      <c r="A2289">
        <v>2288</v>
      </c>
      <c r="B2289" t="str">
        <f xml:space="preserve"> "603227"</f>
        <v>603227</v>
      </c>
      <c r="C2289" t="s">
        <v>7302</v>
      </c>
      <c r="D2289">
        <v>8.0500000000000007</v>
      </c>
      <c r="E2289">
        <v>9.9700000000000006</v>
      </c>
      <c r="F2289">
        <v>0.73</v>
      </c>
      <c r="G2289" t="s">
        <v>3647</v>
      </c>
      <c r="H2289">
        <v>1</v>
      </c>
      <c r="I2289">
        <v>8.0500000000000007</v>
      </c>
      <c r="J2289" t="s">
        <v>616</v>
      </c>
      <c r="K2289">
        <v>0</v>
      </c>
      <c r="L2289">
        <v>5.98</v>
      </c>
      <c r="M2289" t="s">
        <v>1485</v>
      </c>
      <c r="N2289">
        <v>-1149.48</v>
      </c>
      <c r="O2289" t="s">
        <v>667</v>
      </c>
      <c r="P2289">
        <v>8.0500000000000007</v>
      </c>
      <c r="Q2289">
        <v>7.32</v>
      </c>
      <c r="R2289">
        <v>7.32</v>
      </c>
      <c r="S2289">
        <v>7.32</v>
      </c>
      <c r="T2289">
        <v>9.9700000000000006</v>
      </c>
      <c r="U2289">
        <v>3.79</v>
      </c>
      <c r="V2289">
        <v>100</v>
      </c>
      <c r="W2289" t="s">
        <v>1270</v>
      </c>
      <c r="X2289">
        <v>7.93</v>
      </c>
      <c r="Y2289" t="s">
        <v>2150</v>
      </c>
      <c r="Z2289" t="s">
        <v>489</v>
      </c>
      <c r="AA2289">
        <v>2.77</v>
      </c>
      <c r="AB2289" t="s">
        <v>1270</v>
      </c>
      <c r="AC2289">
        <v>0</v>
      </c>
      <c r="AD2289">
        <v>4.72</v>
      </c>
      <c r="AE2289" t="s">
        <v>5481</v>
      </c>
      <c r="AF2289" t="s">
        <v>565</v>
      </c>
      <c r="AG2289" t="s">
        <v>5070</v>
      </c>
      <c r="AH2289" t="s">
        <v>4411</v>
      </c>
      <c r="AI2289">
        <v>13.54</v>
      </c>
      <c r="AJ2289">
        <v>17.18</v>
      </c>
      <c r="AK2289">
        <v>11.11</v>
      </c>
      <c r="AL2289">
        <v>13.86</v>
      </c>
    </row>
    <row r="2290" spans="1:38" x14ac:dyDescent="0.25">
      <c r="A2290">
        <v>2289</v>
      </c>
      <c r="B2290" t="str">
        <f xml:space="preserve"> "002842"</f>
        <v>002842</v>
      </c>
      <c r="C2290" t="s">
        <v>7303</v>
      </c>
      <c r="D2290">
        <v>52.96</v>
      </c>
      <c r="E2290">
        <v>1.98</v>
      </c>
      <c r="F2290">
        <v>1.03</v>
      </c>
      <c r="G2290" t="s">
        <v>2444</v>
      </c>
      <c r="H2290">
        <v>487</v>
      </c>
      <c r="I2290">
        <v>52.95</v>
      </c>
      <c r="J2290">
        <v>52.96</v>
      </c>
      <c r="K2290">
        <v>0.15</v>
      </c>
      <c r="L2290">
        <v>9.3800000000000008</v>
      </c>
      <c r="M2290" t="s">
        <v>734</v>
      </c>
      <c r="N2290">
        <v>71.62</v>
      </c>
      <c r="O2290" t="s">
        <v>449</v>
      </c>
      <c r="P2290">
        <v>53.27</v>
      </c>
      <c r="Q2290">
        <v>52.01</v>
      </c>
      <c r="R2290">
        <v>52.03</v>
      </c>
      <c r="S2290">
        <v>51.93</v>
      </c>
      <c r="T2290">
        <v>2.4300000000000002</v>
      </c>
      <c r="U2290">
        <v>0.96</v>
      </c>
      <c r="V2290">
        <v>-12.31</v>
      </c>
      <c r="W2290">
        <v>-78</v>
      </c>
      <c r="X2290">
        <v>52.89</v>
      </c>
      <c r="Y2290" t="s">
        <v>2522</v>
      </c>
      <c r="Z2290" t="s">
        <v>1077</v>
      </c>
      <c r="AA2290">
        <v>0.78</v>
      </c>
      <c r="AB2290">
        <v>130</v>
      </c>
      <c r="AC2290">
        <v>41</v>
      </c>
      <c r="AD2290">
        <v>7.15</v>
      </c>
      <c r="AE2290" t="s">
        <v>4464</v>
      </c>
      <c r="AF2290" t="s">
        <v>565</v>
      </c>
      <c r="AG2290" t="s">
        <v>5931</v>
      </c>
      <c r="AH2290" t="s">
        <v>1358</v>
      </c>
      <c r="AI2290">
        <v>-0.64</v>
      </c>
      <c r="AJ2290">
        <v>-2.34</v>
      </c>
      <c r="AK2290">
        <v>27.72</v>
      </c>
      <c r="AL2290">
        <v>58.22</v>
      </c>
    </row>
    <row r="2291" spans="1:38" x14ac:dyDescent="0.25">
      <c r="A2291">
        <v>2290</v>
      </c>
      <c r="B2291" t="str">
        <f xml:space="preserve"> "300494"</f>
        <v>300494</v>
      </c>
      <c r="C2291" t="s">
        <v>7304</v>
      </c>
      <c r="D2291">
        <v>22.06</v>
      </c>
      <c r="E2291">
        <v>3.52</v>
      </c>
      <c r="F2291">
        <v>0.75</v>
      </c>
      <c r="G2291" t="s">
        <v>2226</v>
      </c>
      <c r="H2291">
        <v>1066</v>
      </c>
      <c r="I2291">
        <v>22.06</v>
      </c>
      <c r="J2291">
        <v>22.07</v>
      </c>
      <c r="K2291">
        <v>-0.09</v>
      </c>
      <c r="L2291">
        <v>4.74</v>
      </c>
      <c r="M2291" t="s">
        <v>7305</v>
      </c>
      <c r="N2291">
        <v>62.96</v>
      </c>
      <c r="O2291" t="s">
        <v>553</v>
      </c>
      <c r="P2291">
        <v>22.27</v>
      </c>
      <c r="Q2291">
        <v>21.09</v>
      </c>
      <c r="R2291">
        <v>21.31</v>
      </c>
      <c r="S2291">
        <v>21.31</v>
      </c>
      <c r="T2291">
        <v>5.54</v>
      </c>
      <c r="U2291">
        <v>1.96</v>
      </c>
      <c r="V2291">
        <v>-33.82</v>
      </c>
      <c r="W2291">
        <v>-370</v>
      </c>
      <c r="X2291">
        <v>21.79</v>
      </c>
      <c r="Y2291" t="s">
        <v>2453</v>
      </c>
      <c r="Z2291" t="s">
        <v>1476</v>
      </c>
      <c r="AA2291">
        <v>0.56999999999999995</v>
      </c>
      <c r="AB2291">
        <v>70</v>
      </c>
      <c r="AC2291">
        <v>22</v>
      </c>
      <c r="AD2291">
        <v>5.79</v>
      </c>
      <c r="AE2291" t="s">
        <v>2521</v>
      </c>
      <c r="AF2291" t="s">
        <v>1848</v>
      </c>
      <c r="AG2291" t="s">
        <v>7306</v>
      </c>
      <c r="AH2291" t="s">
        <v>1981</v>
      </c>
      <c r="AI2291">
        <v>1.89</v>
      </c>
      <c r="AJ2291">
        <v>7.98</v>
      </c>
      <c r="AK2291">
        <v>10.47</v>
      </c>
      <c r="AL2291">
        <v>16.82</v>
      </c>
    </row>
    <row r="2292" spans="1:38" x14ac:dyDescent="0.25">
      <c r="A2292">
        <v>2291</v>
      </c>
      <c r="B2292" t="str">
        <f xml:space="preserve"> "002232"</f>
        <v>002232</v>
      </c>
      <c r="C2292" t="s">
        <v>7307</v>
      </c>
      <c r="D2292">
        <v>12.95</v>
      </c>
      <c r="E2292">
        <v>0.78</v>
      </c>
      <c r="F2292">
        <v>0.1</v>
      </c>
      <c r="G2292" t="s">
        <v>378</v>
      </c>
      <c r="H2292">
        <v>960</v>
      </c>
      <c r="I2292">
        <v>12.95</v>
      </c>
      <c r="J2292">
        <v>12.96</v>
      </c>
      <c r="K2292">
        <v>0</v>
      </c>
      <c r="L2292">
        <v>3.75</v>
      </c>
      <c r="M2292" t="s">
        <v>1935</v>
      </c>
      <c r="N2292">
        <v>439.11</v>
      </c>
      <c r="O2292" t="s">
        <v>893</v>
      </c>
      <c r="P2292">
        <v>13.1</v>
      </c>
      <c r="Q2292">
        <v>12.61</v>
      </c>
      <c r="R2292">
        <v>12.69</v>
      </c>
      <c r="S2292">
        <v>12.85</v>
      </c>
      <c r="T2292">
        <v>3.81</v>
      </c>
      <c r="U2292">
        <v>1.72</v>
      </c>
      <c r="V2292">
        <v>-60.7</v>
      </c>
      <c r="W2292">
        <v>-2662</v>
      </c>
      <c r="X2292">
        <v>12.91</v>
      </c>
      <c r="Y2292" t="s">
        <v>1863</v>
      </c>
      <c r="Z2292" t="s">
        <v>1751</v>
      </c>
      <c r="AA2292">
        <v>1.23</v>
      </c>
      <c r="AB2292">
        <v>271</v>
      </c>
      <c r="AC2292">
        <v>670</v>
      </c>
      <c r="AD2292">
        <v>5.21</v>
      </c>
      <c r="AE2292" t="s">
        <v>139</v>
      </c>
      <c r="AF2292" t="s">
        <v>1848</v>
      </c>
      <c r="AG2292" t="s">
        <v>4660</v>
      </c>
      <c r="AH2292" t="s">
        <v>5034</v>
      </c>
      <c r="AI2292">
        <v>4.0999999999999996</v>
      </c>
      <c r="AJ2292">
        <v>7.56</v>
      </c>
      <c r="AK2292">
        <v>9.5500000000000007</v>
      </c>
      <c r="AL2292">
        <v>14.63</v>
      </c>
    </row>
    <row r="2293" spans="1:38" x14ac:dyDescent="0.25">
      <c r="A2293">
        <v>2292</v>
      </c>
      <c r="B2293" t="str">
        <f xml:space="preserve"> "300583"</f>
        <v>300583</v>
      </c>
      <c r="C2293" t="s">
        <v>7308</v>
      </c>
      <c r="D2293">
        <v>49.55</v>
      </c>
      <c r="E2293">
        <v>1.75</v>
      </c>
      <c r="F2293">
        <v>0.85</v>
      </c>
      <c r="G2293">
        <v>9833</v>
      </c>
      <c r="H2293">
        <v>116</v>
      </c>
      <c r="I2293">
        <v>49.52</v>
      </c>
      <c r="J2293">
        <v>49.55</v>
      </c>
      <c r="K2293">
        <v>0.02</v>
      </c>
      <c r="L2293">
        <v>3.69</v>
      </c>
      <c r="M2293" t="s">
        <v>7309</v>
      </c>
      <c r="N2293">
        <v>94.63</v>
      </c>
      <c r="O2293" t="s">
        <v>392</v>
      </c>
      <c r="P2293">
        <v>50.2</v>
      </c>
      <c r="Q2293">
        <v>48.58</v>
      </c>
      <c r="R2293">
        <v>48.7</v>
      </c>
      <c r="S2293">
        <v>48.7</v>
      </c>
      <c r="T2293">
        <v>3.33</v>
      </c>
      <c r="U2293">
        <v>1.22</v>
      </c>
      <c r="V2293">
        <v>-39.57</v>
      </c>
      <c r="W2293">
        <v>-133</v>
      </c>
      <c r="X2293">
        <v>49.54</v>
      </c>
      <c r="Y2293">
        <v>3935</v>
      </c>
      <c r="Z2293">
        <v>5898</v>
      </c>
      <c r="AA2293">
        <v>0.67</v>
      </c>
      <c r="AB2293">
        <v>17</v>
      </c>
      <c r="AC2293">
        <v>97</v>
      </c>
      <c r="AD2293">
        <v>3.25</v>
      </c>
      <c r="AE2293" t="s">
        <v>1314</v>
      </c>
      <c r="AF2293" t="s">
        <v>1848</v>
      </c>
      <c r="AG2293" t="s">
        <v>7087</v>
      </c>
      <c r="AH2293" t="s">
        <v>1358</v>
      </c>
      <c r="AI2293">
        <v>-0.08</v>
      </c>
      <c r="AJ2293">
        <v>5.22</v>
      </c>
      <c r="AK2293">
        <v>10.71</v>
      </c>
      <c r="AL2293">
        <v>18.8</v>
      </c>
    </row>
    <row r="2294" spans="1:38" x14ac:dyDescent="0.25">
      <c r="A2294">
        <v>2293</v>
      </c>
      <c r="B2294" t="str">
        <f xml:space="preserve"> "002274"</f>
        <v>002274</v>
      </c>
      <c r="C2294" t="s">
        <v>7310</v>
      </c>
      <c r="D2294">
        <v>8.32</v>
      </c>
      <c r="E2294">
        <v>-0.48</v>
      </c>
      <c r="F2294">
        <v>-0.04</v>
      </c>
      <c r="G2294" t="s">
        <v>602</v>
      </c>
      <c r="H2294">
        <v>968</v>
      </c>
      <c r="I2294">
        <v>8.32</v>
      </c>
      <c r="J2294">
        <v>8.33</v>
      </c>
      <c r="K2294">
        <v>-0.24</v>
      </c>
      <c r="L2294">
        <v>1.23</v>
      </c>
      <c r="M2294" t="s">
        <v>7311</v>
      </c>
      <c r="N2294">
        <v>87.21</v>
      </c>
      <c r="O2294" t="s">
        <v>1936</v>
      </c>
      <c r="P2294">
        <v>8.35</v>
      </c>
      <c r="Q2294">
        <v>8.2100000000000009</v>
      </c>
      <c r="R2294">
        <v>8.35</v>
      </c>
      <c r="S2294">
        <v>8.36</v>
      </c>
      <c r="T2294">
        <v>1.67</v>
      </c>
      <c r="U2294">
        <v>0.74</v>
      </c>
      <c r="V2294">
        <v>-12.9</v>
      </c>
      <c r="W2294">
        <v>-398</v>
      </c>
      <c r="X2294">
        <v>8.2799999999999994</v>
      </c>
      <c r="Y2294" t="s">
        <v>1532</v>
      </c>
      <c r="Z2294" t="s">
        <v>623</v>
      </c>
      <c r="AA2294">
        <v>1.24</v>
      </c>
      <c r="AB2294">
        <v>300</v>
      </c>
      <c r="AC2294">
        <v>98</v>
      </c>
      <c r="AD2294">
        <v>2.02</v>
      </c>
      <c r="AE2294" t="s">
        <v>4215</v>
      </c>
      <c r="AF2294" t="s">
        <v>5854</v>
      </c>
      <c r="AG2294" t="s">
        <v>779</v>
      </c>
      <c r="AH2294" t="s">
        <v>760</v>
      </c>
      <c r="AI2294">
        <v>-2.69</v>
      </c>
      <c r="AJ2294">
        <v>-0.6</v>
      </c>
      <c r="AK2294">
        <v>4.82</v>
      </c>
      <c r="AL2294">
        <v>9.5</v>
      </c>
    </row>
    <row r="2295" spans="1:38" x14ac:dyDescent="0.25">
      <c r="A2295">
        <v>2294</v>
      </c>
      <c r="B2295" t="str">
        <f xml:space="preserve"> "600792"</f>
        <v>600792</v>
      </c>
      <c r="C2295" t="s">
        <v>7312</v>
      </c>
      <c r="D2295">
        <v>5.33</v>
      </c>
      <c r="E2295">
        <v>0.38</v>
      </c>
      <c r="F2295">
        <v>0.02</v>
      </c>
      <c r="G2295" t="s">
        <v>7313</v>
      </c>
      <c r="H2295">
        <v>2</v>
      </c>
      <c r="I2295">
        <v>5.32</v>
      </c>
      <c r="J2295">
        <v>5.33</v>
      </c>
      <c r="K2295">
        <v>0</v>
      </c>
      <c r="L2295">
        <v>0.84</v>
      </c>
      <c r="M2295" t="s">
        <v>7314</v>
      </c>
      <c r="N2295">
        <v>-33.76</v>
      </c>
      <c r="O2295" t="s">
        <v>150</v>
      </c>
      <c r="P2295">
        <v>5.34</v>
      </c>
      <c r="Q2295">
        <v>5.27</v>
      </c>
      <c r="R2295">
        <v>5.31</v>
      </c>
      <c r="S2295">
        <v>5.31</v>
      </c>
      <c r="T2295">
        <v>1.32</v>
      </c>
      <c r="U2295">
        <v>0.7</v>
      </c>
      <c r="V2295">
        <v>-16.95</v>
      </c>
      <c r="W2295">
        <v>-2443</v>
      </c>
      <c r="X2295">
        <v>5.31</v>
      </c>
      <c r="Y2295" t="s">
        <v>5066</v>
      </c>
      <c r="Z2295" t="s">
        <v>624</v>
      </c>
      <c r="AA2295">
        <v>1.07</v>
      </c>
      <c r="AB2295">
        <v>619</v>
      </c>
      <c r="AC2295">
        <v>1633</v>
      </c>
      <c r="AD2295">
        <v>1.82</v>
      </c>
      <c r="AE2295" t="s">
        <v>7315</v>
      </c>
      <c r="AF2295" t="s">
        <v>5854</v>
      </c>
      <c r="AG2295" t="s">
        <v>7315</v>
      </c>
      <c r="AH2295" t="s">
        <v>5854</v>
      </c>
      <c r="AI2295">
        <v>-3.62</v>
      </c>
      <c r="AJ2295">
        <v>-3.79</v>
      </c>
      <c r="AK2295">
        <v>3.88</v>
      </c>
      <c r="AL2295">
        <v>6.84</v>
      </c>
    </row>
    <row r="2296" spans="1:38" x14ac:dyDescent="0.25">
      <c r="A2296">
        <v>2295</v>
      </c>
      <c r="B2296" t="str">
        <f xml:space="preserve"> "600468"</f>
        <v>600468</v>
      </c>
      <c r="C2296" t="s">
        <v>7316</v>
      </c>
      <c r="D2296" t="s">
        <v>616</v>
      </c>
      <c r="E2296" t="s">
        <v>616</v>
      </c>
      <c r="F2296" t="s">
        <v>616</v>
      </c>
      <c r="G2296" t="s">
        <v>616</v>
      </c>
      <c r="H2296" t="s">
        <v>616</v>
      </c>
      <c r="I2296" t="s">
        <v>616</v>
      </c>
      <c r="J2296" t="s">
        <v>616</v>
      </c>
      <c r="K2296" t="s">
        <v>616</v>
      </c>
      <c r="L2296" t="s">
        <v>616</v>
      </c>
      <c r="M2296" t="s">
        <v>616</v>
      </c>
      <c r="N2296">
        <v>73.459999999999994</v>
      </c>
      <c r="O2296" t="s">
        <v>680</v>
      </c>
      <c r="P2296" t="s">
        <v>616</v>
      </c>
      <c r="Q2296" t="s">
        <v>616</v>
      </c>
      <c r="R2296" t="s">
        <v>616</v>
      </c>
      <c r="S2296">
        <v>6.5</v>
      </c>
      <c r="T2296" t="s">
        <v>616</v>
      </c>
      <c r="U2296" t="s">
        <v>616</v>
      </c>
      <c r="V2296" t="s">
        <v>616</v>
      </c>
      <c r="W2296" t="s">
        <v>616</v>
      </c>
      <c r="X2296" t="s">
        <v>616</v>
      </c>
      <c r="Y2296" t="s">
        <v>616</v>
      </c>
      <c r="Z2296" t="s">
        <v>616</v>
      </c>
      <c r="AA2296" t="s">
        <v>616</v>
      </c>
      <c r="AB2296" t="s">
        <v>616</v>
      </c>
      <c r="AC2296" t="s">
        <v>616</v>
      </c>
      <c r="AD2296">
        <v>2.98</v>
      </c>
      <c r="AE2296" t="s">
        <v>1426</v>
      </c>
      <c r="AF2296" t="s">
        <v>7317</v>
      </c>
      <c r="AG2296" t="s">
        <v>2129</v>
      </c>
      <c r="AH2296" t="s">
        <v>6664</v>
      </c>
      <c r="AI2296">
        <v>0</v>
      </c>
      <c r="AJ2296">
        <v>0</v>
      </c>
      <c r="AK2296">
        <v>0</v>
      </c>
      <c r="AL2296">
        <v>0</v>
      </c>
    </row>
    <row r="2297" spans="1:38" x14ac:dyDescent="0.25">
      <c r="A2297">
        <v>2296</v>
      </c>
      <c r="B2297" t="str">
        <f xml:space="preserve"> "603638"</f>
        <v>603638</v>
      </c>
      <c r="C2297" t="s">
        <v>7318</v>
      </c>
      <c r="D2297">
        <v>29.95</v>
      </c>
      <c r="E2297">
        <v>0.54</v>
      </c>
      <c r="F2297">
        <v>0.16</v>
      </c>
      <c r="G2297" t="s">
        <v>2515</v>
      </c>
      <c r="H2297">
        <v>22</v>
      </c>
      <c r="I2297">
        <v>29.95</v>
      </c>
      <c r="J2297">
        <v>29.96</v>
      </c>
      <c r="K2297">
        <v>-0.03</v>
      </c>
      <c r="L2297">
        <v>7.06</v>
      </c>
      <c r="M2297" t="s">
        <v>7319</v>
      </c>
      <c r="N2297">
        <v>38.700000000000003</v>
      </c>
      <c r="O2297" t="s">
        <v>2647</v>
      </c>
      <c r="P2297">
        <v>30.2</v>
      </c>
      <c r="Q2297">
        <v>29.35</v>
      </c>
      <c r="R2297">
        <v>29.4</v>
      </c>
      <c r="S2297">
        <v>29.79</v>
      </c>
      <c r="T2297">
        <v>2.85</v>
      </c>
      <c r="U2297">
        <v>1.67</v>
      </c>
      <c r="V2297">
        <v>-45.92</v>
      </c>
      <c r="W2297">
        <v>-250</v>
      </c>
      <c r="X2297">
        <v>30</v>
      </c>
      <c r="Y2297" t="s">
        <v>3941</v>
      </c>
      <c r="Z2297" t="s">
        <v>507</v>
      </c>
      <c r="AA2297">
        <v>0.59</v>
      </c>
      <c r="AB2297">
        <v>17</v>
      </c>
      <c r="AC2297">
        <v>38</v>
      </c>
      <c r="AD2297">
        <v>6.85</v>
      </c>
      <c r="AE2297" t="s">
        <v>2861</v>
      </c>
      <c r="AF2297" t="s">
        <v>7317</v>
      </c>
      <c r="AG2297" t="s">
        <v>3568</v>
      </c>
      <c r="AH2297" t="s">
        <v>1358</v>
      </c>
      <c r="AI2297">
        <v>4.21</v>
      </c>
      <c r="AJ2297">
        <v>8.32</v>
      </c>
      <c r="AK2297">
        <v>18.79</v>
      </c>
      <c r="AL2297">
        <v>28.16</v>
      </c>
    </row>
    <row r="2298" spans="1:38" x14ac:dyDescent="0.25">
      <c r="A2298">
        <v>2297</v>
      </c>
      <c r="B2298" t="str">
        <f xml:space="preserve"> "002790"</f>
        <v>002790</v>
      </c>
      <c r="C2298" t="s">
        <v>7320</v>
      </c>
      <c r="D2298">
        <v>32.94</v>
      </c>
      <c r="E2298">
        <v>2.52</v>
      </c>
      <c r="F2298">
        <v>0.81</v>
      </c>
      <c r="G2298" t="s">
        <v>1685</v>
      </c>
      <c r="H2298">
        <v>125</v>
      </c>
      <c r="I2298">
        <v>32.93</v>
      </c>
      <c r="J2298">
        <v>32.94</v>
      </c>
      <c r="K2298">
        <v>0.03</v>
      </c>
      <c r="L2298">
        <v>2.52</v>
      </c>
      <c r="M2298" t="s">
        <v>7321</v>
      </c>
      <c r="N2298">
        <v>32.229999999999997</v>
      </c>
      <c r="O2298" t="s">
        <v>2128</v>
      </c>
      <c r="P2298">
        <v>33</v>
      </c>
      <c r="Q2298">
        <v>32.049999999999997</v>
      </c>
      <c r="R2298">
        <v>32.29</v>
      </c>
      <c r="S2298">
        <v>32.130000000000003</v>
      </c>
      <c r="T2298">
        <v>2.96</v>
      </c>
      <c r="U2298">
        <v>1.56</v>
      </c>
      <c r="V2298">
        <v>-50.24</v>
      </c>
      <c r="W2298">
        <v>-252</v>
      </c>
      <c r="X2298">
        <v>32.76</v>
      </c>
      <c r="Y2298">
        <v>4357</v>
      </c>
      <c r="Z2298">
        <v>5713</v>
      </c>
      <c r="AA2298">
        <v>0.76</v>
      </c>
      <c r="AB2298">
        <v>67</v>
      </c>
      <c r="AC2298">
        <v>2</v>
      </c>
      <c r="AD2298">
        <v>3.83</v>
      </c>
      <c r="AE2298" t="s">
        <v>4326</v>
      </c>
      <c r="AF2298" t="s">
        <v>7317</v>
      </c>
      <c r="AG2298" t="s">
        <v>6081</v>
      </c>
      <c r="AH2298" t="s">
        <v>1358</v>
      </c>
      <c r="AI2298">
        <v>2.27</v>
      </c>
      <c r="AJ2298">
        <v>6.29</v>
      </c>
      <c r="AK2298">
        <v>6.2</v>
      </c>
      <c r="AL2298">
        <v>10.59</v>
      </c>
    </row>
    <row r="2299" spans="1:38" x14ac:dyDescent="0.25">
      <c r="A2299">
        <v>2298</v>
      </c>
      <c r="B2299" t="str">
        <f xml:space="preserve"> "300082"</f>
        <v>300082</v>
      </c>
      <c r="C2299" t="s">
        <v>7322</v>
      </c>
      <c r="D2299">
        <v>7.74</v>
      </c>
      <c r="E2299">
        <v>1.44</v>
      </c>
      <c r="F2299">
        <v>0.11</v>
      </c>
      <c r="G2299" t="s">
        <v>3039</v>
      </c>
      <c r="H2299">
        <v>619</v>
      </c>
      <c r="I2299">
        <v>7.72</v>
      </c>
      <c r="J2299">
        <v>7.74</v>
      </c>
      <c r="K2299">
        <v>0</v>
      </c>
      <c r="L2299">
        <v>0.49</v>
      </c>
      <c r="M2299" t="s">
        <v>5672</v>
      </c>
      <c r="N2299">
        <v>32.74</v>
      </c>
      <c r="O2299" t="s">
        <v>667</v>
      </c>
      <c r="P2299">
        <v>7.79</v>
      </c>
      <c r="Q2299">
        <v>7.6</v>
      </c>
      <c r="R2299">
        <v>7.6</v>
      </c>
      <c r="S2299">
        <v>7.63</v>
      </c>
      <c r="T2299">
        <v>2.4900000000000002</v>
      </c>
      <c r="U2299">
        <v>0.77</v>
      </c>
      <c r="V2299">
        <v>-19.54</v>
      </c>
      <c r="W2299">
        <v>-978</v>
      </c>
      <c r="X2299">
        <v>7.72</v>
      </c>
      <c r="Y2299" t="s">
        <v>3941</v>
      </c>
      <c r="Z2299" t="s">
        <v>3579</v>
      </c>
      <c r="AA2299">
        <v>0.53</v>
      </c>
      <c r="AB2299">
        <v>738</v>
      </c>
      <c r="AC2299">
        <v>212</v>
      </c>
      <c r="AD2299">
        <v>1.92</v>
      </c>
      <c r="AE2299" t="s">
        <v>2195</v>
      </c>
      <c r="AF2299" t="s">
        <v>7317</v>
      </c>
      <c r="AG2299" t="s">
        <v>4961</v>
      </c>
      <c r="AH2299" t="s">
        <v>625</v>
      </c>
      <c r="AI2299">
        <v>-0.39</v>
      </c>
      <c r="AJ2299">
        <v>4.17</v>
      </c>
      <c r="AK2299">
        <v>1.6</v>
      </c>
      <c r="AL2299">
        <v>3.67</v>
      </c>
    </row>
    <row r="2300" spans="1:38" x14ac:dyDescent="0.25">
      <c r="A2300">
        <v>2299</v>
      </c>
      <c r="B2300" t="str">
        <f xml:space="preserve"> "300681"</f>
        <v>300681</v>
      </c>
      <c r="C2300" t="s">
        <v>7323</v>
      </c>
      <c r="D2300">
        <v>69.680000000000007</v>
      </c>
      <c r="E2300">
        <v>0.36</v>
      </c>
      <c r="F2300">
        <v>0.25</v>
      </c>
      <c r="G2300" t="s">
        <v>1685</v>
      </c>
      <c r="H2300">
        <v>253</v>
      </c>
      <c r="I2300">
        <v>69.680000000000007</v>
      </c>
      <c r="J2300">
        <v>69.77</v>
      </c>
      <c r="K2300">
        <v>-0.17</v>
      </c>
      <c r="L2300">
        <v>5.33</v>
      </c>
      <c r="M2300" t="s">
        <v>7324</v>
      </c>
      <c r="N2300">
        <v>68.28</v>
      </c>
      <c r="O2300" t="s">
        <v>648</v>
      </c>
      <c r="P2300">
        <v>70.260000000000005</v>
      </c>
      <c r="Q2300">
        <v>68.5</v>
      </c>
      <c r="R2300">
        <v>69.2</v>
      </c>
      <c r="S2300">
        <v>69.430000000000007</v>
      </c>
      <c r="T2300">
        <v>2.5299999999999998</v>
      </c>
      <c r="U2300">
        <v>0.51</v>
      </c>
      <c r="V2300">
        <v>-32.46</v>
      </c>
      <c r="W2300">
        <v>-74</v>
      </c>
      <c r="X2300">
        <v>69.510000000000005</v>
      </c>
      <c r="Y2300">
        <v>5306</v>
      </c>
      <c r="Z2300">
        <v>4776</v>
      </c>
      <c r="AA2300">
        <v>1.1100000000000001</v>
      </c>
      <c r="AB2300">
        <v>3</v>
      </c>
      <c r="AC2300">
        <v>3</v>
      </c>
      <c r="AD2300">
        <v>8.82</v>
      </c>
      <c r="AE2300" t="s">
        <v>5094</v>
      </c>
      <c r="AF2300" t="s">
        <v>7317</v>
      </c>
      <c r="AG2300" t="s">
        <v>7325</v>
      </c>
      <c r="AH2300" t="s">
        <v>1358</v>
      </c>
      <c r="AI2300">
        <v>-9.61</v>
      </c>
      <c r="AJ2300">
        <v>-8.57</v>
      </c>
      <c r="AK2300">
        <v>27.92</v>
      </c>
      <c r="AL2300">
        <v>57.44</v>
      </c>
    </row>
    <row r="2301" spans="1:38" x14ac:dyDescent="0.25">
      <c r="A2301">
        <v>2300</v>
      </c>
      <c r="B2301" t="str">
        <f xml:space="preserve"> "002480"</f>
        <v>002480</v>
      </c>
      <c r="C2301" t="s">
        <v>7326</v>
      </c>
      <c r="D2301">
        <v>8.16</v>
      </c>
      <c r="E2301">
        <v>0</v>
      </c>
      <c r="F2301">
        <v>0</v>
      </c>
      <c r="G2301" t="s">
        <v>2559</v>
      </c>
      <c r="H2301">
        <v>561</v>
      </c>
      <c r="I2301">
        <v>8.15</v>
      </c>
      <c r="J2301">
        <v>8.16</v>
      </c>
      <c r="K2301">
        <v>0</v>
      </c>
      <c r="L2301">
        <v>0.53</v>
      </c>
      <c r="M2301" t="s">
        <v>7327</v>
      </c>
      <c r="N2301">
        <v>-37.119999999999997</v>
      </c>
      <c r="O2301" t="s">
        <v>648</v>
      </c>
      <c r="P2301">
        <v>8.2200000000000006</v>
      </c>
      <c r="Q2301">
        <v>8.1199999999999992</v>
      </c>
      <c r="R2301">
        <v>8.1999999999999993</v>
      </c>
      <c r="S2301">
        <v>8.16</v>
      </c>
      <c r="T2301">
        <v>1.23</v>
      </c>
      <c r="U2301">
        <v>0.51</v>
      </c>
      <c r="V2301">
        <v>39.700000000000003</v>
      </c>
      <c r="W2301">
        <v>2539</v>
      </c>
      <c r="X2301">
        <v>8.15</v>
      </c>
      <c r="Y2301" t="s">
        <v>1416</v>
      </c>
      <c r="Z2301" t="s">
        <v>2089</v>
      </c>
      <c r="AA2301">
        <v>1.83</v>
      </c>
      <c r="AB2301">
        <v>1212</v>
      </c>
      <c r="AC2301">
        <v>72</v>
      </c>
      <c r="AD2301">
        <v>2.35</v>
      </c>
      <c r="AE2301" t="s">
        <v>3544</v>
      </c>
      <c r="AF2301" t="s">
        <v>7317</v>
      </c>
      <c r="AG2301" t="s">
        <v>4451</v>
      </c>
      <c r="AH2301" t="s">
        <v>6939</v>
      </c>
      <c r="AI2301">
        <v>-1.0900000000000001</v>
      </c>
      <c r="AJ2301">
        <v>4.75</v>
      </c>
      <c r="AK2301">
        <v>2.59</v>
      </c>
      <c r="AL2301">
        <v>5.71</v>
      </c>
    </row>
    <row r="2302" spans="1:38" x14ac:dyDescent="0.25">
      <c r="A2302">
        <v>2301</v>
      </c>
      <c r="B2302" t="str">
        <f xml:space="preserve"> "600785"</f>
        <v>600785</v>
      </c>
      <c r="C2302" t="s">
        <v>7328</v>
      </c>
      <c r="D2302">
        <v>23.33</v>
      </c>
      <c r="E2302">
        <v>0.73</v>
      </c>
      <c r="F2302">
        <v>0.17</v>
      </c>
      <c r="G2302">
        <v>6780</v>
      </c>
      <c r="H2302">
        <v>10</v>
      </c>
      <c r="I2302">
        <v>23.35</v>
      </c>
      <c r="J2302">
        <v>23.36</v>
      </c>
      <c r="K2302">
        <v>-0.04</v>
      </c>
      <c r="L2302">
        <v>0.3</v>
      </c>
      <c r="M2302" t="s">
        <v>7329</v>
      </c>
      <c r="N2302">
        <v>24.23</v>
      </c>
      <c r="O2302" t="s">
        <v>532</v>
      </c>
      <c r="P2302">
        <v>23.36</v>
      </c>
      <c r="Q2302">
        <v>23.18</v>
      </c>
      <c r="R2302">
        <v>23.33</v>
      </c>
      <c r="S2302">
        <v>23.16</v>
      </c>
      <c r="T2302">
        <v>0.78</v>
      </c>
      <c r="U2302">
        <v>0.92</v>
      </c>
      <c r="V2302">
        <v>1.78</v>
      </c>
      <c r="W2302">
        <v>7</v>
      </c>
      <c r="X2302">
        <v>23.28</v>
      </c>
      <c r="Y2302">
        <v>3955</v>
      </c>
      <c r="Z2302">
        <v>2825</v>
      </c>
      <c r="AA2302">
        <v>1.4</v>
      </c>
      <c r="AB2302">
        <v>40</v>
      </c>
      <c r="AC2302">
        <v>34</v>
      </c>
      <c r="AD2302">
        <v>2.7</v>
      </c>
      <c r="AE2302" t="s">
        <v>2942</v>
      </c>
      <c r="AF2302" t="s">
        <v>2971</v>
      </c>
      <c r="AG2302" t="s">
        <v>2942</v>
      </c>
      <c r="AH2302" t="s">
        <v>2971</v>
      </c>
      <c r="AI2302">
        <v>-0.21</v>
      </c>
      <c r="AJ2302">
        <v>0.69</v>
      </c>
      <c r="AK2302">
        <v>0.78</v>
      </c>
      <c r="AL2302">
        <v>1.93</v>
      </c>
    </row>
    <row r="2303" spans="1:38" x14ac:dyDescent="0.25">
      <c r="A2303">
        <v>2302</v>
      </c>
      <c r="B2303" t="str">
        <f xml:space="preserve"> "600199"</f>
        <v>600199</v>
      </c>
      <c r="C2303" t="s">
        <v>7330</v>
      </c>
      <c r="D2303">
        <v>9.4700000000000006</v>
      </c>
      <c r="E2303">
        <v>-0.11</v>
      </c>
      <c r="F2303">
        <v>-0.01</v>
      </c>
      <c r="G2303" t="s">
        <v>308</v>
      </c>
      <c r="H2303">
        <v>429</v>
      </c>
      <c r="I2303">
        <v>9.4700000000000006</v>
      </c>
      <c r="J2303">
        <v>9.48</v>
      </c>
      <c r="K2303">
        <v>0.21</v>
      </c>
      <c r="L2303">
        <v>3.85</v>
      </c>
      <c r="M2303" t="s">
        <v>1404</v>
      </c>
      <c r="N2303">
        <v>517.03</v>
      </c>
      <c r="O2303" t="s">
        <v>123</v>
      </c>
      <c r="P2303">
        <v>9.5399999999999991</v>
      </c>
      <c r="Q2303">
        <v>9.36</v>
      </c>
      <c r="R2303">
        <v>9.41</v>
      </c>
      <c r="S2303">
        <v>9.48</v>
      </c>
      <c r="T2303">
        <v>1.9</v>
      </c>
      <c r="U2303">
        <v>0.67</v>
      </c>
      <c r="V2303">
        <v>-61.93</v>
      </c>
      <c r="W2303">
        <v>-6081</v>
      </c>
      <c r="X2303">
        <v>9.44</v>
      </c>
      <c r="Y2303" t="s">
        <v>337</v>
      </c>
      <c r="Z2303" t="s">
        <v>1222</v>
      </c>
      <c r="AA2303">
        <v>1.1000000000000001</v>
      </c>
      <c r="AB2303">
        <v>1099</v>
      </c>
      <c r="AC2303">
        <v>665</v>
      </c>
      <c r="AD2303">
        <v>2.34</v>
      </c>
      <c r="AE2303" t="s">
        <v>5228</v>
      </c>
      <c r="AF2303" t="s">
        <v>2971</v>
      </c>
      <c r="AG2303" t="s">
        <v>5228</v>
      </c>
      <c r="AH2303" t="s">
        <v>2971</v>
      </c>
      <c r="AI2303">
        <v>4.18</v>
      </c>
      <c r="AJ2303">
        <v>5.1100000000000003</v>
      </c>
      <c r="AK2303">
        <v>23.64</v>
      </c>
      <c r="AL2303">
        <v>32.6</v>
      </c>
    </row>
    <row r="2304" spans="1:38" x14ac:dyDescent="0.25">
      <c r="A2304">
        <v>2303</v>
      </c>
      <c r="B2304" t="str">
        <f xml:space="preserve"> "603416"</f>
        <v>603416</v>
      </c>
      <c r="C2304" t="s">
        <v>7331</v>
      </c>
      <c r="D2304">
        <v>37.4</v>
      </c>
      <c r="E2304">
        <v>0.13</v>
      </c>
      <c r="F2304">
        <v>0.05</v>
      </c>
      <c r="G2304" t="s">
        <v>125</v>
      </c>
      <c r="H2304">
        <v>12</v>
      </c>
      <c r="I2304">
        <v>37.409999999999997</v>
      </c>
      <c r="J2304">
        <v>37.43</v>
      </c>
      <c r="K2304">
        <v>-0.13</v>
      </c>
      <c r="L2304">
        <v>4.3499999999999996</v>
      </c>
      <c r="M2304" t="s">
        <v>6948</v>
      </c>
      <c r="N2304">
        <v>41.09</v>
      </c>
      <c r="O2304" t="s">
        <v>1372</v>
      </c>
      <c r="P2304">
        <v>38.159999999999997</v>
      </c>
      <c r="Q2304">
        <v>37.22</v>
      </c>
      <c r="R2304">
        <v>37.29</v>
      </c>
      <c r="S2304">
        <v>37.35</v>
      </c>
      <c r="T2304">
        <v>2.52</v>
      </c>
      <c r="U2304">
        <v>0.73</v>
      </c>
      <c r="V2304">
        <v>25.72</v>
      </c>
      <c r="W2304">
        <v>57</v>
      </c>
      <c r="X2304">
        <v>37.590000000000003</v>
      </c>
      <c r="Y2304">
        <v>8988</v>
      </c>
      <c r="Z2304">
        <v>6309</v>
      </c>
      <c r="AA2304">
        <v>1.42</v>
      </c>
      <c r="AB2304">
        <v>16</v>
      </c>
      <c r="AC2304">
        <v>13</v>
      </c>
      <c r="AD2304">
        <v>6.03</v>
      </c>
      <c r="AE2304" t="s">
        <v>2044</v>
      </c>
      <c r="AF2304" t="s">
        <v>2971</v>
      </c>
      <c r="AG2304" t="s">
        <v>7332</v>
      </c>
      <c r="AH2304" t="s">
        <v>1510</v>
      </c>
      <c r="AI2304">
        <v>0.75</v>
      </c>
      <c r="AJ2304">
        <v>4.12</v>
      </c>
      <c r="AK2304">
        <v>20.54</v>
      </c>
      <c r="AL2304">
        <v>34.119999999999997</v>
      </c>
    </row>
    <row r="2305" spans="1:38" x14ac:dyDescent="0.25">
      <c r="A2305">
        <v>2304</v>
      </c>
      <c r="B2305" t="str">
        <f xml:space="preserve"> "000920"</f>
        <v>000920</v>
      </c>
      <c r="C2305" t="s">
        <v>7333</v>
      </c>
      <c r="D2305">
        <v>12.45</v>
      </c>
      <c r="E2305">
        <v>4.8899999999999997</v>
      </c>
      <c r="F2305">
        <v>0.57999999999999996</v>
      </c>
      <c r="G2305" t="s">
        <v>254</v>
      </c>
      <c r="H2305">
        <v>2961</v>
      </c>
      <c r="I2305">
        <v>12.45</v>
      </c>
      <c r="J2305">
        <v>12.46</v>
      </c>
      <c r="K2305">
        <v>-0.24</v>
      </c>
      <c r="L2305">
        <v>4.62</v>
      </c>
      <c r="M2305" t="s">
        <v>2759</v>
      </c>
      <c r="N2305">
        <v>41.86</v>
      </c>
      <c r="O2305" t="s">
        <v>859</v>
      </c>
      <c r="P2305">
        <v>12.7</v>
      </c>
      <c r="Q2305">
        <v>11.81</v>
      </c>
      <c r="R2305">
        <v>11.85</v>
      </c>
      <c r="S2305">
        <v>11.87</v>
      </c>
      <c r="T2305">
        <v>7.5</v>
      </c>
      <c r="U2305">
        <v>2.15</v>
      </c>
      <c r="V2305">
        <v>-35.92</v>
      </c>
      <c r="W2305">
        <v>-2856</v>
      </c>
      <c r="X2305">
        <v>12.25</v>
      </c>
      <c r="Y2305" t="s">
        <v>1427</v>
      </c>
      <c r="Z2305" t="s">
        <v>371</v>
      </c>
      <c r="AA2305">
        <v>0.73</v>
      </c>
      <c r="AB2305">
        <v>933</v>
      </c>
      <c r="AC2305">
        <v>1353</v>
      </c>
      <c r="AD2305">
        <v>6.39</v>
      </c>
      <c r="AE2305" t="s">
        <v>5070</v>
      </c>
      <c r="AF2305" t="s">
        <v>2454</v>
      </c>
      <c r="AG2305" t="s">
        <v>5070</v>
      </c>
      <c r="AH2305" t="s">
        <v>2454</v>
      </c>
      <c r="AI2305">
        <v>2.0499999999999998</v>
      </c>
      <c r="AJ2305">
        <v>3.75</v>
      </c>
      <c r="AK2305">
        <v>8.42</v>
      </c>
      <c r="AL2305">
        <v>15.39</v>
      </c>
    </row>
    <row r="2306" spans="1:38" x14ac:dyDescent="0.25">
      <c r="A2306">
        <v>2305</v>
      </c>
      <c r="B2306" t="str">
        <f xml:space="preserve"> "002749"</f>
        <v>002749</v>
      </c>
      <c r="C2306" t="s">
        <v>7334</v>
      </c>
      <c r="D2306">
        <v>70.05</v>
      </c>
      <c r="E2306">
        <v>1.07</v>
      </c>
      <c r="F2306">
        <v>0.74</v>
      </c>
      <c r="G2306">
        <v>4913</v>
      </c>
      <c r="H2306">
        <v>91</v>
      </c>
      <c r="I2306">
        <v>70.05</v>
      </c>
      <c r="J2306">
        <v>70.06</v>
      </c>
      <c r="K2306">
        <v>0</v>
      </c>
      <c r="L2306">
        <v>2.62</v>
      </c>
      <c r="M2306" t="s">
        <v>7335</v>
      </c>
      <c r="N2306">
        <v>21.01</v>
      </c>
      <c r="O2306" t="s">
        <v>2060</v>
      </c>
      <c r="P2306">
        <v>70.2</v>
      </c>
      <c r="Q2306">
        <v>69</v>
      </c>
      <c r="R2306">
        <v>69</v>
      </c>
      <c r="S2306">
        <v>69.31</v>
      </c>
      <c r="T2306">
        <v>1.73</v>
      </c>
      <c r="U2306">
        <v>0.97</v>
      </c>
      <c r="V2306">
        <v>-41.94</v>
      </c>
      <c r="W2306">
        <v>-85</v>
      </c>
      <c r="X2306">
        <v>69.83</v>
      </c>
      <c r="Y2306">
        <v>2438</v>
      </c>
      <c r="Z2306">
        <v>2475</v>
      </c>
      <c r="AA2306">
        <v>0.99</v>
      </c>
      <c r="AB2306">
        <v>16</v>
      </c>
      <c r="AC2306">
        <v>6</v>
      </c>
      <c r="AD2306">
        <v>6.6</v>
      </c>
      <c r="AE2306" t="s">
        <v>7336</v>
      </c>
      <c r="AF2306" t="s">
        <v>2454</v>
      </c>
      <c r="AG2306" t="s">
        <v>7337</v>
      </c>
      <c r="AH2306" t="s">
        <v>1510</v>
      </c>
      <c r="AI2306">
        <v>-0.23</v>
      </c>
      <c r="AJ2306">
        <v>0.56000000000000005</v>
      </c>
      <c r="AK2306">
        <v>7.02</v>
      </c>
      <c r="AL2306">
        <v>16.09</v>
      </c>
    </row>
    <row r="2307" spans="1:38" x14ac:dyDescent="0.25">
      <c r="A2307">
        <v>2306</v>
      </c>
      <c r="B2307" t="str">
        <f xml:space="preserve"> "300057"</f>
        <v>300057</v>
      </c>
      <c r="C2307" t="s">
        <v>7338</v>
      </c>
      <c r="D2307">
        <v>11.94</v>
      </c>
      <c r="E2307">
        <v>-0.42</v>
      </c>
      <c r="F2307">
        <v>-0.05</v>
      </c>
      <c r="G2307" t="s">
        <v>4590</v>
      </c>
      <c r="H2307">
        <v>490</v>
      </c>
      <c r="I2307">
        <v>11.93</v>
      </c>
      <c r="J2307">
        <v>11.94</v>
      </c>
      <c r="K2307">
        <v>0</v>
      </c>
      <c r="L2307">
        <v>0.51</v>
      </c>
      <c r="M2307" t="s">
        <v>7339</v>
      </c>
      <c r="N2307">
        <v>55.71</v>
      </c>
      <c r="O2307" t="s">
        <v>3873</v>
      </c>
      <c r="P2307">
        <v>12.08</v>
      </c>
      <c r="Q2307">
        <v>11.87</v>
      </c>
      <c r="R2307">
        <v>11.87</v>
      </c>
      <c r="S2307">
        <v>11.99</v>
      </c>
      <c r="T2307">
        <v>1.75</v>
      </c>
      <c r="U2307">
        <v>0.54</v>
      </c>
      <c r="V2307">
        <v>-30.39</v>
      </c>
      <c r="W2307">
        <v>-640</v>
      </c>
      <c r="X2307">
        <v>11.95</v>
      </c>
      <c r="Y2307">
        <v>8854</v>
      </c>
      <c r="Z2307">
        <v>6278</v>
      </c>
      <c r="AA2307">
        <v>1.41</v>
      </c>
      <c r="AB2307">
        <v>314</v>
      </c>
      <c r="AC2307">
        <v>50</v>
      </c>
      <c r="AD2307">
        <v>2.23</v>
      </c>
      <c r="AE2307" t="s">
        <v>3567</v>
      </c>
      <c r="AF2307" t="s">
        <v>2454</v>
      </c>
      <c r="AG2307" t="s">
        <v>2268</v>
      </c>
      <c r="AH2307" t="s">
        <v>7340</v>
      </c>
      <c r="AI2307">
        <v>0.76</v>
      </c>
      <c r="AJ2307">
        <v>0.93</v>
      </c>
      <c r="AK2307">
        <v>2.6</v>
      </c>
      <c r="AL2307">
        <v>5.24</v>
      </c>
    </row>
    <row r="2308" spans="1:38" x14ac:dyDescent="0.25">
      <c r="A2308">
        <v>2307</v>
      </c>
      <c r="B2308" t="str">
        <f xml:space="preserve"> "600680"</f>
        <v>600680</v>
      </c>
      <c r="C2308" t="s">
        <v>7341</v>
      </c>
      <c r="D2308">
        <v>13.72</v>
      </c>
      <c r="E2308">
        <v>1.18</v>
      </c>
      <c r="F2308">
        <v>0.16</v>
      </c>
      <c r="G2308" t="s">
        <v>1869</v>
      </c>
      <c r="H2308">
        <v>25</v>
      </c>
      <c r="I2308">
        <v>13.72</v>
      </c>
      <c r="J2308">
        <v>13.73</v>
      </c>
      <c r="K2308">
        <v>-7.0000000000000007E-2</v>
      </c>
      <c r="L2308">
        <v>0.44</v>
      </c>
      <c r="M2308" t="s">
        <v>7342</v>
      </c>
      <c r="N2308">
        <v>-19.010000000000002</v>
      </c>
      <c r="O2308" t="s">
        <v>580</v>
      </c>
      <c r="P2308">
        <v>13.77</v>
      </c>
      <c r="Q2308">
        <v>13.56</v>
      </c>
      <c r="R2308">
        <v>13.58</v>
      </c>
      <c r="S2308">
        <v>13.56</v>
      </c>
      <c r="T2308">
        <v>1.55</v>
      </c>
      <c r="U2308">
        <v>0.79</v>
      </c>
      <c r="V2308">
        <v>14.08</v>
      </c>
      <c r="W2308">
        <v>96</v>
      </c>
      <c r="X2308">
        <v>13.68</v>
      </c>
      <c r="Y2308">
        <v>6242</v>
      </c>
      <c r="Z2308">
        <v>5182</v>
      </c>
      <c r="AA2308">
        <v>1.2</v>
      </c>
      <c r="AB2308">
        <v>271</v>
      </c>
      <c r="AC2308">
        <v>87</v>
      </c>
      <c r="AD2308">
        <v>7.93</v>
      </c>
      <c r="AE2308" t="s">
        <v>6069</v>
      </c>
      <c r="AF2308" t="s">
        <v>7343</v>
      </c>
      <c r="AG2308" t="s">
        <v>925</v>
      </c>
      <c r="AH2308" t="s">
        <v>2794</v>
      </c>
      <c r="AI2308">
        <v>-0.94</v>
      </c>
      <c r="AJ2308">
        <v>2.16</v>
      </c>
      <c r="AK2308">
        <v>1.5</v>
      </c>
      <c r="AL2308">
        <v>3.24</v>
      </c>
    </row>
    <row r="2309" spans="1:38" x14ac:dyDescent="0.25">
      <c r="A2309">
        <v>2308</v>
      </c>
      <c r="B2309" t="str">
        <f xml:space="preserve"> "002398"</f>
        <v>002398</v>
      </c>
      <c r="C2309" t="s">
        <v>7344</v>
      </c>
      <c r="D2309">
        <v>15.14</v>
      </c>
      <c r="E2309">
        <v>-2.4500000000000002</v>
      </c>
      <c r="F2309">
        <v>-0.38</v>
      </c>
      <c r="G2309" t="s">
        <v>2334</v>
      </c>
      <c r="H2309">
        <v>1177</v>
      </c>
      <c r="I2309">
        <v>15.13</v>
      </c>
      <c r="J2309">
        <v>15.14</v>
      </c>
      <c r="K2309">
        <v>-0.13</v>
      </c>
      <c r="L2309">
        <v>2.0699999999999998</v>
      </c>
      <c r="M2309" t="s">
        <v>7345</v>
      </c>
      <c r="N2309">
        <v>33.4</v>
      </c>
      <c r="O2309" t="s">
        <v>263</v>
      </c>
      <c r="P2309">
        <v>15.58</v>
      </c>
      <c r="Q2309">
        <v>15.12</v>
      </c>
      <c r="R2309">
        <v>15.41</v>
      </c>
      <c r="S2309">
        <v>15.52</v>
      </c>
      <c r="T2309">
        <v>2.96</v>
      </c>
      <c r="U2309">
        <v>0.47</v>
      </c>
      <c r="V2309">
        <v>18.309999999999999</v>
      </c>
      <c r="W2309">
        <v>578</v>
      </c>
      <c r="X2309">
        <v>15.25</v>
      </c>
      <c r="Y2309" t="s">
        <v>1712</v>
      </c>
      <c r="Z2309" t="s">
        <v>3946</v>
      </c>
      <c r="AA2309">
        <v>2.15</v>
      </c>
      <c r="AB2309">
        <v>177</v>
      </c>
      <c r="AC2309">
        <v>207</v>
      </c>
      <c r="AD2309">
        <v>2.37</v>
      </c>
      <c r="AE2309" t="s">
        <v>5176</v>
      </c>
      <c r="AF2309" t="s">
        <v>7343</v>
      </c>
      <c r="AG2309" t="s">
        <v>5053</v>
      </c>
      <c r="AH2309" t="s">
        <v>1662</v>
      </c>
      <c r="AI2309">
        <v>-2.4500000000000002</v>
      </c>
      <c r="AJ2309">
        <v>6.62</v>
      </c>
      <c r="AK2309">
        <v>9.7899999999999991</v>
      </c>
      <c r="AL2309">
        <v>24.4</v>
      </c>
    </row>
    <row r="2310" spans="1:38" x14ac:dyDescent="0.25">
      <c r="A2310">
        <v>2309</v>
      </c>
      <c r="B2310" t="str">
        <f xml:space="preserve"> "002521"</f>
        <v>002521</v>
      </c>
      <c r="C2310" t="s">
        <v>7346</v>
      </c>
      <c r="D2310">
        <v>10.59</v>
      </c>
      <c r="E2310">
        <v>-0.28000000000000003</v>
      </c>
      <c r="F2310">
        <v>-0.03</v>
      </c>
      <c r="G2310" t="s">
        <v>2401</v>
      </c>
      <c r="H2310">
        <v>1575</v>
      </c>
      <c r="I2310">
        <v>10.59</v>
      </c>
      <c r="J2310">
        <v>10.6</v>
      </c>
      <c r="K2310">
        <v>0</v>
      </c>
      <c r="L2310">
        <v>1.47</v>
      </c>
      <c r="M2310" t="s">
        <v>7347</v>
      </c>
      <c r="N2310">
        <v>28.4</v>
      </c>
      <c r="O2310" t="s">
        <v>1874</v>
      </c>
      <c r="P2310">
        <v>10.66</v>
      </c>
      <c r="Q2310">
        <v>10.55</v>
      </c>
      <c r="R2310">
        <v>10.64</v>
      </c>
      <c r="S2310">
        <v>10.62</v>
      </c>
      <c r="T2310">
        <v>1.04</v>
      </c>
      <c r="U2310">
        <v>0.91</v>
      </c>
      <c r="V2310">
        <v>45.71</v>
      </c>
      <c r="W2310">
        <v>3772</v>
      </c>
      <c r="X2310">
        <v>10.59</v>
      </c>
      <c r="Y2310" t="s">
        <v>915</v>
      </c>
      <c r="Z2310" t="s">
        <v>1374</v>
      </c>
      <c r="AA2310">
        <v>1.43</v>
      </c>
      <c r="AB2310">
        <v>44</v>
      </c>
      <c r="AC2310">
        <v>471</v>
      </c>
      <c r="AD2310">
        <v>1.56</v>
      </c>
      <c r="AE2310" t="s">
        <v>4269</v>
      </c>
      <c r="AF2310" t="s">
        <v>7343</v>
      </c>
      <c r="AG2310" t="s">
        <v>2302</v>
      </c>
      <c r="AH2310" t="s">
        <v>1137</v>
      </c>
      <c r="AI2310">
        <v>1.1499999999999999</v>
      </c>
      <c r="AJ2310">
        <v>4.03</v>
      </c>
      <c r="AK2310">
        <v>5.76</v>
      </c>
      <c r="AL2310">
        <v>9.5399999999999991</v>
      </c>
    </row>
    <row r="2311" spans="1:38" x14ac:dyDescent="0.25">
      <c r="A2311">
        <v>2310</v>
      </c>
      <c r="B2311" t="str">
        <f xml:space="preserve"> "002235"</f>
        <v>002235</v>
      </c>
      <c r="C2311" t="s">
        <v>7348</v>
      </c>
      <c r="D2311">
        <v>12.58</v>
      </c>
      <c r="E2311">
        <v>1.37</v>
      </c>
      <c r="F2311">
        <v>0.17</v>
      </c>
      <c r="G2311" t="s">
        <v>681</v>
      </c>
      <c r="H2311">
        <v>1170</v>
      </c>
      <c r="I2311">
        <v>12.57</v>
      </c>
      <c r="J2311">
        <v>12.58</v>
      </c>
      <c r="K2311">
        <v>0.08</v>
      </c>
      <c r="L2311">
        <v>2.42</v>
      </c>
      <c r="M2311" t="s">
        <v>4741</v>
      </c>
      <c r="N2311">
        <v>69.349999999999994</v>
      </c>
      <c r="O2311" t="s">
        <v>1874</v>
      </c>
      <c r="P2311">
        <v>12.79</v>
      </c>
      <c r="Q2311">
        <v>12.28</v>
      </c>
      <c r="R2311">
        <v>12.4</v>
      </c>
      <c r="S2311">
        <v>12.41</v>
      </c>
      <c r="T2311">
        <v>4.1100000000000003</v>
      </c>
      <c r="U2311">
        <v>1.38</v>
      </c>
      <c r="V2311">
        <v>-4.2300000000000004</v>
      </c>
      <c r="W2311">
        <v>-123</v>
      </c>
      <c r="X2311">
        <v>12.54</v>
      </c>
      <c r="Y2311" t="s">
        <v>3189</v>
      </c>
      <c r="Z2311" t="s">
        <v>4003</v>
      </c>
      <c r="AA2311">
        <v>0.95</v>
      </c>
      <c r="AB2311">
        <v>164</v>
      </c>
      <c r="AC2311">
        <v>416</v>
      </c>
      <c r="AD2311">
        <v>2.15</v>
      </c>
      <c r="AE2311" t="s">
        <v>4149</v>
      </c>
      <c r="AF2311" t="s">
        <v>6939</v>
      </c>
      <c r="AG2311" t="s">
        <v>273</v>
      </c>
      <c r="AH2311" t="s">
        <v>4682</v>
      </c>
      <c r="AI2311">
        <v>2.19</v>
      </c>
      <c r="AJ2311">
        <v>5.45</v>
      </c>
      <c r="AK2311">
        <v>7.15</v>
      </c>
      <c r="AL2311">
        <v>11.2</v>
      </c>
    </row>
    <row r="2312" spans="1:38" x14ac:dyDescent="0.25">
      <c r="A2312">
        <v>2311</v>
      </c>
      <c r="B2312" t="str">
        <f xml:space="preserve"> "002316"</f>
        <v>002316</v>
      </c>
      <c r="C2312" t="s">
        <v>7349</v>
      </c>
      <c r="D2312">
        <v>13.31</v>
      </c>
      <c r="E2312">
        <v>-0.37</v>
      </c>
      <c r="F2312">
        <v>-0.05</v>
      </c>
      <c r="G2312" t="s">
        <v>2558</v>
      </c>
      <c r="H2312">
        <v>298</v>
      </c>
      <c r="I2312">
        <v>13.3</v>
      </c>
      <c r="J2312">
        <v>13.31</v>
      </c>
      <c r="K2312">
        <v>0.08</v>
      </c>
      <c r="L2312">
        <v>0.51</v>
      </c>
      <c r="M2312" t="s">
        <v>7350</v>
      </c>
      <c r="N2312">
        <v>-64.67</v>
      </c>
      <c r="O2312" t="s">
        <v>580</v>
      </c>
      <c r="P2312">
        <v>13.42</v>
      </c>
      <c r="Q2312">
        <v>13.24</v>
      </c>
      <c r="R2312">
        <v>13.28</v>
      </c>
      <c r="S2312">
        <v>13.36</v>
      </c>
      <c r="T2312">
        <v>1.35</v>
      </c>
      <c r="U2312">
        <v>0.45</v>
      </c>
      <c r="V2312">
        <v>32.119999999999997</v>
      </c>
      <c r="W2312">
        <v>462</v>
      </c>
      <c r="X2312">
        <v>13.31</v>
      </c>
      <c r="Y2312">
        <v>9764</v>
      </c>
      <c r="Z2312">
        <v>6141</v>
      </c>
      <c r="AA2312">
        <v>1.59</v>
      </c>
      <c r="AB2312">
        <v>305</v>
      </c>
      <c r="AC2312">
        <v>6</v>
      </c>
      <c r="AD2312">
        <v>6.41</v>
      </c>
      <c r="AE2312" t="s">
        <v>3428</v>
      </c>
      <c r="AF2312" t="s">
        <v>6939</v>
      </c>
      <c r="AG2312" t="s">
        <v>4602</v>
      </c>
      <c r="AH2312" t="s">
        <v>583</v>
      </c>
      <c r="AI2312">
        <v>-1.77</v>
      </c>
      <c r="AJ2312">
        <v>-2.85</v>
      </c>
      <c r="AK2312">
        <v>1.88</v>
      </c>
      <c r="AL2312">
        <v>6.14</v>
      </c>
    </row>
    <row r="2313" spans="1:38" x14ac:dyDescent="0.25">
      <c r="A2313">
        <v>2312</v>
      </c>
      <c r="B2313" t="str">
        <f xml:space="preserve"> "000966"</f>
        <v>000966</v>
      </c>
      <c r="C2313" t="s">
        <v>7351</v>
      </c>
      <c r="D2313">
        <v>4.72</v>
      </c>
      <c r="E2313">
        <v>0</v>
      </c>
      <c r="F2313">
        <v>0</v>
      </c>
      <c r="G2313" t="s">
        <v>4189</v>
      </c>
      <c r="H2313">
        <v>634</v>
      </c>
      <c r="I2313">
        <v>4.72</v>
      </c>
      <c r="J2313">
        <v>4.7300000000000004</v>
      </c>
      <c r="K2313">
        <v>0</v>
      </c>
      <c r="L2313">
        <v>0.37</v>
      </c>
      <c r="M2313" t="s">
        <v>7352</v>
      </c>
      <c r="N2313">
        <v>-29.01</v>
      </c>
      <c r="O2313" t="s">
        <v>186</v>
      </c>
      <c r="P2313">
        <v>4.7300000000000004</v>
      </c>
      <c r="Q2313">
        <v>4.6900000000000004</v>
      </c>
      <c r="R2313">
        <v>4.71</v>
      </c>
      <c r="S2313">
        <v>4.72</v>
      </c>
      <c r="T2313">
        <v>0.85</v>
      </c>
      <c r="U2313">
        <v>0.76</v>
      </c>
      <c r="V2313">
        <v>13.73</v>
      </c>
      <c r="W2313">
        <v>3420</v>
      </c>
      <c r="X2313">
        <v>4.71</v>
      </c>
      <c r="Y2313" t="s">
        <v>3695</v>
      </c>
      <c r="Z2313" t="s">
        <v>2773</v>
      </c>
      <c r="AA2313">
        <v>1.5</v>
      </c>
      <c r="AB2313">
        <v>4777</v>
      </c>
      <c r="AC2313">
        <v>2177</v>
      </c>
      <c r="AD2313">
        <v>1.6</v>
      </c>
      <c r="AE2313" t="s">
        <v>204</v>
      </c>
      <c r="AF2313" t="s">
        <v>6939</v>
      </c>
      <c r="AG2313" t="s">
        <v>204</v>
      </c>
      <c r="AH2313" t="s">
        <v>6939</v>
      </c>
      <c r="AI2313">
        <v>0.43</v>
      </c>
      <c r="AJ2313">
        <v>2.39</v>
      </c>
      <c r="AK2313">
        <v>1.66</v>
      </c>
      <c r="AL2313">
        <v>2.79</v>
      </c>
    </row>
    <row r="2314" spans="1:38" x14ac:dyDescent="0.25">
      <c r="A2314">
        <v>2313</v>
      </c>
      <c r="B2314" t="str">
        <f xml:space="preserve"> "002840"</f>
        <v>002840</v>
      </c>
      <c r="C2314" t="s">
        <v>7353</v>
      </c>
      <c r="D2314">
        <v>29.24</v>
      </c>
      <c r="E2314">
        <v>0.69</v>
      </c>
      <c r="F2314">
        <v>0.2</v>
      </c>
      <c r="G2314" t="s">
        <v>3387</v>
      </c>
      <c r="H2314">
        <v>250</v>
      </c>
      <c r="I2314">
        <v>29.24</v>
      </c>
      <c r="J2314">
        <v>29.26</v>
      </c>
      <c r="K2314">
        <v>0</v>
      </c>
      <c r="L2314">
        <v>4.34</v>
      </c>
      <c r="M2314" t="s">
        <v>7354</v>
      </c>
      <c r="N2314">
        <v>43.24</v>
      </c>
      <c r="O2314" t="s">
        <v>406</v>
      </c>
      <c r="P2314">
        <v>29.72</v>
      </c>
      <c r="Q2314">
        <v>28.9</v>
      </c>
      <c r="R2314">
        <v>28.9</v>
      </c>
      <c r="S2314">
        <v>29.04</v>
      </c>
      <c r="T2314">
        <v>2.82</v>
      </c>
      <c r="U2314">
        <v>1.87</v>
      </c>
      <c r="V2314">
        <v>-3.71</v>
      </c>
      <c r="W2314">
        <v>-32</v>
      </c>
      <c r="X2314">
        <v>29.5</v>
      </c>
      <c r="Y2314">
        <v>5317</v>
      </c>
      <c r="Z2314" t="s">
        <v>3234</v>
      </c>
      <c r="AA2314">
        <v>0.38</v>
      </c>
      <c r="AB2314">
        <v>356</v>
      </c>
      <c r="AC2314">
        <v>7</v>
      </c>
      <c r="AD2314">
        <v>4.78</v>
      </c>
      <c r="AE2314" t="s">
        <v>7355</v>
      </c>
      <c r="AF2314" t="s">
        <v>625</v>
      </c>
      <c r="AG2314" t="s">
        <v>7356</v>
      </c>
      <c r="AH2314" t="s">
        <v>1510</v>
      </c>
      <c r="AI2314">
        <v>0.69</v>
      </c>
      <c r="AJ2314">
        <v>1.42</v>
      </c>
      <c r="AK2314">
        <v>6.89</v>
      </c>
      <c r="AL2314">
        <v>15.94</v>
      </c>
    </row>
    <row r="2315" spans="1:38" x14ac:dyDescent="0.25">
      <c r="A2315">
        <v>2314</v>
      </c>
      <c r="B2315" t="str">
        <f xml:space="preserve"> "002071"</f>
        <v>002071</v>
      </c>
      <c r="C2315" t="s">
        <v>7357</v>
      </c>
      <c r="D2315" t="s">
        <v>616</v>
      </c>
      <c r="E2315" t="s">
        <v>616</v>
      </c>
      <c r="F2315" t="s">
        <v>616</v>
      </c>
      <c r="G2315" t="s">
        <v>616</v>
      </c>
      <c r="H2315" t="s">
        <v>616</v>
      </c>
      <c r="I2315" t="s">
        <v>616</v>
      </c>
      <c r="J2315" t="s">
        <v>616</v>
      </c>
      <c r="K2315" t="s">
        <v>616</v>
      </c>
      <c r="L2315" t="s">
        <v>616</v>
      </c>
      <c r="M2315" t="s">
        <v>616</v>
      </c>
      <c r="N2315">
        <v>40.229999999999997</v>
      </c>
      <c r="O2315" t="s">
        <v>1126</v>
      </c>
      <c r="P2315" t="s">
        <v>616</v>
      </c>
      <c r="Q2315" t="s">
        <v>616</v>
      </c>
      <c r="R2315" t="s">
        <v>616</v>
      </c>
      <c r="S2315">
        <v>9.94</v>
      </c>
      <c r="T2315" t="s">
        <v>616</v>
      </c>
      <c r="U2315" t="s">
        <v>616</v>
      </c>
      <c r="V2315" t="s">
        <v>616</v>
      </c>
      <c r="W2315" t="s">
        <v>616</v>
      </c>
      <c r="X2315" t="s">
        <v>616</v>
      </c>
      <c r="Y2315" t="s">
        <v>616</v>
      </c>
      <c r="Z2315" t="s">
        <v>616</v>
      </c>
      <c r="AA2315" t="s">
        <v>616</v>
      </c>
      <c r="AB2315" t="s">
        <v>616</v>
      </c>
      <c r="AC2315" t="s">
        <v>616</v>
      </c>
      <c r="AD2315">
        <v>5.99</v>
      </c>
      <c r="AE2315" t="s">
        <v>6025</v>
      </c>
      <c r="AF2315" t="s">
        <v>625</v>
      </c>
      <c r="AG2315" t="s">
        <v>5642</v>
      </c>
      <c r="AH2315" t="s">
        <v>5770</v>
      </c>
      <c r="AI2315">
        <v>0</v>
      </c>
      <c r="AJ2315">
        <v>0</v>
      </c>
      <c r="AK2315">
        <v>0</v>
      </c>
      <c r="AL2315">
        <v>0</v>
      </c>
    </row>
    <row r="2316" spans="1:38" x14ac:dyDescent="0.25">
      <c r="A2316">
        <v>2315</v>
      </c>
      <c r="B2316" t="str">
        <f xml:space="preserve"> "600961"</f>
        <v>600961</v>
      </c>
      <c r="C2316" t="s">
        <v>7358</v>
      </c>
      <c r="D2316">
        <v>9.89</v>
      </c>
      <c r="E2316">
        <v>0.3</v>
      </c>
      <c r="F2316">
        <v>0.03</v>
      </c>
      <c r="G2316" t="s">
        <v>2773</v>
      </c>
      <c r="H2316">
        <v>11</v>
      </c>
      <c r="I2316">
        <v>9.8800000000000008</v>
      </c>
      <c r="J2316">
        <v>9.89</v>
      </c>
      <c r="K2316">
        <v>0</v>
      </c>
      <c r="L2316">
        <v>0.31</v>
      </c>
      <c r="M2316" t="s">
        <v>7359</v>
      </c>
      <c r="N2316">
        <v>379.96</v>
      </c>
      <c r="O2316" t="s">
        <v>449</v>
      </c>
      <c r="P2316">
        <v>9.9600000000000009</v>
      </c>
      <c r="Q2316">
        <v>9.82</v>
      </c>
      <c r="R2316">
        <v>9.8800000000000008</v>
      </c>
      <c r="S2316">
        <v>9.86</v>
      </c>
      <c r="T2316">
        <v>1.42</v>
      </c>
      <c r="U2316">
        <v>0.73</v>
      </c>
      <c r="V2316">
        <v>-11.32</v>
      </c>
      <c r="W2316">
        <v>-135</v>
      </c>
      <c r="X2316">
        <v>9.9</v>
      </c>
      <c r="Y2316">
        <v>9541</v>
      </c>
      <c r="Z2316">
        <v>6778</v>
      </c>
      <c r="AA2316">
        <v>1.41</v>
      </c>
      <c r="AB2316">
        <v>333</v>
      </c>
      <c r="AC2316">
        <v>241</v>
      </c>
      <c r="AD2316">
        <v>32.26</v>
      </c>
      <c r="AE2316" t="s">
        <v>4260</v>
      </c>
      <c r="AF2316" t="s">
        <v>625</v>
      </c>
      <c r="AG2316" t="s">
        <v>4260</v>
      </c>
      <c r="AH2316" t="s">
        <v>625</v>
      </c>
      <c r="AI2316">
        <v>-1.98</v>
      </c>
      <c r="AJ2316">
        <v>-0.1</v>
      </c>
      <c r="AK2316">
        <v>1.33</v>
      </c>
      <c r="AL2316">
        <v>2.42</v>
      </c>
    </row>
    <row r="2317" spans="1:38" x14ac:dyDescent="0.25">
      <c r="A2317">
        <v>2316</v>
      </c>
      <c r="B2317" t="str">
        <f xml:space="preserve"> "002605"</f>
        <v>002605</v>
      </c>
      <c r="C2317" t="s">
        <v>7360</v>
      </c>
      <c r="D2317">
        <v>13.13</v>
      </c>
      <c r="E2317">
        <v>0.08</v>
      </c>
      <c r="F2317">
        <v>0.01</v>
      </c>
      <c r="G2317" t="s">
        <v>468</v>
      </c>
      <c r="H2317">
        <v>414</v>
      </c>
      <c r="I2317">
        <v>13.13</v>
      </c>
      <c r="J2317">
        <v>13.14</v>
      </c>
      <c r="K2317">
        <v>0</v>
      </c>
      <c r="L2317">
        <v>0.79</v>
      </c>
      <c r="M2317" t="s">
        <v>7361</v>
      </c>
      <c r="N2317">
        <v>73.010000000000005</v>
      </c>
      <c r="O2317" t="s">
        <v>807</v>
      </c>
      <c r="P2317">
        <v>13.23</v>
      </c>
      <c r="Q2317">
        <v>12.9</v>
      </c>
      <c r="R2317">
        <v>13.09</v>
      </c>
      <c r="S2317">
        <v>13.12</v>
      </c>
      <c r="T2317">
        <v>2.52</v>
      </c>
      <c r="U2317">
        <v>0.69</v>
      </c>
      <c r="V2317">
        <v>32.6</v>
      </c>
      <c r="W2317">
        <v>357</v>
      </c>
      <c r="X2317">
        <v>13.1</v>
      </c>
      <c r="Y2317">
        <v>9992</v>
      </c>
      <c r="Z2317" t="s">
        <v>2002</v>
      </c>
      <c r="AA2317">
        <v>0.89</v>
      </c>
      <c r="AB2317">
        <v>176</v>
      </c>
      <c r="AC2317">
        <v>88</v>
      </c>
      <c r="AD2317">
        <v>3.35</v>
      </c>
      <c r="AE2317" t="s">
        <v>3245</v>
      </c>
      <c r="AF2317" t="s">
        <v>5034</v>
      </c>
      <c r="AG2317" t="s">
        <v>6725</v>
      </c>
      <c r="AH2317" t="s">
        <v>2794</v>
      </c>
      <c r="AI2317">
        <v>0.92</v>
      </c>
      <c r="AJ2317">
        <v>5.63</v>
      </c>
      <c r="AK2317">
        <v>3.52</v>
      </c>
      <c r="AL2317">
        <v>6.52</v>
      </c>
    </row>
    <row r="2318" spans="1:38" x14ac:dyDescent="0.25">
      <c r="A2318">
        <v>2317</v>
      </c>
      <c r="B2318" t="str">
        <f xml:space="preserve"> "300261"</f>
        <v>300261</v>
      </c>
      <c r="C2318" t="s">
        <v>7362</v>
      </c>
      <c r="D2318">
        <v>9.7100000000000009</v>
      </c>
      <c r="E2318">
        <v>0.41</v>
      </c>
      <c r="F2318">
        <v>0.04</v>
      </c>
      <c r="G2318" t="s">
        <v>1602</v>
      </c>
      <c r="H2318">
        <v>944</v>
      </c>
      <c r="I2318">
        <v>9.7100000000000009</v>
      </c>
      <c r="J2318">
        <v>9.7200000000000006</v>
      </c>
      <c r="K2318">
        <v>-0.1</v>
      </c>
      <c r="L2318">
        <v>0.61</v>
      </c>
      <c r="M2318" t="s">
        <v>7363</v>
      </c>
      <c r="N2318">
        <v>62.56</v>
      </c>
      <c r="O2318" t="s">
        <v>667</v>
      </c>
      <c r="P2318">
        <v>9.76</v>
      </c>
      <c r="Q2318">
        <v>9.5399999999999991</v>
      </c>
      <c r="R2318">
        <v>9.68</v>
      </c>
      <c r="S2318">
        <v>9.67</v>
      </c>
      <c r="T2318">
        <v>2.2799999999999998</v>
      </c>
      <c r="U2318">
        <v>1.28</v>
      </c>
      <c r="V2318">
        <v>48.63</v>
      </c>
      <c r="W2318">
        <v>2689</v>
      </c>
      <c r="X2318">
        <v>9.61</v>
      </c>
      <c r="Y2318" t="s">
        <v>2061</v>
      </c>
      <c r="Z2318" t="s">
        <v>2991</v>
      </c>
      <c r="AA2318">
        <v>1.61</v>
      </c>
      <c r="AB2318">
        <v>1092</v>
      </c>
      <c r="AC2318">
        <v>388</v>
      </c>
      <c r="AD2318">
        <v>5.0599999999999996</v>
      </c>
      <c r="AE2318" t="s">
        <v>2622</v>
      </c>
      <c r="AF2318" t="s">
        <v>5034</v>
      </c>
      <c r="AG2318" t="s">
        <v>4925</v>
      </c>
      <c r="AH2318" t="s">
        <v>1263</v>
      </c>
      <c r="AI2318">
        <v>-0.41</v>
      </c>
      <c r="AJ2318">
        <v>0.94</v>
      </c>
      <c r="AK2318">
        <v>1.72</v>
      </c>
      <c r="AL2318">
        <v>2.96</v>
      </c>
    </row>
    <row r="2319" spans="1:38" x14ac:dyDescent="0.25">
      <c r="A2319">
        <v>2318</v>
      </c>
      <c r="B2319" t="str">
        <f xml:space="preserve"> "002259"</f>
        <v>002259</v>
      </c>
      <c r="C2319" t="s">
        <v>7364</v>
      </c>
      <c r="D2319">
        <v>6.93</v>
      </c>
      <c r="E2319">
        <v>-0.14000000000000001</v>
      </c>
      <c r="F2319">
        <v>-0.01</v>
      </c>
      <c r="G2319" t="s">
        <v>650</v>
      </c>
      <c r="H2319">
        <v>554</v>
      </c>
      <c r="I2319">
        <v>6.92</v>
      </c>
      <c r="J2319">
        <v>6.93</v>
      </c>
      <c r="K2319">
        <v>0</v>
      </c>
      <c r="L2319">
        <v>0.6</v>
      </c>
      <c r="M2319" t="s">
        <v>7365</v>
      </c>
      <c r="N2319">
        <v>293.14999999999998</v>
      </c>
      <c r="O2319" t="s">
        <v>1469</v>
      </c>
      <c r="P2319">
        <v>6.96</v>
      </c>
      <c r="Q2319">
        <v>6.86</v>
      </c>
      <c r="R2319">
        <v>6.93</v>
      </c>
      <c r="S2319">
        <v>6.94</v>
      </c>
      <c r="T2319">
        <v>1.44</v>
      </c>
      <c r="U2319">
        <v>0.57999999999999996</v>
      </c>
      <c r="V2319">
        <v>-48.8</v>
      </c>
      <c r="W2319">
        <v>-2754</v>
      </c>
      <c r="X2319">
        <v>6.9</v>
      </c>
      <c r="Y2319" t="s">
        <v>3090</v>
      </c>
      <c r="Z2319" t="s">
        <v>3062</v>
      </c>
      <c r="AA2319">
        <v>1.2</v>
      </c>
      <c r="AB2319">
        <v>214</v>
      </c>
      <c r="AC2319">
        <v>225</v>
      </c>
      <c r="AD2319">
        <v>3.13</v>
      </c>
      <c r="AE2319" t="s">
        <v>2262</v>
      </c>
      <c r="AF2319" t="s">
        <v>5034</v>
      </c>
      <c r="AG2319" t="s">
        <v>3936</v>
      </c>
      <c r="AH2319" t="s">
        <v>5782</v>
      </c>
      <c r="AI2319">
        <v>-0.56999999999999995</v>
      </c>
      <c r="AJ2319">
        <v>0.87</v>
      </c>
      <c r="AK2319">
        <v>2.78</v>
      </c>
      <c r="AL2319">
        <v>5.86</v>
      </c>
    </row>
    <row r="2320" spans="1:38" x14ac:dyDescent="0.25">
      <c r="A2320">
        <v>2319</v>
      </c>
      <c r="B2320" t="str">
        <f xml:space="preserve"> "300160"</f>
        <v>300160</v>
      </c>
      <c r="C2320" t="s">
        <v>7366</v>
      </c>
      <c r="D2320">
        <v>8.7100000000000009</v>
      </c>
      <c r="E2320">
        <v>0.46</v>
      </c>
      <c r="F2320">
        <v>0.04</v>
      </c>
      <c r="G2320" t="s">
        <v>2781</v>
      </c>
      <c r="H2320">
        <v>343</v>
      </c>
      <c r="I2320">
        <v>8.6999999999999993</v>
      </c>
      <c r="J2320">
        <v>8.7100000000000009</v>
      </c>
      <c r="K2320">
        <v>-0.11</v>
      </c>
      <c r="L2320">
        <v>0.66</v>
      </c>
      <c r="M2320" t="s">
        <v>7367</v>
      </c>
      <c r="N2320">
        <v>22.87</v>
      </c>
      <c r="O2320" t="s">
        <v>1058</v>
      </c>
      <c r="P2320">
        <v>8.74</v>
      </c>
      <c r="Q2320">
        <v>8.67</v>
      </c>
      <c r="R2320">
        <v>8.68</v>
      </c>
      <c r="S2320">
        <v>8.67</v>
      </c>
      <c r="T2320">
        <v>0.81</v>
      </c>
      <c r="U2320">
        <v>0.49</v>
      </c>
      <c r="V2320">
        <v>-40.19</v>
      </c>
      <c r="W2320">
        <v>-2243</v>
      </c>
      <c r="X2320">
        <v>8.7100000000000009</v>
      </c>
      <c r="Y2320" t="s">
        <v>468</v>
      </c>
      <c r="Z2320" t="s">
        <v>2126</v>
      </c>
      <c r="AA2320">
        <v>1.17</v>
      </c>
      <c r="AB2320">
        <v>480</v>
      </c>
      <c r="AC2320">
        <v>26</v>
      </c>
      <c r="AD2320">
        <v>3.95</v>
      </c>
      <c r="AE2320" t="s">
        <v>4099</v>
      </c>
      <c r="AF2320" t="s">
        <v>5034</v>
      </c>
      <c r="AG2320" t="s">
        <v>6280</v>
      </c>
      <c r="AH2320" t="s">
        <v>3854</v>
      </c>
      <c r="AI2320">
        <v>-1.8</v>
      </c>
      <c r="AJ2320">
        <v>1.63</v>
      </c>
      <c r="AK2320">
        <v>3.05</v>
      </c>
      <c r="AL2320">
        <v>7.4</v>
      </c>
    </row>
    <row r="2321" spans="1:38" x14ac:dyDescent="0.25">
      <c r="A2321">
        <v>2320</v>
      </c>
      <c r="B2321" t="str">
        <f xml:space="preserve"> "002838"</f>
        <v>002838</v>
      </c>
      <c r="C2321" t="s">
        <v>7368</v>
      </c>
      <c r="D2321">
        <v>41.3</v>
      </c>
      <c r="E2321">
        <v>0.12</v>
      </c>
      <c r="F2321">
        <v>0.05</v>
      </c>
      <c r="G2321">
        <v>5023</v>
      </c>
      <c r="H2321">
        <v>112</v>
      </c>
      <c r="I2321">
        <v>41.29</v>
      </c>
      <c r="J2321">
        <v>41.3</v>
      </c>
      <c r="K2321">
        <v>0.17</v>
      </c>
      <c r="L2321">
        <v>1.59</v>
      </c>
      <c r="M2321" t="s">
        <v>7369</v>
      </c>
      <c r="N2321">
        <v>55.41</v>
      </c>
      <c r="O2321" t="s">
        <v>648</v>
      </c>
      <c r="P2321">
        <v>41.8</v>
      </c>
      <c r="Q2321">
        <v>40.880000000000003</v>
      </c>
      <c r="R2321">
        <v>41.04</v>
      </c>
      <c r="S2321">
        <v>41.25</v>
      </c>
      <c r="T2321">
        <v>2.23</v>
      </c>
      <c r="U2321">
        <v>0.77</v>
      </c>
      <c r="V2321">
        <v>-36.99</v>
      </c>
      <c r="W2321">
        <v>-40</v>
      </c>
      <c r="X2321">
        <v>41.27</v>
      </c>
      <c r="Y2321">
        <v>3311</v>
      </c>
      <c r="Z2321">
        <v>1712</v>
      </c>
      <c r="AA2321">
        <v>1.93</v>
      </c>
      <c r="AB2321">
        <v>1</v>
      </c>
      <c r="AC2321">
        <v>55</v>
      </c>
      <c r="AD2321">
        <v>6.6</v>
      </c>
      <c r="AE2321" t="s">
        <v>3361</v>
      </c>
      <c r="AF2321" t="s">
        <v>1655</v>
      </c>
      <c r="AG2321" t="s">
        <v>3882</v>
      </c>
      <c r="AH2321" t="s">
        <v>2828</v>
      </c>
      <c r="AI2321">
        <v>3.35</v>
      </c>
      <c r="AJ2321">
        <v>7.27</v>
      </c>
      <c r="AK2321">
        <v>7.7</v>
      </c>
      <c r="AL2321">
        <v>11.99</v>
      </c>
    </row>
    <row r="2322" spans="1:38" x14ac:dyDescent="0.25">
      <c r="A2322">
        <v>2321</v>
      </c>
      <c r="B2322" t="str">
        <f xml:space="preserve"> "002162"</f>
        <v>002162</v>
      </c>
      <c r="C2322" t="s">
        <v>7370</v>
      </c>
      <c r="D2322">
        <v>6.08</v>
      </c>
      <c r="E2322">
        <v>0.66</v>
      </c>
      <c r="F2322">
        <v>0.04</v>
      </c>
      <c r="G2322" t="s">
        <v>2266</v>
      </c>
      <c r="H2322">
        <v>704</v>
      </c>
      <c r="I2322">
        <v>6.08</v>
      </c>
      <c r="J2322">
        <v>6.09</v>
      </c>
      <c r="K2322">
        <v>0</v>
      </c>
      <c r="L2322">
        <v>0.41</v>
      </c>
      <c r="M2322" t="s">
        <v>6713</v>
      </c>
      <c r="N2322">
        <v>212.28</v>
      </c>
      <c r="O2322" t="s">
        <v>1058</v>
      </c>
      <c r="P2322">
        <v>6.1</v>
      </c>
      <c r="Q2322">
        <v>6.04</v>
      </c>
      <c r="R2322">
        <v>6.06</v>
      </c>
      <c r="S2322">
        <v>6.04</v>
      </c>
      <c r="T2322">
        <v>0.99</v>
      </c>
      <c r="U2322">
        <v>0.57999999999999996</v>
      </c>
      <c r="V2322">
        <v>-31.67</v>
      </c>
      <c r="W2322">
        <v>-2938</v>
      </c>
      <c r="X2322">
        <v>6.08</v>
      </c>
      <c r="Y2322" t="s">
        <v>3130</v>
      </c>
      <c r="Z2322" t="s">
        <v>1340</v>
      </c>
      <c r="AA2322">
        <v>0.93</v>
      </c>
      <c r="AB2322">
        <v>621</v>
      </c>
      <c r="AC2322">
        <v>1710</v>
      </c>
      <c r="AD2322">
        <v>5.89</v>
      </c>
      <c r="AE2322" t="s">
        <v>2980</v>
      </c>
      <c r="AF2322" t="s">
        <v>1655</v>
      </c>
      <c r="AG2322" t="s">
        <v>4375</v>
      </c>
      <c r="AH2322" t="s">
        <v>4687</v>
      </c>
      <c r="AI2322">
        <v>-0.82</v>
      </c>
      <c r="AJ2322">
        <v>5.19</v>
      </c>
      <c r="AK2322">
        <v>1.73</v>
      </c>
      <c r="AL2322">
        <v>3.95</v>
      </c>
    </row>
    <row r="2323" spans="1:38" x14ac:dyDescent="0.25">
      <c r="A2323">
        <v>2322</v>
      </c>
      <c r="B2323" t="str">
        <f xml:space="preserve"> "300314"</f>
        <v>300314</v>
      </c>
      <c r="C2323" t="s">
        <v>7371</v>
      </c>
      <c r="D2323">
        <v>18.059999999999999</v>
      </c>
      <c r="E2323">
        <v>-1.53</v>
      </c>
      <c r="F2323">
        <v>-0.28000000000000003</v>
      </c>
      <c r="G2323" t="s">
        <v>2043</v>
      </c>
      <c r="H2323">
        <v>2048</v>
      </c>
      <c r="I2323">
        <v>18.059999999999999</v>
      </c>
      <c r="J2323">
        <v>18.07</v>
      </c>
      <c r="K2323">
        <v>-0.33</v>
      </c>
      <c r="L2323">
        <v>10.62</v>
      </c>
      <c r="M2323" t="s">
        <v>4391</v>
      </c>
      <c r="N2323">
        <v>68.73</v>
      </c>
      <c r="O2323" t="s">
        <v>1552</v>
      </c>
      <c r="P2323">
        <v>18.88</v>
      </c>
      <c r="Q2323">
        <v>17.8</v>
      </c>
      <c r="R2323">
        <v>18.2</v>
      </c>
      <c r="S2323">
        <v>18.34</v>
      </c>
      <c r="T2323">
        <v>5.89</v>
      </c>
      <c r="U2323">
        <v>1.84</v>
      </c>
      <c r="V2323">
        <v>-74.17</v>
      </c>
      <c r="W2323">
        <v>-791</v>
      </c>
      <c r="X2323">
        <v>18.37</v>
      </c>
      <c r="Y2323" t="s">
        <v>7372</v>
      </c>
      <c r="Z2323" t="s">
        <v>1222</v>
      </c>
      <c r="AA2323">
        <v>0.96</v>
      </c>
      <c r="AB2323">
        <v>3</v>
      </c>
      <c r="AC2323">
        <v>453</v>
      </c>
      <c r="AD2323">
        <v>6.76</v>
      </c>
      <c r="AE2323" t="s">
        <v>2668</v>
      </c>
      <c r="AF2323" t="s">
        <v>1655</v>
      </c>
      <c r="AG2323" t="s">
        <v>957</v>
      </c>
      <c r="AH2323" t="s">
        <v>1802</v>
      </c>
      <c r="AI2323">
        <v>4.45</v>
      </c>
      <c r="AJ2323">
        <v>18.43</v>
      </c>
      <c r="AK2323">
        <v>35.21</v>
      </c>
      <c r="AL2323">
        <v>39.47</v>
      </c>
    </row>
    <row r="2324" spans="1:38" x14ac:dyDescent="0.25">
      <c r="A2324">
        <v>2323</v>
      </c>
      <c r="B2324" t="str">
        <f xml:space="preserve"> "300063"</f>
        <v>300063</v>
      </c>
      <c r="C2324" t="s">
        <v>7373</v>
      </c>
      <c r="D2324">
        <v>7.16</v>
      </c>
      <c r="E2324">
        <v>-2.0499999999999998</v>
      </c>
      <c r="F2324">
        <v>-0.15</v>
      </c>
      <c r="G2324" t="s">
        <v>1834</v>
      </c>
      <c r="H2324">
        <v>2706</v>
      </c>
      <c r="I2324">
        <v>7.16</v>
      </c>
      <c r="J2324">
        <v>7.17</v>
      </c>
      <c r="K2324">
        <v>-0.14000000000000001</v>
      </c>
      <c r="L2324">
        <v>3.28</v>
      </c>
      <c r="M2324" t="s">
        <v>7374</v>
      </c>
      <c r="N2324">
        <v>34.840000000000003</v>
      </c>
      <c r="O2324" t="s">
        <v>667</v>
      </c>
      <c r="P2324">
        <v>7.35</v>
      </c>
      <c r="Q2324">
        <v>7.16</v>
      </c>
      <c r="R2324">
        <v>7.32</v>
      </c>
      <c r="S2324">
        <v>7.31</v>
      </c>
      <c r="T2324">
        <v>2.6</v>
      </c>
      <c r="U2324">
        <v>1.1599999999999999</v>
      </c>
      <c r="V2324">
        <v>46.51</v>
      </c>
      <c r="W2324">
        <v>4000</v>
      </c>
      <c r="X2324">
        <v>7.22</v>
      </c>
      <c r="Y2324" t="s">
        <v>3124</v>
      </c>
      <c r="Z2324" t="s">
        <v>868</v>
      </c>
      <c r="AA2324">
        <v>1.69</v>
      </c>
      <c r="AB2324">
        <v>910</v>
      </c>
      <c r="AC2324">
        <v>247</v>
      </c>
      <c r="AD2324">
        <v>2.29</v>
      </c>
      <c r="AE2324" t="s">
        <v>1619</v>
      </c>
      <c r="AF2324" t="s">
        <v>1655</v>
      </c>
      <c r="AG2324" t="s">
        <v>3868</v>
      </c>
      <c r="AH2324" t="s">
        <v>2588</v>
      </c>
      <c r="AI2324">
        <v>-4.28</v>
      </c>
      <c r="AJ2324">
        <v>0.28000000000000003</v>
      </c>
      <c r="AK2324">
        <v>8.4700000000000006</v>
      </c>
      <c r="AL2324">
        <v>17.39</v>
      </c>
    </row>
    <row r="2325" spans="1:38" x14ac:dyDescent="0.25">
      <c r="A2325">
        <v>2324</v>
      </c>
      <c r="B2325" t="str">
        <f xml:space="preserve"> "300700"</f>
        <v>300700</v>
      </c>
      <c r="C2325" t="s">
        <v>7375</v>
      </c>
      <c r="D2325" t="s">
        <v>616</v>
      </c>
      <c r="E2325" t="s">
        <v>616</v>
      </c>
      <c r="F2325" t="s">
        <v>616</v>
      </c>
      <c r="G2325" t="s">
        <v>616</v>
      </c>
      <c r="H2325" t="s">
        <v>616</v>
      </c>
      <c r="I2325" t="s">
        <v>616</v>
      </c>
      <c r="J2325" t="s">
        <v>616</v>
      </c>
      <c r="K2325" t="s">
        <v>616</v>
      </c>
      <c r="L2325" t="s">
        <v>616</v>
      </c>
      <c r="M2325" t="s">
        <v>616</v>
      </c>
      <c r="N2325">
        <v>70.39</v>
      </c>
      <c r="O2325" t="s">
        <v>859</v>
      </c>
      <c r="P2325" t="s">
        <v>616</v>
      </c>
      <c r="Q2325" t="s">
        <v>616</v>
      </c>
      <c r="R2325" t="s">
        <v>616</v>
      </c>
      <c r="S2325">
        <v>63.11</v>
      </c>
      <c r="T2325" t="s">
        <v>616</v>
      </c>
      <c r="U2325" t="s">
        <v>616</v>
      </c>
      <c r="V2325" t="s">
        <v>616</v>
      </c>
      <c r="W2325" t="s">
        <v>616</v>
      </c>
      <c r="X2325" t="s">
        <v>616</v>
      </c>
      <c r="Y2325" t="s">
        <v>616</v>
      </c>
      <c r="Z2325" t="s">
        <v>616</v>
      </c>
      <c r="AA2325" t="s">
        <v>616</v>
      </c>
      <c r="AB2325" t="s">
        <v>616</v>
      </c>
      <c r="AC2325" t="s">
        <v>616</v>
      </c>
      <c r="AD2325">
        <v>11.33</v>
      </c>
      <c r="AE2325" t="s">
        <v>7376</v>
      </c>
      <c r="AF2325" t="s">
        <v>1655</v>
      </c>
      <c r="AG2325" t="s">
        <v>7377</v>
      </c>
      <c r="AH2325" t="s">
        <v>2828</v>
      </c>
      <c r="AI2325">
        <v>0</v>
      </c>
      <c r="AJ2325">
        <v>0</v>
      </c>
      <c r="AK2325">
        <v>0</v>
      </c>
      <c r="AL2325">
        <v>22.35</v>
      </c>
    </row>
    <row r="2326" spans="1:38" x14ac:dyDescent="0.25">
      <c r="A2326">
        <v>2325</v>
      </c>
      <c r="B2326" t="str">
        <f xml:space="preserve"> "300205"</f>
        <v>300205</v>
      </c>
      <c r="C2326" t="s">
        <v>7378</v>
      </c>
      <c r="D2326">
        <v>12.08</v>
      </c>
      <c r="E2326">
        <v>-1.79</v>
      </c>
      <c r="F2326">
        <v>-0.22</v>
      </c>
      <c r="G2326" t="s">
        <v>1242</v>
      </c>
      <c r="H2326">
        <v>701</v>
      </c>
      <c r="I2326">
        <v>12.08</v>
      </c>
      <c r="J2326">
        <v>12.09</v>
      </c>
      <c r="K2326">
        <v>0.17</v>
      </c>
      <c r="L2326">
        <v>2.72</v>
      </c>
      <c r="M2326" t="s">
        <v>3110</v>
      </c>
      <c r="N2326">
        <v>87.81</v>
      </c>
      <c r="O2326" t="s">
        <v>380</v>
      </c>
      <c r="P2326">
        <v>12.3</v>
      </c>
      <c r="Q2326">
        <v>11.98</v>
      </c>
      <c r="R2326">
        <v>12.2</v>
      </c>
      <c r="S2326">
        <v>12.3</v>
      </c>
      <c r="T2326">
        <v>2.6</v>
      </c>
      <c r="U2326">
        <v>1.24</v>
      </c>
      <c r="V2326">
        <v>50.59</v>
      </c>
      <c r="W2326">
        <v>1763</v>
      </c>
      <c r="X2326">
        <v>12.09</v>
      </c>
      <c r="Y2326" t="s">
        <v>3828</v>
      </c>
      <c r="Z2326" t="s">
        <v>1719</v>
      </c>
      <c r="AA2326">
        <v>2.13</v>
      </c>
      <c r="AB2326">
        <v>1097</v>
      </c>
      <c r="AC2326">
        <v>211</v>
      </c>
      <c r="AD2326">
        <v>4.4400000000000004</v>
      </c>
      <c r="AE2326" t="s">
        <v>2233</v>
      </c>
      <c r="AF2326" t="s">
        <v>1655</v>
      </c>
      <c r="AG2326" t="s">
        <v>5765</v>
      </c>
      <c r="AH2326" t="s">
        <v>4496</v>
      </c>
      <c r="AI2326">
        <v>-0.74</v>
      </c>
      <c r="AJ2326">
        <v>4.05</v>
      </c>
      <c r="AK2326">
        <v>9.0399999999999991</v>
      </c>
      <c r="AL2326">
        <v>13.73</v>
      </c>
    </row>
    <row r="2327" spans="1:38" x14ac:dyDescent="0.25">
      <c r="A2327">
        <v>2326</v>
      </c>
      <c r="B2327" t="str">
        <f xml:space="preserve"> "300331"</f>
        <v>300331</v>
      </c>
      <c r="C2327" t="s">
        <v>7379</v>
      </c>
      <c r="D2327">
        <v>22.98</v>
      </c>
      <c r="E2327">
        <v>0.7</v>
      </c>
      <c r="F2327">
        <v>0.16</v>
      </c>
      <c r="G2327" t="s">
        <v>121</v>
      </c>
      <c r="H2327">
        <v>1075</v>
      </c>
      <c r="I2327">
        <v>22.98</v>
      </c>
      <c r="J2327">
        <v>22.99</v>
      </c>
      <c r="K2327">
        <v>0</v>
      </c>
      <c r="L2327">
        <v>2.15</v>
      </c>
      <c r="M2327" t="s">
        <v>7380</v>
      </c>
      <c r="N2327">
        <v>72.760000000000005</v>
      </c>
      <c r="O2327" t="s">
        <v>859</v>
      </c>
      <c r="P2327">
        <v>22.99</v>
      </c>
      <c r="Q2327">
        <v>22.68</v>
      </c>
      <c r="R2327">
        <v>22.84</v>
      </c>
      <c r="S2327">
        <v>22.82</v>
      </c>
      <c r="T2327">
        <v>1.36</v>
      </c>
      <c r="U2327">
        <v>0.78</v>
      </c>
      <c r="V2327">
        <v>-5.67</v>
      </c>
      <c r="W2327">
        <v>-43</v>
      </c>
      <c r="X2327">
        <v>22.84</v>
      </c>
      <c r="Y2327" t="s">
        <v>1153</v>
      </c>
      <c r="Z2327" t="s">
        <v>4112</v>
      </c>
      <c r="AA2327">
        <v>1.01</v>
      </c>
      <c r="AB2327">
        <v>35</v>
      </c>
      <c r="AC2327">
        <v>77</v>
      </c>
      <c r="AD2327">
        <v>3.85</v>
      </c>
      <c r="AE2327" t="s">
        <v>2942</v>
      </c>
      <c r="AF2327" t="s">
        <v>6664</v>
      </c>
      <c r="AG2327" t="s">
        <v>3398</v>
      </c>
      <c r="AH2327" t="s">
        <v>1231</v>
      </c>
      <c r="AI2327">
        <v>-1.5</v>
      </c>
      <c r="AJ2327">
        <v>2</v>
      </c>
      <c r="AK2327">
        <v>7.72</v>
      </c>
      <c r="AL2327">
        <v>15.98</v>
      </c>
    </row>
    <row r="2328" spans="1:38" x14ac:dyDescent="0.25">
      <c r="A2328">
        <v>2327</v>
      </c>
      <c r="B2328" t="str">
        <f xml:space="preserve"> "000151"</f>
        <v>000151</v>
      </c>
      <c r="C2328" t="s">
        <v>7381</v>
      </c>
      <c r="D2328">
        <v>17.54</v>
      </c>
      <c r="E2328">
        <v>0.34</v>
      </c>
      <c r="F2328">
        <v>0.06</v>
      </c>
      <c r="G2328" t="s">
        <v>2360</v>
      </c>
      <c r="H2328">
        <v>256</v>
      </c>
      <c r="I2328">
        <v>17.53</v>
      </c>
      <c r="J2328">
        <v>17.54</v>
      </c>
      <c r="K2328">
        <v>-0.11</v>
      </c>
      <c r="L2328">
        <v>0.83</v>
      </c>
      <c r="M2328" t="s">
        <v>7382</v>
      </c>
      <c r="N2328">
        <v>50.14</v>
      </c>
      <c r="O2328" t="s">
        <v>2001</v>
      </c>
      <c r="P2328">
        <v>17.61</v>
      </c>
      <c r="Q2328">
        <v>17.420000000000002</v>
      </c>
      <c r="R2328">
        <v>17.489999999999998</v>
      </c>
      <c r="S2328">
        <v>17.48</v>
      </c>
      <c r="T2328">
        <v>1.0900000000000001</v>
      </c>
      <c r="U2328">
        <v>0.72</v>
      </c>
      <c r="V2328">
        <v>0.55000000000000004</v>
      </c>
      <c r="W2328">
        <v>6</v>
      </c>
      <c r="X2328">
        <v>17.489999999999998</v>
      </c>
      <c r="Y2328" t="s">
        <v>545</v>
      </c>
      <c r="Z2328">
        <v>9202</v>
      </c>
      <c r="AA2328">
        <v>1.4</v>
      </c>
      <c r="AB2328">
        <v>42</v>
      </c>
      <c r="AC2328">
        <v>13</v>
      </c>
      <c r="AD2328">
        <v>5.44</v>
      </c>
      <c r="AE2328" t="s">
        <v>5328</v>
      </c>
      <c r="AF2328" t="s">
        <v>6664</v>
      </c>
      <c r="AG2328" t="s">
        <v>4143</v>
      </c>
      <c r="AH2328" t="s">
        <v>6514</v>
      </c>
      <c r="AI2328">
        <v>-0.11</v>
      </c>
      <c r="AJ2328">
        <v>1.8</v>
      </c>
      <c r="AK2328">
        <v>3.06</v>
      </c>
      <c r="AL2328">
        <v>6.55</v>
      </c>
    </row>
    <row r="2329" spans="1:38" x14ac:dyDescent="0.25">
      <c r="A2329">
        <v>2328</v>
      </c>
      <c r="B2329" t="str">
        <f xml:space="preserve"> "000789"</f>
        <v>000789</v>
      </c>
      <c r="C2329" t="s">
        <v>7383</v>
      </c>
      <c r="D2329">
        <v>8.4600000000000009</v>
      </c>
      <c r="E2329">
        <v>0.12</v>
      </c>
      <c r="F2329">
        <v>0.01</v>
      </c>
      <c r="G2329" t="s">
        <v>2332</v>
      </c>
      <c r="H2329">
        <v>2055</v>
      </c>
      <c r="I2329">
        <v>8.4600000000000009</v>
      </c>
      <c r="J2329">
        <v>8.4700000000000006</v>
      </c>
      <c r="K2329">
        <v>0.24</v>
      </c>
      <c r="L2329">
        <v>1.54</v>
      </c>
      <c r="M2329" t="s">
        <v>7384</v>
      </c>
      <c r="N2329">
        <v>29.64</v>
      </c>
      <c r="O2329" t="s">
        <v>562</v>
      </c>
      <c r="P2329">
        <v>8.49</v>
      </c>
      <c r="Q2329">
        <v>8.3800000000000008</v>
      </c>
      <c r="R2329">
        <v>8.4499999999999993</v>
      </c>
      <c r="S2329">
        <v>8.4499999999999993</v>
      </c>
      <c r="T2329">
        <v>1.3</v>
      </c>
      <c r="U2329">
        <v>0.56999999999999995</v>
      </c>
      <c r="V2329">
        <v>-9.4700000000000006</v>
      </c>
      <c r="W2329">
        <v>-560</v>
      </c>
      <c r="X2329">
        <v>8.4499999999999993</v>
      </c>
      <c r="Y2329" t="s">
        <v>2988</v>
      </c>
      <c r="Z2329" t="s">
        <v>2124</v>
      </c>
      <c r="AA2329">
        <v>1.39</v>
      </c>
      <c r="AB2329">
        <v>215</v>
      </c>
      <c r="AC2329">
        <v>673</v>
      </c>
      <c r="AD2329">
        <v>1.87</v>
      </c>
      <c r="AE2329" t="s">
        <v>3267</v>
      </c>
      <c r="AF2329" t="s">
        <v>6664</v>
      </c>
      <c r="AG2329" t="s">
        <v>3267</v>
      </c>
      <c r="AH2329" t="s">
        <v>6664</v>
      </c>
      <c r="AI2329">
        <v>-4.9400000000000004</v>
      </c>
      <c r="AJ2329">
        <v>-2.76</v>
      </c>
      <c r="AK2329">
        <v>7.25</v>
      </c>
      <c r="AL2329">
        <v>15.09</v>
      </c>
    </row>
    <row r="2330" spans="1:38" x14ac:dyDescent="0.25">
      <c r="A2330">
        <v>2329</v>
      </c>
      <c r="B2330" t="str">
        <f xml:space="preserve"> "603886"</f>
        <v>603886</v>
      </c>
      <c r="C2330" t="s">
        <v>7385</v>
      </c>
      <c r="D2330">
        <v>21.62</v>
      </c>
      <c r="E2330">
        <v>1.26</v>
      </c>
      <c r="F2330">
        <v>0.27</v>
      </c>
      <c r="G2330" t="s">
        <v>1454</v>
      </c>
      <c r="H2330">
        <v>3</v>
      </c>
      <c r="I2330">
        <v>21.6</v>
      </c>
      <c r="J2330">
        <v>21.61</v>
      </c>
      <c r="K2330">
        <v>0.09</v>
      </c>
      <c r="L2330">
        <v>3.45</v>
      </c>
      <c r="M2330" t="s">
        <v>7386</v>
      </c>
      <c r="N2330">
        <v>756.34</v>
      </c>
      <c r="O2330" t="s">
        <v>406</v>
      </c>
      <c r="P2330">
        <v>21.68</v>
      </c>
      <c r="Q2330">
        <v>21.17</v>
      </c>
      <c r="R2330">
        <v>21.35</v>
      </c>
      <c r="S2330">
        <v>21.35</v>
      </c>
      <c r="T2330">
        <v>2.39</v>
      </c>
      <c r="U2330">
        <v>0.74</v>
      </c>
      <c r="V2330">
        <v>-3.64</v>
      </c>
      <c r="W2330">
        <v>-38</v>
      </c>
      <c r="X2330">
        <v>21.52</v>
      </c>
      <c r="Y2330">
        <v>9061</v>
      </c>
      <c r="Z2330" t="s">
        <v>3095</v>
      </c>
      <c r="AA2330">
        <v>0.78</v>
      </c>
      <c r="AB2330">
        <v>141</v>
      </c>
      <c r="AC2330">
        <v>1</v>
      </c>
      <c r="AD2330">
        <v>5.08</v>
      </c>
      <c r="AE2330" t="s">
        <v>2521</v>
      </c>
      <c r="AF2330" t="s">
        <v>6664</v>
      </c>
      <c r="AG2330" t="s">
        <v>5162</v>
      </c>
      <c r="AH2330" t="s">
        <v>2828</v>
      </c>
      <c r="AI2330">
        <v>0.42</v>
      </c>
      <c r="AJ2330">
        <v>-1.1399999999999999</v>
      </c>
      <c r="AK2330">
        <v>11.9</v>
      </c>
      <c r="AL2330">
        <v>26.64</v>
      </c>
    </row>
    <row r="2331" spans="1:38" x14ac:dyDescent="0.25">
      <c r="A2331">
        <v>2330</v>
      </c>
      <c r="B2331" t="str">
        <f xml:space="preserve"> "002546"</f>
        <v>002546</v>
      </c>
      <c r="C2331" t="s">
        <v>7387</v>
      </c>
      <c r="D2331">
        <v>6.22</v>
      </c>
      <c r="E2331">
        <v>0.48</v>
      </c>
      <c r="F2331">
        <v>0.03</v>
      </c>
      <c r="G2331" t="s">
        <v>5033</v>
      </c>
      <c r="H2331">
        <v>209</v>
      </c>
      <c r="I2331">
        <v>6.22</v>
      </c>
      <c r="J2331">
        <v>6.23</v>
      </c>
      <c r="K2331">
        <v>-0.16</v>
      </c>
      <c r="L2331">
        <v>0.33</v>
      </c>
      <c r="M2331" t="s">
        <v>7388</v>
      </c>
      <c r="N2331">
        <v>52.39</v>
      </c>
      <c r="O2331" t="s">
        <v>680</v>
      </c>
      <c r="P2331">
        <v>6.24</v>
      </c>
      <c r="Q2331">
        <v>6.16</v>
      </c>
      <c r="R2331">
        <v>6.19</v>
      </c>
      <c r="S2331">
        <v>6.19</v>
      </c>
      <c r="T2331">
        <v>1.29</v>
      </c>
      <c r="U2331">
        <v>0.7</v>
      </c>
      <c r="V2331">
        <v>-43.43</v>
      </c>
      <c r="W2331">
        <v>-1801</v>
      </c>
      <c r="X2331">
        <v>6.21</v>
      </c>
      <c r="Y2331" t="s">
        <v>5621</v>
      </c>
      <c r="Z2331" t="s">
        <v>691</v>
      </c>
      <c r="AA2331">
        <v>1.1499999999999999</v>
      </c>
      <c r="AB2331">
        <v>392</v>
      </c>
      <c r="AC2331">
        <v>428</v>
      </c>
      <c r="AD2331">
        <v>1.87</v>
      </c>
      <c r="AE2331" t="s">
        <v>6867</v>
      </c>
      <c r="AF2331" t="s">
        <v>6664</v>
      </c>
      <c r="AG2331" t="s">
        <v>2282</v>
      </c>
      <c r="AH2331" t="s">
        <v>7389</v>
      </c>
      <c r="AI2331">
        <v>-0.64</v>
      </c>
      <c r="AJ2331">
        <v>2.2999999999999998</v>
      </c>
      <c r="AK2331">
        <v>1.4</v>
      </c>
      <c r="AL2331">
        <v>2.65</v>
      </c>
    </row>
    <row r="2332" spans="1:38" x14ac:dyDescent="0.25">
      <c r="A2332">
        <v>2331</v>
      </c>
      <c r="B2332" t="str">
        <f xml:space="preserve"> "002459"</f>
        <v>002459</v>
      </c>
      <c r="C2332" t="s">
        <v>7390</v>
      </c>
      <c r="D2332">
        <v>13.34</v>
      </c>
      <c r="E2332">
        <v>0.91</v>
      </c>
      <c r="F2332">
        <v>0.12</v>
      </c>
      <c r="G2332" t="s">
        <v>394</v>
      </c>
      <c r="H2332">
        <v>358</v>
      </c>
      <c r="I2332">
        <v>13.33</v>
      </c>
      <c r="J2332">
        <v>13.34</v>
      </c>
      <c r="K2332">
        <v>0</v>
      </c>
      <c r="L2332">
        <v>1.03</v>
      </c>
      <c r="M2332" t="s">
        <v>3742</v>
      </c>
      <c r="N2332">
        <v>790.3</v>
      </c>
      <c r="O2332" t="s">
        <v>648</v>
      </c>
      <c r="P2332">
        <v>13.4</v>
      </c>
      <c r="Q2332">
        <v>13.12</v>
      </c>
      <c r="R2332">
        <v>13.24</v>
      </c>
      <c r="S2332">
        <v>13.22</v>
      </c>
      <c r="T2332">
        <v>2.12</v>
      </c>
      <c r="U2332">
        <v>1.1399999999999999</v>
      </c>
      <c r="V2332">
        <v>13.86</v>
      </c>
      <c r="W2332">
        <v>260</v>
      </c>
      <c r="X2332">
        <v>13.3</v>
      </c>
      <c r="Y2332" t="s">
        <v>2991</v>
      </c>
      <c r="Z2332" t="s">
        <v>1836</v>
      </c>
      <c r="AA2332">
        <v>1.0900000000000001</v>
      </c>
      <c r="AB2332">
        <v>16</v>
      </c>
      <c r="AC2332">
        <v>22</v>
      </c>
      <c r="AD2332">
        <v>4.18</v>
      </c>
      <c r="AE2332" t="s">
        <v>6399</v>
      </c>
      <c r="AF2332" t="s">
        <v>6664</v>
      </c>
      <c r="AG2332" t="s">
        <v>1666</v>
      </c>
      <c r="AH2332" t="s">
        <v>1644</v>
      </c>
      <c r="AI2332">
        <v>-0.37</v>
      </c>
      <c r="AJ2332">
        <v>1.21</v>
      </c>
      <c r="AK2332">
        <v>2.88</v>
      </c>
      <c r="AL2332">
        <v>5.57</v>
      </c>
    </row>
    <row r="2333" spans="1:38" x14ac:dyDescent="0.25">
      <c r="A2333">
        <v>2332</v>
      </c>
      <c r="B2333" t="str">
        <f xml:space="preserve"> "600800"</f>
        <v>600800</v>
      </c>
      <c r="C2333" t="s">
        <v>7391</v>
      </c>
      <c r="D2333">
        <v>8.48</v>
      </c>
      <c r="E2333">
        <v>-0.24</v>
      </c>
      <c r="F2333">
        <v>-0.02</v>
      </c>
      <c r="G2333" t="s">
        <v>1586</v>
      </c>
      <c r="H2333">
        <v>10</v>
      </c>
      <c r="I2333">
        <v>8.48</v>
      </c>
      <c r="J2333">
        <v>8.49</v>
      </c>
      <c r="K2333">
        <v>-0.12</v>
      </c>
      <c r="L2333">
        <v>1.21</v>
      </c>
      <c r="M2333" t="s">
        <v>7392</v>
      </c>
      <c r="N2333">
        <v>-78.459999999999994</v>
      </c>
      <c r="O2333" t="s">
        <v>553</v>
      </c>
      <c r="P2333">
        <v>8.58</v>
      </c>
      <c r="Q2333">
        <v>8.39</v>
      </c>
      <c r="R2333">
        <v>8.42</v>
      </c>
      <c r="S2333">
        <v>8.5</v>
      </c>
      <c r="T2333">
        <v>2.2400000000000002</v>
      </c>
      <c r="U2333">
        <v>0.71</v>
      </c>
      <c r="V2333">
        <v>-2.4</v>
      </c>
      <c r="W2333">
        <v>-148</v>
      </c>
      <c r="X2333">
        <v>8.49</v>
      </c>
      <c r="Y2333" t="s">
        <v>753</v>
      </c>
      <c r="Z2333" t="s">
        <v>4378</v>
      </c>
      <c r="AA2333">
        <v>1.35</v>
      </c>
      <c r="AB2333">
        <v>306</v>
      </c>
      <c r="AC2333">
        <v>463</v>
      </c>
      <c r="AD2333">
        <v>60.92</v>
      </c>
      <c r="AE2333" t="s">
        <v>5240</v>
      </c>
      <c r="AF2333" t="s">
        <v>4687</v>
      </c>
      <c r="AG2333" t="s">
        <v>5240</v>
      </c>
      <c r="AH2333" t="s">
        <v>4687</v>
      </c>
      <c r="AI2333">
        <v>0.12</v>
      </c>
      <c r="AJ2333">
        <v>4.82</v>
      </c>
      <c r="AK2333">
        <v>5.88</v>
      </c>
      <c r="AL2333">
        <v>9.73</v>
      </c>
    </row>
    <row r="2334" spans="1:38" x14ac:dyDescent="0.25">
      <c r="A2334">
        <v>2333</v>
      </c>
      <c r="B2334" t="str">
        <f xml:space="preserve"> "300645"</f>
        <v>300645</v>
      </c>
      <c r="C2334" t="s">
        <v>7393</v>
      </c>
      <c r="D2334">
        <v>77.709999999999994</v>
      </c>
      <c r="E2334">
        <v>8.35</v>
      </c>
      <c r="F2334">
        <v>5.99</v>
      </c>
      <c r="G2334">
        <v>8133</v>
      </c>
      <c r="H2334">
        <v>157</v>
      </c>
      <c r="I2334">
        <v>77.7</v>
      </c>
      <c r="J2334">
        <v>77.709999999999994</v>
      </c>
      <c r="K2334">
        <v>0.04</v>
      </c>
      <c r="L2334">
        <v>4.88</v>
      </c>
      <c r="M2334" t="s">
        <v>7394</v>
      </c>
      <c r="N2334">
        <v>-1396.82</v>
      </c>
      <c r="O2334" t="s">
        <v>893</v>
      </c>
      <c r="P2334">
        <v>78.89</v>
      </c>
      <c r="Q2334">
        <v>72.25</v>
      </c>
      <c r="R2334">
        <v>73.2</v>
      </c>
      <c r="S2334">
        <v>71.72</v>
      </c>
      <c r="T2334">
        <v>9.26</v>
      </c>
      <c r="U2334">
        <v>0.87</v>
      </c>
      <c r="V2334">
        <v>0</v>
      </c>
      <c r="W2334">
        <v>0</v>
      </c>
      <c r="X2334">
        <v>76.7</v>
      </c>
      <c r="Y2334">
        <v>4111</v>
      </c>
      <c r="Z2334">
        <v>4022</v>
      </c>
      <c r="AA2334">
        <v>1.02</v>
      </c>
      <c r="AB2334">
        <v>1</v>
      </c>
      <c r="AC2334">
        <v>12</v>
      </c>
      <c r="AD2334">
        <v>10.36</v>
      </c>
      <c r="AE2334" t="s">
        <v>7395</v>
      </c>
      <c r="AF2334" t="s">
        <v>4687</v>
      </c>
      <c r="AG2334" t="s">
        <v>6785</v>
      </c>
      <c r="AH2334" t="s">
        <v>2828</v>
      </c>
      <c r="AI2334">
        <v>17.21</v>
      </c>
      <c r="AJ2334">
        <v>26.89</v>
      </c>
      <c r="AK2334">
        <v>12.77</v>
      </c>
      <c r="AL2334">
        <v>33.020000000000003</v>
      </c>
    </row>
    <row r="2335" spans="1:38" x14ac:dyDescent="0.25">
      <c r="A2335">
        <v>2334</v>
      </c>
      <c r="B2335" t="str">
        <f xml:space="preserve"> "002549"</f>
        <v>002549</v>
      </c>
      <c r="C2335" t="s">
        <v>7396</v>
      </c>
      <c r="D2335">
        <v>8.3000000000000007</v>
      </c>
      <c r="E2335">
        <v>4.01</v>
      </c>
      <c r="F2335">
        <v>0.32</v>
      </c>
      <c r="G2335" t="s">
        <v>991</v>
      </c>
      <c r="H2335">
        <v>2574</v>
      </c>
      <c r="I2335">
        <v>8.3000000000000007</v>
      </c>
      <c r="J2335">
        <v>8.31</v>
      </c>
      <c r="K2335">
        <v>-0.12</v>
      </c>
      <c r="L2335">
        <v>1.72</v>
      </c>
      <c r="M2335" t="s">
        <v>7397</v>
      </c>
      <c r="N2335">
        <v>195.92</v>
      </c>
      <c r="O2335" t="s">
        <v>667</v>
      </c>
      <c r="P2335">
        <v>8.33</v>
      </c>
      <c r="Q2335">
        <v>7.97</v>
      </c>
      <c r="R2335">
        <v>7.98</v>
      </c>
      <c r="S2335">
        <v>7.98</v>
      </c>
      <c r="T2335">
        <v>4.51</v>
      </c>
      <c r="U2335">
        <v>3.23</v>
      </c>
      <c r="V2335">
        <v>-45.39</v>
      </c>
      <c r="W2335">
        <v>-3869</v>
      </c>
      <c r="X2335">
        <v>8.1999999999999993</v>
      </c>
      <c r="Y2335" t="s">
        <v>1712</v>
      </c>
      <c r="Z2335" t="s">
        <v>649</v>
      </c>
      <c r="AA2335">
        <v>0.52</v>
      </c>
      <c r="AB2335">
        <v>576</v>
      </c>
      <c r="AC2335">
        <v>1139</v>
      </c>
      <c r="AD2335">
        <v>6.19</v>
      </c>
      <c r="AE2335" t="s">
        <v>4437</v>
      </c>
      <c r="AF2335" t="s">
        <v>4687</v>
      </c>
      <c r="AG2335" t="s">
        <v>1823</v>
      </c>
      <c r="AH2335" t="s">
        <v>7056</v>
      </c>
      <c r="AI2335">
        <v>2.2200000000000002</v>
      </c>
      <c r="AJ2335">
        <v>5.46</v>
      </c>
      <c r="AK2335">
        <v>2.7</v>
      </c>
      <c r="AL2335">
        <v>4.37</v>
      </c>
    </row>
    <row r="2336" spans="1:38" x14ac:dyDescent="0.25">
      <c r="A2336">
        <v>2335</v>
      </c>
      <c r="B2336" t="str">
        <f xml:space="preserve"> "002801"</f>
        <v>002801</v>
      </c>
      <c r="C2336" t="s">
        <v>7398</v>
      </c>
      <c r="D2336">
        <v>43.73</v>
      </c>
      <c r="E2336">
        <v>-1.66</v>
      </c>
      <c r="F2336">
        <v>-0.74</v>
      </c>
      <c r="G2336" t="s">
        <v>899</v>
      </c>
      <c r="H2336">
        <v>427</v>
      </c>
      <c r="I2336">
        <v>43.73</v>
      </c>
      <c r="J2336">
        <v>43.75</v>
      </c>
      <c r="K2336">
        <v>0</v>
      </c>
      <c r="L2336">
        <v>6.3</v>
      </c>
      <c r="M2336" t="s">
        <v>7399</v>
      </c>
      <c r="N2336">
        <v>47.03</v>
      </c>
      <c r="O2336" t="s">
        <v>648</v>
      </c>
      <c r="P2336">
        <v>44.18</v>
      </c>
      <c r="Q2336">
        <v>43.12</v>
      </c>
      <c r="R2336">
        <v>43.8</v>
      </c>
      <c r="S2336">
        <v>44.47</v>
      </c>
      <c r="T2336">
        <v>2.38</v>
      </c>
      <c r="U2336">
        <v>0.45</v>
      </c>
      <c r="V2336">
        <v>43.29</v>
      </c>
      <c r="W2336">
        <v>200</v>
      </c>
      <c r="X2336">
        <v>43.58</v>
      </c>
      <c r="Y2336" t="s">
        <v>3041</v>
      </c>
      <c r="Z2336">
        <v>7698</v>
      </c>
      <c r="AA2336">
        <v>1.41</v>
      </c>
      <c r="AB2336">
        <v>137</v>
      </c>
      <c r="AC2336">
        <v>35</v>
      </c>
      <c r="AD2336">
        <v>6.59</v>
      </c>
      <c r="AE2336" t="s">
        <v>1606</v>
      </c>
      <c r="AF2336" t="s">
        <v>4687</v>
      </c>
      <c r="AG2336" t="s">
        <v>6717</v>
      </c>
      <c r="AH2336" t="s">
        <v>2683</v>
      </c>
      <c r="AI2336">
        <v>-0.95</v>
      </c>
      <c r="AJ2336">
        <v>3.04</v>
      </c>
      <c r="AK2336">
        <v>25.83</v>
      </c>
      <c r="AL2336">
        <v>76.67</v>
      </c>
    </row>
    <row r="2337" spans="1:38" x14ac:dyDescent="0.25">
      <c r="A2337">
        <v>2336</v>
      </c>
      <c r="B2337" t="str">
        <f xml:space="preserve"> "300692"</f>
        <v>300692</v>
      </c>
      <c r="C2337" t="s">
        <v>7400</v>
      </c>
      <c r="D2337">
        <v>48.49</v>
      </c>
      <c r="E2337">
        <v>10</v>
      </c>
      <c r="F2337">
        <v>4.41</v>
      </c>
      <c r="G2337" t="s">
        <v>914</v>
      </c>
      <c r="H2337">
        <v>148</v>
      </c>
      <c r="I2337">
        <v>48.49</v>
      </c>
      <c r="J2337" t="s">
        <v>616</v>
      </c>
      <c r="K2337">
        <v>0</v>
      </c>
      <c r="L2337">
        <v>26.02</v>
      </c>
      <c r="M2337" t="s">
        <v>391</v>
      </c>
      <c r="N2337">
        <v>137.75</v>
      </c>
      <c r="O2337" t="s">
        <v>1155</v>
      </c>
      <c r="P2337">
        <v>48.49</v>
      </c>
      <c r="Q2337">
        <v>43.1</v>
      </c>
      <c r="R2337">
        <v>43.8</v>
      </c>
      <c r="S2337">
        <v>44.08</v>
      </c>
      <c r="T2337">
        <v>12.23</v>
      </c>
      <c r="U2337">
        <v>1</v>
      </c>
      <c r="V2337">
        <v>100</v>
      </c>
      <c r="W2337">
        <v>9451</v>
      </c>
      <c r="X2337">
        <v>46.38</v>
      </c>
      <c r="Y2337" t="s">
        <v>5066</v>
      </c>
      <c r="Z2337" t="s">
        <v>2777</v>
      </c>
      <c r="AA2337">
        <v>1.6</v>
      </c>
      <c r="AB2337">
        <v>9415</v>
      </c>
      <c r="AC2337">
        <v>0</v>
      </c>
      <c r="AD2337">
        <v>7.77</v>
      </c>
      <c r="AE2337" t="s">
        <v>1314</v>
      </c>
      <c r="AF2337" t="s">
        <v>6085</v>
      </c>
      <c r="AG2337" t="s">
        <v>7087</v>
      </c>
      <c r="AH2337" t="s">
        <v>2683</v>
      </c>
      <c r="AI2337">
        <v>0.39</v>
      </c>
      <c r="AJ2337">
        <v>4.4800000000000004</v>
      </c>
      <c r="AK2337">
        <v>68.44</v>
      </c>
      <c r="AL2337">
        <v>156.01</v>
      </c>
    </row>
    <row r="2338" spans="1:38" x14ac:dyDescent="0.25">
      <c r="A2338">
        <v>2337</v>
      </c>
      <c r="B2338" t="str">
        <f xml:space="preserve"> "600789"</f>
        <v>600789</v>
      </c>
      <c r="C2338" t="s">
        <v>7401</v>
      </c>
      <c r="D2338">
        <v>8.8800000000000008</v>
      </c>
      <c r="E2338">
        <v>0.34</v>
      </c>
      <c r="F2338">
        <v>0.03</v>
      </c>
      <c r="G2338" t="s">
        <v>678</v>
      </c>
      <c r="H2338">
        <v>30</v>
      </c>
      <c r="I2338">
        <v>8.8800000000000008</v>
      </c>
      <c r="J2338">
        <v>8.89</v>
      </c>
      <c r="K2338">
        <v>0.11</v>
      </c>
      <c r="L2338">
        <v>2.39</v>
      </c>
      <c r="M2338" t="s">
        <v>2442</v>
      </c>
      <c r="N2338">
        <v>80.680000000000007</v>
      </c>
      <c r="O2338" t="s">
        <v>392</v>
      </c>
      <c r="P2338">
        <v>8.92</v>
      </c>
      <c r="Q2338">
        <v>8.7899999999999991</v>
      </c>
      <c r="R2338">
        <v>8.85</v>
      </c>
      <c r="S2338">
        <v>8.85</v>
      </c>
      <c r="T2338">
        <v>1.47</v>
      </c>
      <c r="U2338">
        <v>0.8</v>
      </c>
      <c r="V2338">
        <v>-20.8</v>
      </c>
      <c r="W2338">
        <v>-3469</v>
      </c>
      <c r="X2338">
        <v>8.86</v>
      </c>
      <c r="Y2338" t="s">
        <v>2441</v>
      </c>
      <c r="Z2338" t="s">
        <v>1516</v>
      </c>
      <c r="AA2338">
        <v>0.95</v>
      </c>
      <c r="AB2338">
        <v>128</v>
      </c>
      <c r="AC2338">
        <v>2789</v>
      </c>
      <c r="AD2338">
        <v>2.75</v>
      </c>
      <c r="AE2338" t="s">
        <v>3640</v>
      </c>
      <c r="AF2338" t="s">
        <v>3854</v>
      </c>
      <c r="AG2338" t="s">
        <v>3640</v>
      </c>
      <c r="AH2338" t="s">
        <v>3854</v>
      </c>
      <c r="AI2338">
        <v>0</v>
      </c>
      <c r="AJ2338">
        <v>3.74</v>
      </c>
      <c r="AK2338">
        <v>8.82</v>
      </c>
      <c r="AL2338">
        <v>17.399999999999999</v>
      </c>
    </row>
    <row r="2339" spans="1:38" x14ac:dyDescent="0.25">
      <c r="A2339">
        <v>2338</v>
      </c>
      <c r="B2339" t="str">
        <f xml:space="preserve"> "000663"</f>
        <v>000663</v>
      </c>
      <c r="C2339" t="s">
        <v>7402</v>
      </c>
      <c r="D2339">
        <v>15.14</v>
      </c>
      <c r="E2339">
        <v>-0.85</v>
      </c>
      <c r="F2339">
        <v>-0.13</v>
      </c>
      <c r="G2339" t="s">
        <v>691</v>
      </c>
      <c r="H2339">
        <v>263</v>
      </c>
      <c r="I2339">
        <v>15.13</v>
      </c>
      <c r="J2339">
        <v>15.14</v>
      </c>
      <c r="K2339">
        <v>-7.0000000000000007E-2</v>
      </c>
      <c r="L2339">
        <v>0.63</v>
      </c>
      <c r="M2339" t="s">
        <v>7403</v>
      </c>
      <c r="N2339">
        <v>397.81</v>
      </c>
      <c r="O2339" t="s">
        <v>1469</v>
      </c>
      <c r="P2339">
        <v>15.34</v>
      </c>
      <c r="Q2339">
        <v>15.09</v>
      </c>
      <c r="R2339">
        <v>15.27</v>
      </c>
      <c r="S2339">
        <v>15.27</v>
      </c>
      <c r="T2339">
        <v>1.64</v>
      </c>
      <c r="U2339">
        <v>0.61</v>
      </c>
      <c r="V2339">
        <v>55.67</v>
      </c>
      <c r="W2339">
        <v>633</v>
      </c>
      <c r="X2339">
        <v>15.17</v>
      </c>
      <c r="Y2339">
        <v>7913</v>
      </c>
      <c r="Z2339">
        <v>3962</v>
      </c>
      <c r="AA2339">
        <v>2</v>
      </c>
      <c r="AB2339">
        <v>412</v>
      </c>
      <c r="AC2339">
        <v>31</v>
      </c>
      <c r="AD2339">
        <v>2.42</v>
      </c>
      <c r="AE2339" t="s">
        <v>1034</v>
      </c>
      <c r="AF2339" t="s">
        <v>3854</v>
      </c>
      <c r="AG2339" t="s">
        <v>957</v>
      </c>
      <c r="AH2339" t="s">
        <v>939</v>
      </c>
      <c r="AI2339">
        <v>0.26</v>
      </c>
      <c r="AJ2339">
        <v>-0.59</v>
      </c>
      <c r="AK2339">
        <v>2.76</v>
      </c>
      <c r="AL2339">
        <v>5.81</v>
      </c>
    </row>
    <row r="2340" spans="1:38" x14ac:dyDescent="0.25">
      <c r="A2340">
        <v>2339</v>
      </c>
      <c r="B2340" t="str">
        <f xml:space="preserve"> "002637"</f>
        <v>002637</v>
      </c>
      <c r="C2340" t="s">
        <v>7404</v>
      </c>
      <c r="D2340">
        <v>12.22</v>
      </c>
      <c r="E2340">
        <v>1.66</v>
      </c>
      <c r="F2340">
        <v>0.2</v>
      </c>
      <c r="G2340" t="s">
        <v>1111</v>
      </c>
      <c r="H2340">
        <v>675</v>
      </c>
      <c r="I2340">
        <v>12.22</v>
      </c>
      <c r="J2340">
        <v>12.23</v>
      </c>
      <c r="K2340">
        <v>0</v>
      </c>
      <c r="L2340">
        <v>1.35</v>
      </c>
      <c r="M2340" t="s">
        <v>7405</v>
      </c>
      <c r="N2340">
        <v>57.9</v>
      </c>
      <c r="O2340" t="s">
        <v>667</v>
      </c>
      <c r="P2340">
        <v>12.22</v>
      </c>
      <c r="Q2340">
        <v>11.79</v>
      </c>
      <c r="R2340">
        <v>11.95</v>
      </c>
      <c r="S2340">
        <v>12.02</v>
      </c>
      <c r="T2340">
        <v>3.58</v>
      </c>
      <c r="U2340">
        <v>0.8</v>
      </c>
      <c r="V2340">
        <v>8.77</v>
      </c>
      <c r="W2340">
        <v>143</v>
      </c>
      <c r="X2340">
        <v>12.03</v>
      </c>
      <c r="Y2340" t="s">
        <v>4399</v>
      </c>
      <c r="Z2340" t="s">
        <v>2126</v>
      </c>
      <c r="AA2340">
        <v>0.79</v>
      </c>
      <c r="AB2340">
        <v>352</v>
      </c>
      <c r="AC2340">
        <v>126</v>
      </c>
      <c r="AD2340">
        <v>2.48</v>
      </c>
      <c r="AE2340" t="s">
        <v>5070</v>
      </c>
      <c r="AF2340" t="s">
        <v>3854</v>
      </c>
      <c r="AG2340" t="s">
        <v>2521</v>
      </c>
      <c r="AH2340" t="s">
        <v>2341</v>
      </c>
      <c r="AI2340">
        <v>0.33</v>
      </c>
      <c r="AJ2340">
        <v>-3.32</v>
      </c>
      <c r="AK2340">
        <v>3.3</v>
      </c>
      <c r="AL2340">
        <v>8</v>
      </c>
    </row>
    <row r="2341" spans="1:38" x14ac:dyDescent="0.25">
      <c r="A2341">
        <v>2340</v>
      </c>
      <c r="B2341" t="str">
        <f xml:space="preserve"> "002457"</f>
        <v>002457</v>
      </c>
      <c r="C2341" t="s">
        <v>7406</v>
      </c>
      <c r="D2341">
        <v>15.4</v>
      </c>
      <c r="E2341">
        <v>1.65</v>
      </c>
      <c r="F2341">
        <v>0.25</v>
      </c>
      <c r="G2341" t="s">
        <v>1298</v>
      </c>
      <c r="H2341">
        <v>2272</v>
      </c>
      <c r="I2341">
        <v>15.39</v>
      </c>
      <c r="J2341">
        <v>15.4</v>
      </c>
      <c r="K2341">
        <v>0.06</v>
      </c>
      <c r="L2341">
        <v>7.01</v>
      </c>
      <c r="M2341" t="s">
        <v>5328</v>
      </c>
      <c r="N2341">
        <v>-60.23</v>
      </c>
      <c r="O2341" t="s">
        <v>562</v>
      </c>
      <c r="P2341">
        <v>15.71</v>
      </c>
      <c r="Q2341">
        <v>14.82</v>
      </c>
      <c r="R2341">
        <v>15.16</v>
      </c>
      <c r="S2341">
        <v>15.15</v>
      </c>
      <c r="T2341">
        <v>5.87</v>
      </c>
      <c r="U2341">
        <v>1.33</v>
      </c>
      <c r="V2341">
        <v>-18.34</v>
      </c>
      <c r="W2341">
        <v>-683</v>
      </c>
      <c r="X2341">
        <v>15.27</v>
      </c>
      <c r="Y2341" t="s">
        <v>1639</v>
      </c>
      <c r="Z2341" t="s">
        <v>727</v>
      </c>
      <c r="AA2341">
        <v>0.96</v>
      </c>
      <c r="AB2341">
        <v>695</v>
      </c>
      <c r="AC2341">
        <v>821</v>
      </c>
      <c r="AD2341">
        <v>2.95</v>
      </c>
      <c r="AE2341" t="s">
        <v>4783</v>
      </c>
      <c r="AF2341" t="s">
        <v>3854</v>
      </c>
      <c r="AG2341" t="s">
        <v>4094</v>
      </c>
      <c r="AH2341" t="s">
        <v>7407</v>
      </c>
      <c r="AI2341">
        <v>-1.0900000000000001</v>
      </c>
      <c r="AJ2341">
        <v>-0.77</v>
      </c>
      <c r="AK2341">
        <v>16.39</v>
      </c>
      <c r="AL2341">
        <v>33.33</v>
      </c>
    </row>
    <row r="2342" spans="1:38" x14ac:dyDescent="0.25">
      <c r="A2342">
        <v>2341</v>
      </c>
      <c r="B2342" t="str">
        <f xml:space="preserve"> "600288"</f>
        <v>600288</v>
      </c>
      <c r="C2342" t="s">
        <v>7408</v>
      </c>
      <c r="D2342">
        <v>11.81</v>
      </c>
      <c r="E2342">
        <v>0</v>
      </c>
      <c r="F2342">
        <v>0</v>
      </c>
      <c r="G2342" t="s">
        <v>2781</v>
      </c>
      <c r="H2342">
        <v>13</v>
      </c>
      <c r="I2342">
        <v>11.8</v>
      </c>
      <c r="J2342">
        <v>11.81</v>
      </c>
      <c r="K2342">
        <v>-0.17</v>
      </c>
      <c r="L2342">
        <v>0.9</v>
      </c>
      <c r="M2342" t="s">
        <v>6756</v>
      </c>
      <c r="N2342">
        <v>-749.88</v>
      </c>
      <c r="O2342" t="s">
        <v>553</v>
      </c>
      <c r="P2342">
        <v>11.83</v>
      </c>
      <c r="Q2342">
        <v>11.71</v>
      </c>
      <c r="R2342">
        <v>11.72</v>
      </c>
      <c r="S2342">
        <v>11.81</v>
      </c>
      <c r="T2342">
        <v>1.02</v>
      </c>
      <c r="U2342">
        <v>0.28999999999999998</v>
      </c>
      <c r="V2342">
        <v>3.05</v>
      </c>
      <c r="W2342">
        <v>110</v>
      </c>
      <c r="X2342">
        <v>11.78</v>
      </c>
      <c r="Y2342" t="s">
        <v>2731</v>
      </c>
      <c r="Z2342" t="s">
        <v>1508</v>
      </c>
      <c r="AA2342">
        <v>1.51</v>
      </c>
      <c r="AB2342">
        <v>63</v>
      </c>
      <c r="AC2342">
        <v>272</v>
      </c>
      <c r="AD2342">
        <v>3.48</v>
      </c>
      <c r="AE2342" t="s">
        <v>6142</v>
      </c>
      <c r="AF2342" t="s">
        <v>3854</v>
      </c>
      <c r="AG2342" t="s">
        <v>6142</v>
      </c>
      <c r="AH2342" t="s">
        <v>3854</v>
      </c>
      <c r="AI2342">
        <v>-2.56</v>
      </c>
      <c r="AJ2342">
        <v>-1.01</v>
      </c>
      <c r="AK2342">
        <v>6.74</v>
      </c>
      <c r="AL2342">
        <v>16.37</v>
      </c>
    </row>
    <row r="2343" spans="1:38" x14ac:dyDescent="0.25">
      <c r="A2343">
        <v>2342</v>
      </c>
      <c r="B2343" t="str">
        <f xml:space="preserve"> "600716"</f>
        <v>600716</v>
      </c>
      <c r="C2343" t="s">
        <v>7409</v>
      </c>
      <c r="D2343">
        <v>5.51</v>
      </c>
      <c r="E2343">
        <v>-0.18</v>
      </c>
      <c r="F2343">
        <v>-0.01</v>
      </c>
      <c r="G2343" t="s">
        <v>868</v>
      </c>
      <c r="H2343">
        <v>84</v>
      </c>
      <c r="I2343">
        <v>5.5</v>
      </c>
      <c r="J2343">
        <v>5.51</v>
      </c>
      <c r="K2343">
        <v>0</v>
      </c>
      <c r="L2343">
        <v>0.55000000000000004</v>
      </c>
      <c r="M2343" t="s">
        <v>2581</v>
      </c>
      <c r="N2343">
        <v>-35.51</v>
      </c>
      <c r="O2343" t="s">
        <v>244</v>
      </c>
      <c r="P2343">
        <v>5.56</v>
      </c>
      <c r="Q2343">
        <v>5.5</v>
      </c>
      <c r="R2343">
        <v>5.53</v>
      </c>
      <c r="S2343">
        <v>5.52</v>
      </c>
      <c r="T2343">
        <v>1.0900000000000001</v>
      </c>
      <c r="U2343">
        <v>0.73</v>
      </c>
      <c r="V2343">
        <v>-42.11</v>
      </c>
      <c r="W2343">
        <v>-4895</v>
      </c>
      <c r="X2343">
        <v>5.53</v>
      </c>
      <c r="Y2343" t="s">
        <v>1827</v>
      </c>
      <c r="Z2343" t="s">
        <v>1420</v>
      </c>
      <c r="AA2343">
        <v>1.33</v>
      </c>
      <c r="AB2343">
        <v>776</v>
      </c>
      <c r="AC2343">
        <v>16</v>
      </c>
      <c r="AD2343">
        <v>1.54</v>
      </c>
      <c r="AE2343" t="s">
        <v>4943</v>
      </c>
      <c r="AF2343" t="s">
        <v>3854</v>
      </c>
      <c r="AG2343" t="s">
        <v>2036</v>
      </c>
      <c r="AH2343" t="s">
        <v>6123</v>
      </c>
      <c r="AI2343">
        <v>-0.18</v>
      </c>
      <c r="AJ2343">
        <v>3.57</v>
      </c>
      <c r="AK2343">
        <v>1.95</v>
      </c>
      <c r="AL2343">
        <v>4.32</v>
      </c>
    </row>
    <row r="2344" spans="1:38" x14ac:dyDescent="0.25">
      <c r="A2344">
        <v>2343</v>
      </c>
      <c r="B2344" t="str">
        <f xml:space="preserve"> "600589"</f>
        <v>600589</v>
      </c>
      <c r="C2344" t="s">
        <v>7410</v>
      </c>
      <c r="D2344">
        <v>7.31</v>
      </c>
      <c r="E2344">
        <v>0.14000000000000001</v>
      </c>
      <c r="F2344">
        <v>0.01</v>
      </c>
      <c r="G2344" t="s">
        <v>1649</v>
      </c>
      <c r="H2344">
        <v>50</v>
      </c>
      <c r="I2344">
        <v>7.3</v>
      </c>
      <c r="J2344">
        <v>7.31</v>
      </c>
      <c r="K2344">
        <v>0.14000000000000001</v>
      </c>
      <c r="L2344">
        <v>0.56999999999999995</v>
      </c>
      <c r="M2344" t="s">
        <v>7411</v>
      </c>
      <c r="N2344">
        <v>39.49</v>
      </c>
      <c r="O2344" t="s">
        <v>667</v>
      </c>
      <c r="P2344">
        <v>7.32</v>
      </c>
      <c r="Q2344">
        <v>7.24</v>
      </c>
      <c r="R2344">
        <v>7.3</v>
      </c>
      <c r="S2344">
        <v>7.3</v>
      </c>
      <c r="T2344">
        <v>1.1000000000000001</v>
      </c>
      <c r="U2344">
        <v>0.8</v>
      </c>
      <c r="V2344">
        <v>-29.69</v>
      </c>
      <c r="W2344">
        <v>-2275</v>
      </c>
      <c r="X2344">
        <v>7.28</v>
      </c>
      <c r="Y2344" t="s">
        <v>658</v>
      </c>
      <c r="Z2344" t="s">
        <v>2255</v>
      </c>
      <c r="AA2344">
        <v>1.25</v>
      </c>
      <c r="AB2344">
        <v>159</v>
      </c>
      <c r="AC2344">
        <v>1013</v>
      </c>
      <c r="AD2344">
        <v>1.74</v>
      </c>
      <c r="AE2344" t="s">
        <v>1722</v>
      </c>
      <c r="AF2344" t="s">
        <v>3854</v>
      </c>
      <c r="AG2344" t="s">
        <v>5753</v>
      </c>
      <c r="AH2344" t="s">
        <v>3399</v>
      </c>
      <c r="AI2344">
        <v>-0.27</v>
      </c>
      <c r="AJ2344">
        <v>2.52</v>
      </c>
      <c r="AK2344">
        <v>1.95</v>
      </c>
      <c r="AL2344">
        <v>4.12</v>
      </c>
    </row>
    <row r="2345" spans="1:38" x14ac:dyDescent="0.25">
      <c r="A2345">
        <v>2344</v>
      </c>
      <c r="B2345" t="str">
        <f xml:space="preserve"> "300395"</f>
        <v>300395</v>
      </c>
      <c r="C2345" t="s">
        <v>7412</v>
      </c>
      <c r="D2345">
        <v>17.46</v>
      </c>
      <c r="E2345">
        <v>0</v>
      </c>
      <c r="F2345">
        <v>0</v>
      </c>
      <c r="G2345" t="s">
        <v>1525</v>
      </c>
      <c r="H2345">
        <v>667</v>
      </c>
      <c r="I2345">
        <v>17.46</v>
      </c>
      <c r="J2345">
        <v>17.47</v>
      </c>
      <c r="K2345">
        <v>0</v>
      </c>
      <c r="L2345">
        <v>1.46</v>
      </c>
      <c r="M2345" t="s">
        <v>7413</v>
      </c>
      <c r="N2345">
        <v>48.53</v>
      </c>
      <c r="O2345" t="s">
        <v>1058</v>
      </c>
      <c r="P2345">
        <v>17.8</v>
      </c>
      <c r="Q2345">
        <v>17.3</v>
      </c>
      <c r="R2345">
        <v>17.38</v>
      </c>
      <c r="S2345">
        <v>17.46</v>
      </c>
      <c r="T2345">
        <v>2.86</v>
      </c>
      <c r="U2345">
        <v>0.78</v>
      </c>
      <c r="V2345">
        <v>62.1</v>
      </c>
      <c r="W2345">
        <v>800</v>
      </c>
      <c r="X2345">
        <v>17.510000000000002</v>
      </c>
      <c r="Y2345" t="s">
        <v>3158</v>
      </c>
      <c r="Z2345" t="s">
        <v>1077</v>
      </c>
      <c r="AA2345">
        <v>1.39</v>
      </c>
      <c r="AB2345">
        <v>640</v>
      </c>
      <c r="AC2345">
        <v>25</v>
      </c>
      <c r="AD2345">
        <v>6.26</v>
      </c>
      <c r="AE2345" t="s">
        <v>4323</v>
      </c>
      <c r="AF2345" t="s">
        <v>7056</v>
      </c>
      <c r="AG2345" t="s">
        <v>3184</v>
      </c>
      <c r="AH2345" t="s">
        <v>5095</v>
      </c>
      <c r="AI2345">
        <v>3.13</v>
      </c>
      <c r="AJ2345">
        <v>6.79</v>
      </c>
      <c r="AK2345">
        <v>7.29</v>
      </c>
      <c r="AL2345">
        <v>10.75</v>
      </c>
    </row>
    <row r="2346" spans="1:38" x14ac:dyDescent="0.25">
      <c r="A2346">
        <v>2345</v>
      </c>
      <c r="B2346" t="str">
        <f xml:space="preserve"> "002514"</f>
        <v>002514</v>
      </c>
      <c r="C2346" t="s">
        <v>7414</v>
      </c>
      <c r="D2346">
        <v>9.2899999999999991</v>
      </c>
      <c r="E2346">
        <v>0.43</v>
      </c>
      <c r="F2346">
        <v>0.04</v>
      </c>
      <c r="G2346" t="s">
        <v>2485</v>
      </c>
      <c r="H2346">
        <v>666</v>
      </c>
      <c r="I2346">
        <v>9.2799999999999994</v>
      </c>
      <c r="J2346">
        <v>9.2899999999999991</v>
      </c>
      <c r="K2346">
        <v>0.11</v>
      </c>
      <c r="L2346">
        <v>0.74</v>
      </c>
      <c r="M2346" t="s">
        <v>7415</v>
      </c>
      <c r="N2346">
        <v>62.52</v>
      </c>
      <c r="O2346" t="s">
        <v>1229</v>
      </c>
      <c r="P2346">
        <v>9.35</v>
      </c>
      <c r="Q2346">
        <v>9.1999999999999993</v>
      </c>
      <c r="R2346">
        <v>9.25</v>
      </c>
      <c r="S2346">
        <v>9.25</v>
      </c>
      <c r="T2346">
        <v>1.62</v>
      </c>
      <c r="U2346">
        <v>0.52</v>
      </c>
      <c r="V2346">
        <v>-39.72</v>
      </c>
      <c r="W2346">
        <v>-733</v>
      </c>
      <c r="X2346">
        <v>9.27</v>
      </c>
      <c r="Y2346" t="s">
        <v>1799</v>
      </c>
      <c r="Z2346" t="s">
        <v>2551</v>
      </c>
      <c r="AA2346">
        <v>0.92</v>
      </c>
      <c r="AB2346">
        <v>149</v>
      </c>
      <c r="AC2346">
        <v>178</v>
      </c>
      <c r="AD2346">
        <v>5.34</v>
      </c>
      <c r="AE2346" t="s">
        <v>4902</v>
      </c>
      <c r="AF2346" t="s">
        <v>7056</v>
      </c>
      <c r="AG2346" t="s">
        <v>874</v>
      </c>
      <c r="AH2346" t="s">
        <v>975</v>
      </c>
      <c r="AI2346">
        <v>-0.32</v>
      </c>
      <c r="AJ2346">
        <v>2.4300000000000002</v>
      </c>
      <c r="AK2346">
        <v>2.73</v>
      </c>
      <c r="AL2346">
        <v>7.82</v>
      </c>
    </row>
    <row r="2347" spans="1:38" x14ac:dyDescent="0.25">
      <c r="A2347">
        <v>2346</v>
      </c>
      <c r="B2347" t="str">
        <f xml:space="preserve"> "002765"</f>
        <v>002765</v>
      </c>
      <c r="C2347" t="s">
        <v>7416</v>
      </c>
      <c r="D2347">
        <v>12</v>
      </c>
      <c r="E2347">
        <v>0.33</v>
      </c>
      <c r="F2347">
        <v>0.04</v>
      </c>
      <c r="G2347" t="s">
        <v>5022</v>
      </c>
      <c r="H2347">
        <v>1515</v>
      </c>
      <c r="I2347">
        <v>11.99</v>
      </c>
      <c r="J2347">
        <v>12</v>
      </c>
      <c r="K2347">
        <v>0.08</v>
      </c>
      <c r="L2347">
        <v>4.04</v>
      </c>
      <c r="M2347" t="s">
        <v>7417</v>
      </c>
      <c r="N2347">
        <v>40.119999999999997</v>
      </c>
      <c r="O2347" t="s">
        <v>648</v>
      </c>
      <c r="P2347">
        <v>12.18</v>
      </c>
      <c r="Q2347">
        <v>11.81</v>
      </c>
      <c r="R2347">
        <v>11.88</v>
      </c>
      <c r="S2347">
        <v>11.96</v>
      </c>
      <c r="T2347">
        <v>3.09</v>
      </c>
      <c r="U2347">
        <v>0.45</v>
      </c>
      <c r="V2347">
        <v>-15.31</v>
      </c>
      <c r="W2347">
        <v>-478</v>
      </c>
      <c r="X2347">
        <v>11.96</v>
      </c>
      <c r="Y2347" t="s">
        <v>1571</v>
      </c>
      <c r="Z2347" t="s">
        <v>3644</v>
      </c>
      <c r="AA2347">
        <v>1.1100000000000001</v>
      </c>
      <c r="AB2347">
        <v>532</v>
      </c>
      <c r="AC2347">
        <v>1233</v>
      </c>
      <c r="AD2347">
        <v>4.57</v>
      </c>
      <c r="AE2347" t="s">
        <v>5136</v>
      </c>
      <c r="AF2347" t="s">
        <v>7056</v>
      </c>
      <c r="AG2347" t="s">
        <v>2091</v>
      </c>
      <c r="AH2347" t="s">
        <v>493</v>
      </c>
      <c r="AI2347">
        <v>-2.76</v>
      </c>
      <c r="AJ2347">
        <v>7.14</v>
      </c>
      <c r="AK2347">
        <v>17.45</v>
      </c>
      <c r="AL2347">
        <v>49.4</v>
      </c>
    </row>
    <row r="2348" spans="1:38" x14ac:dyDescent="0.25">
      <c r="A2348">
        <v>2347</v>
      </c>
      <c r="B2348" t="str">
        <f xml:space="preserve"> "002899"</f>
        <v>002899</v>
      </c>
      <c r="C2348" t="s">
        <v>7418</v>
      </c>
      <c r="D2348">
        <v>42.88</v>
      </c>
      <c r="E2348">
        <v>-1.43</v>
      </c>
      <c r="F2348">
        <v>-0.62</v>
      </c>
      <c r="G2348" t="s">
        <v>4043</v>
      </c>
      <c r="H2348">
        <v>785</v>
      </c>
      <c r="I2348">
        <v>42.88</v>
      </c>
      <c r="J2348">
        <v>42.89</v>
      </c>
      <c r="K2348">
        <v>-0.02</v>
      </c>
      <c r="L2348">
        <v>17.25</v>
      </c>
      <c r="M2348" t="s">
        <v>3123</v>
      </c>
      <c r="N2348">
        <v>83.19</v>
      </c>
      <c r="O2348" t="s">
        <v>807</v>
      </c>
      <c r="P2348">
        <v>44.72</v>
      </c>
      <c r="Q2348">
        <v>42</v>
      </c>
      <c r="R2348">
        <v>43.05</v>
      </c>
      <c r="S2348">
        <v>43.5</v>
      </c>
      <c r="T2348">
        <v>6.25</v>
      </c>
      <c r="U2348">
        <v>0.53</v>
      </c>
      <c r="V2348">
        <v>25.72</v>
      </c>
      <c r="W2348">
        <v>103</v>
      </c>
      <c r="X2348">
        <v>43.29</v>
      </c>
      <c r="Y2348" t="s">
        <v>1190</v>
      </c>
      <c r="Z2348" t="s">
        <v>1565</v>
      </c>
      <c r="AA2348">
        <v>1.31</v>
      </c>
      <c r="AB2348">
        <v>149</v>
      </c>
      <c r="AC2348">
        <v>53</v>
      </c>
      <c r="AD2348">
        <v>5.83</v>
      </c>
      <c r="AE2348" t="s">
        <v>918</v>
      </c>
      <c r="AF2348" t="s">
        <v>7056</v>
      </c>
      <c r="AG2348" t="s">
        <v>3067</v>
      </c>
      <c r="AH2348" t="s">
        <v>2683</v>
      </c>
      <c r="AI2348">
        <v>-0.16</v>
      </c>
      <c r="AJ2348">
        <v>-4.7699999999999996</v>
      </c>
      <c r="AK2348">
        <v>70.2</v>
      </c>
      <c r="AL2348">
        <v>179.56</v>
      </c>
    </row>
    <row r="2349" spans="1:38" x14ac:dyDescent="0.25">
      <c r="A2349">
        <v>2348</v>
      </c>
      <c r="B2349" t="str">
        <f xml:space="preserve"> "002732"</f>
        <v>002732</v>
      </c>
      <c r="C2349" t="s">
        <v>7419</v>
      </c>
      <c r="D2349">
        <v>32.700000000000003</v>
      </c>
      <c r="E2349">
        <v>-2.42</v>
      </c>
      <c r="F2349">
        <v>-0.81</v>
      </c>
      <c r="G2349" t="s">
        <v>1373</v>
      </c>
      <c r="H2349">
        <v>1287</v>
      </c>
      <c r="I2349">
        <v>32.700000000000003</v>
      </c>
      <c r="J2349">
        <v>32.71</v>
      </c>
      <c r="K2349">
        <v>0.06</v>
      </c>
      <c r="L2349">
        <v>6.07</v>
      </c>
      <c r="M2349" t="s">
        <v>943</v>
      </c>
      <c r="N2349">
        <v>42.73</v>
      </c>
      <c r="O2349" t="s">
        <v>406</v>
      </c>
      <c r="P2349">
        <v>33.81</v>
      </c>
      <c r="Q2349">
        <v>32.65</v>
      </c>
      <c r="R2349">
        <v>33.299999999999997</v>
      </c>
      <c r="S2349">
        <v>33.51</v>
      </c>
      <c r="T2349">
        <v>3.46</v>
      </c>
      <c r="U2349">
        <v>0.77</v>
      </c>
      <c r="V2349">
        <v>95.13</v>
      </c>
      <c r="W2349">
        <v>6408</v>
      </c>
      <c r="X2349">
        <v>33.08</v>
      </c>
      <c r="Y2349" t="s">
        <v>1565</v>
      </c>
      <c r="Z2349" t="s">
        <v>1732</v>
      </c>
      <c r="AA2349">
        <v>1.54</v>
      </c>
      <c r="AB2349">
        <v>4682</v>
      </c>
      <c r="AC2349">
        <v>1</v>
      </c>
      <c r="AD2349">
        <v>5.79</v>
      </c>
      <c r="AE2349" t="s">
        <v>1750</v>
      </c>
      <c r="AF2349" t="s">
        <v>7056</v>
      </c>
      <c r="AG2349" t="s">
        <v>7420</v>
      </c>
      <c r="AH2349" t="s">
        <v>2666</v>
      </c>
      <c r="AI2349">
        <v>0</v>
      </c>
      <c r="AJ2349">
        <v>4.87</v>
      </c>
      <c r="AK2349">
        <v>19.27</v>
      </c>
      <c r="AL2349">
        <v>45.59</v>
      </c>
    </row>
    <row r="2350" spans="1:38" x14ac:dyDescent="0.25">
      <c r="A2350">
        <v>2349</v>
      </c>
      <c r="B2350" t="str">
        <f xml:space="preserve"> "000701"</f>
        <v>000701</v>
      </c>
      <c r="C2350" t="s">
        <v>7421</v>
      </c>
      <c r="D2350">
        <v>12.65</v>
      </c>
      <c r="E2350">
        <v>-0.94</v>
      </c>
      <c r="F2350">
        <v>-0.12</v>
      </c>
      <c r="G2350" t="s">
        <v>2658</v>
      </c>
      <c r="H2350">
        <v>537</v>
      </c>
      <c r="I2350">
        <v>12.64</v>
      </c>
      <c r="J2350">
        <v>12.65</v>
      </c>
      <c r="K2350">
        <v>0.08</v>
      </c>
      <c r="L2350">
        <v>1</v>
      </c>
      <c r="M2350" t="s">
        <v>7422</v>
      </c>
      <c r="N2350">
        <v>48.41</v>
      </c>
      <c r="O2350" t="s">
        <v>532</v>
      </c>
      <c r="P2350">
        <v>12.68</v>
      </c>
      <c r="Q2350">
        <v>12.54</v>
      </c>
      <c r="R2350">
        <v>12.66</v>
      </c>
      <c r="S2350">
        <v>12.77</v>
      </c>
      <c r="T2350">
        <v>1.1000000000000001</v>
      </c>
      <c r="U2350">
        <v>0.68</v>
      </c>
      <c r="V2350">
        <v>-40.57</v>
      </c>
      <c r="W2350">
        <v>-992</v>
      </c>
      <c r="X2350">
        <v>12.61</v>
      </c>
      <c r="Y2350" t="s">
        <v>3266</v>
      </c>
      <c r="Z2350" t="s">
        <v>1579</v>
      </c>
      <c r="AA2350">
        <v>1.76</v>
      </c>
      <c r="AB2350">
        <v>174</v>
      </c>
      <c r="AC2350">
        <v>588</v>
      </c>
      <c r="AD2350">
        <v>1.63</v>
      </c>
      <c r="AE2350" t="s">
        <v>2164</v>
      </c>
      <c r="AF2350" t="s">
        <v>4496</v>
      </c>
      <c r="AG2350" t="s">
        <v>5099</v>
      </c>
      <c r="AH2350" t="s">
        <v>5896</v>
      </c>
      <c r="AI2350">
        <v>-1.33</v>
      </c>
      <c r="AJ2350">
        <v>2.02</v>
      </c>
      <c r="AK2350">
        <v>3.52</v>
      </c>
      <c r="AL2350">
        <v>8.35</v>
      </c>
    </row>
    <row r="2351" spans="1:38" x14ac:dyDescent="0.25">
      <c r="A2351">
        <v>2350</v>
      </c>
      <c r="B2351" t="str">
        <f xml:space="preserve"> "000700"</f>
        <v>000700</v>
      </c>
      <c r="C2351" t="s">
        <v>7423</v>
      </c>
      <c r="D2351">
        <v>7.17</v>
      </c>
      <c r="E2351">
        <v>-0.28000000000000003</v>
      </c>
      <c r="F2351">
        <v>-0.02</v>
      </c>
      <c r="G2351" t="s">
        <v>3032</v>
      </c>
      <c r="H2351">
        <v>866</v>
      </c>
      <c r="I2351">
        <v>7.16</v>
      </c>
      <c r="J2351">
        <v>7.17</v>
      </c>
      <c r="K2351">
        <v>0</v>
      </c>
      <c r="L2351">
        <v>1.06</v>
      </c>
      <c r="M2351" t="s">
        <v>7424</v>
      </c>
      <c r="N2351">
        <v>30.81</v>
      </c>
      <c r="O2351" t="s">
        <v>169</v>
      </c>
      <c r="P2351">
        <v>7.19</v>
      </c>
      <c r="Q2351">
        <v>7.1</v>
      </c>
      <c r="R2351">
        <v>7.19</v>
      </c>
      <c r="S2351">
        <v>7.19</v>
      </c>
      <c r="T2351">
        <v>1.25</v>
      </c>
      <c r="U2351">
        <v>0.68</v>
      </c>
      <c r="V2351">
        <v>10.119999999999999</v>
      </c>
      <c r="W2351">
        <v>883</v>
      </c>
      <c r="X2351">
        <v>7.14</v>
      </c>
      <c r="Y2351" t="s">
        <v>72</v>
      </c>
      <c r="Z2351" t="s">
        <v>2115</v>
      </c>
      <c r="AA2351">
        <v>1.55</v>
      </c>
      <c r="AB2351">
        <v>1081</v>
      </c>
      <c r="AC2351">
        <v>385</v>
      </c>
      <c r="AD2351">
        <v>1.68</v>
      </c>
      <c r="AE2351" t="s">
        <v>3478</v>
      </c>
      <c r="AF2351" t="s">
        <v>4496</v>
      </c>
      <c r="AG2351" t="s">
        <v>7425</v>
      </c>
      <c r="AH2351" t="s">
        <v>5643</v>
      </c>
      <c r="AI2351">
        <v>-0.69</v>
      </c>
      <c r="AJ2351">
        <v>2.14</v>
      </c>
      <c r="AK2351">
        <v>5.37</v>
      </c>
      <c r="AL2351">
        <v>8.8000000000000007</v>
      </c>
    </row>
    <row r="2352" spans="1:38" x14ac:dyDescent="0.25">
      <c r="A2352">
        <v>2351</v>
      </c>
      <c r="B2352" t="str">
        <f xml:space="preserve"> "002644"</f>
        <v>002644</v>
      </c>
      <c r="C2352" t="s">
        <v>7426</v>
      </c>
      <c r="D2352">
        <v>10.06</v>
      </c>
      <c r="E2352">
        <v>1.93</v>
      </c>
      <c r="F2352">
        <v>0.19</v>
      </c>
      <c r="G2352" t="s">
        <v>1190</v>
      </c>
      <c r="H2352">
        <v>344</v>
      </c>
      <c r="I2352">
        <v>10.050000000000001</v>
      </c>
      <c r="J2352">
        <v>10.06</v>
      </c>
      <c r="K2352">
        <v>0</v>
      </c>
      <c r="L2352">
        <v>0.57999999999999996</v>
      </c>
      <c r="M2352" t="s">
        <v>7427</v>
      </c>
      <c r="N2352">
        <v>74.44</v>
      </c>
      <c r="O2352" t="s">
        <v>392</v>
      </c>
      <c r="P2352">
        <v>10.220000000000001</v>
      </c>
      <c r="Q2352">
        <v>9.85</v>
      </c>
      <c r="R2352">
        <v>9.85</v>
      </c>
      <c r="S2352">
        <v>9.8699999999999992</v>
      </c>
      <c r="T2352">
        <v>3.75</v>
      </c>
      <c r="U2352">
        <v>1.47</v>
      </c>
      <c r="V2352">
        <v>-19.100000000000001</v>
      </c>
      <c r="W2352">
        <v>-482</v>
      </c>
      <c r="X2352">
        <v>10.08</v>
      </c>
      <c r="Y2352" t="s">
        <v>2241</v>
      </c>
      <c r="Z2352" t="s">
        <v>2126</v>
      </c>
      <c r="AA2352">
        <v>0.62</v>
      </c>
      <c r="AB2352">
        <v>42</v>
      </c>
      <c r="AC2352">
        <v>164</v>
      </c>
      <c r="AD2352">
        <v>3.88</v>
      </c>
      <c r="AE2352" t="s">
        <v>5626</v>
      </c>
      <c r="AF2352" t="s">
        <v>4496</v>
      </c>
      <c r="AG2352" t="s">
        <v>5626</v>
      </c>
      <c r="AH2352" t="s">
        <v>4496</v>
      </c>
      <c r="AI2352">
        <v>0.6</v>
      </c>
      <c r="AJ2352">
        <v>3.39</v>
      </c>
      <c r="AK2352">
        <v>1.44</v>
      </c>
      <c r="AL2352">
        <v>2.54</v>
      </c>
    </row>
    <row r="2353" spans="1:38" x14ac:dyDescent="0.25">
      <c r="A2353">
        <v>2352</v>
      </c>
      <c r="B2353" t="str">
        <f xml:space="preserve"> "600368"</f>
        <v>600368</v>
      </c>
      <c r="C2353" t="s">
        <v>7428</v>
      </c>
      <c r="D2353">
        <v>6.16</v>
      </c>
      <c r="E2353">
        <v>0.82</v>
      </c>
      <c r="F2353">
        <v>0.05</v>
      </c>
      <c r="G2353" t="s">
        <v>3639</v>
      </c>
      <c r="H2353">
        <v>1</v>
      </c>
      <c r="I2353">
        <v>6.16</v>
      </c>
      <c r="J2353">
        <v>6.17</v>
      </c>
      <c r="K2353">
        <v>0</v>
      </c>
      <c r="L2353">
        <v>0.54</v>
      </c>
      <c r="M2353" t="s">
        <v>7429</v>
      </c>
      <c r="N2353">
        <v>11.15</v>
      </c>
      <c r="O2353" t="s">
        <v>1348</v>
      </c>
      <c r="P2353">
        <v>6.17</v>
      </c>
      <c r="Q2353">
        <v>6.12</v>
      </c>
      <c r="R2353">
        <v>6.13</v>
      </c>
      <c r="S2353">
        <v>6.11</v>
      </c>
      <c r="T2353">
        <v>0.82</v>
      </c>
      <c r="U2353">
        <v>0.7</v>
      </c>
      <c r="V2353">
        <v>-38.35</v>
      </c>
      <c r="W2353">
        <v>-3866</v>
      </c>
      <c r="X2353">
        <v>6.15</v>
      </c>
      <c r="Y2353" t="s">
        <v>2240</v>
      </c>
      <c r="Z2353" t="s">
        <v>2202</v>
      </c>
      <c r="AA2353">
        <v>0.91</v>
      </c>
      <c r="AB2353">
        <v>701</v>
      </c>
      <c r="AC2353">
        <v>2544</v>
      </c>
      <c r="AD2353">
        <v>1.63</v>
      </c>
      <c r="AE2353" t="s">
        <v>6867</v>
      </c>
      <c r="AF2353" t="s">
        <v>4496</v>
      </c>
      <c r="AG2353" t="s">
        <v>6867</v>
      </c>
      <c r="AH2353" t="s">
        <v>4496</v>
      </c>
      <c r="AI2353">
        <v>-0.32</v>
      </c>
      <c r="AJ2353">
        <v>1.65</v>
      </c>
      <c r="AK2353">
        <v>1.97</v>
      </c>
      <c r="AL2353">
        <v>4.3899999999999997</v>
      </c>
    </row>
    <row r="2354" spans="1:38" x14ac:dyDescent="0.25">
      <c r="A2354">
        <v>2353</v>
      </c>
      <c r="B2354" t="str">
        <f xml:space="preserve"> "000523"</f>
        <v>000523</v>
      </c>
      <c r="C2354" t="s">
        <v>7430</v>
      </c>
      <c r="D2354">
        <v>9.82</v>
      </c>
      <c r="E2354">
        <v>-0.41</v>
      </c>
      <c r="F2354">
        <v>-0.04</v>
      </c>
      <c r="G2354" t="s">
        <v>184</v>
      </c>
      <c r="H2354">
        <v>1781</v>
      </c>
      <c r="I2354">
        <v>9.82</v>
      </c>
      <c r="J2354">
        <v>9.83</v>
      </c>
      <c r="K2354">
        <v>0</v>
      </c>
      <c r="L2354">
        <v>3.15</v>
      </c>
      <c r="M2354" t="s">
        <v>3110</v>
      </c>
      <c r="N2354">
        <v>150.25</v>
      </c>
      <c r="O2354" t="s">
        <v>667</v>
      </c>
      <c r="P2354">
        <v>10.27</v>
      </c>
      <c r="Q2354">
        <v>9.81</v>
      </c>
      <c r="R2354">
        <v>9.98</v>
      </c>
      <c r="S2354">
        <v>9.86</v>
      </c>
      <c r="T2354">
        <v>4.67</v>
      </c>
      <c r="U2354">
        <v>5.01</v>
      </c>
      <c r="V2354">
        <v>13.09</v>
      </c>
      <c r="W2354">
        <v>438</v>
      </c>
      <c r="X2354">
        <v>9.98</v>
      </c>
      <c r="Y2354" t="s">
        <v>104</v>
      </c>
      <c r="Z2354" t="s">
        <v>3343</v>
      </c>
      <c r="AA2354">
        <v>1.1499999999999999</v>
      </c>
      <c r="AB2354">
        <v>188</v>
      </c>
      <c r="AC2354">
        <v>385</v>
      </c>
      <c r="AD2354">
        <v>2.88</v>
      </c>
      <c r="AE2354" t="s">
        <v>2985</v>
      </c>
      <c r="AF2354" t="s">
        <v>4496</v>
      </c>
      <c r="AG2354" t="s">
        <v>2744</v>
      </c>
      <c r="AH2354" t="s">
        <v>5247</v>
      </c>
      <c r="AI2354">
        <v>1.76</v>
      </c>
      <c r="AJ2354">
        <v>5.25</v>
      </c>
      <c r="AK2354">
        <v>4.6500000000000004</v>
      </c>
      <c r="AL2354">
        <v>6.29</v>
      </c>
    </row>
    <row r="2355" spans="1:38" x14ac:dyDescent="0.25">
      <c r="A2355">
        <v>2354</v>
      </c>
      <c r="B2355" t="str">
        <f xml:space="preserve"> "000996"</f>
        <v>000996</v>
      </c>
      <c r="C2355" t="s">
        <v>7431</v>
      </c>
      <c r="D2355">
        <v>14.88</v>
      </c>
      <c r="E2355">
        <v>0.54</v>
      </c>
      <c r="F2355">
        <v>0.08</v>
      </c>
      <c r="G2355" t="s">
        <v>1570</v>
      </c>
      <c r="H2355">
        <v>985</v>
      </c>
      <c r="I2355">
        <v>14.88</v>
      </c>
      <c r="J2355">
        <v>14.89</v>
      </c>
      <c r="K2355">
        <v>7.0000000000000007E-2</v>
      </c>
      <c r="L2355">
        <v>1.33</v>
      </c>
      <c r="M2355" t="s">
        <v>7432</v>
      </c>
      <c r="N2355">
        <v>227.41</v>
      </c>
      <c r="O2355" t="s">
        <v>274</v>
      </c>
      <c r="P2355">
        <v>14.92</v>
      </c>
      <c r="Q2355">
        <v>14.76</v>
      </c>
      <c r="R2355">
        <v>14.87</v>
      </c>
      <c r="S2355">
        <v>14.8</v>
      </c>
      <c r="T2355">
        <v>1.08</v>
      </c>
      <c r="U2355">
        <v>0.59</v>
      </c>
      <c r="V2355">
        <v>-42.64</v>
      </c>
      <c r="W2355">
        <v>-1559</v>
      </c>
      <c r="X2355">
        <v>14.84</v>
      </c>
      <c r="Y2355" t="s">
        <v>2360</v>
      </c>
      <c r="Z2355" t="s">
        <v>2731</v>
      </c>
      <c r="AA2355">
        <v>0.93</v>
      </c>
      <c r="AB2355">
        <v>355</v>
      </c>
      <c r="AC2355">
        <v>822</v>
      </c>
      <c r="AD2355">
        <v>8.25</v>
      </c>
      <c r="AE2355" t="s">
        <v>2198</v>
      </c>
      <c r="AF2355" t="s">
        <v>2392</v>
      </c>
      <c r="AG2355" t="s">
        <v>2198</v>
      </c>
      <c r="AH2355" t="s">
        <v>2392</v>
      </c>
      <c r="AI2355">
        <v>-1.1299999999999999</v>
      </c>
      <c r="AJ2355">
        <v>0.74</v>
      </c>
      <c r="AK2355">
        <v>5.45</v>
      </c>
      <c r="AL2355">
        <v>12.62</v>
      </c>
    </row>
    <row r="2356" spans="1:38" x14ac:dyDescent="0.25">
      <c r="A2356">
        <v>2355</v>
      </c>
      <c r="B2356" t="str">
        <f xml:space="preserve"> "002137"</f>
        <v>002137</v>
      </c>
      <c r="C2356" t="s">
        <v>7433</v>
      </c>
      <c r="D2356">
        <v>8.85</v>
      </c>
      <c r="E2356">
        <v>0.68</v>
      </c>
      <c r="F2356">
        <v>0.06</v>
      </c>
      <c r="G2356" t="s">
        <v>2621</v>
      </c>
      <c r="H2356">
        <v>754</v>
      </c>
      <c r="I2356">
        <v>8.85</v>
      </c>
      <c r="J2356">
        <v>8.86</v>
      </c>
      <c r="K2356">
        <v>0</v>
      </c>
      <c r="L2356">
        <v>1.18</v>
      </c>
      <c r="M2356" t="s">
        <v>7434</v>
      </c>
      <c r="N2356">
        <v>71.81</v>
      </c>
      <c r="O2356" t="s">
        <v>380</v>
      </c>
      <c r="P2356">
        <v>8.89</v>
      </c>
      <c r="Q2356">
        <v>8.75</v>
      </c>
      <c r="R2356">
        <v>8.7899999999999991</v>
      </c>
      <c r="S2356">
        <v>8.7899999999999991</v>
      </c>
      <c r="T2356">
        <v>1.59</v>
      </c>
      <c r="U2356">
        <v>0.94</v>
      </c>
      <c r="V2356">
        <v>-67.319999999999993</v>
      </c>
      <c r="W2356">
        <v>-4314</v>
      </c>
      <c r="X2356">
        <v>8.83</v>
      </c>
      <c r="Y2356" t="s">
        <v>3946</v>
      </c>
      <c r="Z2356" t="s">
        <v>2580</v>
      </c>
      <c r="AA2356">
        <v>0.97</v>
      </c>
      <c r="AB2356">
        <v>234</v>
      </c>
      <c r="AC2356">
        <v>976</v>
      </c>
      <c r="AD2356">
        <v>3.06</v>
      </c>
      <c r="AE2356" t="s">
        <v>2655</v>
      </c>
      <c r="AF2356" t="s">
        <v>2392</v>
      </c>
      <c r="AG2356" t="s">
        <v>2218</v>
      </c>
      <c r="AH2356" t="s">
        <v>1150</v>
      </c>
      <c r="AI2356">
        <v>0.8</v>
      </c>
      <c r="AJ2356">
        <v>5.23</v>
      </c>
      <c r="AK2356">
        <v>4.01</v>
      </c>
      <c r="AL2356">
        <v>7.42</v>
      </c>
    </row>
    <row r="2357" spans="1:38" x14ac:dyDescent="0.25">
      <c r="A2357">
        <v>2356</v>
      </c>
      <c r="B2357" t="str">
        <f xml:space="preserve"> "300301"</f>
        <v>300301</v>
      </c>
      <c r="C2357" t="s">
        <v>7435</v>
      </c>
      <c r="D2357">
        <v>6.49</v>
      </c>
      <c r="E2357">
        <v>-0.76</v>
      </c>
      <c r="F2357">
        <v>-0.05</v>
      </c>
      <c r="G2357" t="s">
        <v>2032</v>
      </c>
      <c r="H2357">
        <v>396</v>
      </c>
      <c r="I2357">
        <v>6.49</v>
      </c>
      <c r="J2357">
        <v>6.5</v>
      </c>
      <c r="K2357">
        <v>0</v>
      </c>
      <c r="L2357">
        <v>0.68</v>
      </c>
      <c r="M2357" t="s">
        <v>7436</v>
      </c>
      <c r="N2357">
        <v>208.1</v>
      </c>
      <c r="O2357" t="s">
        <v>380</v>
      </c>
      <c r="P2357">
        <v>6.54</v>
      </c>
      <c r="Q2357">
        <v>6.47</v>
      </c>
      <c r="R2357">
        <v>6.54</v>
      </c>
      <c r="S2357">
        <v>6.54</v>
      </c>
      <c r="T2357">
        <v>1.07</v>
      </c>
      <c r="U2357">
        <v>1.04</v>
      </c>
      <c r="V2357">
        <v>53.52</v>
      </c>
      <c r="W2357">
        <v>2385</v>
      </c>
      <c r="X2357">
        <v>6.5</v>
      </c>
      <c r="Y2357" t="s">
        <v>6292</v>
      </c>
      <c r="Z2357" t="s">
        <v>1576</v>
      </c>
      <c r="AA2357">
        <v>1.02</v>
      </c>
      <c r="AB2357">
        <v>42</v>
      </c>
      <c r="AC2357">
        <v>423</v>
      </c>
      <c r="AD2357">
        <v>2.39</v>
      </c>
      <c r="AE2357" t="s">
        <v>3429</v>
      </c>
      <c r="AF2357" t="s">
        <v>2392</v>
      </c>
      <c r="AG2357" t="s">
        <v>5626</v>
      </c>
      <c r="AH2357" t="s">
        <v>7437</v>
      </c>
      <c r="AI2357">
        <v>-1.37</v>
      </c>
      <c r="AJ2357">
        <v>1.56</v>
      </c>
      <c r="AK2357">
        <v>1.61</v>
      </c>
      <c r="AL2357">
        <v>3.97</v>
      </c>
    </row>
    <row r="2358" spans="1:38" x14ac:dyDescent="0.25">
      <c r="A2358">
        <v>2357</v>
      </c>
      <c r="B2358" t="str">
        <f xml:space="preserve"> "002621"</f>
        <v>002621</v>
      </c>
      <c r="C2358" t="s">
        <v>7438</v>
      </c>
      <c r="D2358" t="s">
        <v>616</v>
      </c>
      <c r="E2358" t="s">
        <v>616</v>
      </c>
      <c r="F2358" t="s">
        <v>616</v>
      </c>
      <c r="G2358" t="s">
        <v>616</v>
      </c>
      <c r="H2358" t="s">
        <v>616</v>
      </c>
      <c r="I2358" t="s">
        <v>616</v>
      </c>
      <c r="J2358" t="s">
        <v>616</v>
      </c>
      <c r="K2358" t="s">
        <v>616</v>
      </c>
      <c r="L2358" t="s">
        <v>616</v>
      </c>
      <c r="M2358" t="s">
        <v>616</v>
      </c>
      <c r="N2358">
        <v>293.22000000000003</v>
      </c>
      <c r="O2358" t="s">
        <v>648</v>
      </c>
      <c r="P2358" t="s">
        <v>616</v>
      </c>
      <c r="Q2358" t="s">
        <v>616</v>
      </c>
      <c r="R2358" t="s">
        <v>616</v>
      </c>
      <c r="S2358">
        <v>15.19</v>
      </c>
      <c r="T2358" t="s">
        <v>616</v>
      </c>
      <c r="U2358" t="s">
        <v>616</v>
      </c>
      <c r="V2358" t="s">
        <v>616</v>
      </c>
      <c r="W2358" t="s">
        <v>616</v>
      </c>
      <c r="X2358" t="s">
        <v>616</v>
      </c>
      <c r="Y2358" t="s">
        <v>616</v>
      </c>
      <c r="Z2358" t="s">
        <v>616</v>
      </c>
      <c r="AA2358" t="s">
        <v>616</v>
      </c>
      <c r="AB2358" t="s">
        <v>616</v>
      </c>
      <c r="AC2358" t="s">
        <v>616</v>
      </c>
      <c r="AD2358">
        <v>4.51</v>
      </c>
      <c r="AE2358" t="s">
        <v>3261</v>
      </c>
      <c r="AF2358" t="s">
        <v>2392</v>
      </c>
      <c r="AG2358" t="s">
        <v>1965</v>
      </c>
      <c r="AH2358" t="s">
        <v>3355</v>
      </c>
      <c r="AI2358">
        <v>0</v>
      </c>
      <c r="AJ2358">
        <v>0</v>
      </c>
      <c r="AK2358">
        <v>0</v>
      </c>
      <c r="AL2358">
        <v>0</v>
      </c>
    </row>
    <row r="2359" spans="1:38" x14ac:dyDescent="0.25">
      <c r="A2359">
        <v>2358</v>
      </c>
      <c r="B2359" t="str">
        <f xml:space="preserve"> "002897"</f>
        <v>002897</v>
      </c>
      <c r="C2359" t="s">
        <v>7439</v>
      </c>
      <c r="D2359">
        <v>48.05</v>
      </c>
      <c r="E2359">
        <v>1.8</v>
      </c>
      <c r="F2359">
        <v>0.85</v>
      </c>
      <c r="G2359" t="s">
        <v>1374</v>
      </c>
      <c r="H2359">
        <v>311</v>
      </c>
      <c r="I2359">
        <v>48.04</v>
      </c>
      <c r="J2359">
        <v>48.05</v>
      </c>
      <c r="K2359">
        <v>-0.02</v>
      </c>
      <c r="L2359">
        <v>9.8000000000000007</v>
      </c>
      <c r="M2359" t="s">
        <v>3361</v>
      </c>
      <c r="N2359">
        <v>51.31</v>
      </c>
      <c r="O2359" t="s">
        <v>380</v>
      </c>
      <c r="P2359">
        <v>48.6</v>
      </c>
      <c r="Q2359">
        <v>47.54</v>
      </c>
      <c r="R2359">
        <v>47.63</v>
      </c>
      <c r="S2359">
        <v>47.2</v>
      </c>
      <c r="T2359">
        <v>2.25</v>
      </c>
      <c r="U2359">
        <v>0.64</v>
      </c>
      <c r="V2359">
        <v>-23.43</v>
      </c>
      <c r="W2359">
        <v>-82</v>
      </c>
      <c r="X2359">
        <v>48.08</v>
      </c>
      <c r="Y2359" t="s">
        <v>1095</v>
      </c>
      <c r="Z2359" t="s">
        <v>1579</v>
      </c>
      <c r="AA2359">
        <v>0.91</v>
      </c>
      <c r="AB2359">
        <v>10</v>
      </c>
      <c r="AC2359">
        <v>107</v>
      </c>
      <c r="AD2359">
        <v>4.8600000000000003</v>
      </c>
      <c r="AE2359" t="s">
        <v>1314</v>
      </c>
      <c r="AF2359" t="s">
        <v>2392</v>
      </c>
      <c r="AG2359" t="s">
        <v>7087</v>
      </c>
      <c r="AH2359" t="s">
        <v>1376</v>
      </c>
      <c r="AI2359">
        <v>-5.49</v>
      </c>
      <c r="AJ2359">
        <v>-2.34</v>
      </c>
      <c r="AK2359">
        <v>37.42</v>
      </c>
      <c r="AL2359">
        <v>86.37</v>
      </c>
    </row>
    <row r="2360" spans="1:38" x14ac:dyDescent="0.25">
      <c r="A2360">
        <v>2359</v>
      </c>
      <c r="B2360" t="str">
        <f xml:space="preserve"> "300543"</f>
        <v>300543</v>
      </c>
      <c r="C2360" t="s">
        <v>7440</v>
      </c>
      <c r="D2360">
        <v>42.71</v>
      </c>
      <c r="E2360">
        <v>-3.61</v>
      </c>
      <c r="F2360">
        <v>-1.6</v>
      </c>
      <c r="G2360" t="s">
        <v>2443</v>
      </c>
      <c r="H2360">
        <v>1360</v>
      </c>
      <c r="I2360">
        <v>42.7</v>
      </c>
      <c r="J2360">
        <v>42.71</v>
      </c>
      <c r="K2360">
        <v>-0.23</v>
      </c>
      <c r="L2360">
        <v>10.38</v>
      </c>
      <c r="M2360" t="s">
        <v>2146</v>
      </c>
      <c r="N2360">
        <v>63.18</v>
      </c>
      <c r="O2360" t="s">
        <v>553</v>
      </c>
      <c r="P2360">
        <v>44.3</v>
      </c>
      <c r="Q2360">
        <v>42.22</v>
      </c>
      <c r="R2360">
        <v>44</v>
      </c>
      <c r="S2360">
        <v>44.31</v>
      </c>
      <c r="T2360">
        <v>4.6900000000000004</v>
      </c>
      <c r="U2360">
        <v>0.87</v>
      </c>
      <c r="V2360">
        <v>-23.13</v>
      </c>
      <c r="W2360">
        <v>-91</v>
      </c>
      <c r="X2360">
        <v>43.09</v>
      </c>
      <c r="Y2360" t="s">
        <v>2696</v>
      </c>
      <c r="Z2360" t="s">
        <v>3251</v>
      </c>
      <c r="AA2360">
        <v>1.34</v>
      </c>
      <c r="AB2360">
        <v>93</v>
      </c>
      <c r="AC2360">
        <v>87</v>
      </c>
      <c r="AD2360">
        <v>8.34</v>
      </c>
      <c r="AE2360" t="s">
        <v>918</v>
      </c>
      <c r="AF2360" t="s">
        <v>2392</v>
      </c>
      <c r="AG2360" t="s">
        <v>7441</v>
      </c>
      <c r="AH2360" t="s">
        <v>3289</v>
      </c>
      <c r="AI2360">
        <v>-3.2</v>
      </c>
      <c r="AJ2360">
        <v>12.39</v>
      </c>
      <c r="AK2360">
        <v>50.29</v>
      </c>
      <c r="AL2360">
        <v>69.94</v>
      </c>
    </row>
    <row r="2361" spans="1:38" x14ac:dyDescent="0.25">
      <c r="A2361">
        <v>2360</v>
      </c>
      <c r="B2361" t="str">
        <f xml:space="preserve"> "600630"</f>
        <v>600630</v>
      </c>
      <c r="C2361" t="s">
        <v>7442</v>
      </c>
      <c r="D2361">
        <v>12.06</v>
      </c>
      <c r="E2361">
        <v>-0.25</v>
      </c>
      <c r="F2361">
        <v>-0.03</v>
      </c>
      <c r="G2361" t="s">
        <v>1712</v>
      </c>
      <c r="H2361">
        <v>24</v>
      </c>
      <c r="I2361">
        <v>12.06</v>
      </c>
      <c r="J2361">
        <v>12.07</v>
      </c>
      <c r="K2361">
        <v>0.17</v>
      </c>
      <c r="L2361">
        <v>0.86</v>
      </c>
      <c r="M2361" t="s">
        <v>7443</v>
      </c>
      <c r="N2361">
        <v>69.39</v>
      </c>
      <c r="O2361" t="s">
        <v>1443</v>
      </c>
      <c r="P2361">
        <v>12.09</v>
      </c>
      <c r="Q2361">
        <v>11.9</v>
      </c>
      <c r="R2361">
        <v>12.02</v>
      </c>
      <c r="S2361">
        <v>12.09</v>
      </c>
      <c r="T2361">
        <v>1.57</v>
      </c>
      <c r="U2361">
        <v>0.91</v>
      </c>
      <c r="V2361">
        <v>-66.87</v>
      </c>
      <c r="W2361">
        <v>-1775</v>
      </c>
      <c r="X2361">
        <v>11.98</v>
      </c>
      <c r="Y2361" t="s">
        <v>2653</v>
      </c>
      <c r="Z2361" t="s">
        <v>433</v>
      </c>
      <c r="AA2361">
        <v>1.39</v>
      </c>
      <c r="AB2361">
        <v>3</v>
      </c>
      <c r="AC2361">
        <v>237</v>
      </c>
      <c r="AD2361">
        <v>2.96</v>
      </c>
      <c r="AE2361" t="s">
        <v>5453</v>
      </c>
      <c r="AF2361" t="s">
        <v>5770</v>
      </c>
      <c r="AG2361" t="s">
        <v>5453</v>
      </c>
      <c r="AH2361" t="s">
        <v>5770</v>
      </c>
      <c r="AI2361">
        <v>0.57999999999999996</v>
      </c>
      <c r="AJ2361">
        <v>2.29</v>
      </c>
      <c r="AK2361">
        <v>3.4</v>
      </c>
      <c r="AL2361">
        <v>5.56</v>
      </c>
    </row>
    <row r="2362" spans="1:38" x14ac:dyDescent="0.25">
      <c r="A2362">
        <v>2361</v>
      </c>
      <c r="B2362" t="str">
        <f xml:space="preserve"> "300507"</f>
        <v>300507</v>
      </c>
      <c r="C2362" t="s">
        <v>7444</v>
      </c>
      <c r="D2362">
        <v>42.63</v>
      </c>
      <c r="E2362">
        <v>1.79</v>
      </c>
      <c r="F2362">
        <v>0.75</v>
      </c>
      <c r="G2362" t="s">
        <v>124</v>
      </c>
      <c r="H2362">
        <v>270</v>
      </c>
      <c r="I2362">
        <v>42.62</v>
      </c>
      <c r="J2362">
        <v>42.63</v>
      </c>
      <c r="K2362">
        <v>0</v>
      </c>
      <c r="L2362">
        <v>4.21</v>
      </c>
      <c r="M2362" t="s">
        <v>7445</v>
      </c>
      <c r="N2362">
        <v>49</v>
      </c>
      <c r="O2362" t="s">
        <v>169</v>
      </c>
      <c r="P2362">
        <v>42.68</v>
      </c>
      <c r="Q2362">
        <v>41.5</v>
      </c>
      <c r="R2362">
        <v>41.88</v>
      </c>
      <c r="S2362">
        <v>41.88</v>
      </c>
      <c r="T2362">
        <v>2.82</v>
      </c>
      <c r="U2362">
        <v>1.41</v>
      </c>
      <c r="V2362">
        <v>-63.02</v>
      </c>
      <c r="W2362">
        <v>-259</v>
      </c>
      <c r="X2362">
        <v>42.17</v>
      </c>
      <c r="Y2362">
        <v>4956</v>
      </c>
      <c r="Z2362">
        <v>7665</v>
      </c>
      <c r="AA2362">
        <v>0.65</v>
      </c>
      <c r="AB2362">
        <v>18</v>
      </c>
      <c r="AC2362">
        <v>21</v>
      </c>
      <c r="AD2362">
        <v>6.25</v>
      </c>
      <c r="AE2362" t="s">
        <v>918</v>
      </c>
      <c r="AF2362" t="s">
        <v>5770</v>
      </c>
      <c r="AG2362" t="s">
        <v>6547</v>
      </c>
      <c r="AH2362" t="s">
        <v>1376</v>
      </c>
      <c r="AI2362">
        <v>0.59</v>
      </c>
      <c r="AJ2362">
        <v>5.83</v>
      </c>
      <c r="AK2362">
        <v>9.7100000000000009</v>
      </c>
      <c r="AL2362">
        <v>19.170000000000002</v>
      </c>
    </row>
    <row r="2363" spans="1:38" x14ac:dyDescent="0.25">
      <c r="A2363">
        <v>2362</v>
      </c>
      <c r="B2363" t="str">
        <f xml:space="preserve"> "600891"</f>
        <v>600891</v>
      </c>
      <c r="C2363" t="s">
        <v>7446</v>
      </c>
      <c r="D2363">
        <v>8.27</v>
      </c>
      <c r="E2363">
        <v>-0.24</v>
      </c>
      <c r="F2363">
        <v>-0.02</v>
      </c>
      <c r="G2363" t="s">
        <v>1732</v>
      </c>
      <c r="H2363">
        <v>3</v>
      </c>
      <c r="I2363">
        <v>8.26</v>
      </c>
      <c r="J2363">
        <v>8.27</v>
      </c>
      <c r="K2363">
        <v>0</v>
      </c>
      <c r="L2363">
        <v>0.38</v>
      </c>
      <c r="M2363" t="s">
        <v>7447</v>
      </c>
      <c r="N2363">
        <v>31.92</v>
      </c>
      <c r="O2363" t="s">
        <v>532</v>
      </c>
      <c r="P2363">
        <v>8.32</v>
      </c>
      <c r="Q2363">
        <v>8.23</v>
      </c>
      <c r="R2363">
        <v>8.2899999999999991</v>
      </c>
      <c r="S2363">
        <v>8.2899999999999991</v>
      </c>
      <c r="T2363">
        <v>1.0900000000000001</v>
      </c>
      <c r="U2363">
        <v>0.65</v>
      </c>
      <c r="V2363">
        <v>29.71</v>
      </c>
      <c r="W2363">
        <v>509</v>
      </c>
      <c r="X2363">
        <v>8.27</v>
      </c>
      <c r="Y2363">
        <v>8272</v>
      </c>
      <c r="Z2363">
        <v>6246</v>
      </c>
      <c r="AA2363">
        <v>1.32</v>
      </c>
      <c r="AB2363">
        <v>375</v>
      </c>
      <c r="AC2363">
        <v>20</v>
      </c>
      <c r="AD2363">
        <v>1.73</v>
      </c>
      <c r="AE2363" t="s">
        <v>2121</v>
      </c>
      <c r="AF2363" t="s">
        <v>1344</v>
      </c>
      <c r="AG2363" t="s">
        <v>497</v>
      </c>
      <c r="AH2363" t="s">
        <v>4062</v>
      </c>
      <c r="AI2363">
        <v>-0.36</v>
      </c>
      <c r="AJ2363">
        <v>0.98</v>
      </c>
      <c r="AK2363">
        <v>1.64</v>
      </c>
      <c r="AL2363">
        <v>3.27</v>
      </c>
    </row>
    <row r="2364" spans="1:38" x14ac:dyDescent="0.25">
      <c r="A2364">
        <v>2363</v>
      </c>
      <c r="B2364" t="str">
        <f xml:space="preserve"> "000659"</f>
        <v>000659</v>
      </c>
      <c r="C2364" t="s">
        <v>7448</v>
      </c>
      <c r="D2364">
        <v>3.97</v>
      </c>
      <c r="E2364">
        <v>-0.25</v>
      </c>
      <c r="F2364">
        <v>-0.01</v>
      </c>
      <c r="G2364" t="s">
        <v>2294</v>
      </c>
      <c r="H2364">
        <v>3754</v>
      </c>
      <c r="I2364">
        <v>3.97</v>
      </c>
      <c r="J2364">
        <v>3.98</v>
      </c>
      <c r="K2364">
        <v>0</v>
      </c>
      <c r="L2364">
        <v>0.49</v>
      </c>
      <c r="M2364" t="s">
        <v>7449</v>
      </c>
      <c r="N2364">
        <v>246.1</v>
      </c>
      <c r="O2364" t="s">
        <v>3873</v>
      </c>
      <c r="P2364">
        <v>4.04</v>
      </c>
      <c r="Q2364">
        <v>3.97</v>
      </c>
      <c r="R2364">
        <v>4.04</v>
      </c>
      <c r="S2364">
        <v>3.98</v>
      </c>
      <c r="T2364">
        <v>1.76</v>
      </c>
      <c r="U2364">
        <v>0.7</v>
      </c>
      <c r="V2364">
        <v>-60.32</v>
      </c>
      <c r="W2364">
        <v>-9803</v>
      </c>
      <c r="X2364">
        <v>3.99</v>
      </c>
      <c r="Y2364" t="s">
        <v>1739</v>
      </c>
      <c r="Z2364" t="s">
        <v>432</v>
      </c>
      <c r="AA2364">
        <v>1.92</v>
      </c>
      <c r="AB2364">
        <v>611</v>
      </c>
      <c r="AC2364">
        <v>1123</v>
      </c>
      <c r="AD2364">
        <v>10.31</v>
      </c>
      <c r="AE2364" t="s">
        <v>2683</v>
      </c>
      <c r="AF2364" t="s">
        <v>5218</v>
      </c>
      <c r="AG2364" t="s">
        <v>2683</v>
      </c>
      <c r="AH2364" t="s">
        <v>5218</v>
      </c>
      <c r="AI2364">
        <v>3.12</v>
      </c>
      <c r="AJ2364">
        <v>4.2</v>
      </c>
      <c r="AK2364">
        <v>2.2799999999999998</v>
      </c>
      <c r="AL2364">
        <v>4.0199999999999996</v>
      </c>
    </row>
    <row r="2365" spans="1:38" x14ac:dyDescent="0.25">
      <c r="A2365">
        <v>2364</v>
      </c>
      <c r="B2365" t="str">
        <f xml:space="preserve"> "300344"</f>
        <v>300344</v>
      </c>
      <c r="C2365" t="s">
        <v>7450</v>
      </c>
      <c r="D2365">
        <v>15.07</v>
      </c>
      <c r="E2365">
        <v>0.13</v>
      </c>
      <c r="F2365">
        <v>0.02</v>
      </c>
      <c r="G2365" t="s">
        <v>2055</v>
      </c>
      <c r="H2365">
        <v>2110</v>
      </c>
      <c r="I2365">
        <v>15.06</v>
      </c>
      <c r="J2365">
        <v>15.07</v>
      </c>
      <c r="K2365">
        <v>-7.0000000000000007E-2</v>
      </c>
      <c r="L2365">
        <v>8.86</v>
      </c>
      <c r="M2365" t="s">
        <v>4480</v>
      </c>
      <c r="N2365">
        <v>-212.02</v>
      </c>
      <c r="O2365" t="s">
        <v>859</v>
      </c>
      <c r="P2365">
        <v>15.2</v>
      </c>
      <c r="Q2365">
        <v>14.53</v>
      </c>
      <c r="R2365">
        <v>15</v>
      </c>
      <c r="S2365">
        <v>15.05</v>
      </c>
      <c r="T2365">
        <v>4.45</v>
      </c>
      <c r="U2365">
        <v>0.79</v>
      </c>
      <c r="V2365">
        <v>-28.27</v>
      </c>
      <c r="W2365">
        <v>-980</v>
      </c>
      <c r="X2365">
        <v>14.89</v>
      </c>
      <c r="Y2365" t="s">
        <v>1313</v>
      </c>
      <c r="Z2365" t="s">
        <v>1902</v>
      </c>
      <c r="AA2365">
        <v>1.18</v>
      </c>
      <c r="AB2365">
        <v>370</v>
      </c>
      <c r="AC2365">
        <v>202</v>
      </c>
      <c r="AD2365">
        <v>7.97</v>
      </c>
      <c r="AE2365" t="s">
        <v>3261</v>
      </c>
      <c r="AF2365" t="s">
        <v>1656</v>
      </c>
      <c r="AG2365" t="s">
        <v>1088</v>
      </c>
      <c r="AH2365" t="s">
        <v>2795</v>
      </c>
      <c r="AI2365">
        <v>-2.27</v>
      </c>
      <c r="AJ2365">
        <v>2.1</v>
      </c>
      <c r="AK2365">
        <v>23.58</v>
      </c>
      <c r="AL2365">
        <v>65.12</v>
      </c>
    </row>
    <row r="2366" spans="1:38" x14ac:dyDescent="0.25">
      <c r="A2366">
        <v>2365</v>
      </c>
      <c r="B2366" t="str">
        <f xml:space="preserve"> "300394"</f>
        <v>300394</v>
      </c>
      <c r="C2366" t="s">
        <v>7451</v>
      </c>
      <c r="D2366">
        <v>27.36</v>
      </c>
      <c r="E2366">
        <v>-2.4300000000000002</v>
      </c>
      <c r="F2366">
        <v>-0.68</v>
      </c>
      <c r="G2366" t="s">
        <v>915</v>
      </c>
      <c r="H2366">
        <v>379</v>
      </c>
      <c r="I2366">
        <v>27.36</v>
      </c>
      <c r="J2366">
        <v>27.37</v>
      </c>
      <c r="K2366">
        <v>0</v>
      </c>
      <c r="L2366">
        <v>5.26</v>
      </c>
      <c r="M2366" t="s">
        <v>1442</v>
      </c>
      <c r="N2366">
        <v>41.7</v>
      </c>
      <c r="O2366" t="s">
        <v>580</v>
      </c>
      <c r="P2366">
        <v>27.59</v>
      </c>
      <c r="Q2366">
        <v>26.83</v>
      </c>
      <c r="R2366">
        <v>27.5</v>
      </c>
      <c r="S2366">
        <v>28.04</v>
      </c>
      <c r="T2366">
        <v>2.71</v>
      </c>
      <c r="U2366">
        <v>0.8</v>
      </c>
      <c r="V2366">
        <v>12.16</v>
      </c>
      <c r="W2366">
        <v>50</v>
      </c>
      <c r="X2366">
        <v>27.13</v>
      </c>
      <c r="Y2366" t="s">
        <v>468</v>
      </c>
      <c r="Z2366" t="s">
        <v>3519</v>
      </c>
      <c r="AA2366">
        <v>1.31</v>
      </c>
      <c r="AB2366">
        <v>98</v>
      </c>
      <c r="AC2366">
        <v>22</v>
      </c>
      <c r="AD2366">
        <v>6.7</v>
      </c>
      <c r="AE2366" t="s">
        <v>823</v>
      </c>
      <c r="AF2366" t="s">
        <v>4539</v>
      </c>
      <c r="AG2366" t="s">
        <v>7452</v>
      </c>
      <c r="AH2366" t="s">
        <v>1501</v>
      </c>
      <c r="AI2366">
        <v>-5.98</v>
      </c>
      <c r="AJ2366">
        <v>-4.57</v>
      </c>
      <c r="AK2366">
        <v>14.96</v>
      </c>
      <c r="AL2366">
        <v>38.33</v>
      </c>
    </row>
    <row r="2367" spans="1:38" x14ac:dyDescent="0.25">
      <c r="A2367">
        <v>2366</v>
      </c>
      <c r="B2367" t="str">
        <f xml:space="preserve"> "002718"</f>
        <v>002718</v>
      </c>
      <c r="C2367" t="s">
        <v>7453</v>
      </c>
      <c r="D2367">
        <v>57.98</v>
      </c>
      <c r="E2367">
        <v>-1.23</v>
      </c>
      <c r="F2367">
        <v>-0.72</v>
      </c>
      <c r="G2367">
        <v>4390</v>
      </c>
      <c r="H2367">
        <v>85</v>
      </c>
      <c r="I2367">
        <v>57.94</v>
      </c>
      <c r="J2367">
        <v>57.98</v>
      </c>
      <c r="K2367">
        <v>0</v>
      </c>
      <c r="L2367">
        <v>1.69</v>
      </c>
      <c r="M2367" t="s">
        <v>7454</v>
      </c>
      <c r="N2367">
        <v>39.15</v>
      </c>
      <c r="O2367" t="s">
        <v>1469</v>
      </c>
      <c r="P2367">
        <v>58.88</v>
      </c>
      <c r="Q2367">
        <v>57.71</v>
      </c>
      <c r="R2367">
        <v>58.7</v>
      </c>
      <c r="S2367">
        <v>58.7</v>
      </c>
      <c r="T2367">
        <v>1.99</v>
      </c>
      <c r="U2367">
        <v>0.68</v>
      </c>
      <c r="V2367">
        <v>-45.3</v>
      </c>
      <c r="W2367">
        <v>-53</v>
      </c>
      <c r="X2367">
        <v>58.02</v>
      </c>
      <c r="Y2367">
        <v>2873</v>
      </c>
      <c r="Z2367">
        <v>1517</v>
      </c>
      <c r="AA2367">
        <v>1.89</v>
      </c>
      <c r="AB2367">
        <v>1</v>
      </c>
      <c r="AC2367">
        <v>16</v>
      </c>
      <c r="AD2367">
        <v>4.8099999999999996</v>
      </c>
      <c r="AE2367" t="s">
        <v>7455</v>
      </c>
      <c r="AF2367" t="s">
        <v>4539</v>
      </c>
      <c r="AG2367" t="s">
        <v>7456</v>
      </c>
      <c r="AH2367" t="s">
        <v>434</v>
      </c>
      <c r="AI2367">
        <v>-1.06</v>
      </c>
      <c r="AJ2367">
        <v>3.72</v>
      </c>
      <c r="AK2367">
        <v>5.49</v>
      </c>
      <c r="AL2367">
        <v>14.02</v>
      </c>
    </row>
    <row r="2368" spans="1:38" x14ac:dyDescent="0.25">
      <c r="A2368">
        <v>2367</v>
      </c>
      <c r="B2368" t="str">
        <f xml:space="preserve"> "603608"</f>
        <v>603608</v>
      </c>
      <c r="C2368" t="s">
        <v>7457</v>
      </c>
      <c r="D2368">
        <v>12.83</v>
      </c>
      <c r="E2368">
        <v>0.71</v>
      </c>
      <c r="F2368">
        <v>0.09</v>
      </c>
      <c r="G2368" t="s">
        <v>4788</v>
      </c>
      <c r="H2368">
        <v>20</v>
      </c>
      <c r="I2368">
        <v>12.83</v>
      </c>
      <c r="J2368">
        <v>12.84</v>
      </c>
      <c r="K2368">
        <v>-0.08</v>
      </c>
      <c r="L2368">
        <v>1.64</v>
      </c>
      <c r="M2368" t="s">
        <v>7458</v>
      </c>
      <c r="N2368">
        <v>25.23</v>
      </c>
      <c r="O2368" t="s">
        <v>1443</v>
      </c>
      <c r="P2368">
        <v>12.92</v>
      </c>
      <c r="Q2368">
        <v>12.65</v>
      </c>
      <c r="R2368">
        <v>12.7</v>
      </c>
      <c r="S2368">
        <v>12.74</v>
      </c>
      <c r="T2368">
        <v>2.12</v>
      </c>
      <c r="U2368">
        <v>0.78</v>
      </c>
      <c r="V2368">
        <v>11.89</v>
      </c>
      <c r="W2368">
        <v>290</v>
      </c>
      <c r="X2368">
        <v>12.83</v>
      </c>
      <c r="Y2368" t="s">
        <v>1869</v>
      </c>
      <c r="Z2368">
        <v>9480</v>
      </c>
      <c r="AA2368">
        <v>1.2</v>
      </c>
      <c r="AB2368">
        <v>110</v>
      </c>
      <c r="AC2368">
        <v>199</v>
      </c>
      <c r="AD2368">
        <v>3.26</v>
      </c>
      <c r="AE2368" t="s">
        <v>3924</v>
      </c>
      <c r="AF2368" t="s">
        <v>4539</v>
      </c>
      <c r="AG2368" t="s">
        <v>315</v>
      </c>
      <c r="AH2368" t="s">
        <v>1464</v>
      </c>
      <c r="AI2368">
        <v>1.34</v>
      </c>
      <c r="AJ2368">
        <v>1.83</v>
      </c>
      <c r="AK2368">
        <v>6.47</v>
      </c>
      <c r="AL2368">
        <v>12.12</v>
      </c>
    </row>
    <row r="2369" spans="1:38" x14ac:dyDescent="0.25">
      <c r="A2369">
        <v>2368</v>
      </c>
      <c r="B2369" t="str">
        <f xml:space="preserve"> "300461"</f>
        <v>300461</v>
      </c>
      <c r="C2369" t="s">
        <v>7459</v>
      </c>
      <c r="D2369">
        <v>71.98</v>
      </c>
      <c r="E2369">
        <v>-3.08</v>
      </c>
      <c r="F2369">
        <v>-2.29</v>
      </c>
      <c r="G2369" t="s">
        <v>2453</v>
      </c>
      <c r="H2369">
        <v>109</v>
      </c>
      <c r="I2369">
        <v>71.98</v>
      </c>
      <c r="J2369">
        <v>72</v>
      </c>
      <c r="K2369">
        <v>0.01</v>
      </c>
      <c r="L2369">
        <v>6.28</v>
      </c>
      <c r="M2369" t="s">
        <v>1120</v>
      </c>
      <c r="N2369">
        <v>167.81</v>
      </c>
      <c r="O2369" t="s">
        <v>380</v>
      </c>
      <c r="P2369">
        <v>74.5</v>
      </c>
      <c r="Q2369">
        <v>71.09</v>
      </c>
      <c r="R2369">
        <v>74.489999999999995</v>
      </c>
      <c r="S2369">
        <v>74.27</v>
      </c>
      <c r="T2369">
        <v>4.59</v>
      </c>
      <c r="U2369">
        <v>1.19</v>
      </c>
      <c r="V2369">
        <v>23.97</v>
      </c>
      <c r="W2369">
        <v>29</v>
      </c>
      <c r="X2369">
        <v>73.2</v>
      </c>
      <c r="Y2369">
        <v>8057</v>
      </c>
      <c r="Z2369">
        <v>6738</v>
      </c>
      <c r="AA2369">
        <v>1.2</v>
      </c>
      <c r="AB2369">
        <v>8</v>
      </c>
      <c r="AC2369">
        <v>13</v>
      </c>
      <c r="AD2369">
        <v>15.84</v>
      </c>
      <c r="AE2369" t="s">
        <v>7460</v>
      </c>
      <c r="AF2369" t="s">
        <v>4539</v>
      </c>
      <c r="AG2369" t="s">
        <v>5902</v>
      </c>
      <c r="AH2369" t="s">
        <v>909</v>
      </c>
      <c r="AI2369">
        <v>2.36</v>
      </c>
      <c r="AJ2369">
        <v>8.5500000000000007</v>
      </c>
      <c r="AK2369">
        <v>15.55</v>
      </c>
      <c r="AL2369">
        <v>32.700000000000003</v>
      </c>
    </row>
    <row r="2370" spans="1:38" x14ac:dyDescent="0.25">
      <c r="A2370">
        <v>2369</v>
      </c>
      <c r="B2370" t="str">
        <f xml:space="preserve"> "002869"</f>
        <v>002869</v>
      </c>
      <c r="C2370" t="s">
        <v>7461</v>
      </c>
      <c r="D2370">
        <v>43.1</v>
      </c>
      <c r="E2370">
        <v>-0.92</v>
      </c>
      <c r="F2370">
        <v>-0.4</v>
      </c>
      <c r="G2370" t="s">
        <v>2202</v>
      </c>
      <c r="H2370">
        <v>513</v>
      </c>
      <c r="I2370">
        <v>43.09</v>
      </c>
      <c r="J2370">
        <v>43.1</v>
      </c>
      <c r="K2370">
        <v>-0.23</v>
      </c>
      <c r="L2370">
        <v>7.95</v>
      </c>
      <c r="M2370" t="s">
        <v>2179</v>
      </c>
      <c r="N2370">
        <v>45.07</v>
      </c>
      <c r="O2370" t="s">
        <v>893</v>
      </c>
      <c r="P2370">
        <v>43.67</v>
      </c>
      <c r="Q2370">
        <v>42.82</v>
      </c>
      <c r="R2370">
        <v>43.56</v>
      </c>
      <c r="S2370">
        <v>43.5</v>
      </c>
      <c r="T2370">
        <v>1.95</v>
      </c>
      <c r="U2370">
        <v>0.44</v>
      </c>
      <c r="V2370">
        <v>-33.659999999999997</v>
      </c>
      <c r="W2370">
        <v>-164</v>
      </c>
      <c r="X2370">
        <v>43.28</v>
      </c>
      <c r="Y2370" t="s">
        <v>1732</v>
      </c>
      <c r="Z2370">
        <v>8957</v>
      </c>
      <c r="AA2370">
        <v>1.62</v>
      </c>
      <c r="AB2370">
        <v>19</v>
      </c>
      <c r="AC2370">
        <v>122</v>
      </c>
      <c r="AD2370">
        <v>5.0199999999999996</v>
      </c>
      <c r="AE2370" t="s">
        <v>1606</v>
      </c>
      <c r="AF2370" t="s">
        <v>4539</v>
      </c>
      <c r="AG2370" t="s">
        <v>7462</v>
      </c>
      <c r="AH2370" t="s">
        <v>1483</v>
      </c>
      <c r="AI2370">
        <v>-4.01</v>
      </c>
      <c r="AJ2370">
        <v>-1.73</v>
      </c>
      <c r="AK2370">
        <v>31.25</v>
      </c>
      <c r="AL2370">
        <v>97.66</v>
      </c>
    </row>
    <row r="2371" spans="1:38" x14ac:dyDescent="0.25">
      <c r="A2371">
        <v>2370</v>
      </c>
      <c r="B2371" t="str">
        <f xml:space="preserve"> "603183"</f>
        <v>603183</v>
      </c>
      <c r="C2371" t="s">
        <v>7463</v>
      </c>
      <c r="D2371">
        <v>57.67</v>
      </c>
      <c r="E2371">
        <v>1.1000000000000001</v>
      </c>
      <c r="F2371">
        <v>0.63</v>
      </c>
      <c r="G2371" t="s">
        <v>1743</v>
      </c>
      <c r="H2371">
        <v>16</v>
      </c>
      <c r="I2371">
        <v>57.7</v>
      </c>
      <c r="J2371">
        <v>57.75</v>
      </c>
      <c r="K2371">
        <v>0.17</v>
      </c>
      <c r="L2371">
        <v>17.11</v>
      </c>
      <c r="M2371" t="s">
        <v>1914</v>
      </c>
      <c r="N2371">
        <v>99.46</v>
      </c>
      <c r="O2371" t="s">
        <v>263</v>
      </c>
      <c r="P2371">
        <v>57.97</v>
      </c>
      <c r="Q2371">
        <v>56</v>
      </c>
      <c r="R2371">
        <v>56.51</v>
      </c>
      <c r="S2371">
        <v>57.04</v>
      </c>
      <c r="T2371">
        <v>3.45</v>
      </c>
      <c r="U2371">
        <v>0.53</v>
      </c>
      <c r="V2371">
        <v>6.93</v>
      </c>
      <c r="W2371">
        <v>25</v>
      </c>
      <c r="X2371">
        <v>57.26</v>
      </c>
      <c r="Y2371" t="s">
        <v>1504</v>
      </c>
      <c r="Z2371" t="s">
        <v>1504</v>
      </c>
      <c r="AA2371">
        <v>1</v>
      </c>
      <c r="AB2371">
        <v>77</v>
      </c>
      <c r="AC2371">
        <v>26</v>
      </c>
      <c r="AD2371">
        <v>8.4</v>
      </c>
      <c r="AE2371" t="s">
        <v>7464</v>
      </c>
      <c r="AF2371" t="s">
        <v>847</v>
      </c>
      <c r="AG2371" t="s">
        <v>7465</v>
      </c>
      <c r="AH2371" t="s">
        <v>1483</v>
      </c>
      <c r="AI2371">
        <v>-9.57</v>
      </c>
      <c r="AJ2371">
        <v>-15.03</v>
      </c>
      <c r="AK2371">
        <v>67.180000000000007</v>
      </c>
      <c r="AL2371">
        <v>177.81</v>
      </c>
    </row>
    <row r="2372" spans="1:38" x14ac:dyDescent="0.25">
      <c r="A2372">
        <v>2371</v>
      </c>
      <c r="B2372" t="str">
        <f xml:space="preserve"> "300462"</f>
        <v>300462</v>
      </c>
      <c r="C2372" t="s">
        <v>7466</v>
      </c>
      <c r="D2372" t="s">
        <v>616</v>
      </c>
      <c r="E2372" t="s">
        <v>616</v>
      </c>
      <c r="F2372" t="s">
        <v>616</v>
      </c>
      <c r="G2372" t="s">
        <v>616</v>
      </c>
      <c r="H2372" t="s">
        <v>616</v>
      </c>
      <c r="I2372" t="s">
        <v>616</v>
      </c>
      <c r="J2372" t="s">
        <v>616</v>
      </c>
      <c r="K2372" t="s">
        <v>616</v>
      </c>
      <c r="L2372" t="s">
        <v>616</v>
      </c>
      <c r="M2372" t="s">
        <v>616</v>
      </c>
      <c r="N2372">
        <v>131.47</v>
      </c>
      <c r="O2372" t="s">
        <v>253</v>
      </c>
      <c r="P2372" t="s">
        <v>616</v>
      </c>
      <c r="Q2372" t="s">
        <v>616</v>
      </c>
      <c r="R2372" t="s">
        <v>616</v>
      </c>
      <c r="S2372">
        <v>36.83</v>
      </c>
      <c r="T2372" t="s">
        <v>616</v>
      </c>
      <c r="U2372" t="s">
        <v>616</v>
      </c>
      <c r="V2372" t="s">
        <v>616</v>
      </c>
      <c r="W2372" t="s">
        <v>616</v>
      </c>
      <c r="X2372" t="s">
        <v>616</v>
      </c>
      <c r="Y2372" t="s">
        <v>616</v>
      </c>
      <c r="Z2372" t="s">
        <v>616</v>
      </c>
      <c r="AA2372" t="s">
        <v>616</v>
      </c>
      <c r="AB2372" t="s">
        <v>616</v>
      </c>
      <c r="AC2372" t="s">
        <v>616</v>
      </c>
      <c r="AD2372">
        <v>9.02</v>
      </c>
      <c r="AE2372" t="s">
        <v>746</v>
      </c>
      <c r="AF2372" t="s">
        <v>847</v>
      </c>
      <c r="AG2372" t="s">
        <v>7467</v>
      </c>
      <c r="AH2372" t="s">
        <v>1063</v>
      </c>
      <c r="AI2372">
        <v>0</v>
      </c>
      <c r="AJ2372">
        <v>0</v>
      </c>
      <c r="AK2372">
        <v>0</v>
      </c>
      <c r="AL2372">
        <v>0</v>
      </c>
    </row>
    <row r="2373" spans="1:38" x14ac:dyDescent="0.25">
      <c r="A2373">
        <v>2372</v>
      </c>
      <c r="B2373" t="str">
        <f xml:space="preserve"> "300465"</f>
        <v>300465</v>
      </c>
      <c r="C2373" t="s">
        <v>7468</v>
      </c>
      <c r="D2373">
        <v>11.26</v>
      </c>
      <c r="E2373">
        <v>0.09</v>
      </c>
      <c r="F2373">
        <v>0.01</v>
      </c>
      <c r="G2373" t="s">
        <v>3670</v>
      </c>
      <c r="H2373">
        <v>1158</v>
      </c>
      <c r="I2373">
        <v>11.25</v>
      </c>
      <c r="J2373">
        <v>11.26</v>
      </c>
      <c r="K2373">
        <v>0.09</v>
      </c>
      <c r="L2373">
        <v>3.28</v>
      </c>
      <c r="M2373" t="s">
        <v>7469</v>
      </c>
      <c r="N2373">
        <v>568.15</v>
      </c>
      <c r="O2373" t="s">
        <v>893</v>
      </c>
      <c r="P2373">
        <v>11.46</v>
      </c>
      <c r="Q2373">
        <v>11.1</v>
      </c>
      <c r="R2373">
        <v>11.35</v>
      </c>
      <c r="S2373">
        <v>11.25</v>
      </c>
      <c r="T2373">
        <v>3.2</v>
      </c>
      <c r="U2373">
        <v>0.92</v>
      </c>
      <c r="V2373">
        <v>-42.33</v>
      </c>
      <c r="W2373">
        <v>-2056</v>
      </c>
      <c r="X2373">
        <v>11.25</v>
      </c>
      <c r="Y2373" t="s">
        <v>1355</v>
      </c>
      <c r="Z2373" t="s">
        <v>1884</v>
      </c>
      <c r="AA2373">
        <v>1.17</v>
      </c>
      <c r="AB2373">
        <v>615</v>
      </c>
      <c r="AC2373">
        <v>1457</v>
      </c>
      <c r="AD2373">
        <v>4.82</v>
      </c>
      <c r="AE2373" t="s">
        <v>3370</v>
      </c>
      <c r="AF2373" t="s">
        <v>847</v>
      </c>
      <c r="AG2373" t="s">
        <v>6725</v>
      </c>
      <c r="AH2373" t="s">
        <v>3615</v>
      </c>
      <c r="AI2373">
        <v>-0.71</v>
      </c>
      <c r="AJ2373">
        <v>6.53</v>
      </c>
      <c r="AK2373">
        <v>11.02</v>
      </c>
      <c r="AL2373">
        <v>21.07</v>
      </c>
    </row>
    <row r="2374" spans="1:38" x14ac:dyDescent="0.25">
      <c r="A2374">
        <v>2373</v>
      </c>
      <c r="B2374" t="str">
        <f xml:space="preserve"> "300151"</f>
        <v>300151</v>
      </c>
      <c r="C2374" t="s">
        <v>7470</v>
      </c>
      <c r="D2374">
        <v>10.09</v>
      </c>
      <c r="E2374">
        <v>0.5</v>
      </c>
      <c r="F2374">
        <v>0.05</v>
      </c>
      <c r="G2374" t="s">
        <v>3861</v>
      </c>
      <c r="H2374">
        <v>698</v>
      </c>
      <c r="I2374">
        <v>10.09</v>
      </c>
      <c r="J2374">
        <v>10.1</v>
      </c>
      <c r="K2374">
        <v>0</v>
      </c>
      <c r="L2374">
        <v>1.1100000000000001</v>
      </c>
      <c r="M2374" t="s">
        <v>7471</v>
      </c>
      <c r="N2374">
        <v>191.24</v>
      </c>
      <c r="O2374" t="s">
        <v>2128</v>
      </c>
      <c r="P2374">
        <v>10.1</v>
      </c>
      <c r="Q2374">
        <v>9.94</v>
      </c>
      <c r="R2374">
        <v>9.9700000000000006</v>
      </c>
      <c r="S2374">
        <v>10.039999999999999</v>
      </c>
      <c r="T2374">
        <v>1.59</v>
      </c>
      <c r="U2374">
        <v>0.72</v>
      </c>
      <c r="V2374">
        <v>-6.11</v>
      </c>
      <c r="W2374">
        <v>-235</v>
      </c>
      <c r="X2374">
        <v>10.029999999999999</v>
      </c>
      <c r="Y2374" t="s">
        <v>1113</v>
      </c>
      <c r="Z2374" t="s">
        <v>3234</v>
      </c>
      <c r="AA2374">
        <v>1.26</v>
      </c>
      <c r="AB2374">
        <v>1378</v>
      </c>
      <c r="AC2374">
        <v>1041</v>
      </c>
      <c r="AD2374">
        <v>6.25</v>
      </c>
      <c r="AE2374" t="s">
        <v>1613</v>
      </c>
      <c r="AF2374" t="s">
        <v>847</v>
      </c>
      <c r="AG2374" t="s">
        <v>1622</v>
      </c>
      <c r="AH2374" t="s">
        <v>93</v>
      </c>
      <c r="AI2374">
        <v>-1.08</v>
      </c>
      <c r="AJ2374">
        <v>5.0999999999999996</v>
      </c>
      <c r="AK2374">
        <v>4.1100000000000003</v>
      </c>
      <c r="AL2374">
        <v>8.76</v>
      </c>
    </row>
    <row r="2375" spans="1:38" x14ac:dyDescent="0.25">
      <c r="A2375">
        <v>2374</v>
      </c>
      <c r="B2375" t="str">
        <f xml:space="preserve"> "002529"</f>
        <v>002529</v>
      </c>
      <c r="C2375" t="s">
        <v>7472</v>
      </c>
      <c r="D2375">
        <v>19.47</v>
      </c>
      <c r="E2375">
        <v>0.72</v>
      </c>
      <c r="F2375">
        <v>0.14000000000000001</v>
      </c>
      <c r="G2375" t="s">
        <v>393</v>
      </c>
      <c r="H2375">
        <v>489</v>
      </c>
      <c r="I2375">
        <v>19.47</v>
      </c>
      <c r="J2375">
        <v>19.48</v>
      </c>
      <c r="K2375">
        <v>-0.05</v>
      </c>
      <c r="L2375">
        <v>1.44</v>
      </c>
      <c r="M2375" t="s">
        <v>2771</v>
      </c>
      <c r="N2375">
        <v>97.22</v>
      </c>
      <c r="O2375" t="s">
        <v>2647</v>
      </c>
      <c r="P2375">
        <v>19.55</v>
      </c>
      <c r="Q2375">
        <v>19.22</v>
      </c>
      <c r="R2375">
        <v>19.399999999999999</v>
      </c>
      <c r="S2375">
        <v>19.329999999999998</v>
      </c>
      <c r="T2375">
        <v>1.71</v>
      </c>
      <c r="U2375">
        <v>0.68</v>
      </c>
      <c r="V2375">
        <v>15.53</v>
      </c>
      <c r="W2375">
        <v>81</v>
      </c>
      <c r="X2375">
        <v>19.34</v>
      </c>
      <c r="Y2375" t="s">
        <v>1349</v>
      </c>
      <c r="Z2375" t="s">
        <v>3941</v>
      </c>
      <c r="AA2375">
        <v>1.5</v>
      </c>
      <c r="AB2375">
        <v>75</v>
      </c>
      <c r="AC2375">
        <v>30</v>
      </c>
      <c r="AD2375">
        <v>3.19</v>
      </c>
      <c r="AE2375" t="s">
        <v>2807</v>
      </c>
      <c r="AF2375" t="s">
        <v>7473</v>
      </c>
      <c r="AG2375" t="s">
        <v>1485</v>
      </c>
      <c r="AH2375" t="s">
        <v>1671</v>
      </c>
      <c r="AI2375">
        <v>-1.57</v>
      </c>
      <c r="AJ2375">
        <v>0.05</v>
      </c>
      <c r="AK2375">
        <v>4.4400000000000004</v>
      </c>
      <c r="AL2375">
        <v>11.93</v>
      </c>
    </row>
    <row r="2376" spans="1:38" x14ac:dyDescent="0.25">
      <c r="A2376">
        <v>2375</v>
      </c>
      <c r="B2376" t="str">
        <f xml:space="preserve"> "300042"</f>
        <v>300042</v>
      </c>
      <c r="C2376" t="s">
        <v>7474</v>
      </c>
      <c r="D2376">
        <v>37.869999999999997</v>
      </c>
      <c r="E2376">
        <v>1.77</v>
      </c>
      <c r="F2376">
        <v>0.66</v>
      </c>
      <c r="G2376">
        <v>8178</v>
      </c>
      <c r="H2376">
        <v>200</v>
      </c>
      <c r="I2376">
        <v>37.869999999999997</v>
      </c>
      <c r="J2376">
        <v>37.880000000000003</v>
      </c>
      <c r="K2376">
        <v>0</v>
      </c>
      <c r="L2376">
        <v>0.73</v>
      </c>
      <c r="M2376" t="s">
        <v>7475</v>
      </c>
      <c r="N2376">
        <v>110.85</v>
      </c>
      <c r="O2376" t="s">
        <v>553</v>
      </c>
      <c r="P2376">
        <v>38.22</v>
      </c>
      <c r="Q2376">
        <v>37.380000000000003</v>
      </c>
      <c r="R2376">
        <v>37.6</v>
      </c>
      <c r="S2376">
        <v>37.21</v>
      </c>
      <c r="T2376">
        <v>2.2599999999999998</v>
      </c>
      <c r="U2376">
        <v>1.71</v>
      </c>
      <c r="V2376">
        <v>49.14</v>
      </c>
      <c r="W2376">
        <v>114</v>
      </c>
      <c r="X2376">
        <v>37.68</v>
      </c>
      <c r="Y2376">
        <v>4106</v>
      </c>
      <c r="Z2376">
        <v>4072</v>
      </c>
      <c r="AA2376">
        <v>1.01</v>
      </c>
      <c r="AB2376">
        <v>61</v>
      </c>
      <c r="AC2376">
        <v>9</v>
      </c>
      <c r="AD2376">
        <v>5.77</v>
      </c>
      <c r="AE2376" t="s">
        <v>2973</v>
      </c>
      <c r="AF2376" t="s">
        <v>7473</v>
      </c>
      <c r="AG2376" t="s">
        <v>2114</v>
      </c>
      <c r="AH2376" t="s">
        <v>4866</v>
      </c>
      <c r="AI2376">
        <v>1.04</v>
      </c>
      <c r="AJ2376">
        <v>0.66</v>
      </c>
      <c r="AK2376">
        <v>1.49</v>
      </c>
      <c r="AL2376">
        <v>2.87</v>
      </c>
    </row>
    <row r="2377" spans="1:38" x14ac:dyDescent="0.25">
      <c r="A2377">
        <v>2376</v>
      </c>
      <c r="B2377" t="str">
        <f xml:space="preserve"> "002107"</f>
        <v>002107</v>
      </c>
      <c r="C2377" t="s">
        <v>7476</v>
      </c>
      <c r="D2377">
        <v>14.01</v>
      </c>
      <c r="E2377">
        <v>3.32</v>
      </c>
      <c r="F2377">
        <v>0.45</v>
      </c>
      <c r="G2377" t="s">
        <v>1623</v>
      </c>
      <c r="H2377">
        <v>414</v>
      </c>
      <c r="I2377">
        <v>14.01</v>
      </c>
      <c r="J2377">
        <v>14.02</v>
      </c>
      <c r="K2377">
        <v>0</v>
      </c>
      <c r="L2377">
        <v>1.35</v>
      </c>
      <c r="M2377" t="s">
        <v>7477</v>
      </c>
      <c r="N2377">
        <v>70.37</v>
      </c>
      <c r="O2377" t="s">
        <v>392</v>
      </c>
      <c r="P2377">
        <v>14.35</v>
      </c>
      <c r="Q2377">
        <v>13.55</v>
      </c>
      <c r="R2377">
        <v>13.56</v>
      </c>
      <c r="S2377">
        <v>13.56</v>
      </c>
      <c r="T2377">
        <v>5.9</v>
      </c>
      <c r="U2377">
        <v>1.45</v>
      </c>
      <c r="V2377">
        <v>0.76</v>
      </c>
      <c r="W2377">
        <v>16</v>
      </c>
      <c r="X2377">
        <v>14.07</v>
      </c>
      <c r="Y2377" t="s">
        <v>3579</v>
      </c>
      <c r="Z2377" t="s">
        <v>5033</v>
      </c>
      <c r="AA2377">
        <v>0.84</v>
      </c>
      <c r="AB2377">
        <v>724</v>
      </c>
      <c r="AC2377">
        <v>188</v>
      </c>
      <c r="AD2377">
        <v>9.6300000000000008</v>
      </c>
      <c r="AE2377" t="s">
        <v>2686</v>
      </c>
      <c r="AF2377" t="s">
        <v>2919</v>
      </c>
      <c r="AG2377" t="s">
        <v>5407</v>
      </c>
      <c r="AH2377" t="s">
        <v>7478</v>
      </c>
      <c r="AI2377">
        <v>0</v>
      </c>
      <c r="AJ2377">
        <v>11.9</v>
      </c>
      <c r="AK2377">
        <v>2.98</v>
      </c>
      <c r="AL2377">
        <v>6.01</v>
      </c>
    </row>
    <row r="2378" spans="1:38" x14ac:dyDescent="0.25">
      <c r="A2378">
        <v>2377</v>
      </c>
      <c r="B2378" t="str">
        <f xml:space="preserve"> "000509"</f>
        <v>000509</v>
      </c>
      <c r="C2378" t="s">
        <v>7479</v>
      </c>
      <c r="D2378" t="s">
        <v>616</v>
      </c>
      <c r="E2378" t="s">
        <v>616</v>
      </c>
      <c r="F2378" t="s">
        <v>616</v>
      </c>
      <c r="G2378" t="s">
        <v>616</v>
      </c>
      <c r="H2378" t="s">
        <v>616</v>
      </c>
      <c r="I2378" t="s">
        <v>616</v>
      </c>
      <c r="J2378" t="s">
        <v>616</v>
      </c>
      <c r="K2378" t="s">
        <v>616</v>
      </c>
      <c r="L2378" t="s">
        <v>616</v>
      </c>
      <c r="M2378" t="s">
        <v>616</v>
      </c>
      <c r="N2378">
        <v>-233.64</v>
      </c>
      <c r="O2378" t="s">
        <v>562</v>
      </c>
      <c r="P2378" t="s">
        <v>616</v>
      </c>
      <c r="Q2378" t="s">
        <v>616</v>
      </c>
      <c r="R2378" t="s">
        <v>616</v>
      </c>
      <c r="S2378">
        <v>6.12</v>
      </c>
      <c r="T2378" t="s">
        <v>616</v>
      </c>
      <c r="U2378" t="s">
        <v>616</v>
      </c>
      <c r="V2378" t="s">
        <v>616</v>
      </c>
      <c r="W2378" t="s">
        <v>616</v>
      </c>
      <c r="X2378" t="s">
        <v>616</v>
      </c>
      <c r="Y2378" t="s">
        <v>616</v>
      </c>
      <c r="Z2378" t="s">
        <v>616</v>
      </c>
      <c r="AA2378" t="s">
        <v>616</v>
      </c>
      <c r="AB2378" t="s">
        <v>616</v>
      </c>
      <c r="AC2378" t="s">
        <v>616</v>
      </c>
      <c r="AD2378">
        <v>199.47</v>
      </c>
      <c r="AE2378" t="s">
        <v>4669</v>
      </c>
      <c r="AF2378" t="s">
        <v>2919</v>
      </c>
      <c r="AG2378" t="s">
        <v>4669</v>
      </c>
      <c r="AH2378" t="s">
        <v>2919</v>
      </c>
      <c r="AI2378">
        <v>0</v>
      </c>
      <c r="AJ2378">
        <v>0</v>
      </c>
      <c r="AK2378">
        <v>0</v>
      </c>
      <c r="AL2378">
        <v>0</v>
      </c>
    </row>
    <row r="2379" spans="1:38" x14ac:dyDescent="0.25">
      <c r="A2379">
        <v>2378</v>
      </c>
      <c r="B2379" t="str">
        <f xml:space="preserve"> "300047"</f>
        <v>300047</v>
      </c>
      <c r="C2379" t="s">
        <v>7480</v>
      </c>
      <c r="D2379">
        <v>14.12</v>
      </c>
      <c r="E2379">
        <v>-1.33</v>
      </c>
      <c r="F2379">
        <v>-0.19</v>
      </c>
      <c r="G2379" t="s">
        <v>7481</v>
      </c>
      <c r="H2379">
        <v>1645</v>
      </c>
      <c r="I2379">
        <v>14.12</v>
      </c>
      <c r="J2379">
        <v>14.13</v>
      </c>
      <c r="K2379">
        <v>0.21</v>
      </c>
      <c r="L2379">
        <v>3.39</v>
      </c>
      <c r="M2379" t="s">
        <v>3398</v>
      </c>
      <c r="N2379">
        <v>225.28</v>
      </c>
      <c r="O2379" t="s">
        <v>893</v>
      </c>
      <c r="P2379">
        <v>14.25</v>
      </c>
      <c r="Q2379">
        <v>13.92</v>
      </c>
      <c r="R2379">
        <v>14.25</v>
      </c>
      <c r="S2379">
        <v>14.31</v>
      </c>
      <c r="T2379">
        <v>2.31</v>
      </c>
      <c r="U2379">
        <v>0.56000000000000005</v>
      </c>
      <c r="V2379">
        <v>-7.58</v>
      </c>
      <c r="W2379">
        <v>-107</v>
      </c>
      <c r="X2379">
        <v>14.06</v>
      </c>
      <c r="Y2379" t="s">
        <v>3689</v>
      </c>
      <c r="Z2379" t="s">
        <v>1181</v>
      </c>
      <c r="AA2379">
        <v>1.64</v>
      </c>
      <c r="AB2379">
        <v>1</v>
      </c>
      <c r="AC2379">
        <v>97</v>
      </c>
      <c r="AD2379">
        <v>2.56</v>
      </c>
      <c r="AE2379" t="s">
        <v>874</v>
      </c>
      <c r="AF2379" t="s">
        <v>2919</v>
      </c>
      <c r="AG2379" t="s">
        <v>2333</v>
      </c>
      <c r="AH2379" t="s">
        <v>5838</v>
      </c>
      <c r="AI2379">
        <v>-4.2699999999999996</v>
      </c>
      <c r="AJ2379">
        <v>2.17</v>
      </c>
      <c r="AK2379">
        <v>13.79</v>
      </c>
      <c r="AL2379">
        <v>33.78</v>
      </c>
    </row>
    <row r="2380" spans="1:38" x14ac:dyDescent="0.25">
      <c r="A2380">
        <v>2379</v>
      </c>
      <c r="B2380" t="str">
        <f xml:space="preserve"> "002087"</f>
        <v>002087</v>
      </c>
      <c r="C2380" t="s">
        <v>7482</v>
      </c>
      <c r="D2380">
        <v>6.18</v>
      </c>
      <c r="E2380">
        <v>-1.9</v>
      </c>
      <c r="F2380">
        <v>-0.12</v>
      </c>
      <c r="G2380" t="s">
        <v>1044</v>
      </c>
      <c r="H2380">
        <v>722</v>
      </c>
      <c r="I2380">
        <v>6.18</v>
      </c>
      <c r="J2380">
        <v>6.19</v>
      </c>
      <c r="K2380">
        <v>-0.16</v>
      </c>
      <c r="L2380">
        <v>2.48</v>
      </c>
      <c r="M2380" t="s">
        <v>640</v>
      </c>
      <c r="N2380">
        <v>18.399999999999999</v>
      </c>
      <c r="O2380" t="s">
        <v>1443</v>
      </c>
      <c r="P2380">
        <v>6.3</v>
      </c>
      <c r="Q2380">
        <v>6.14</v>
      </c>
      <c r="R2380">
        <v>6.29</v>
      </c>
      <c r="S2380">
        <v>6.3</v>
      </c>
      <c r="T2380">
        <v>2.54</v>
      </c>
      <c r="U2380">
        <v>0.99</v>
      </c>
      <c r="V2380">
        <v>9.14</v>
      </c>
      <c r="W2380">
        <v>1156</v>
      </c>
      <c r="X2380">
        <v>6.2</v>
      </c>
      <c r="Y2380" t="s">
        <v>207</v>
      </c>
      <c r="Z2380" t="s">
        <v>3769</v>
      </c>
      <c r="AA2380">
        <v>2.4500000000000002</v>
      </c>
      <c r="AB2380">
        <v>1720</v>
      </c>
      <c r="AC2380">
        <v>1548</v>
      </c>
      <c r="AD2380">
        <v>1.65</v>
      </c>
      <c r="AE2380" t="s">
        <v>458</v>
      </c>
      <c r="AF2380" t="s">
        <v>2919</v>
      </c>
      <c r="AG2380" t="s">
        <v>2895</v>
      </c>
      <c r="AH2380" t="s">
        <v>1350</v>
      </c>
      <c r="AI2380">
        <v>-1.75</v>
      </c>
      <c r="AJ2380">
        <v>3.34</v>
      </c>
      <c r="AK2380">
        <v>10.34</v>
      </c>
      <c r="AL2380">
        <v>14.98</v>
      </c>
    </row>
    <row r="2381" spans="1:38" x14ac:dyDescent="0.25">
      <c r="A2381">
        <v>2380</v>
      </c>
      <c r="B2381" t="str">
        <f xml:space="preserve"> "603318"</f>
        <v>603318</v>
      </c>
      <c r="C2381" t="s">
        <v>7483</v>
      </c>
      <c r="D2381">
        <v>13.82</v>
      </c>
      <c r="E2381">
        <v>0.66</v>
      </c>
      <c r="F2381">
        <v>0.09</v>
      </c>
      <c r="G2381" t="s">
        <v>6807</v>
      </c>
      <c r="H2381">
        <v>12</v>
      </c>
      <c r="I2381">
        <v>13.82</v>
      </c>
      <c r="J2381">
        <v>13.84</v>
      </c>
      <c r="K2381">
        <v>-0.43</v>
      </c>
      <c r="L2381">
        <v>4.33</v>
      </c>
      <c r="M2381" t="s">
        <v>7484</v>
      </c>
      <c r="N2381">
        <v>97.76</v>
      </c>
      <c r="O2381" t="s">
        <v>648</v>
      </c>
      <c r="P2381">
        <v>14.08</v>
      </c>
      <c r="Q2381">
        <v>13.67</v>
      </c>
      <c r="R2381">
        <v>13.79</v>
      </c>
      <c r="S2381">
        <v>13.73</v>
      </c>
      <c r="T2381">
        <v>2.99</v>
      </c>
      <c r="U2381">
        <v>1.43</v>
      </c>
      <c r="V2381">
        <v>20.58</v>
      </c>
      <c r="W2381">
        <v>282</v>
      </c>
      <c r="X2381">
        <v>13.89</v>
      </c>
      <c r="Y2381" t="s">
        <v>432</v>
      </c>
      <c r="Z2381" t="s">
        <v>3272</v>
      </c>
      <c r="AA2381">
        <v>0.89</v>
      </c>
      <c r="AB2381">
        <v>226</v>
      </c>
      <c r="AC2381">
        <v>16</v>
      </c>
      <c r="AD2381">
        <v>10.33</v>
      </c>
      <c r="AE2381" t="s">
        <v>2465</v>
      </c>
      <c r="AF2381" t="s">
        <v>2919</v>
      </c>
      <c r="AG2381" t="s">
        <v>1635</v>
      </c>
      <c r="AH2381" t="s">
        <v>3009</v>
      </c>
      <c r="AI2381">
        <v>-1.36</v>
      </c>
      <c r="AJ2381">
        <v>-7.56</v>
      </c>
      <c r="AK2381">
        <v>11.71</v>
      </c>
      <c r="AL2381">
        <v>19.46</v>
      </c>
    </row>
    <row r="2382" spans="1:38" x14ac:dyDescent="0.25">
      <c r="A2382">
        <v>2381</v>
      </c>
      <c r="B2382" t="str">
        <f xml:space="preserve"> "002889"</f>
        <v>002889</v>
      </c>
      <c r="C2382" t="s">
        <v>7485</v>
      </c>
      <c r="D2382">
        <v>36.549999999999997</v>
      </c>
      <c r="E2382">
        <v>0.55000000000000004</v>
      </c>
      <c r="F2382">
        <v>0.2</v>
      </c>
      <c r="G2382" t="s">
        <v>4164</v>
      </c>
      <c r="H2382">
        <v>515</v>
      </c>
      <c r="I2382">
        <v>36.549999999999997</v>
      </c>
      <c r="J2382">
        <v>36.56</v>
      </c>
      <c r="K2382">
        <v>0.11</v>
      </c>
      <c r="L2382">
        <v>14.82</v>
      </c>
      <c r="M2382" t="s">
        <v>1371</v>
      </c>
      <c r="N2382">
        <v>34.86</v>
      </c>
      <c r="O2382" t="s">
        <v>274</v>
      </c>
      <c r="P2382">
        <v>37.32</v>
      </c>
      <c r="Q2382">
        <v>36.06</v>
      </c>
      <c r="R2382">
        <v>36.15</v>
      </c>
      <c r="S2382">
        <v>36.35</v>
      </c>
      <c r="T2382">
        <v>3.47</v>
      </c>
      <c r="U2382">
        <v>1.1200000000000001</v>
      </c>
      <c r="V2382">
        <v>73.3</v>
      </c>
      <c r="W2382">
        <v>577</v>
      </c>
      <c r="X2382">
        <v>36.729999999999997</v>
      </c>
      <c r="Y2382" t="s">
        <v>2373</v>
      </c>
      <c r="Z2382" t="s">
        <v>1285</v>
      </c>
      <c r="AA2382">
        <v>1.07</v>
      </c>
      <c r="AB2382">
        <v>194</v>
      </c>
      <c r="AC2382">
        <v>24</v>
      </c>
      <c r="AD2382">
        <v>4.04</v>
      </c>
      <c r="AE2382" t="s">
        <v>746</v>
      </c>
      <c r="AF2382" t="s">
        <v>2919</v>
      </c>
      <c r="AG2382" t="s">
        <v>7486</v>
      </c>
      <c r="AH2382" t="s">
        <v>126</v>
      </c>
      <c r="AI2382">
        <v>3.34</v>
      </c>
      <c r="AJ2382">
        <v>11.13</v>
      </c>
      <c r="AK2382">
        <v>55.64</v>
      </c>
      <c r="AL2382">
        <v>81.260000000000005</v>
      </c>
    </row>
    <row r="2383" spans="1:38" x14ac:dyDescent="0.25">
      <c r="A2383">
        <v>2382</v>
      </c>
      <c r="B2383" t="str">
        <f xml:space="preserve"> "002412"</f>
        <v>002412</v>
      </c>
      <c r="C2383" t="s">
        <v>7487</v>
      </c>
      <c r="D2383">
        <v>17.05</v>
      </c>
      <c r="E2383">
        <v>0.95</v>
      </c>
      <c r="F2383">
        <v>0.16</v>
      </c>
      <c r="G2383">
        <v>8648</v>
      </c>
      <c r="H2383">
        <v>150</v>
      </c>
      <c r="I2383">
        <v>17.02</v>
      </c>
      <c r="J2383">
        <v>17.05</v>
      </c>
      <c r="K2383">
        <v>0.24</v>
      </c>
      <c r="L2383">
        <v>0.3</v>
      </c>
      <c r="M2383" t="s">
        <v>7488</v>
      </c>
      <c r="N2383">
        <v>47.35</v>
      </c>
      <c r="O2383" t="s">
        <v>392</v>
      </c>
      <c r="P2383">
        <v>17.149999999999999</v>
      </c>
      <c r="Q2383">
        <v>16.89</v>
      </c>
      <c r="R2383">
        <v>16.89</v>
      </c>
      <c r="S2383">
        <v>16.89</v>
      </c>
      <c r="T2383">
        <v>1.54</v>
      </c>
      <c r="U2383">
        <v>0.74</v>
      </c>
      <c r="V2383">
        <v>-25.57</v>
      </c>
      <c r="W2383">
        <v>-202</v>
      </c>
      <c r="X2383">
        <v>17.04</v>
      </c>
      <c r="Y2383">
        <v>3459</v>
      </c>
      <c r="Z2383">
        <v>5189</v>
      </c>
      <c r="AA2383">
        <v>0.67</v>
      </c>
      <c r="AB2383">
        <v>72</v>
      </c>
      <c r="AC2383">
        <v>93</v>
      </c>
      <c r="AD2383">
        <v>4.34</v>
      </c>
      <c r="AE2383" t="s">
        <v>5328</v>
      </c>
      <c r="AF2383" t="s">
        <v>2919</v>
      </c>
      <c r="AG2383" t="s">
        <v>1622</v>
      </c>
      <c r="AH2383" t="s">
        <v>7478</v>
      </c>
      <c r="AI2383">
        <v>-0.47</v>
      </c>
      <c r="AJ2383">
        <v>2.16</v>
      </c>
      <c r="AK2383">
        <v>1</v>
      </c>
      <c r="AL2383">
        <v>2.33</v>
      </c>
    </row>
    <row r="2384" spans="1:38" x14ac:dyDescent="0.25">
      <c r="A2384">
        <v>2383</v>
      </c>
      <c r="B2384" t="str">
        <f xml:space="preserve"> "603321"</f>
        <v>603321</v>
      </c>
      <c r="C2384" t="s">
        <v>7489</v>
      </c>
      <c r="D2384">
        <v>16.43</v>
      </c>
      <c r="E2384">
        <v>0.55000000000000004</v>
      </c>
      <c r="F2384">
        <v>0.09</v>
      </c>
      <c r="G2384" t="s">
        <v>2943</v>
      </c>
      <c r="H2384">
        <v>3</v>
      </c>
      <c r="I2384">
        <v>16.46</v>
      </c>
      <c r="J2384">
        <v>16.47</v>
      </c>
      <c r="K2384">
        <v>0.18</v>
      </c>
      <c r="L2384">
        <v>13.04</v>
      </c>
      <c r="M2384" t="s">
        <v>3697</v>
      </c>
      <c r="N2384">
        <v>56.68</v>
      </c>
      <c r="O2384" t="s">
        <v>648</v>
      </c>
      <c r="P2384">
        <v>16.75</v>
      </c>
      <c r="Q2384">
        <v>16.32</v>
      </c>
      <c r="R2384">
        <v>16.38</v>
      </c>
      <c r="S2384">
        <v>16.34</v>
      </c>
      <c r="T2384">
        <v>2.63</v>
      </c>
      <c r="U2384">
        <v>0.39</v>
      </c>
      <c r="V2384">
        <v>-30.28</v>
      </c>
      <c r="W2384">
        <v>-476</v>
      </c>
      <c r="X2384">
        <v>16.5</v>
      </c>
      <c r="Y2384" t="s">
        <v>390</v>
      </c>
      <c r="Z2384" t="s">
        <v>1089</v>
      </c>
      <c r="AA2384">
        <v>1.05</v>
      </c>
      <c r="AB2384">
        <v>85</v>
      </c>
      <c r="AC2384">
        <v>61</v>
      </c>
      <c r="AD2384">
        <v>5.2</v>
      </c>
      <c r="AE2384" t="s">
        <v>719</v>
      </c>
      <c r="AF2384" t="s">
        <v>1350</v>
      </c>
      <c r="AG2384" t="s">
        <v>7490</v>
      </c>
      <c r="AH2384" t="s">
        <v>1483</v>
      </c>
      <c r="AI2384">
        <v>-8.77</v>
      </c>
      <c r="AJ2384">
        <v>-20.239999999999998</v>
      </c>
      <c r="AK2384">
        <v>59.71</v>
      </c>
      <c r="AL2384">
        <v>180</v>
      </c>
    </row>
    <row r="2385" spans="1:38" x14ac:dyDescent="0.25">
      <c r="A2385">
        <v>2384</v>
      </c>
      <c r="B2385" t="str">
        <f xml:space="preserve"> "000428"</f>
        <v>000428</v>
      </c>
      <c r="C2385" t="s">
        <v>7491</v>
      </c>
      <c r="D2385">
        <v>4.95</v>
      </c>
      <c r="E2385">
        <v>-0.2</v>
      </c>
      <c r="F2385">
        <v>-0.01</v>
      </c>
      <c r="G2385" t="s">
        <v>1571</v>
      </c>
      <c r="H2385">
        <v>427</v>
      </c>
      <c r="I2385">
        <v>4.95</v>
      </c>
      <c r="J2385">
        <v>4.96</v>
      </c>
      <c r="K2385">
        <v>0</v>
      </c>
      <c r="L2385">
        <v>0.47</v>
      </c>
      <c r="M2385" t="s">
        <v>7492</v>
      </c>
      <c r="N2385">
        <v>-25.86</v>
      </c>
      <c r="O2385" t="s">
        <v>951</v>
      </c>
      <c r="P2385">
        <v>4.9800000000000004</v>
      </c>
      <c r="Q2385">
        <v>4.92</v>
      </c>
      <c r="R2385">
        <v>4.96</v>
      </c>
      <c r="S2385">
        <v>4.96</v>
      </c>
      <c r="T2385">
        <v>1.21</v>
      </c>
      <c r="U2385">
        <v>0.71</v>
      </c>
      <c r="V2385">
        <v>-38.46</v>
      </c>
      <c r="W2385">
        <v>-8669</v>
      </c>
      <c r="X2385">
        <v>4.95</v>
      </c>
      <c r="Y2385" t="s">
        <v>1113</v>
      </c>
      <c r="Z2385" t="s">
        <v>1683</v>
      </c>
      <c r="AA2385">
        <v>1.1100000000000001</v>
      </c>
      <c r="AB2385">
        <v>210</v>
      </c>
      <c r="AC2385">
        <v>1980</v>
      </c>
      <c r="AD2385">
        <v>1.8</v>
      </c>
      <c r="AE2385" t="s">
        <v>1766</v>
      </c>
      <c r="AF2385" t="s">
        <v>1350</v>
      </c>
      <c r="AG2385" t="s">
        <v>7493</v>
      </c>
      <c r="AH2385" t="s">
        <v>1406</v>
      </c>
      <c r="AI2385">
        <v>0.81</v>
      </c>
      <c r="AJ2385">
        <v>2.06</v>
      </c>
      <c r="AK2385">
        <v>1.93</v>
      </c>
      <c r="AL2385">
        <v>3.76</v>
      </c>
    </row>
    <row r="2386" spans="1:38" x14ac:dyDescent="0.25">
      <c r="A2386">
        <v>2385</v>
      </c>
      <c r="B2386" t="str">
        <f xml:space="preserve"> "300374"</f>
        <v>300374</v>
      </c>
      <c r="C2386" t="s">
        <v>7494</v>
      </c>
      <c r="D2386">
        <v>25.9</v>
      </c>
      <c r="E2386">
        <v>-0.08</v>
      </c>
      <c r="F2386">
        <v>-0.02</v>
      </c>
      <c r="G2386" t="s">
        <v>1285</v>
      </c>
      <c r="H2386">
        <v>698</v>
      </c>
      <c r="I2386">
        <v>25.89</v>
      </c>
      <c r="J2386">
        <v>25.9</v>
      </c>
      <c r="K2386">
        <v>0.04</v>
      </c>
      <c r="L2386">
        <v>2.11</v>
      </c>
      <c r="M2386" t="s">
        <v>7495</v>
      </c>
      <c r="N2386">
        <v>89.34</v>
      </c>
      <c r="O2386" t="s">
        <v>2309</v>
      </c>
      <c r="P2386">
        <v>26.07</v>
      </c>
      <c r="Q2386">
        <v>25.57</v>
      </c>
      <c r="R2386">
        <v>26.07</v>
      </c>
      <c r="S2386">
        <v>25.92</v>
      </c>
      <c r="T2386">
        <v>1.93</v>
      </c>
      <c r="U2386">
        <v>0.77</v>
      </c>
      <c r="V2386">
        <v>-25.93</v>
      </c>
      <c r="W2386">
        <v>-196</v>
      </c>
      <c r="X2386">
        <v>25.81</v>
      </c>
      <c r="Y2386" t="s">
        <v>2616</v>
      </c>
      <c r="Z2386" t="s">
        <v>316</v>
      </c>
      <c r="AA2386">
        <v>1.1200000000000001</v>
      </c>
      <c r="AB2386">
        <v>138</v>
      </c>
      <c r="AC2386">
        <v>305</v>
      </c>
      <c r="AD2386">
        <v>6.09</v>
      </c>
      <c r="AE2386" t="s">
        <v>1935</v>
      </c>
      <c r="AF2386" t="s">
        <v>1350</v>
      </c>
      <c r="AG2386" t="s">
        <v>2827</v>
      </c>
      <c r="AH2386" t="s">
        <v>4063</v>
      </c>
      <c r="AI2386">
        <v>-3.14</v>
      </c>
      <c r="AJ2386">
        <v>0.23</v>
      </c>
      <c r="AK2386">
        <v>7.25</v>
      </c>
      <c r="AL2386">
        <v>15.84</v>
      </c>
    </row>
    <row r="2387" spans="1:38" x14ac:dyDescent="0.25">
      <c r="A2387">
        <v>2386</v>
      </c>
      <c r="B2387" t="str">
        <f xml:space="preserve"> "300698"</f>
        <v>300698</v>
      </c>
      <c r="C2387" t="s">
        <v>7496</v>
      </c>
      <c r="D2387">
        <v>37.61</v>
      </c>
      <c r="E2387">
        <v>-0.53</v>
      </c>
      <c r="F2387">
        <v>-0.2</v>
      </c>
      <c r="G2387" t="s">
        <v>4697</v>
      </c>
      <c r="H2387">
        <v>1393</v>
      </c>
      <c r="I2387">
        <v>37.61</v>
      </c>
      <c r="J2387">
        <v>37.619999999999997</v>
      </c>
      <c r="K2387">
        <v>0.03</v>
      </c>
      <c r="L2387">
        <v>20.76</v>
      </c>
      <c r="M2387" t="s">
        <v>1770</v>
      </c>
      <c r="N2387">
        <v>99.08</v>
      </c>
      <c r="O2387" t="s">
        <v>580</v>
      </c>
      <c r="P2387">
        <v>38.24</v>
      </c>
      <c r="Q2387">
        <v>36.520000000000003</v>
      </c>
      <c r="R2387">
        <v>37.89</v>
      </c>
      <c r="S2387">
        <v>37.81</v>
      </c>
      <c r="T2387">
        <v>4.55</v>
      </c>
      <c r="U2387">
        <v>0.54</v>
      </c>
      <c r="V2387">
        <v>87.87</v>
      </c>
      <c r="W2387">
        <v>1072</v>
      </c>
      <c r="X2387">
        <v>37.54</v>
      </c>
      <c r="Y2387" t="s">
        <v>1712</v>
      </c>
      <c r="Z2387" t="s">
        <v>2279</v>
      </c>
      <c r="AA2387">
        <v>1.1000000000000001</v>
      </c>
      <c r="AB2387">
        <v>502</v>
      </c>
      <c r="AC2387">
        <v>3</v>
      </c>
      <c r="AD2387">
        <v>13.35</v>
      </c>
      <c r="AE2387" t="s">
        <v>2973</v>
      </c>
      <c r="AF2387" t="s">
        <v>1350</v>
      </c>
      <c r="AG2387" t="s">
        <v>7497</v>
      </c>
      <c r="AH2387" t="s">
        <v>126</v>
      </c>
      <c r="AI2387">
        <v>-8.27</v>
      </c>
      <c r="AJ2387">
        <v>-22.37</v>
      </c>
      <c r="AK2387">
        <v>98.08</v>
      </c>
      <c r="AL2387">
        <v>213.06</v>
      </c>
    </row>
    <row r="2388" spans="1:38" x14ac:dyDescent="0.25">
      <c r="A2388">
        <v>2387</v>
      </c>
      <c r="B2388" t="str">
        <f xml:space="preserve"> "002688"</f>
        <v>002688</v>
      </c>
      <c r="C2388" t="s">
        <v>7498</v>
      </c>
      <c r="D2388">
        <v>7.93</v>
      </c>
      <c r="E2388">
        <v>0.89</v>
      </c>
      <c r="F2388">
        <v>7.0000000000000007E-2</v>
      </c>
      <c r="G2388" t="s">
        <v>1509</v>
      </c>
      <c r="H2388">
        <v>561</v>
      </c>
      <c r="I2388">
        <v>7.92</v>
      </c>
      <c r="J2388">
        <v>7.93</v>
      </c>
      <c r="K2388">
        <v>0</v>
      </c>
      <c r="L2388">
        <v>0.48</v>
      </c>
      <c r="M2388" t="s">
        <v>7499</v>
      </c>
      <c r="N2388">
        <v>32.79</v>
      </c>
      <c r="O2388" t="s">
        <v>622</v>
      </c>
      <c r="P2388">
        <v>7.94</v>
      </c>
      <c r="Q2388">
        <v>7.82</v>
      </c>
      <c r="R2388">
        <v>7.83</v>
      </c>
      <c r="S2388">
        <v>7.86</v>
      </c>
      <c r="T2388">
        <v>1.53</v>
      </c>
      <c r="U2388">
        <v>0.79</v>
      </c>
      <c r="V2388">
        <v>-48.8</v>
      </c>
      <c r="W2388">
        <v>-2546</v>
      </c>
      <c r="X2388">
        <v>7.89</v>
      </c>
      <c r="Y2388" t="s">
        <v>2522</v>
      </c>
      <c r="Z2388" t="s">
        <v>3950</v>
      </c>
      <c r="AA2388">
        <v>0.67</v>
      </c>
      <c r="AB2388">
        <v>517</v>
      </c>
      <c r="AC2388">
        <v>751</v>
      </c>
      <c r="AD2388">
        <v>3.42</v>
      </c>
      <c r="AE2388" t="s">
        <v>4215</v>
      </c>
      <c r="AF2388" t="s">
        <v>1350</v>
      </c>
      <c r="AG2388" t="s">
        <v>4908</v>
      </c>
      <c r="AH2388" t="s">
        <v>2227</v>
      </c>
      <c r="AI2388">
        <v>0.13</v>
      </c>
      <c r="AJ2388">
        <v>2.85</v>
      </c>
      <c r="AK2388">
        <v>1.75</v>
      </c>
      <c r="AL2388">
        <v>3.55</v>
      </c>
    </row>
    <row r="2389" spans="1:38" x14ac:dyDescent="0.25">
      <c r="A2389">
        <v>2388</v>
      </c>
      <c r="B2389" t="str">
        <f xml:space="preserve"> "002587"</f>
        <v>002587</v>
      </c>
      <c r="C2389" t="s">
        <v>7500</v>
      </c>
      <c r="D2389">
        <v>8.24</v>
      </c>
      <c r="E2389">
        <v>1.48</v>
      </c>
      <c r="F2389">
        <v>0.12</v>
      </c>
      <c r="G2389" t="s">
        <v>2559</v>
      </c>
      <c r="H2389">
        <v>781</v>
      </c>
      <c r="I2389">
        <v>8.23</v>
      </c>
      <c r="J2389">
        <v>8.24</v>
      </c>
      <c r="K2389">
        <v>0.12</v>
      </c>
      <c r="L2389">
        <v>0.93</v>
      </c>
      <c r="M2389" t="s">
        <v>6929</v>
      </c>
      <c r="N2389">
        <v>41.24</v>
      </c>
      <c r="O2389" t="s">
        <v>380</v>
      </c>
      <c r="P2389">
        <v>8.27</v>
      </c>
      <c r="Q2389">
        <v>8.08</v>
      </c>
      <c r="R2389">
        <v>8.08</v>
      </c>
      <c r="S2389">
        <v>8.1199999999999992</v>
      </c>
      <c r="T2389">
        <v>2.34</v>
      </c>
      <c r="U2389">
        <v>0.78</v>
      </c>
      <c r="V2389">
        <v>-55.29</v>
      </c>
      <c r="W2389">
        <v>-2401</v>
      </c>
      <c r="X2389">
        <v>8.2100000000000009</v>
      </c>
      <c r="Y2389" t="s">
        <v>1259</v>
      </c>
      <c r="Z2389" t="s">
        <v>432</v>
      </c>
      <c r="AA2389">
        <v>0.56000000000000005</v>
      </c>
      <c r="AB2389">
        <v>505</v>
      </c>
      <c r="AC2389">
        <v>631</v>
      </c>
      <c r="AD2389">
        <v>4.74</v>
      </c>
      <c r="AE2389" t="s">
        <v>5240</v>
      </c>
      <c r="AF2389" t="s">
        <v>1350</v>
      </c>
      <c r="AG2389" t="s">
        <v>1343</v>
      </c>
      <c r="AH2389" t="s">
        <v>3355</v>
      </c>
      <c r="AI2389">
        <v>-0.6</v>
      </c>
      <c r="AJ2389">
        <v>3</v>
      </c>
      <c r="AK2389">
        <v>2.92</v>
      </c>
      <c r="AL2389">
        <v>6.9</v>
      </c>
    </row>
    <row r="2390" spans="1:38" x14ac:dyDescent="0.25">
      <c r="A2390">
        <v>2389</v>
      </c>
      <c r="B2390" t="str">
        <f xml:space="preserve"> "300289"</f>
        <v>300289</v>
      </c>
      <c r="C2390" t="s">
        <v>7501</v>
      </c>
      <c r="D2390">
        <v>11.87</v>
      </c>
      <c r="E2390">
        <v>1.71</v>
      </c>
      <c r="F2390">
        <v>0.2</v>
      </c>
      <c r="G2390" t="s">
        <v>4753</v>
      </c>
      <c r="H2390">
        <v>1083</v>
      </c>
      <c r="I2390">
        <v>11.86</v>
      </c>
      <c r="J2390">
        <v>11.87</v>
      </c>
      <c r="K2390">
        <v>-0.08</v>
      </c>
      <c r="L2390">
        <v>2.1</v>
      </c>
      <c r="M2390" t="s">
        <v>7502</v>
      </c>
      <c r="N2390">
        <v>62.17</v>
      </c>
      <c r="O2390" t="s">
        <v>392</v>
      </c>
      <c r="P2390">
        <v>11.96</v>
      </c>
      <c r="Q2390">
        <v>11.67</v>
      </c>
      <c r="R2390">
        <v>11.7</v>
      </c>
      <c r="S2390">
        <v>11.67</v>
      </c>
      <c r="T2390">
        <v>2.4900000000000002</v>
      </c>
      <c r="U2390">
        <v>0.86</v>
      </c>
      <c r="V2390">
        <v>-52.28</v>
      </c>
      <c r="W2390">
        <v>-1966</v>
      </c>
      <c r="X2390">
        <v>11.88</v>
      </c>
      <c r="Y2390" t="s">
        <v>2548</v>
      </c>
      <c r="Z2390" t="s">
        <v>2781</v>
      </c>
      <c r="AA2390">
        <v>0.72</v>
      </c>
      <c r="AB2390">
        <v>84</v>
      </c>
      <c r="AC2390">
        <v>929</v>
      </c>
      <c r="AD2390">
        <v>3.94</v>
      </c>
      <c r="AE2390" t="s">
        <v>5006</v>
      </c>
      <c r="AF2390" t="s">
        <v>6193</v>
      </c>
      <c r="AG2390" t="s">
        <v>5819</v>
      </c>
      <c r="AH2390" t="s">
        <v>5928</v>
      </c>
      <c r="AI2390">
        <v>0.59</v>
      </c>
      <c r="AJ2390">
        <v>5.6</v>
      </c>
      <c r="AK2390">
        <v>5.62</v>
      </c>
      <c r="AL2390">
        <v>14.28</v>
      </c>
    </row>
    <row r="2391" spans="1:38" x14ac:dyDescent="0.25">
      <c r="A2391">
        <v>2390</v>
      </c>
      <c r="B2391" t="str">
        <f xml:space="preserve"> "000850"</f>
        <v>000850</v>
      </c>
      <c r="C2391" t="s">
        <v>7503</v>
      </c>
      <c r="D2391">
        <v>5.33</v>
      </c>
      <c r="E2391">
        <v>0.56999999999999995</v>
      </c>
      <c r="F2391">
        <v>0.03</v>
      </c>
      <c r="G2391" t="s">
        <v>4666</v>
      </c>
      <c r="H2391">
        <v>886</v>
      </c>
      <c r="I2391">
        <v>5.32</v>
      </c>
      <c r="J2391">
        <v>5.33</v>
      </c>
      <c r="K2391">
        <v>0</v>
      </c>
      <c r="L2391">
        <v>0.4</v>
      </c>
      <c r="M2391" t="s">
        <v>7504</v>
      </c>
      <c r="N2391">
        <v>189.15</v>
      </c>
      <c r="O2391" t="s">
        <v>1443</v>
      </c>
      <c r="P2391">
        <v>5.33</v>
      </c>
      <c r="Q2391">
        <v>5.28</v>
      </c>
      <c r="R2391">
        <v>5.3</v>
      </c>
      <c r="S2391">
        <v>5.3</v>
      </c>
      <c r="T2391">
        <v>0.94</v>
      </c>
      <c r="U2391">
        <v>1.22</v>
      </c>
      <c r="V2391">
        <v>-5.52</v>
      </c>
      <c r="W2391">
        <v>-528</v>
      </c>
      <c r="X2391">
        <v>5.31</v>
      </c>
      <c r="Y2391" t="s">
        <v>2580</v>
      </c>
      <c r="Z2391" t="s">
        <v>3696</v>
      </c>
      <c r="AA2391">
        <v>0.85</v>
      </c>
      <c r="AB2391">
        <v>1279</v>
      </c>
      <c r="AC2391">
        <v>403</v>
      </c>
      <c r="AD2391">
        <v>1.07</v>
      </c>
      <c r="AE2391" t="s">
        <v>7505</v>
      </c>
      <c r="AF2391" t="s">
        <v>6193</v>
      </c>
      <c r="AG2391" t="s">
        <v>7506</v>
      </c>
      <c r="AH2391" t="s">
        <v>6193</v>
      </c>
      <c r="AI2391">
        <v>0</v>
      </c>
      <c r="AJ2391">
        <v>1.91</v>
      </c>
      <c r="AK2391">
        <v>1.0900000000000001</v>
      </c>
      <c r="AL2391">
        <v>2.0499999999999998</v>
      </c>
    </row>
    <row r="2392" spans="1:38" x14ac:dyDescent="0.25">
      <c r="A2392">
        <v>2391</v>
      </c>
      <c r="B2392" t="str">
        <f xml:space="preserve"> "002783"</f>
        <v>002783</v>
      </c>
      <c r="C2392" t="s">
        <v>7507</v>
      </c>
      <c r="D2392">
        <v>24.09</v>
      </c>
      <c r="E2392">
        <v>0.63</v>
      </c>
      <c r="F2392">
        <v>0.15</v>
      </c>
      <c r="G2392" t="s">
        <v>2202</v>
      </c>
      <c r="H2392">
        <v>464</v>
      </c>
      <c r="I2392">
        <v>24.09</v>
      </c>
      <c r="J2392">
        <v>24.1</v>
      </c>
      <c r="K2392">
        <v>0.04</v>
      </c>
      <c r="L2392">
        <v>2.19</v>
      </c>
      <c r="M2392" t="s">
        <v>7508</v>
      </c>
      <c r="N2392">
        <v>35.159999999999997</v>
      </c>
      <c r="O2392" t="s">
        <v>667</v>
      </c>
      <c r="P2392">
        <v>24.27</v>
      </c>
      <c r="Q2392">
        <v>23.83</v>
      </c>
      <c r="R2392">
        <v>23.94</v>
      </c>
      <c r="S2392">
        <v>23.94</v>
      </c>
      <c r="T2392">
        <v>1.84</v>
      </c>
      <c r="U2392">
        <v>0.73</v>
      </c>
      <c r="V2392">
        <v>-3.32</v>
      </c>
      <c r="W2392">
        <v>-36</v>
      </c>
      <c r="X2392">
        <v>24.04</v>
      </c>
      <c r="Y2392" t="s">
        <v>1095</v>
      </c>
      <c r="Z2392" t="s">
        <v>3041</v>
      </c>
      <c r="AA2392">
        <v>1.1499999999999999</v>
      </c>
      <c r="AB2392">
        <v>279</v>
      </c>
      <c r="AC2392">
        <v>234</v>
      </c>
      <c r="AD2392">
        <v>3.72</v>
      </c>
      <c r="AE2392" t="s">
        <v>2519</v>
      </c>
      <c r="AF2392" t="s">
        <v>6193</v>
      </c>
      <c r="AG2392" t="s">
        <v>1314</v>
      </c>
      <c r="AH2392" t="s">
        <v>705</v>
      </c>
      <c r="AI2392">
        <v>0.67</v>
      </c>
      <c r="AJ2392">
        <v>3.04</v>
      </c>
      <c r="AK2392">
        <v>10.15</v>
      </c>
      <c r="AL2392">
        <v>17.309999999999999</v>
      </c>
    </row>
    <row r="2393" spans="1:38" x14ac:dyDescent="0.25">
      <c r="A2393">
        <v>2392</v>
      </c>
      <c r="B2393" t="str">
        <f xml:space="preserve"> "603017"</f>
        <v>603017</v>
      </c>
      <c r="C2393" t="s">
        <v>7509</v>
      </c>
      <c r="D2393">
        <v>18.25</v>
      </c>
      <c r="E2393">
        <v>3.52</v>
      </c>
      <c r="F2393">
        <v>0.62</v>
      </c>
      <c r="G2393" t="s">
        <v>944</v>
      </c>
      <c r="H2393">
        <v>62</v>
      </c>
      <c r="I2393">
        <v>18.23</v>
      </c>
      <c r="J2393">
        <v>18.239999999999998</v>
      </c>
      <c r="K2393">
        <v>-0.05</v>
      </c>
      <c r="L2393">
        <v>2.6</v>
      </c>
      <c r="M2393" t="s">
        <v>7010</v>
      </c>
      <c r="N2393">
        <v>35.15</v>
      </c>
      <c r="O2393" t="s">
        <v>263</v>
      </c>
      <c r="P2393">
        <v>18.32</v>
      </c>
      <c r="Q2393">
        <v>17.329999999999998</v>
      </c>
      <c r="R2393">
        <v>17.64</v>
      </c>
      <c r="S2393">
        <v>17.63</v>
      </c>
      <c r="T2393">
        <v>5.62</v>
      </c>
      <c r="U2393">
        <v>3.92</v>
      </c>
      <c r="V2393">
        <v>-55.69</v>
      </c>
      <c r="W2393">
        <v>-775</v>
      </c>
      <c r="X2393">
        <v>17.98</v>
      </c>
      <c r="Y2393" t="s">
        <v>2991</v>
      </c>
      <c r="Z2393" t="s">
        <v>121</v>
      </c>
      <c r="AA2393">
        <v>0.42</v>
      </c>
      <c r="AB2393">
        <v>76</v>
      </c>
      <c r="AC2393">
        <v>47</v>
      </c>
      <c r="AD2393">
        <v>3.11</v>
      </c>
      <c r="AE2393" t="s">
        <v>4222</v>
      </c>
      <c r="AF2393" t="s">
        <v>6193</v>
      </c>
      <c r="AG2393" t="s">
        <v>4271</v>
      </c>
      <c r="AH2393" t="s">
        <v>1479</v>
      </c>
      <c r="AI2393">
        <v>2.41</v>
      </c>
      <c r="AJ2393">
        <v>4.2300000000000004</v>
      </c>
      <c r="AK2393">
        <v>3.72</v>
      </c>
      <c r="AL2393">
        <v>5.92</v>
      </c>
    </row>
    <row r="2394" spans="1:38" x14ac:dyDescent="0.25">
      <c r="A2394">
        <v>2393</v>
      </c>
      <c r="B2394" t="str">
        <f xml:space="preserve"> "002893"</f>
        <v>002893</v>
      </c>
      <c r="C2394" t="s">
        <v>7510</v>
      </c>
      <c r="D2394">
        <v>41.82</v>
      </c>
      <c r="E2394">
        <v>9.99</v>
      </c>
      <c r="F2394">
        <v>3.8</v>
      </c>
      <c r="G2394" t="s">
        <v>2055</v>
      </c>
      <c r="H2394">
        <v>64</v>
      </c>
      <c r="I2394">
        <v>41.82</v>
      </c>
      <c r="J2394" t="s">
        <v>616</v>
      </c>
      <c r="K2394">
        <v>0</v>
      </c>
      <c r="L2394">
        <v>56.84</v>
      </c>
      <c r="M2394" t="s">
        <v>3588</v>
      </c>
      <c r="N2394">
        <v>32.51</v>
      </c>
      <c r="O2394" t="s">
        <v>2085</v>
      </c>
      <c r="P2394">
        <v>41.82</v>
      </c>
      <c r="Q2394">
        <v>37.020000000000003</v>
      </c>
      <c r="R2394">
        <v>37.1</v>
      </c>
      <c r="S2394">
        <v>38.020000000000003</v>
      </c>
      <c r="T2394">
        <v>12.62</v>
      </c>
      <c r="U2394">
        <v>2.0499999999999998</v>
      </c>
      <c r="V2394">
        <v>100</v>
      </c>
      <c r="W2394">
        <v>5385</v>
      </c>
      <c r="X2394">
        <v>40.5</v>
      </c>
      <c r="Y2394" t="s">
        <v>2535</v>
      </c>
      <c r="Z2394" t="s">
        <v>2584</v>
      </c>
      <c r="AA2394">
        <v>0.97</v>
      </c>
      <c r="AB2394">
        <v>5357</v>
      </c>
      <c r="AC2394">
        <v>0</v>
      </c>
      <c r="AD2394">
        <v>8.1199999999999992</v>
      </c>
      <c r="AE2394" t="s">
        <v>918</v>
      </c>
      <c r="AF2394" t="s">
        <v>6123</v>
      </c>
      <c r="AG2394" t="s">
        <v>3067</v>
      </c>
      <c r="AH2394" t="s">
        <v>2674</v>
      </c>
      <c r="AI2394">
        <v>30.73</v>
      </c>
      <c r="AJ2394">
        <v>73.959999999999994</v>
      </c>
      <c r="AK2394">
        <v>175.15</v>
      </c>
      <c r="AL2394">
        <v>195.69</v>
      </c>
    </row>
    <row r="2395" spans="1:38" x14ac:dyDescent="0.25">
      <c r="A2395">
        <v>2394</v>
      </c>
      <c r="B2395" t="str">
        <f xml:space="preserve"> "603320"</f>
        <v>603320</v>
      </c>
      <c r="C2395" t="s">
        <v>7511</v>
      </c>
      <c r="D2395">
        <v>50.17</v>
      </c>
      <c r="E2395">
        <v>-1.41</v>
      </c>
      <c r="F2395">
        <v>-0.72</v>
      </c>
      <c r="G2395" t="s">
        <v>2088</v>
      </c>
      <c r="H2395">
        <v>2</v>
      </c>
      <c r="I2395">
        <v>49.82</v>
      </c>
      <c r="J2395">
        <v>50.14</v>
      </c>
      <c r="K2395">
        <v>0.72</v>
      </c>
      <c r="L2395">
        <v>9.2100000000000009</v>
      </c>
      <c r="M2395" t="s">
        <v>485</v>
      </c>
      <c r="N2395">
        <v>82.06</v>
      </c>
      <c r="O2395" t="s">
        <v>648</v>
      </c>
      <c r="P2395">
        <v>51</v>
      </c>
      <c r="Q2395">
        <v>49.4</v>
      </c>
      <c r="R2395">
        <v>51</v>
      </c>
      <c r="S2395">
        <v>50.89</v>
      </c>
      <c r="T2395">
        <v>3.14</v>
      </c>
      <c r="U2395">
        <v>0.73</v>
      </c>
      <c r="V2395">
        <v>62.07</v>
      </c>
      <c r="W2395">
        <v>216</v>
      </c>
      <c r="X2395">
        <v>50.13</v>
      </c>
      <c r="Y2395" t="s">
        <v>2551</v>
      </c>
      <c r="Z2395">
        <v>9206</v>
      </c>
      <c r="AA2395">
        <v>1.5</v>
      </c>
      <c r="AB2395">
        <v>7</v>
      </c>
      <c r="AC2395">
        <v>3</v>
      </c>
      <c r="AD2395">
        <v>8.77</v>
      </c>
      <c r="AE2395" t="s">
        <v>4464</v>
      </c>
      <c r="AF2395" t="s">
        <v>6123</v>
      </c>
      <c r="AG2395" t="s">
        <v>5931</v>
      </c>
      <c r="AH2395" t="s">
        <v>2674</v>
      </c>
      <c r="AI2395">
        <v>2.89</v>
      </c>
      <c r="AJ2395">
        <v>10.34</v>
      </c>
      <c r="AK2395">
        <v>28.94</v>
      </c>
      <c r="AL2395">
        <v>72.61</v>
      </c>
    </row>
    <row r="2396" spans="1:38" x14ac:dyDescent="0.25">
      <c r="A2396">
        <v>2395</v>
      </c>
      <c r="B2396" t="str">
        <f xml:space="preserve"> "600838"</f>
        <v>600838</v>
      </c>
      <c r="C2396" t="s">
        <v>7512</v>
      </c>
      <c r="D2396">
        <v>12.51</v>
      </c>
      <c r="E2396">
        <v>-0.87</v>
      </c>
      <c r="F2396">
        <v>-0.11</v>
      </c>
      <c r="G2396" t="s">
        <v>337</v>
      </c>
      <c r="H2396">
        <v>11</v>
      </c>
      <c r="I2396">
        <v>12.51</v>
      </c>
      <c r="J2396">
        <v>12.52</v>
      </c>
      <c r="K2396">
        <v>0.08</v>
      </c>
      <c r="L2396">
        <v>2.79</v>
      </c>
      <c r="M2396" t="s">
        <v>3110</v>
      </c>
      <c r="N2396">
        <v>50.13</v>
      </c>
      <c r="O2396" t="s">
        <v>532</v>
      </c>
      <c r="P2396">
        <v>12.67</v>
      </c>
      <c r="Q2396">
        <v>12.4</v>
      </c>
      <c r="R2396">
        <v>12.53</v>
      </c>
      <c r="S2396">
        <v>12.62</v>
      </c>
      <c r="T2396">
        <v>2.14</v>
      </c>
      <c r="U2396">
        <v>1.39</v>
      </c>
      <c r="V2396">
        <v>12.99</v>
      </c>
      <c r="W2396">
        <v>329</v>
      </c>
      <c r="X2396">
        <v>12.49</v>
      </c>
      <c r="Y2396" t="s">
        <v>5498</v>
      </c>
      <c r="Z2396" t="s">
        <v>1960</v>
      </c>
      <c r="AA2396">
        <v>1.91</v>
      </c>
      <c r="AB2396">
        <v>372</v>
      </c>
      <c r="AC2396">
        <v>213</v>
      </c>
      <c r="AD2396">
        <v>4.3499999999999996</v>
      </c>
      <c r="AE2396" t="s">
        <v>1922</v>
      </c>
      <c r="AF2396" t="s">
        <v>6123</v>
      </c>
      <c r="AG2396" t="s">
        <v>1922</v>
      </c>
      <c r="AH2396" t="s">
        <v>6123</v>
      </c>
      <c r="AI2396">
        <v>1.21</v>
      </c>
      <c r="AJ2396">
        <v>3.3</v>
      </c>
      <c r="AK2396">
        <v>9.8000000000000007</v>
      </c>
      <c r="AL2396">
        <v>12.82</v>
      </c>
    </row>
    <row r="2397" spans="1:38" x14ac:dyDescent="0.25">
      <c r="A2397">
        <v>2396</v>
      </c>
      <c r="B2397" t="str">
        <f xml:space="preserve"> "002060"</f>
        <v>002060</v>
      </c>
      <c r="C2397" t="s">
        <v>7513</v>
      </c>
      <c r="D2397">
        <v>4.17</v>
      </c>
      <c r="E2397">
        <v>0</v>
      </c>
      <c r="F2397">
        <v>0</v>
      </c>
      <c r="G2397" t="s">
        <v>5428</v>
      </c>
      <c r="H2397">
        <v>1313</v>
      </c>
      <c r="I2397">
        <v>4.16</v>
      </c>
      <c r="J2397">
        <v>4.17</v>
      </c>
      <c r="K2397">
        <v>0</v>
      </c>
      <c r="L2397">
        <v>0.82</v>
      </c>
      <c r="M2397" t="s">
        <v>7514</v>
      </c>
      <c r="N2397">
        <v>48.75</v>
      </c>
      <c r="O2397" t="s">
        <v>263</v>
      </c>
      <c r="P2397">
        <v>4.18</v>
      </c>
      <c r="Q2397">
        <v>4.1399999999999997</v>
      </c>
      <c r="R2397">
        <v>4.1500000000000004</v>
      </c>
      <c r="S2397">
        <v>4.17</v>
      </c>
      <c r="T2397">
        <v>0.96</v>
      </c>
      <c r="U2397">
        <v>0.52</v>
      </c>
      <c r="V2397">
        <v>12.97</v>
      </c>
      <c r="W2397">
        <v>4619</v>
      </c>
      <c r="X2397">
        <v>4.16</v>
      </c>
      <c r="Y2397" t="s">
        <v>602</v>
      </c>
      <c r="Z2397" t="s">
        <v>4666</v>
      </c>
      <c r="AA2397">
        <v>1.59</v>
      </c>
      <c r="AB2397">
        <v>3542</v>
      </c>
      <c r="AC2397">
        <v>4780</v>
      </c>
      <c r="AD2397">
        <v>1.82</v>
      </c>
      <c r="AE2397" t="s">
        <v>177</v>
      </c>
      <c r="AF2397" t="s">
        <v>5782</v>
      </c>
      <c r="AG2397" t="s">
        <v>177</v>
      </c>
      <c r="AH2397" t="s">
        <v>5782</v>
      </c>
      <c r="AI2397">
        <v>0.24</v>
      </c>
      <c r="AJ2397">
        <v>2.71</v>
      </c>
      <c r="AK2397">
        <v>4.6900000000000004</v>
      </c>
      <c r="AL2397">
        <v>8.6300000000000008</v>
      </c>
    </row>
    <row r="2398" spans="1:38" x14ac:dyDescent="0.25">
      <c r="A2398">
        <v>2397</v>
      </c>
      <c r="B2398" t="str">
        <f xml:space="preserve"> "002811"</f>
        <v>002811</v>
      </c>
      <c r="C2398" t="s">
        <v>7515</v>
      </c>
      <c r="D2398">
        <v>27.85</v>
      </c>
      <c r="E2398">
        <v>0.72</v>
      </c>
      <c r="F2398">
        <v>0.2</v>
      </c>
      <c r="G2398" t="s">
        <v>4237</v>
      </c>
      <c r="H2398">
        <v>358</v>
      </c>
      <c r="I2398">
        <v>27.84</v>
      </c>
      <c r="J2398">
        <v>27.85</v>
      </c>
      <c r="K2398">
        <v>-0.18</v>
      </c>
      <c r="L2398">
        <v>3.45</v>
      </c>
      <c r="M2398" t="s">
        <v>7516</v>
      </c>
      <c r="N2398">
        <v>66.540000000000006</v>
      </c>
      <c r="O2398" t="s">
        <v>2309</v>
      </c>
      <c r="P2398">
        <v>27.9</v>
      </c>
      <c r="Q2398">
        <v>27.42</v>
      </c>
      <c r="R2398">
        <v>27.58</v>
      </c>
      <c r="S2398">
        <v>27.65</v>
      </c>
      <c r="T2398">
        <v>1.74</v>
      </c>
      <c r="U2398">
        <v>0.34</v>
      </c>
      <c r="V2398">
        <v>-45.9</v>
      </c>
      <c r="W2398">
        <v>-297</v>
      </c>
      <c r="X2398">
        <v>27.74</v>
      </c>
      <c r="Y2398">
        <v>7780</v>
      </c>
      <c r="Z2398">
        <v>7760</v>
      </c>
      <c r="AA2398">
        <v>1</v>
      </c>
      <c r="AB2398">
        <v>30</v>
      </c>
      <c r="AC2398">
        <v>310</v>
      </c>
      <c r="AD2398">
        <v>4.18</v>
      </c>
      <c r="AE2398" t="s">
        <v>3119</v>
      </c>
      <c r="AF2398" t="s">
        <v>5782</v>
      </c>
      <c r="AG2398" t="s">
        <v>1609</v>
      </c>
      <c r="AH2398" t="s">
        <v>2674</v>
      </c>
      <c r="AI2398">
        <v>-2.66</v>
      </c>
      <c r="AJ2398">
        <v>-10.130000000000001</v>
      </c>
      <c r="AK2398">
        <v>17.55</v>
      </c>
      <c r="AL2398">
        <v>54.35</v>
      </c>
    </row>
    <row r="2399" spans="1:38" x14ac:dyDescent="0.25">
      <c r="A2399">
        <v>2398</v>
      </c>
      <c r="B2399" t="str">
        <f xml:space="preserve"> "002661"</f>
        <v>002661</v>
      </c>
      <c r="C2399" t="s">
        <v>7517</v>
      </c>
      <c r="D2399">
        <v>14.95</v>
      </c>
      <c r="E2399">
        <v>0.47</v>
      </c>
      <c r="F2399">
        <v>7.0000000000000007E-2</v>
      </c>
      <c r="G2399" t="s">
        <v>2991</v>
      </c>
      <c r="H2399">
        <v>575</v>
      </c>
      <c r="I2399">
        <v>14.95</v>
      </c>
      <c r="J2399">
        <v>14.98</v>
      </c>
      <c r="K2399">
        <v>-0.33</v>
      </c>
      <c r="L2399">
        <v>0.36</v>
      </c>
      <c r="M2399" t="s">
        <v>7518</v>
      </c>
      <c r="N2399">
        <v>37.270000000000003</v>
      </c>
      <c r="O2399" t="s">
        <v>406</v>
      </c>
      <c r="P2399">
        <v>15.03</v>
      </c>
      <c r="Q2399">
        <v>14.86</v>
      </c>
      <c r="R2399">
        <v>14.92</v>
      </c>
      <c r="S2399">
        <v>14.88</v>
      </c>
      <c r="T2399">
        <v>1.1399999999999999</v>
      </c>
      <c r="U2399">
        <v>0.62</v>
      </c>
      <c r="V2399">
        <v>-2.31</v>
      </c>
      <c r="W2399">
        <v>-39</v>
      </c>
      <c r="X2399">
        <v>14.96</v>
      </c>
      <c r="Y2399">
        <v>4813</v>
      </c>
      <c r="Z2399">
        <v>6943</v>
      </c>
      <c r="AA2399">
        <v>0.69</v>
      </c>
      <c r="AB2399">
        <v>27</v>
      </c>
      <c r="AC2399">
        <v>14</v>
      </c>
      <c r="AD2399">
        <v>2.38</v>
      </c>
      <c r="AE2399" t="s">
        <v>4783</v>
      </c>
      <c r="AF2399" t="s">
        <v>5782</v>
      </c>
      <c r="AG2399" t="s">
        <v>3853</v>
      </c>
      <c r="AH2399" t="s">
        <v>7478</v>
      </c>
      <c r="AI2399">
        <v>-7.0000000000000007E-2</v>
      </c>
      <c r="AJ2399">
        <v>2.33</v>
      </c>
      <c r="AK2399">
        <v>1.7</v>
      </c>
      <c r="AL2399">
        <v>3.27</v>
      </c>
    </row>
    <row r="2400" spans="1:38" x14ac:dyDescent="0.25">
      <c r="A2400">
        <v>2399</v>
      </c>
      <c r="B2400" t="str">
        <f xml:space="preserve"> "601789"</f>
        <v>601789</v>
      </c>
      <c r="C2400" t="s">
        <v>7519</v>
      </c>
      <c r="D2400">
        <v>5.12</v>
      </c>
      <c r="E2400">
        <v>0.39</v>
      </c>
      <c r="F2400">
        <v>0.02</v>
      </c>
      <c r="G2400" t="s">
        <v>936</v>
      </c>
      <c r="H2400">
        <v>115</v>
      </c>
      <c r="I2400">
        <v>5.12</v>
      </c>
      <c r="J2400">
        <v>5.13</v>
      </c>
      <c r="K2400">
        <v>-0.19</v>
      </c>
      <c r="L2400">
        <v>0.7</v>
      </c>
      <c r="M2400" t="s">
        <v>7520</v>
      </c>
      <c r="N2400">
        <v>25.17</v>
      </c>
      <c r="O2400" t="s">
        <v>263</v>
      </c>
      <c r="P2400">
        <v>5.16</v>
      </c>
      <c r="Q2400">
        <v>5.07</v>
      </c>
      <c r="R2400">
        <v>5.0999999999999996</v>
      </c>
      <c r="S2400">
        <v>5.0999999999999996</v>
      </c>
      <c r="T2400">
        <v>1.76</v>
      </c>
      <c r="U2400">
        <v>1</v>
      </c>
      <c r="V2400">
        <v>-30.5</v>
      </c>
      <c r="W2400">
        <v>-4247</v>
      </c>
      <c r="X2400">
        <v>5.12</v>
      </c>
      <c r="Y2400" t="s">
        <v>42</v>
      </c>
      <c r="Z2400" t="s">
        <v>3822</v>
      </c>
      <c r="AA2400">
        <v>1.02</v>
      </c>
      <c r="AB2400">
        <v>664</v>
      </c>
      <c r="AC2400">
        <v>499</v>
      </c>
      <c r="AD2400">
        <v>2.02</v>
      </c>
      <c r="AE2400" t="s">
        <v>4751</v>
      </c>
      <c r="AF2400" t="s">
        <v>5643</v>
      </c>
      <c r="AG2400" t="s">
        <v>4751</v>
      </c>
      <c r="AH2400" t="s">
        <v>5643</v>
      </c>
      <c r="AI2400">
        <v>-0.97</v>
      </c>
      <c r="AJ2400">
        <v>1.99</v>
      </c>
      <c r="AK2400">
        <v>2.2400000000000002</v>
      </c>
      <c r="AL2400">
        <v>4.1900000000000004</v>
      </c>
    </row>
    <row r="2401" spans="1:38" x14ac:dyDescent="0.25">
      <c r="A2401">
        <v>2400</v>
      </c>
      <c r="B2401" t="str">
        <f xml:space="preserve"> "000404"</f>
        <v>000404</v>
      </c>
      <c r="C2401" t="s">
        <v>7521</v>
      </c>
      <c r="D2401">
        <v>7.18</v>
      </c>
      <c r="E2401">
        <v>-0.42</v>
      </c>
      <c r="F2401">
        <v>-0.03</v>
      </c>
      <c r="G2401" t="s">
        <v>2165</v>
      </c>
      <c r="H2401">
        <v>1908</v>
      </c>
      <c r="I2401">
        <v>7.17</v>
      </c>
      <c r="J2401">
        <v>7.18</v>
      </c>
      <c r="K2401">
        <v>-0.14000000000000001</v>
      </c>
      <c r="L2401">
        <v>3.14</v>
      </c>
      <c r="M2401" t="s">
        <v>3053</v>
      </c>
      <c r="N2401">
        <v>19.77</v>
      </c>
      <c r="O2401" t="s">
        <v>648</v>
      </c>
      <c r="P2401">
        <v>7.25</v>
      </c>
      <c r="Q2401">
        <v>7.1</v>
      </c>
      <c r="R2401">
        <v>7.21</v>
      </c>
      <c r="S2401">
        <v>7.21</v>
      </c>
      <c r="T2401">
        <v>2.08</v>
      </c>
      <c r="U2401">
        <v>1.04</v>
      </c>
      <c r="V2401">
        <v>26.64</v>
      </c>
      <c r="W2401">
        <v>4246</v>
      </c>
      <c r="X2401">
        <v>7.18</v>
      </c>
      <c r="Y2401" t="s">
        <v>860</v>
      </c>
      <c r="Z2401" t="s">
        <v>5199</v>
      </c>
      <c r="AA2401">
        <v>1.91</v>
      </c>
      <c r="AB2401">
        <v>1689</v>
      </c>
      <c r="AC2401">
        <v>1175</v>
      </c>
      <c r="AD2401">
        <v>1.57</v>
      </c>
      <c r="AE2401" t="s">
        <v>1588</v>
      </c>
      <c r="AF2401" t="s">
        <v>5643</v>
      </c>
      <c r="AG2401" t="s">
        <v>6186</v>
      </c>
      <c r="AH2401" t="s">
        <v>1118</v>
      </c>
      <c r="AI2401">
        <v>-9.23</v>
      </c>
      <c r="AJ2401">
        <v>-6.87</v>
      </c>
      <c r="AK2401">
        <v>12.64</v>
      </c>
      <c r="AL2401">
        <v>18.2</v>
      </c>
    </row>
    <row r="2402" spans="1:38" x14ac:dyDescent="0.25">
      <c r="A2402">
        <v>2401</v>
      </c>
      <c r="B2402" t="str">
        <f xml:space="preserve"> "601999"</f>
        <v>601999</v>
      </c>
      <c r="C2402" t="s">
        <v>7522</v>
      </c>
      <c r="D2402" t="s">
        <v>616</v>
      </c>
      <c r="E2402" t="s">
        <v>616</v>
      </c>
      <c r="F2402" t="s">
        <v>616</v>
      </c>
      <c r="G2402" t="s">
        <v>616</v>
      </c>
      <c r="H2402" t="s">
        <v>616</v>
      </c>
      <c r="I2402" t="s">
        <v>616</v>
      </c>
      <c r="J2402" t="s">
        <v>616</v>
      </c>
      <c r="K2402" t="s">
        <v>616</v>
      </c>
      <c r="L2402" t="s">
        <v>616</v>
      </c>
      <c r="M2402" t="s">
        <v>616</v>
      </c>
      <c r="N2402">
        <v>43.18</v>
      </c>
      <c r="O2402" t="s">
        <v>1126</v>
      </c>
      <c r="P2402" t="s">
        <v>616</v>
      </c>
      <c r="Q2402" t="s">
        <v>616</v>
      </c>
      <c r="R2402" t="s">
        <v>616</v>
      </c>
      <c r="S2402">
        <v>9.07</v>
      </c>
      <c r="T2402" t="s">
        <v>616</v>
      </c>
      <c r="U2402" t="s">
        <v>616</v>
      </c>
      <c r="V2402" t="s">
        <v>616</v>
      </c>
      <c r="W2402" t="s">
        <v>616</v>
      </c>
      <c r="X2402" t="s">
        <v>616</v>
      </c>
      <c r="Y2402" t="s">
        <v>616</v>
      </c>
      <c r="Z2402" t="s">
        <v>616</v>
      </c>
      <c r="AA2402" t="s">
        <v>616</v>
      </c>
      <c r="AB2402" t="s">
        <v>616</v>
      </c>
      <c r="AC2402" t="s">
        <v>616</v>
      </c>
      <c r="AD2402">
        <v>2.59</v>
      </c>
      <c r="AE2402" t="s">
        <v>3494</v>
      </c>
      <c r="AF2402" t="s">
        <v>5643</v>
      </c>
      <c r="AG2402" t="s">
        <v>3494</v>
      </c>
      <c r="AH2402" t="s">
        <v>5643</v>
      </c>
      <c r="AI2402">
        <v>0</v>
      </c>
      <c r="AJ2402">
        <v>0</v>
      </c>
      <c r="AK2402">
        <v>0</v>
      </c>
      <c r="AL2402">
        <v>0</v>
      </c>
    </row>
    <row r="2403" spans="1:38" x14ac:dyDescent="0.25">
      <c r="A2403">
        <v>2402</v>
      </c>
      <c r="B2403" t="str">
        <f xml:space="preserve"> "002753"</f>
        <v>002753</v>
      </c>
      <c r="C2403" t="s">
        <v>7523</v>
      </c>
      <c r="D2403">
        <v>22.48</v>
      </c>
      <c r="E2403">
        <v>1.03</v>
      </c>
      <c r="F2403">
        <v>0.23</v>
      </c>
      <c r="G2403" t="s">
        <v>480</v>
      </c>
      <c r="H2403">
        <v>232</v>
      </c>
      <c r="I2403">
        <v>22.48</v>
      </c>
      <c r="J2403">
        <v>22.49</v>
      </c>
      <c r="K2403">
        <v>0</v>
      </c>
      <c r="L2403">
        <v>1.57</v>
      </c>
      <c r="M2403" t="s">
        <v>7524</v>
      </c>
      <c r="N2403">
        <v>26.19</v>
      </c>
      <c r="O2403" t="s">
        <v>150</v>
      </c>
      <c r="P2403">
        <v>22.55</v>
      </c>
      <c r="Q2403">
        <v>22.14</v>
      </c>
      <c r="R2403">
        <v>22.3</v>
      </c>
      <c r="S2403">
        <v>22.25</v>
      </c>
      <c r="T2403">
        <v>1.84</v>
      </c>
      <c r="U2403">
        <v>0.63</v>
      </c>
      <c r="V2403">
        <v>-53.82</v>
      </c>
      <c r="W2403">
        <v>-690</v>
      </c>
      <c r="X2403">
        <v>22.41</v>
      </c>
      <c r="Y2403">
        <v>5645</v>
      </c>
      <c r="Z2403">
        <v>7659</v>
      </c>
      <c r="AA2403">
        <v>0.74</v>
      </c>
      <c r="AB2403">
        <v>25</v>
      </c>
      <c r="AC2403">
        <v>258</v>
      </c>
      <c r="AD2403">
        <v>4.99</v>
      </c>
      <c r="AE2403" t="s">
        <v>2907</v>
      </c>
      <c r="AF2403" t="s">
        <v>537</v>
      </c>
      <c r="AG2403" t="s">
        <v>7525</v>
      </c>
      <c r="AH2403" t="s">
        <v>784</v>
      </c>
      <c r="AI2403">
        <v>-2.09</v>
      </c>
      <c r="AJ2403">
        <v>-0.93</v>
      </c>
      <c r="AK2403">
        <v>6.92</v>
      </c>
      <c r="AL2403">
        <v>14.06</v>
      </c>
    </row>
    <row r="2404" spans="1:38" x14ac:dyDescent="0.25">
      <c r="A2404">
        <v>2403</v>
      </c>
      <c r="B2404" t="str">
        <f xml:space="preserve"> "000655"</f>
        <v>000655</v>
      </c>
      <c r="C2404" t="s">
        <v>7526</v>
      </c>
      <c r="D2404">
        <v>8.3800000000000008</v>
      </c>
      <c r="E2404">
        <v>0.36</v>
      </c>
      <c r="F2404">
        <v>0.03</v>
      </c>
      <c r="G2404" t="s">
        <v>919</v>
      </c>
      <c r="H2404">
        <v>701</v>
      </c>
      <c r="I2404">
        <v>8.3699999999999992</v>
      </c>
      <c r="J2404">
        <v>8.3800000000000008</v>
      </c>
      <c r="K2404">
        <v>0</v>
      </c>
      <c r="L2404">
        <v>1.04</v>
      </c>
      <c r="M2404" t="s">
        <v>5525</v>
      </c>
      <c r="N2404">
        <v>43.5</v>
      </c>
      <c r="O2404" t="s">
        <v>416</v>
      </c>
      <c r="P2404">
        <v>8.42</v>
      </c>
      <c r="Q2404">
        <v>8.27</v>
      </c>
      <c r="R2404">
        <v>8.32</v>
      </c>
      <c r="S2404">
        <v>8.35</v>
      </c>
      <c r="T2404">
        <v>1.8</v>
      </c>
      <c r="U2404">
        <v>0.89</v>
      </c>
      <c r="V2404">
        <v>-8.56</v>
      </c>
      <c r="W2404">
        <v>-321</v>
      </c>
      <c r="X2404">
        <v>8.35</v>
      </c>
      <c r="Y2404" t="s">
        <v>1199</v>
      </c>
      <c r="Z2404" t="s">
        <v>1074</v>
      </c>
      <c r="AA2404">
        <v>0.91</v>
      </c>
      <c r="AB2404">
        <v>556</v>
      </c>
      <c r="AC2404">
        <v>268</v>
      </c>
      <c r="AD2404">
        <v>1.87</v>
      </c>
      <c r="AE2404" t="s">
        <v>6272</v>
      </c>
      <c r="AF2404" t="s">
        <v>537</v>
      </c>
      <c r="AG2404" t="s">
        <v>6272</v>
      </c>
      <c r="AH2404" t="s">
        <v>537</v>
      </c>
      <c r="AI2404">
        <v>-2.44</v>
      </c>
      <c r="AJ2404">
        <v>-1.18</v>
      </c>
      <c r="AK2404">
        <v>4.08</v>
      </c>
      <c r="AL2404">
        <v>6.91</v>
      </c>
    </row>
    <row r="2405" spans="1:38" x14ac:dyDescent="0.25">
      <c r="A2405">
        <v>2404</v>
      </c>
      <c r="B2405" t="str">
        <f xml:space="preserve"> "002397"</f>
        <v>002397</v>
      </c>
      <c r="C2405" t="s">
        <v>7527</v>
      </c>
      <c r="D2405">
        <v>7.26</v>
      </c>
      <c r="E2405">
        <v>1.1100000000000001</v>
      </c>
      <c r="F2405">
        <v>0.08</v>
      </c>
      <c r="G2405" t="s">
        <v>363</v>
      </c>
      <c r="H2405">
        <v>2295</v>
      </c>
      <c r="I2405">
        <v>7.25</v>
      </c>
      <c r="J2405">
        <v>7.26</v>
      </c>
      <c r="K2405">
        <v>0.14000000000000001</v>
      </c>
      <c r="L2405">
        <v>2.56</v>
      </c>
      <c r="M2405" t="s">
        <v>7528</v>
      </c>
      <c r="N2405">
        <v>35.57</v>
      </c>
      <c r="O2405" t="s">
        <v>1443</v>
      </c>
      <c r="P2405">
        <v>7.37</v>
      </c>
      <c r="Q2405">
        <v>7.1</v>
      </c>
      <c r="R2405">
        <v>7.1</v>
      </c>
      <c r="S2405">
        <v>7.18</v>
      </c>
      <c r="T2405">
        <v>3.76</v>
      </c>
      <c r="U2405">
        <v>2.33</v>
      </c>
      <c r="V2405">
        <v>-24.05</v>
      </c>
      <c r="W2405">
        <v>-753</v>
      </c>
      <c r="X2405">
        <v>7.29</v>
      </c>
      <c r="Y2405" t="s">
        <v>1660</v>
      </c>
      <c r="Z2405" t="s">
        <v>1909</v>
      </c>
      <c r="AA2405">
        <v>0.98</v>
      </c>
      <c r="AB2405">
        <v>312</v>
      </c>
      <c r="AC2405">
        <v>654</v>
      </c>
      <c r="AD2405">
        <v>3.61</v>
      </c>
      <c r="AE2405" t="s">
        <v>3672</v>
      </c>
      <c r="AF2405" t="s">
        <v>537</v>
      </c>
      <c r="AG2405" t="s">
        <v>5453</v>
      </c>
      <c r="AH2405" t="s">
        <v>4219</v>
      </c>
      <c r="AI2405">
        <v>4.16</v>
      </c>
      <c r="AJ2405">
        <v>5.52</v>
      </c>
      <c r="AK2405">
        <v>6.09</v>
      </c>
      <c r="AL2405">
        <v>8.08</v>
      </c>
    </row>
    <row r="2406" spans="1:38" x14ac:dyDescent="0.25">
      <c r="A2406">
        <v>2405</v>
      </c>
      <c r="B2406" t="str">
        <f xml:space="preserve"> "002620"</f>
        <v>002620</v>
      </c>
      <c r="C2406" t="s">
        <v>7529</v>
      </c>
      <c r="D2406">
        <v>13.74</v>
      </c>
      <c r="E2406">
        <v>0.15</v>
      </c>
      <c r="F2406">
        <v>0.02</v>
      </c>
      <c r="G2406" t="s">
        <v>2786</v>
      </c>
      <c r="H2406">
        <v>196</v>
      </c>
      <c r="I2406">
        <v>13.74</v>
      </c>
      <c r="J2406">
        <v>13.75</v>
      </c>
      <c r="K2406">
        <v>0</v>
      </c>
      <c r="L2406">
        <v>0.8</v>
      </c>
      <c r="M2406" t="s">
        <v>7072</v>
      </c>
      <c r="N2406">
        <v>35.11</v>
      </c>
      <c r="O2406" t="s">
        <v>2309</v>
      </c>
      <c r="P2406">
        <v>13.81</v>
      </c>
      <c r="Q2406">
        <v>13.6</v>
      </c>
      <c r="R2406">
        <v>13.62</v>
      </c>
      <c r="S2406">
        <v>13.72</v>
      </c>
      <c r="T2406">
        <v>1.53</v>
      </c>
      <c r="U2406">
        <v>0.66</v>
      </c>
      <c r="V2406">
        <v>66.45</v>
      </c>
      <c r="W2406">
        <v>1034</v>
      </c>
      <c r="X2406">
        <v>13.72</v>
      </c>
      <c r="Y2406" t="s">
        <v>1579</v>
      </c>
      <c r="Z2406" t="s">
        <v>1785</v>
      </c>
      <c r="AA2406">
        <v>1.29</v>
      </c>
      <c r="AB2406">
        <v>493</v>
      </c>
      <c r="AC2406">
        <v>47</v>
      </c>
      <c r="AD2406">
        <v>2.5</v>
      </c>
      <c r="AE2406" t="s">
        <v>474</v>
      </c>
      <c r="AF2406" t="s">
        <v>1118</v>
      </c>
      <c r="AG2406" t="s">
        <v>7152</v>
      </c>
      <c r="AH2406" t="s">
        <v>3686</v>
      </c>
      <c r="AI2406">
        <v>-2.48</v>
      </c>
      <c r="AJ2406">
        <v>2.16</v>
      </c>
      <c r="AK2406">
        <v>2.73</v>
      </c>
      <c r="AL2406">
        <v>6.85</v>
      </c>
    </row>
    <row r="2407" spans="1:38" x14ac:dyDescent="0.25">
      <c r="A2407">
        <v>2406</v>
      </c>
      <c r="B2407" t="str">
        <f xml:space="preserve"> "603768"</f>
        <v>603768</v>
      </c>
      <c r="C2407" t="s">
        <v>7530</v>
      </c>
      <c r="D2407">
        <v>24.4</v>
      </c>
      <c r="E2407">
        <v>1.67</v>
      </c>
      <c r="F2407">
        <v>0.4</v>
      </c>
      <c r="G2407" t="s">
        <v>5621</v>
      </c>
      <c r="H2407">
        <v>5</v>
      </c>
      <c r="I2407">
        <v>24.39</v>
      </c>
      <c r="J2407">
        <v>24.4</v>
      </c>
      <c r="K2407">
        <v>0.08</v>
      </c>
      <c r="L2407">
        <v>2.67</v>
      </c>
      <c r="M2407" t="s">
        <v>7531</v>
      </c>
      <c r="N2407">
        <v>45.95</v>
      </c>
      <c r="O2407" t="s">
        <v>169</v>
      </c>
      <c r="P2407">
        <v>24.47</v>
      </c>
      <c r="Q2407">
        <v>23.94</v>
      </c>
      <c r="R2407">
        <v>24</v>
      </c>
      <c r="S2407">
        <v>24</v>
      </c>
      <c r="T2407">
        <v>2.21</v>
      </c>
      <c r="U2407">
        <v>0.95</v>
      </c>
      <c r="V2407">
        <v>-10.06</v>
      </c>
      <c r="W2407">
        <v>-41</v>
      </c>
      <c r="X2407">
        <v>24.31</v>
      </c>
      <c r="Y2407">
        <v>4538</v>
      </c>
      <c r="Z2407">
        <v>9082</v>
      </c>
      <c r="AA2407">
        <v>0.5</v>
      </c>
      <c r="AB2407">
        <v>79</v>
      </c>
      <c r="AC2407">
        <v>10</v>
      </c>
      <c r="AD2407">
        <v>3.14</v>
      </c>
      <c r="AE2407" t="s">
        <v>7023</v>
      </c>
      <c r="AF2407" t="s">
        <v>1118</v>
      </c>
      <c r="AG2407" t="s">
        <v>4059</v>
      </c>
      <c r="AH2407" t="s">
        <v>361</v>
      </c>
      <c r="AI2407">
        <v>-0.89</v>
      </c>
      <c r="AJ2407">
        <v>4.41</v>
      </c>
      <c r="AK2407">
        <v>7.56</v>
      </c>
      <c r="AL2407">
        <v>16.73</v>
      </c>
    </row>
    <row r="2408" spans="1:38" x14ac:dyDescent="0.25">
      <c r="A2408">
        <v>2407</v>
      </c>
      <c r="B2408" t="str">
        <f xml:space="preserve"> "300473"</f>
        <v>300473</v>
      </c>
      <c r="C2408" t="s">
        <v>7532</v>
      </c>
      <c r="D2408">
        <v>47.42</v>
      </c>
      <c r="E2408">
        <v>-3.05</v>
      </c>
      <c r="F2408">
        <v>-1.49</v>
      </c>
      <c r="G2408" t="s">
        <v>3896</v>
      </c>
      <c r="H2408">
        <v>268</v>
      </c>
      <c r="I2408">
        <v>47.41</v>
      </c>
      <c r="J2408">
        <v>47.42</v>
      </c>
      <c r="K2408">
        <v>0.04</v>
      </c>
      <c r="L2408">
        <v>4.53</v>
      </c>
      <c r="M2408" t="s">
        <v>1442</v>
      </c>
      <c r="N2408">
        <v>39.25</v>
      </c>
      <c r="O2408" t="s">
        <v>169</v>
      </c>
      <c r="P2408">
        <v>49.95</v>
      </c>
      <c r="Q2408">
        <v>47.08</v>
      </c>
      <c r="R2408">
        <v>48.81</v>
      </c>
      <c r="S2408">
        <v>48.91</v>
      </c>
      <c r="T2408">
        <v>5.87</v>
      </c>
      <c r="U2408">
        <v>1.6</v>
      </c>
      <c r="V2408">
        <v>56.29</v>
      </c>
      <c r="W2408">
        <v>255</v>
      </c>
      <c r="X2408">
        <v>48.09</v>
      </c>
      <c r="Y2408" t="s">
        <v>2232</v>
      </c>
      <c r="Z2408">
        <v>8859</v>
      </c>
      <c r="AA2408">
        <v>1.37</v>
      </c>
      <c r="AB2408">
        <v>53</v>
      </c>
      <c r="AC2408">
        <v>46</v>
      </c>
      <c r="AD2408">
        <v>3.21</v>
      </c>
      <c r="AE2408" t="s">
        <v>1907</v>
      </c>
      <c r="AF2408" t="s">
        <v>1118</v>
      </c>
      <c r="AG2408" t="s">
        <v>7533</v>
      </c>
      <c r="AH2408" t="s">
        <v>662</v>
      </c>
      <c r="AI2408">
        <v>-5.44</v>
      </c>
      <c r="AJ2408">
        <v>-1.62</v>
      </c>
      <c r="AK2408">
        <v>9.67</v>
      </c>
      <c r="AL2408">
        <v>18.64</v>
      </c>
    </row>
    <row r="2409" spans="1:38" x14ac:dyDescent="0.25">
      <c r="A2409">
        <v>2408</v>
      </c>
      <c r="B2409" t="str">
        <f xml:space="preserve"> "603611"</f>
        <v>603611</v>
      </c>
      <c r="C2409" t="s">
        <v>7534</v>
      </c>
      <c r="D2409">
        <v>25.99</v>
      </c>
      <c r="E2409">
        <v>-0.91</v>
      </c>
      <c r="F2409">
        <v>-0.24</v>
      </c>
      <c r="G2409" t="s">
        <v>2002</v>
      </c>
      <c r="H2409">
        <v>2</v>
      </c>
      <c r="I2409">
        <v>26</v>
      </c>
      <c r="J2409">
        <v>26.03</v>
      </c>
      <c r="K2409">
        <v>0.31</v>
      </c>
      <c r="L2409">
        <v>1.2</v>
      </c>
      <c r="M2409" t="s">
        <v>7535</v>
      </c>
      <c r="N2409">
        <v>39.74</v>
      </c>
      <c r="O2409" t="s">
        <v>648</v>
      </c>
      <c r="P2409">
        <v>26.26</v>
      </c>
      <c r="Q2409">
        <v>25.81</v>
      </c>
      <c r="R2409">
        <v>26.25</v>
      </c>
      <c r="S2409">
        <v>26.23</v>
      </c>
      <c r="T2409">
        <v>1.72</v>
      </c>
      <c r="U2409">
        <v>0.67</v>
      </c>
      <c r="V2409">
        <v>35.58</v>
      </c>
      <c r="W2409">
        <v>74</v>
      </c>
      <c r="X2409">
        <v>25.95</v>
      </c>
      <c r="Y2409">
        <v>6371</v>
      </c>
      <c r="Z2409">
        <v>4808</v>
      </c>
      <c r="AA2409">
        <v>1.33</v>
      </c>
      <c r="AB2409">
        <v>9</v>
      </c>
      <c r="AC2409">
        <v>17</v>
      </c>
      <c r="AD2409">
        <v>3.2</v>
      </c>
      <c r="AE2409" t="s">
        <v>3084</v>
      </c>
      <c r="AF2409" t="s">
        <v>714</v>
      </c>
      <c r="AG2409" t="s">
        <v>7536</v>
      </c>
      <c r="AH2409" t="s">
        <v>1104</v>
      </c>
      <c r="AI2409">
        <v>-0.35</v>
      </c>
      <c r="AJ2409">
        <v>3.71</v>
      </c>
      <c r="AK2409">
        <v>7.06</v>
      </c>
      <c r="AL2409">
        <v>10.16</v>
      </c>
    </row>
    <row r="2410" spans="1:38" x14ac:dyDescent="0.25">
      <c r="A2410">
        <v>2409</v>
      </c>
      <c r="B2410" t="str">
        <f xml:space="preserve"> "000529"</f>
        <v>000529</v>
      </c>
      <c r="C2410" t="s">
        <v>7537</v>
      </c>
      <c r="D2410">
        <v>8.52</v>
      </c>
      <c r="E2410">
        <v>0.71</v>
      </c>
      <c r="F2410">
        <v>0.06</v>
      </c>
      <c r="G2410" t="s">
        <v>3603</v>
      </c>
      <c r="H2410">
        <v>149</v>
      </c>
      <c r="I2410">
        <v>8.51</v>
      </c>
      <c r="J2410">
        <v>8.52</v>
      </c>
      <c r="K2410">
        <v>0</v>
      </c>
      <c r="L2410">
        <v>0.31</v>
      </c>
      <c r="M2410" t="s">
        <v>7538</v>
      </c>
      <c r="N2410">
        <v>46.75</v>
      </c>
      <c r="O2410" t="s">
        <v>406</v>
      </c>
      <c r="P2410">
        <v>8.58</v>
      </c>
      <c r="Q2410">
        <v>8.44</v>
      </c>
      <c r="R2410">
        <v>8.51</v>
      </c>
      <c r="S2410">
        <v>8.4600000000000009</v>
      </c>
      <c r="T2410">
        <v>1.65</v>
      </c>
      <c r="U2410">
        <v>0.51</v>
      </c>
      <c r="V2410">
        <v>-44.44</v>
      </c>
      <c r="W2410">
        <v>-1010</v>
      </c>
      <c r="X2410">
        <v>8.51</v>
      </c>
      <c r="Y2410">
        <v>9565</v>
      </c>
      <c r="Z2410">
        <v>7914</v>
      </c>
      <c r="AA2410">
        <v>1.21</v>
      </c>
      <c r="AB2410">
        <v>83</v>
      </c>
      <c r="AC2410">
        <v>223</v>
      </c>
      <c r="AD2410">
        <v>3.93</v>
      </c>
      <c r="AE2410" t="s">
        <v>4705</v>
      </c>
      <c r="AF2410" t="s">
        <v>714</v>
      </c>
      <c r="AG2410" t="s">
        <v>1988</v>
      </c>
      <c r="AH2410" t="s">
        <v>7389</v>
      </c>
      <c r="AI2410">
        <v>-1.5</v>
      </c>
      <c r="AJ2410">
        <v>4.54</v>
      </c>
      <c r="AK2410">
        <v>1.23</v>
      </c>
      <c r="AL2410">
        <v>3.33</v>
      </c>
    </row>
    <row r="2411" spans="1:38" x14ac:dyDescent="0.25">
      <c r="A2411">
        <v>2410</v>
      </c>
      <c r="B2411" t="str">
        <f xml:space="preserve"> "002494"</f>
        <v>002494</v>
      </c>
      <c r="C2411" t="s">
        <v>7539</v>
      </c>
      <c r="D2411">
        <v>12.88</v>
      </c>
      <c r="E2411">
        <v>0.31</v>
      </c>
      <c r="F2411">
        <v>0.04</v>
      </c>
      <c r="G2411" t="s">
        <v>2123</v>
      </c>
      <c r="H2411">
        <v>1291</v>
      </c>
      <c r="I2411">
        <v>12.87</v>
      </c>
      <c r="J2411">
        <v>12.88</v>
      </c>
      <c r="K2411">
        <v>0.08</v>
      </c>
      <c r="L2411">
        <v>2.3199999999999998</v>
      </c>
      <c r="M2411" t="s">
        <v>7540</v>
      </c>
      <c r="N2411">
        <v>223.05</v>
      </c>
      <c r="O2411" t="s">
        <v>1443</v>
      </c>
      <c r="P2411">
        <v>12.91</v>
      </c>
      <c r="Q2411">
        <v>12.69</v>
      </c>
      <c r="R2411">
        <v>12.75</v>
      </c>
      <c r="S2411">
        <v>12.84</v>
      </c>
      <c r="T2411">
        <v>1.71</v>
      </c>
      <c r="U2411">
        <v>1.23</v>
      </c>
      <c r="V2411">
        <v>-28.74</v>
      </c>
      <c r="W2411">
        <v>-1055</v>
      </c>
      <c r="X2411">
        <v>12.8</v>
      </c>
      <c r="Y2411" t="s">
        <v>3190</v>
      </c>
      <c r="Z2411" t="s">
        <v>3877</v>
      </c>
      <c r="AA2411">
        <v>1</v>
      </c>
      <c r="AB2411">
        <v>423</v>
      </c>
      <c r="AC2411">
        <v>681</v>
      </c>
      <c r="AD2411">
        <v>2.48</v>
      </c>
      <c r="AE2411" t="s">
        <v>787</v>
      </c>
      <c r="AF2411" t="s">
        <v>714</v>
      </c>
      <c r="AG2411" t="s">
        <v>2208</v>
      </c>
      <c r="AH2411" t="s">
        <v>5489</v>
      </c>
      <c r="AI2411">
        <v>1.18</v>
      </c>
      <c r="AJ2411">
        <v>3.95</v>
      </c>
      <c r="AK2411">
        <v>6.64</v>
      </c>
      <c r="AL2411">
        <v>11.77</v>
      </c>
    </row>
    <row r="2412" spans="1:38" x14ac:dyDescent="0.25">
      <c r="A2412">
        <v>2411</v>
      </c>
      <c r="B2412" t="str">
        <f xml:space="preserve"> "002228"</f>
        <v>002228</v>
      </c>
      <c r="C2412" t="s">
        <v>7541</v>
      </c>
      <c r="D2412">
        <v>4.76</v>
      </c>
      <c r="E2412">
        <v>-0.42</v>
      </c>
      <c r="F2412">
        <v>-0.02</v>
      </c>
      <c r="G2412" t="s">
        <v>3881</v>
      </c>
      <c r="H2412">
        <v>95</v>
      </c>
      <c r="I2412">
        <v>4.76</v>
      </c>
      <c r="J2412">
        <v>4.7699999999999996</v>
      </c>
      <c r="K2412">
        <v>0</v>
      </c>
      <c r="L2412">
        <v>0.34</v>
      </c>
      <c r="M2412" t="s">
        <v>7542</v>
      </c>
      <c r="N2412">
        <v>34.93</v>
      </c>
      <c r="O2412" t="s">
        <v>3873</v>
      </c>
      <c r="P2412">
        <v>4.78</v>
      </c>
      <c r="Q2412">
        <v>4.74</v>
      </c>
      <c r="R2412">
        <v>4.75</v>
      </c>
      <c r="S2412">
        <v>4.78</v>
      </c>
      <c r="T2412">
        <v>0.84</v>
      </c>
      <c r="U2412">
        <v>0.67</v>
      </c>
      <c r="V2412">
        <v>26.06</v>
      </c>
      <c r="W2412">
        <v>3979</v>
      </c>
      <c r="X2412">
        <v>4.76</v>
      </c>
      <c r="Y2412" t="s">
        <v>3181</v>
      </c>
      <c r="Z2412" t="s">
        <v>5621</v>
      </c>
      <c r="AA2412">
        <v>1.62</v>
      </c>
      <c r="AB2412">
        <v>3073</v>
      </c>
      <c r="AC2412">
        <v>871</v>
      </c>
      <c r="AD2412">
        <v>3.01</v>
      </c>
      <c r="AE2412" t="s">
        <v>755</v>
      </c>
      <c r="AF2412" t="s">
        <v>6343</v>
      </c>
      <c r="AG2412" t="s">
        <v>755</v>
      </c>
      <c r="AH2412" t="s">
        <v>722</v>
      </c>
      <c r="AI2412">
        <v>0.42</v>
      </c>
      <c r="AJ2412">
        <v>3.48</v>
      </c>
      <c r="AK2412">
        <v>1.52</v>
      </c>
      <c r="AL2412">
        <v>2.88</v>
      </c>
    </row>
    <row r="2413" spans="1:38" x14ac:dyDescent="0.25">
      <c r="A2413">
        <v>2412</v>
      </c>
      <c r="B2413" t="str">
        <f xml:space="preserve"> "300360"</f>
        <v>300360</v>
      </c>
      <c r="C2413" t="s">
        <v>7543</v>
      </c>
      <c r="D2413">
        <v>13.68</v>
      </c>
      <c r="E2413">
        <v>0.44</v>
      </c>
      <c r="F2413">
        <v>0.06</v>
      </c>
      <c r="G2413" t="s">
        <v>1349</v>
      </c>
      <c r="H2413">
        <v>248</v>
      </c>
      <c r="I2413">
        <v>13.67</v>
      </c>
      <c r="J2413">
        <v>13.68</v>
      </c>
      <c r="K2413">
        <v>7.0000000000000007E-2</v>
      </c>
      <c r="L2413">
        <v>0.63</v>
      </c>
      <c r="M2413" t="s">
        <v>7544</v>
      </c>
      <c r="N2413">
        <v>31.03</v>
      </c>
      <c r="O2413" t="s">
        <v>1372</v>
      </c>
      <c r="P2413">
        <v>13.69</v>
      </c>
      <c r="Q2413">
        <v>13.55</v>
      </c>
      <c r="R2413">
        <v>13.59</v>
      </c>
      <c r="S2413">
        <v>13.62</v>
      </c>
      <c r="T2413">
        <v>1.03</v>
      </c>
      <c r="U2413">
        <v>0.82</v>
      </c>
      <c r="V2413">
        <v>-10.6</v>
      </c>
      <c r="W2413">
        <v>-150</v>
      </c>
      <c r="X2413">
        <v>13.62</v>
      </c>
      <c r="Y2413">
        <v>9848</v>
      </c>
      <c r="Z2413">
        <v>7328</v>
      </c>
      <c r="AA2413">
        <v>1.34</v>
      </c>
      <c r="AB2413">
        <v>140</v>
      </c>
      <c r="AC2413">
        <v>168</v>
      </c>
      <c r="AD2413">
        <v>3.61</v>
      </c>
      <c r="AE2413" t="s">
        <v>474</v>
      </c>
      <c r="AF2413" t="s">
        <v>6343</v>
      </c>
      <c r="AG2413" t="s">
        <v>159</v>
      </c>
      <c r="AH2413" t="s">
        <v>1817</v>
      </c>
      <c r="AI2413">
        <v>-0.87</v>
      </c>
      <c r="AJ2413">
        <v>1.48</v>
      </c>
      <c r="AK2413">
        <v>2.15</v>
      </c>
      <c r="AL2413">
        <v>4.51</v>
      </c>
    </row>
    <row r="2414" spans="1:38" x14ac:dyDescent="0.25">
      <c r="A2414">
        <v>2413</v>
      </c>
      <c r="B2414" t="str">
        <f xml:space="preserve"> "300503"</f>
        <v>300503</v>
      </c>
      <c r="C2414" t="s">
        <v>7545</v>
      </c>
      <c r="D2414">
        <v>19.559999999999999</v>
      </c>
      <c r="E2414">
        <v>2.89</v>
      </c>
      <c r="F2414">
        <v>0.55000000000000004</v>
      </c>
      <c r="G2414" t="s">
        <v>5073</v>
      </c>
      <c r="H2414">
        <v>937</v>
      </c>
      <c r="I2414">
        <v>19.559999999999999</v>
      </c>
      <c r="J2414">
        <v>19.57</v>
      </c>
      <c r="K2414">
        <v>-0.1</v>
      </c>
      <c r="L2414">
        <v>4.0999999999999996</v>
      </c>
      <c r="M2414" t="s">
        <v>7546</v>
      </c>
      <c r="N2414">
        <v>64.5</v>
      </c>
      <c r="O2414" t="s">
        <v>648</v>
      </c>
      <c r="P2414">
        <v>19.649999999999999</v>
      </c>
      <c r="Q2414">
        <v>18.61</v>
      </c>
      <c r="R2414">
        <v>18.95</v>
      </c>
      <c r="S2414">
        <v>19.010000000000002</v>
      </c>
      <c r="T2414">
        <v>5.47</v>
      </c>
      <c r="U2414">
        <v>1.84</v>
      </c>
      <c r="V2414">
        <v>-76.849999999999994</v>
      </c>
      <c r="W2414">
        <v>-1461</v>
      </c>
      <c r="X2414">
        <v>19.29</v>
      </c>
      <c r="Y2414" t="s">
        <v>1504</v>
      </c>
      <c r="Z2414" t="s">
        <v>3230</v>
      </c>
      <c r="AA2414">
        <v>0.81</v>
      </c>
      <c r="AB2414">
        <v>7</v>
      </c>
      <c r="AC2414">
        <v>406</v>
      </c>
      <c r="AD2414">
        <v>7.05</v>
      </c>
      <c r="AE2414" t="s">
        <v>3561</v>
      </c>
      <c r="AF2414" t="s">
        <v>6343</v>
      </c>
      <c r="AG2414" t="s">
        <v>2611</v>
      </c>
      <c r="AH2414" t="s">
        <v>5887</v>
      </c>
      <c r="AI2414">
        <v>2.79</v>
      </c>
      <c r="AJ2414">
        <v>8.3699999999999992</v>
      </c>
      <c r="AK2414">
        <v>8.0500000000000007</v>
      </c>
      <c r="AL2414">
        <v>15.24</v>
      </c>
    </row>
    <row r="2415" spans="1:38" x14ac:dyDescent="0.25">
      <c r="A2415">
        <v>2414</v>
      </c>
      <c r="B2415" t="str">
        <f xml:space="preserve"> "603800"</f>
        <v>603800</v>
      </c>
      <c r="C2415" t="s">
        <v>7547</v>
      </c>
      <c r="D2415">
        <v>23.85</v>
      </c>
      <c r="E2415">
        <v>-0.42</v>
      </c>
      <c r="F2415">
        <v>-0.1</v>
      </c>
      <c r="G2415" t="s">
        <v>2058</v>
      </c>
      <c r="H2415">
        <v>4</v>
      </c>
      <c r="I2415">
        <v>23.84</v>
      </c>
      <c r="J2415">
        <v>23.85</v>
      </c>
      <c r="K2415">
        <v>-0.04</v>
      </c>
      <c r="L2415">
        <v>6.13</v>
      </c>
      <c r="M2415" t="s">
        <v>7548</v>
      </c>
      <c r="N2415">
        <v>209.02</v>
      </c>
      <c r="O2415" t="s">
        <v>2647</v>
      </c>
      <c r="P2415">
        <v>24</v>
      </c>
      <c r="Q2415">
        <v>23.62</v>
      </c>
      <c r="R2415">
        <v>23.8</v>
      </c>
      <c r="S2415">
        <v>23.95</v>
      </c>
      <c r="T2415">
        <v>1.59</v>
      </c>
      <c r="U2415">
        <v>0.56000000000000005</v>
      </c>
      <c r="V2415">
        <v>-8.9700000000000006</v>
      </c>
      <c r="W2415">
        <v>-67</v>
      </c>
      <c r="X2415">
        <v>23.77</v>
      </c>
      <c r="Y2415" t="s">
        <v>2696</v>
      </c>
      <c r="Z2415" t="s">
        <v>1278</v>
      </c>
      <c r="AA2415">
        <v>1.56</v>
      </c>
      <c r="AB2415">
        <v>59</v>
      </c>
      <c r="AC2415">
        <v>30</v>
      </c>
      <c r="AD2415">
        <v>5.39</v>
      </c>
      <c r="AE2415" t="s">
        <v>2964</v>
      </c>
      <c r="AF2415" t="s">
        <v>6343</v>
      </c>
      <c r="AG2415" t="s">
        <v>4318</v>
      </c>
      <c r="AH2415" t="s">
        <v>3071</v>
      </c>
      <c r="AI2415">
        <v>0.8</v>
      </c>
      <c r="AJ2415">
        <v>5.16</v>
      </c>
      <c r="AK2415">
        <v>24.99</v>
      </c>
      <c r="AL2415">
        <v>61.07</v>
      </c>
    </row>
    <row r="2416" spans="1:38" x14ac:dyDescent="0.25">
      <c r="A2416">
        <v>2415</v>
      </c>
      <c r="B2416" t="str">
        <f xml:space="preserve"> "600107"</f>
        <v>600107</v>
      </c>
      <c r="C2416" t="s">
        <v>7549</v>
      </c>
      <c r="D2416">
        <v>13.78</v>
      </c>
      <c r="E2416">
        <v>2.68</v>
      </c>
      <c r="F2416">
        <v>0.36</v>
      </c>
      <c r="G2416" t="s">
        <v>4121</v>
      </c>
      <c r="H2416">
        <v>2</v>
      </c>
      <c r="I2416">
        <v>13.77</v>
      </c>
      <c r="J2416">
        <v>13.78</v>
      </c>
      <c r="K2416">
        <v>-7.0000000000000007E-2</v>
      </c>
      <c r="L2416">
        <v>2.16</v>
      </c>
      <c r="M2416" t="s">
        <v>1635</v>
      </c>
      <c r="N2416">
        <v>-843.45</v>
      </c>
      <c r="O2416" t="s">
        <v>1443</v>
      </c>
      <c r="P2416">
        <v>13.88</v>
      </c>
      <c r="Q2416">
        <v>13.34</v>
      </c>
      <c r="R2416">
        <v>13.42</v>
      </c>
      <c r="S2416">
        <v>13.42</v>
      </c>
      <c r="T2416">
        <v>4.0199999999999996</v>
      </c>
      <c r="U2416">
        <v>2.23</v>
      </c>
      <c r="V2416">
        <v>6.77</v>
      </c>
      <c r="W2416">
        <v>142</v>
      </c>
      <c r="X2416">
        <v>13.65</v>
      </c>
      <c r="Y2416" t="s">
        <v>3948</v>
      </c>
      <c r="Z2416" t="s">
        <v>5423</v>
      </c>
      <c r="AA2416">
        <v>0.56999999999999995</v>
      </c>
      <c r="AB2416">
        <v>23</v>
      </c>
      <c r="AC2416">
        <v>60</v>
      </c>
      <c r="AD2416">
        <v>9.0399999999999991</v>
      </c>
      <c r="AE2416" t="s">
        <v>852</v>
      </c>
      <c r="AF2416" t="s">
        <v>6343</v>
      </c>
      <c r="AG2416" t="s">
        <v>852</v>
      </c>
      <c r="AH2416" t="s">
        <v>6343</v>
      </c>
      <c r="AI2416">
        <v>2.68</v>
      </c>
      <c r="AJ2416">
        <v>4.87</v>
      </c>
      <c r="AK2416">
        <v>3.71</v>
      </c>
      <c r="AL2416">
        <v>7.02</v>
      </c>
    </row>
    <row r="2417" spans="1:38" x14ac:dyDescent="0.25">
      <c r="A2417">
        <v>2416</v>
      </c>
      <c r="B2417" t="str">
        <f xml:space="preserve"> "002388"</f>
        <v>002388</v>
      </c>
      <c r="C2417" t="s">
        <v>7550</v>
      </c>
      <c r="D2417">
        <v>9.84</v>
      </c>
      <c r="E2417">
        <v>-0.4</v>
      </c>
      <c r="F2417">
        <v>-0.04</v>
      </c>
      <c r="G2417" t="s">
        <v>1973</v>
      </c>
      <c r="H2417">
        <v>626</v>
      </c>
      <c r="I2417">
        <v>9.84</v>
      </c>
      <c r="J2417">
        <v>9.85</v>
      </c>
      <c r="K2417">
        <v>-0.1</v>
      </c>
      <c r="L2417">
        <v>0.79</v>
      </c>
      <c r="M2417" t="s">
        <v>7551</v>
      </c>
      <c r="N2417">
        <v>47.88</v>
      </c>
      <c r="O2417" t="s">
        <v>553</v>
      </c>
      <c r="P2417">
        <v>9.91</v>
      </c>
      <c r="Q2417">
        <v>9.76</v>
      </c>
      <c r="R2417">
        <v>9.83</v>
      </c>
      <c r="S2417">
        <v>9.8800000000000008</v>
      </c>
      <c r="T2417">
        <v>1.52</v>
      </c>
      <c r="U2417">
        <v>0.61</v>
      </c>
      <c r="V2417">
        <v>34.28</v>
      </c>
      <c r="W2417">
        <v>1871</v>
      </c>
      <c r="X2417">
        <v>9.84</v>
      </c>
      <c r="Y2417" t="s">
        <v>1076</v>
      </c>
      <c r="Z2417" t="s">
        <v>5764</v>
      </c>
      <c r="AA2417">
        <v>1.56</v>
      </c>
      <c r="AB2417">
        <v>1081</v>
      </c>
      <c r="AC2417">
        <v>781</v>
      </c>
      <c r="AD2417">
        <v>4.07</v>
      </c>
      <c r="AE2417" t="s">
        <v>2028</v>
      </c>
      <c r="AF2417" t="s">
        <v>6343</v>
      </c>
      <c r="AG2417" t="s">
        <v>1000</v>
      </c>
      <c r="AH2417" t="s">
        <v>2569</v>
      </c>
      <c r="AI2417">
        <v>-0.3</v>
      </c>
      <c r="AJ2417">
        <v>4.13</v>
      </c>
      <c r="AK2417">
        <v>4.0999999999999996</v>
      </c>
      <c r="AL2417">
        <v>7.26</v>
      </c>
    </row>
    <row r="2418" spans="1:38" x14ac:dyDescent="0.25">
      <c r="A2418">
        <v>2417</v>
      </c>
      <c r="B2418" t="str">
        <f xml:space="preserve"> "002772"</f>
        <v>002772</v>
      </c>
      <c r="C2418" t="s">
        <v>7552</v>
      </c>
      <c r="D2418">
        <v>13.27</v>
      </c>
      <c r="E2418">
        <v>0.45</v>
      </c>
      <c r="F2418">
        <v>0.06</v>
      </c>
      <c r="G2418" t="s">
        <v>432</v>
      </c>
      <c r="H2418">
        <v>464</v>
      </c>
      <c r="I2418">
        <v>13.26</v>
      </c>
      <c r="J2418">
        <v>13.27</v>
      </c>
      <c r="K2418">
        <v>0</v>
      </c>
      <c r="L2418">
        <v>1.01</v>
      </c>
      <c r="M2418" t="s">
        <v>7553</v>
      </c>
      <c r="N2418">
        <v>38.799999999999997</v>
      </c>
      <c r="O2418" t="s">
        <v>622</v>
      </c>
      <c r="P2418">
        <v>13.27</v>
      </c>
      <c r="Q2418">
        <v>13.14</v>
      </c>
      <c r="R2418">
        <v>13.15</v>
      </c>
      <c r="S2418">
        <v>13.21</v>
      </c>
      <c r="T2418">
        <v>0.98</v>
      </c>
      <c r="U2418">
        <v>0.8</v>
      </c>
      <c r="V2418">
        <v>20.73</v>
      </c>
      <c r="W2418">
        <v>485</v>
      </c>
      <c r="X2418">
        <v>13.2</v>
      </c>
      <c r="Y2418" t="s">
        <v>2800</v>
      </c>
      <c r="Z2418" t="s">
        <v>2002</v>
      </c>
      <c r="AA2418">
        <v>0.94</v>
      </c>
      <c r="AB2418">
        <v>128</v>
      </c>
      <c r="AC2418">
        <v>250</v>
      </c>
      <c r="AD2418">
        <v>2.11</v>
      </c>
      <c r="AE2418" t="s">
        <v>4181</v>
      </c>
      <c r="AF2418" t="s">
        <v>722</v>
      </c>
      <c r="AG2418" t="s">
        <v>185</v>
      </c>
      <c r="AH2418" t="s">
        <v>3668</v>
      </c>
      <c r="AI2418">
        <v>-0.45</v>
      </c>
      <c r="AJ2418">
        <v>4.49</v>
      </c>
      <c r="AK2418">
        <v>3.83</v>
      </c>
      <c r="AL2418">
        <v>7.27</v>
      </c>
    </row>
    <row r="2419" spans="1:38" x14ac:dyDescent="0.25">
      <c r="A2419">
        <v>2418</v>
      </c>
      <c r="B2419" t="str">
        <f xml:space="preserve"> "603703"</f>
        <v>603703</v>
      </c>
      <c r="C2419" t="s">
        <v>7554</v>
      </c>
      <c r="D2419">
        <v>21.56</v>
      </c>
      <c r="E2419">
        <v>0.98</v>
      </c>
      <c r="F2419">
        <v>0.21</v>
      </c>
      <c r="G2419" t="s">
        <v>1843</v>
      </c>
      <c r="H2419">
        <v>26</v>
      </c>
      <c r="I2419">
        <v>21.56</v>
      </c>
      <c r="J2419">
        <v>21.57</v>
      </c>
      <c r="K2419">
        <v>0</v>
      </c>
      <c r="L2419">
        <v>3.55</v>
      </c>
      <c r="M2419" t="s">
        <v>6372</v>
      </c>
      <c r="N2419">
        <v>122.33</v>
      </c>
      <c r="O2419" t="s">
        <v>680</v>
      </c>
      <c r="P2419">
        <v>21.63</v>
      </c>
      <c r="Q2419">
        <v>21.07</v>
      </c>
      <c r="R2419">
        <v>21.39</v>
      </c>
      <c r="S2419">
        <v>21.35</v>
      </c>
      <c r="T2419">
        <v>2.62</v>
      </c>
      <c r="U2419">
        <v>0.43</v>
      </c>
      <c r="V2419">
        <v>-37.21</v>
      </c>
      <c r="W2419">
        <v>-403</v>
      </c>
      <c r="X2419">
        <v>21.39</v>
      </c>
      <c r="Y2419" t="s">
        <v>1493</v>
      </c>
      <c r="Z2419" t="s">
        <v>1278</v>
      </c>
      <c r="AA2419">
        <v>1.1000000000000001</v>
      </c>
      <c r="AB2419">
        <v>102</v>
      </c>
      <c r="AC2419">
        <v>290</v>
      </c>
      <c r="AD2419">
        <v>9.27</v>
      </c>
      <c r="AE2419" t="s">
        <v>2845</v>
      </c>
      <c r="AF2419" t="s">
        <v>722</v>
      </c>
      <c r="AG2419" t="s">
        <v>7555</v>
      </c>
      <c r="AH2419" t="s">
        <v>666</v>
      </c>
      <c r="AI2419">
        <v>-2.66</v>
      </c>
      <c r="AJ2419">
        <v>-1.6</v>
      </c>
      <c r="AK2419">
        <v>17.98</v>
      </c>
      <c r="AL2419">
        <v>44.91</v>
      </c>
    </row>
    <row r="2420" spans="1:38" x14ac:dyDescent="0.25">
      <c r="A2420">
        <v>2419</v>
      </c>
      <c r="B2420" t="str">
        <f xml:space="preserve"> "000862"</f>
        <v>000862</v>
      </c>
      <c r="C2420" t="s">
        <v>7556</v>
      </c>
      <c r="D2420">
        <v>7.01</v>
      </c>
      <c r="E2420">
        <v>-4.5</v>
      </c>
      <c r="F2420">
        <v>-0.33</v>
      </c>
      <c r="G2420" t="s">
        <v>351</v>
      </c>
      <c r="H2420">
        <v>1768</v>
      </c>
      <c r="I2420">
        <v>7.01</v>
      </c>
      <c r="J2420">
        <v>7.02</v>
      </c>
      <c r="K2420">
        <v>-0.14000000000000001</v>
      </c>
      <c r="L2420">
        <v>4.7699999999999996</v>
      </c>
      <c r="M2420" t="s">
        <v>2114</v>
      </c>
      <c r="N2420">
        <v>-169.34</v>
      </c>
      <c r="O2420" t="s">
        <v>680</v>
      </c>
      <c r="P2420">
        <v>7.26</v>
      </c>
      <c r="Q2420">
        <v>6.96</v>
      </c>
      <c r="R2420">
        <v>7.22</v>
      </c>
      <c r="S2420">
        <v>7.34</v>
      </c>
      <c r="T2420">
        <v>4.09</v>
      </c>
      <c r="U2420">
        <v>2.21</v>
      </c>
      <c r="V2420">
        <v>42</v>
      </c>
      <c r="W2420">
        <v>2682</v>
      </c>
      <c r="X2420">
        <v>7.04</v>
      </c>
      <c r="Y2420" t="s">
        <v>541</v>
      </c>
      <c r="Z2420" t="s">
        <v>3864</v>
      </c>
      <c r="AA2420">
        <v>2.12</v>
      </c>
      <c r="AB2420">
        <v>736</v>
      </c>
      <c r="AC2420">
        <v>903</v>
      </c>
      <c r="AD2420">
        <v>1.79</v>
      </c>
      <c r="AE2420" t="s">
        <v>6175</v>
      </c>
      <c r="AF2420" t="s">
        <v>722</v>
      </c>
      <c r="AG2420" t="s">
        <v>3522</v>
      </c>
      <c r="AH2420" t="s">
        <v>2733</v>
      </c>
      <c r="AI2420">
        <v>-11.27</v>
      </c>
      <c r="AJ2420">
        <v>-11.27</v>
      </c>
      <c r="AK2420">
        <v>10.89</v>
      </c>
      <c r="AL2420">
        <v>10.89</v>
      </c>
    </row>
    <row r="2421" spans="1:38" x14ac:dyDescent="0.25">
      <c r="A2421">
        <v>2420</v>
      </c>
      <c r="B2421" t="str">
        <f xml:space="preserve"> "002380"</f>
        <v>002380</v>
      </c>
      <c r="C2421" t="s">
        <v>7557</v>
      </c>
      <c r="D2421">
        <v>20.62</v>
      </c>
      <c r="E2421">
        <v>-0.19</v>
      </c>
      <c r="F2421">
        <v>-0.04</v>
      </c>
      <c r="G2421" t="s">
        <v>4112</v>
      </c>
      <c r="H2421">
        <v>606</v>
      </c>
      <c r="I2421">
        <v>20.6</v>
      </c>
      <c r="J2421">
        <v>20.62</v>
      </c>
      <c r="K2421">
        <v>0.19</v>
      </c>
      <c r="L2421">
        <v>0.98</v>
      </c>
      <c r="M2421" t="s">
        <v>7558</v>
      </c>
      <c r="N2421">
        <v>50.16</v>
      </c>
      <c r="O2421" t="s">
        <v>553</v>
      </c>
      <c r="P2421">
        <v>20.71</v>
      </c>
      <c r="Q2421">
        <v>20.309999999999999</v>
      </c>
      <c r="R2421">
        <v>20.71</v>
      </c>
      <c r="S2421">
        <v>20.66</v>
      </c>
      <c r="T2421">
        <v>1.94</v>
      </c>
      <c r="U2421">
        <v>0.85</v>
      </c>
      <c r="V2421">
        <v>-44.56</v>
      </c>
      <c r="W2421">
        <v>-315</v>
      </c>
      <c r="X2421">
        <v>20.5</v>
      </c>
      <c r="Y2421">
        <v>7819</v>
      </c>
      <c r="Z2421">
        <v>6081</v>
      </c>
      <c r="AA2421">
        <v>1.29</v>
      </c>
      <c r="AB2421">
        <v>110</v>
      </c>
      <c r="AC2421">
        <v>119</v>
      </c>
      <c r="AD2421">
        <v>2.48</v>
      </c>
      <c r="AE2421" t="s">
        <v>2521</v>
      </c>
      <c r="AF2421" t="s">
        <v>722</v>
      </c>
      <c r="AG2421" t="s">
        <v>223</v>
      </c>
      <c r="AH2421" t="s">
        <v>2341</v>
      </c>
      <c r="AI2421">
        <v>0.19</v>
      </c>
      <c r="AJ2421">
        <v>4.09</v>
      </c>
      <c r="AK2421">
        <v>3.61</v>
      </c>
      <c r="AL2421">
        <v>6.77</v>
      </c>
    </row>
    <row r="2422" spans="1:38" x14ac:dyDescent="0.25">
      <c r="A2422">
        <v>2421</v>
      </c>
      <c r="B2422" t="str">
        <f xml:space="preserve"> "000505"</f>
        <v>000505</v>
      </c>
      <c r="C2422" t="s">
        <v>7559</v>
      </c>
      <c r="D2422">
        <v>11.59</v>
      </c>
      <c r="E2422">
        <v>0.09</v>
      </c>
      <c r="F2422">
        <v>0.01</v>
      </c>
      <c r="G2422" t="s">
        <v>4854</v>
      </c>
      <c r="H2422">
        <v>1412</v>
      </c>
      <c r="I2422">
        <v>11.59</v>
      </c>
      <c r="J2422">
        <v>11.6</v>
      </c>
      <c r="K2422">
        <v>-0.26</v>
      </c>
      <c r="L2422">
        <v>2.62</v>
      </c>
      <c r="M2422" t="s">
        <v>679</v>
      </c>
      <c r="N2422">
        <v>143.56</v>
      </c>
      <c r="O2422" t="s">
        <v>244</v>
      </c>
      <c r="P2422">
        <v>11.84</v>
      </c>
      <c r="Q2422">
        <v>11.47</v>
      </c>
      <c r="R2422">
        <v>11.56</v>
      </c>
      <c r="S2422">
        <v>11.58</v>
      </c>
      <c r="T2422">
        <v>3.2</v>
      </c>
      <c r="U2422">
        <v>0.81</v>
      </c>
      <c r="V2422">
        <v>-17</v>
      </c>
      <c r="W2422">
        <v>-352</v>
      </c>
      <c r="X2422">
        <v>11.67</v>
      </c>
      <c r="Y2422" t="s">
        <v>390</v>
      </c>
      <c r="Z2422" t="s">
        <v>4802</v>
      </c>
      <c r="AA2422">
        <v>1.2</v>
      </c>
      <c r="AB2422">
        <v>21</v>
      </c>
      <c r="AC2422">
        <v>291</v>
      </c>
      <c r="AD2422">
        <v>60.09</v>
      </c>
      <c r="AE2422" t="s">
        <v>4998</v>
      </c>
      <c r="AF2422" t="s">
        <v>722</v>
      </c>
      <c r="AG2422" t="s">
        <v>852</v>
      </c>
      <c r="AH2422" t="s">
        <v>6544</v>
      </c>
      <c r="AI2422">
        <v>4.79</v>
      </c>
      <c r="AJ2422">
        <v>8.32</v>
      </c>
      <c r="AK2422">
        <v>14.08</v>
      </c>
      <c r="AL2422">
        <v>18.84</v>
      </c>
    </row>
    <row r="2423" spans="1:38" x14ac:dyDescent="0.25">
      <c r="A2423">
        <v>2422</v>
      </c>
      <c r="B2423" t="str">
        <f xml:space="preserve"> "000731"</f>
        <v>000731</v>
      </c>
      <c r="C2423" t="s">
        <v>7560</v>
      </c>
      <c r="D2423">
        <v>8.36</v>
      </c>
      <c r="E2423">
        <v>0.24</v>
      </c>
      <c r="F2423">
        <v>0.02</v>
      </c>
      <c r="G2423" t="s">
        <v>4980</v>
      </c>
      <c r="H2423">
        <v>889</v>
      </c>
      <c r="I2423">
        <v>8.35</v>
      </c>
      <c r="J2423">
        <v>8.36</v>
      </c>
      <c r="K2423">
        <v>0.12</v>
      </c>
      <c r="L2423">
        <v>0.89</v>
      </c>
      <c r="M2423" t="s">
        <v>7561</v>
      </c>
      <c r="N2423">
        <v>28.98</v>
      </c>
      <c r="O2423" t="s">
        <v>1936</v>
      </c>
      <c r="P2423">
        <v>8.4</v>
      </c>
      <c r="Q2423">
        <v>8.2799999999999994</v>
      </c>
      <c r="R2423">
        <v>8.34</v>
      </c>
      <c r="S2423">
        <v>8.34</v>
      </c>
      <c r="T2423">
        <v>1.44</v>
      </c>
      <c r="U2423">
        <v>0.69</v>
      </c>
      <c r="V2423">
        <v>-44.68</v>
      </c>
      <c r="W2423">
        <v>-1770</v>
      </c>
      <c r="X2423">
        <v>8.34</v>
      </c>
      <c r="Y2423" t="s">
        <v>3814</v>
      </c>
      <c r="Z2423" t="s">
        <v>3825</v>
      </c>
      <c r="AA2423">
        <v>1.36</v>
      </c>
      <c r="AB2423">
        <v>253</v>
      </c>
      <c r="AC2423">
        <v>69</v>
      </c>
      <c r="AD2423">
        <v>1.94</v>
      </c>
      <c r="AE2423" t="s">
        <v>4491</v>
      </c>
      <c r="AF2423" t="s">
        <v>1263</v>
      </c>
      <c r="AG2423" t="s">
        <v>4491</v>
      </c>
      <c r="AH2423" t="s">
        <v>1263</v>
      </c>
      <c r="AI2423">
        <v>-2.2200000000000002</v>
      </c>
      <c r="AJ2423">
        <v>0.97</v>
      </c>
      <c r="AK2423">
        <v>3.52</v>
      </c>
      <c r="AL2423">
        <v>7.4</v>
      </c>
    </row>
    <row r="2424" spans="1:38" x14ac:dyDescent="0.25">
      <c r="A2424">
        <v>2423</v>
      </c>
      <c r="B2424" t="str">
        <f xml:space="preserve"> "300565"</f>
        <v>300565</v>
      </c>
      <c r="C2424" t="s">
        <v>7562</v>
      </c>
      <c r="D2424">
        <v>30.9</v>
      </c>
      <c r="E2424">
        <v>5.21</v>
      </c>
      <c r="F2424">
        <v>1.53</v>
      </c>
      <c r="G2424" t="s">
        <v>1964</v>
      </c>
      <c r="H2424">
        <v>3942</v>
      </c>
      <c r="I2424">
        <v>30.9</v>
      </c>
      <c r="J2424">
        <v>30.91</v>
      </c>
      <c r="K2424">
        <v>0.32</v>
      </c>
      <c r="L2424">
        <v>42.28</v>
      </c>
      <c r="M2424" t="s">
        <v>1108</v>
      </c>
      <c r="N2424">
        <v>90.51</v>
      </c>
      <c r="O2424" t="s">
        <v>580</v>
      </c>
      <c r="P2424">
        <v>31.8</v>
      </c>
      <c r="Q2424">
        <v>29.88</v>
      </c>
      <c r="R2424">
        <v>30.8</v>
      </c>
      <c r="S2424">
        <v>29.37</v>
      </c>
      <c r="T2424">
        <v>6.54</v>
      </c>
      <c r="U2424">
        <v>2.02</v>
      </c>
      <c r="V2424">
        <v>94.35</v>
      </c>
      <c r="W2424">
        <v>1502</v>
      </c>
      <c r="X2424">
        <v>30.77</v>
      </c>
      <c r="Y2424" t="s">
        <v>6045</v>
      </c>
      <c r="Z2424" t="s">
        <v>3534</v>
      </c>
      <c r="AA2424">
        <v>0.84</v>
      </c>
      <c r="AB2424">
        <v>705</v>
      </c>
      <c r="AC2424">
        <v>5</v>
      </c>
      <c r="AD2424">
        <v>6.92</v>
      </c>
      <c r="AE2424" t="s">
        <v>4326</v>
      </c>
      <c r="AF2424" t="s">
        <v>1263</v>
      </c>
      <c r="AG2424" t="s">
        <v>6081</v>
      </c>
      <c r="AH2424" t="s">
        <v>361</v>
      </c>
      <c r="AI2424">
        <v>7.48</v>
      </c>
      <c r="AJ2424">
        <v>7.52</v>
      </c>
      <c r="AK2424">
        <v>75.849999999999994</v>
      </c>
      <c r="AL2424">
        <v>147.13</v>
      </c>
    </row>
    <row r="2425" spans="1:38" x14ac:dyDescent="0.25">
      <c r="A2425">
        <v>2424</v>
      </c>
      <c r="B2425" t="str">
        <f xml:space="preserve"> "300035"</f>
        <v>300035</v>
      </c>
      <c r="C2425" t="s">
        <v>7563</v>
      </c>
      <c r="D2425">
        <v>9.5399999999999991</v>
      </c>
      <c r="E2425">
        <v>1.6</v>
      </c>
      <c r="F2425">
        <v>0.15</v>
      </c>
      <c r="G2425" t="s">
        <v>3342</v>
      </c>
      <c r="H2425">
        <v>2143</v>
      </c>
      <c r="I2425">
        <v>9.5299999999999994</v>
      </c>
      <c r="J2425">
        <v>9.5399999999999991</v>
      </c>
      <c r="K2425">
        <v>-0.1</v>
      </c>
      <c r="L2425">
        <v>4.04</v>
      </c>
      <c r="M2425" t="s">
        <v>2327</v>
      </c>
      <c r="N2425">
        <v>86.42</v>
      </c>
      <c r="O2425" t="s">
        <v>648</v>
      </c>
      <c r="P2425">
        <v>9.61</v>
      </c>
      <c r="Q2425">
        <v>9.32</v>
      </c>
      <c r="R2425">
        <v>9.3699999999999992</v>
      </c>
      <c r="S2425">
        <v>9.39</v>
      </c>
      <c r="T2425">
        <v>3.09</v>
      </c>
      <c r="U2425">
        <v>0.64</v>
      </c>
      <c r="V2425">
        <v>-19.649999999999999</v>
      </c>
      <c r="W2425">
        <v>-1253</v>
      </c>
      <c r="X2425">
        <v>9.51</v>
      </c>
      <c r="Y2425" t="s">
        <v>2431</v>
      </c>
      <c r="Z2425" t="s">
        <v>4554</v>
      </c>
      <c r="AA2425">
        <v>0.96</v>
      </c>
      <c r="AB2425">
        <v>851</v>
      </c>
      <c r="AC2425">
        <v>52</v>
      </c>
      <c r="AD2425">
        <v>4.47</v>
      </c>
      <c r="AE2425" t="s">
        <v>3641</v>
      </c>
      <c r="AF2425" t="s">
        <v>1263</v>
      </c>
      <c r="AG2425" t="s">
        <v>3022</v>
      </c>
      <c r="AH2425" t="s">
        <v>861</v>
      </c>
      <c r="AI2425">
        <v>-4.3099999999999996</v>
      </c>
      <c r="AJ2425">
        <v>-2.95</v>
      </c>
      <c r="AK2425">
        <v>17.27</v>
      </c>
      <c r="AL2425">
        <v>35.369999999999997</v>
      </c>
    </row>
    <row r="2426" spans="1:38" x14ac:dyDescent="0.25">
      <c r="A2426">
        <v>2425</v>
      </c>
      <c r="B2426" t="str">
        <f xml:space="preserve"> "002578"</f>
        <v>002578</v>
      </c>
      <c r="C2426" t="s">
        <v>7564</v>
      </c>
      <c r="D2426">
        <v>5</v>
      </c>
      <c r="E2426">
        <v>0.81</v>
      </c>
      <c r="F2426">
        <v>0.04</v>
      </c>
      <c r="G2426" t="s">
        <v>753</v>
      </c>
      <c r="H2426">
        <v>2520</v>
      </c>
      <c r="I2426">
        <v>4.99</v>
      </c>
      <c r="J2426">
        <v>5</v>
      </c>
      <c r="K2426">
        <v>0</v>
      </c>
      <c r="L2426">
        <v>0.78</v>
      </c>
      <c r="M2426" t="s">
        <v>7565</v>
      </c>
      <c r="N2426">
        <v>191.03</v>
      </c>
      <c r="O2426" t="s">
        <v>449</v>
      </c>
      <c r="P2426">
        <v>5</v>
      </c>
      <c r="Q2426">
        <v>4.95</v>
      </c>
      <c r="R2426">
        <v>4.95</v>
      </c>
      <c r="S2426">
        <v>4.96</v>
      </c>
      <c r="T2426">
        <v>1.01</v>
      </c>
      <c r="U2426">
        <v>0.52</v>
      </c>
      <c r="V2426">
        <v>1.82</v>
      </c>
      <c r="W2426">
        <v>406</v>
      </c>
      <c r="X2426">
        <v>4.9800000000000004</v>
      </c>
      <c r="Y2426" t="s">
        <v>4788</v>
      </c>
      <c r="Z2426" t="s">
        <v>432</v>
      </c>
      <c r="AA2426">
        <v>0.96</v>
      </c>
      <c r="AB2426">
        <v>3687</v>
      </c>
      <c r="AC2426">
        <v>3627</v>
      </c>
      <c r="AD2426">
        <v>3.38</v>
      </c>
      <c r="AE2426" t="s">
        <v>3508</v>
      </c>
      <c r="AF2426" t="s">
        <v>1263</v>
      </c>
      <c r="AG2426" t="s">
        <v>6576</v>
      </c>
      <c r="AH2426" t="s">
        <v>355</v>
      </c>
      <c r="AI2426">
        <v>-0.2</v>
      </c>
      <c r="AJ2426">
        <v>1.83</v>
      </c>
      <c r="AK2426">
        <v>3.76</v>
      </c>
      <c r="AL2426">
        <v>8.2799999999999994</v>
      </c>
    </row>
    <row r="2427" spans="1:38" x14ac:dyDescent="0.25">
      <c r="A2427">
        <v>2426</v>
      </c>
      <c r="B2427" t="str">
        <f xml:space="preserve"> "002115"</f>
        <v>002115</v>
      </c>
      <c r="C2427" t="s">
        <v>7566</v>
      </c>
      <c r="D2427">
        <v>11.87</v>
      </c>
      <c r="E2427">
        <v>-3.89</v>
      </c>
      <c r="F2427">
        <v>-0.48</v>
      </c>
      <c r="G2427" t="s">
        <v>7567</v>
      </c>
      <c r="H2427">
        <v>3813</v>
      </c>
      <c r="I2427">
        <v>11.87</v>
      </c>
      <c r="J2427">
        <v>11.88</v>
      </c>
      <c r="K2427">
        <v>-0.08</v>
      </c>
      <c r="L2427">
        <v>9.9</v>
      </c>
      <c r="M2427" t="s">
        <v>2164</v>
      </c>
      <c r="N2427">
        <v>145.24</v>
      </c>
      <c r="O2427" t="s">
        <v>580</v>
      </c>
      <c r="P2427">
        <v>12.19</v>
      </c>
      <c r="Q2427">
        <v>11.74</v>
      </c>
      <c r="R2427">
        <v>12.09</v>
      </c>
      <c r="S2427">
        <v>12.35</v>
      </c>
      <c r="T2427">
        <v>3.64</v>
      </c>
      <c r="U2427">
        <v>0.81</v>
      </c>
      <c r="V2427">
        <v>6.32</v>
      </c>
      <c r="W2427">
        <v>404</v>
      </c>
      <c r="X2427">
        <v>11.9</v>
      </c>
      <c r="Y2427" t="s">
        <v>3739</v>
      </c>
      <c r="Z2427" t="s">
        <v>1771</v>
      </c>
      <c r="AA2427">
        <v>1.52</v>
      </c>
      <c r="AB2427">
        <v>1136</v>
      </c>
      <c r="AC2427">
        <v>1109</v>
      </c>
      <c r="AD2427">
        <v>5.43</v>
      </c>
      <c r="AE2427" t="s">
        <v>4149</v>
      </c>
      <c r="AF2427" t="s">
        <v>1263</v>
      </c>
      <c r="AG2427" t="s">
        <v>2198</v>
      </c>
      <c r="AH2427" t="s">
        <v>1265</v>
      </c>
      <c r="AI2427">
        <v>-0.67</v>
      </c>
      <c r="AJ2427">
        <v>14.58</v>
      </c>
      <c r="AK2427">
        <v>37.22</v>
      </c>
      <c r="AL2427">
        <v>70.819999999999993</v>
      </c>
    </row>
    <row r="2428" spans="1:38" x14ac:dyDescent="0.25">
      <c r="A2428">
        <v>2427</v>
      </c>
      <c r="B2428" t="str">
        <f xml:space="preserve"> "300016"</f>
        <v>300016</v>
      </c>
      <c r="C2428" t="s">
        <v>7568</v>
      </c>
      <c r="D2428">
        <v>15.15</v>
      </c>
      <c r="E2428">
        <v>0.93</v>
      </c>
      <c r="F2428">
        <v>0.14000000000000001</v>
      </c>
      <c r="G2428" t="s">
        <v>1908</v>
      </c>
      <c r="H2428">
        <v>661</v>
      </c>
      <c r="I2428">
        <v>15.13</v>
      </c>
      <c r="J2428">
        <v>15.15</v>
      </c>
      <c r="K2428">
        <v>7.0000000000000007E-2</v>
      </c>
      <c r="L2428">
        <v>1.26</v>
      </c>
      <c r="M2428" t="s">
        <v>7569</v>
      </c>
      <c r="N2428">
        <v>34.32</v>
      </c>
      <c r="O2428" t="s">
        <v>392</v>
      </c>
      <c r="P2428">
        <v>15.19</v>
      </c>
      <c r="Q2428">
        <v>14.92</v>
      </c>
      <c r="R2428">
        <v>15.02</v>
      </c>
      <c r="S2428">
        <v>15.01</v>
      </c>
      <c r="T2428">
        <v>1.8</v>
      </c>
      <c r="U2428">
        <v>0.59</v>
      </c>
      <c r="V2428">
        <v>-43.67</v>
      </c>
      <c r="W2428">
        <v>-1127</v>
      </c>
      <c r="X2428">
        <v>15.12</v>
      </c>
      <c r="Y2428" t="s">
        <v>1114</v>
      </c>
      <c r="Z2428" t="s">
        <v>2580</v>
      </c>
      <c r="AA2428">
        <v>0.85</v>
      </c>
      <c r="AB2428">
        <v>274</v>
      </c>
      <c r="AC2428">
        <v>204</v>
      </c>
      <c r="AD2428">
        <v>5.15</v>
      </c>
      <c r="AE2428" t="s">
        <v>3905</v>
      </c>
      <c r="AF2428" t="s">
        <v>1263</v>
      </c>
      <c r="AG2428" t="s">
        <v>3561</v>
      </c>
      <c r="AH2428" t="s">
        <v>5838</v>
      </c>
      <c r="AI2428">
        <v>-1.1100000000000001</v>
      </c>
      <c r="AJ2428">
        <v>4.84</v>
      </c>
      <c r="AK2428">
        <v>6.6</v>
      </c>
      <c r="AL2428">
        <v>11.91</v>
      </c>
    </row>
    <row r="2429" spans="1:38" x14ac:dyDescent="0.25">
      <c r="A2429">
        <v>2428</v>
      </c>
      <c r="B2429" t="str">
        <f xml:space="preserve"> "300687"</f>
        <v>300687</v>
      </c>
      <c r="C2429" t="s">
        <v>7570</v>
      </c>
      <c r="D2429">
        <v>61.7</v>
      </c>
      <c r="E2429">
        <v>1.21</v>
      </c>
      <c r="F2429">
        <v>0.74</v>
      </c>
      <c r="G2429" t="s">
        <v>113</v>
      </c>
      <c r="H2429">
        <v>590</v>
      </c>
      <c r="I2429">
        <v>61.65</v>
      </c>
      <c r="J2429">
        <v>61.7</v>
      </c>
      <c r="K2429">
        <v>0.06</v>
      </c>
      <c r="L2429">
        <v>10.76</v>
      </c>
      <c r="M2429" t="s">
        <v>2646</v>
      </c>
      <c r="N2429">
        <v>65.66</v>
      </c>
      <c r="O2429" t="s">
        <v>893</v>
      </c>
      <c r="P2429">
        <v>62.28</v>
      </c>
      <c r="Q2429">
        <v>60.31</v>
      </c>
      <c r="R2429">
        <v>60.76</v>
      </c>
      <c r="S2429">
        <v>60.96</v>
      </c>
      <c r="T2429">
        <v>3.23</v>
      </c>
      <c r="U2429">
        <v>0.66</v>
      </c>
      <c r="V2429">
        <v>-50</v>
      </c>
      <c r="W2429">
        <v>-78</v>
      </c>
      <c r="X2429">
        <v>61.33</v>
      </c>
      <c r="Y2429" t="s">
        <v>2522</v>
      </c>
      <c r="Z2429" t="s">
        <v>2002</v>
      </c>
      <c r="AA2429">
        <v>0.92</v>
      </c>
      <c r="AB2429">
        <v>7</v>
      </c>
      <c r="AC2429">
        <v>7</v>
      </c>
      <c r="AD2429">
        <v>7.03</v>
      </c>
      <c r="AE2429" t="s">
        <v>5802</v>
      </c>
      <c r="AF2429" t="s">
        <v>1263</v>
      </c>
      <c r="AG2429" t="s">
        <v>5562</v>
      </c>
      <c r="AH2429" t="s">
        <v>2659</v>
      </c>
      <c r="AI2429">
        <v>-2.5299999999999998</v>
      </c>
      <c r="AJ2429">
        <v>1.68</v>
      </c>
      <c r="AK2429">
        <v>40.29</v>
      </c>
      <c r="AL2429">
        <v>91.77</v>
      </c>
    </row>
    <row r="2430" spans="1:38" x14ac:dyDescent="0.25">
      <c r="A2430">
        <v>2429</v>
      </c>
      <c r="B2430" t="str">
        <f xml:space="preserve"> "300560"</f>
        <v>300560</v>
      </c>
      <c r="C2430" t="s">
        <v>7571</v>
      </c>
      <c r="D2430">
        <v>46.91</v>
      </c>
      <c r="E2430">
        <v>-2.64</v>
      </c>
      <c r="F2430">
        <v>-1.27</v>
      </c>
      <c r="G2430" t="s">
        <v>1321</v>
      </c>
      <c r="H2430">
        <v>535</v>
      </c>
      <c r="I2430">
        <v>46.9</v>
      </c>
      <c r="J2430">
        <v>46.91</v>
      </c>
      <c r="K2430">
        <v>-0.02</v>
      </c>
      <c r="L2430">
        <v>11.69</v>
      </c>
      <c r="M2430" t="s">
        <v>3154</v>
      </c>
      <c r="N2430">
        <v>97.32</v>
      </c>
      <c r="O2430" t="s">
        <v>580</v>
      </c>
      <c r="P2430">
        <v>47.89</v>
      </c>
      <c r="Q2430">
        <v>46.5</v>
      </c>
      <c r="R2430">
        <v>47.84</v>
      </c>
      <c r="S2430">
        <v>48.18</v>
      </c>
      <c r="T2430">
        <v>2.89</v>
      </c>
      <c r="U2430">
        <v>1.18</v>
      </c>
      <c r="V2430">
        <v>-41</v>
      </c>
      <c r="W2430">
        <v>-366</v>
      </c>
      <c r="X2430">
        <v>47.08</v>
      </c>
      <c r="Y2430" t="s">
        <v>3238</v>
      </c>
      <c r="Z2430" t="s">
        <v>1095</v>
      </c>
      <c r="AA2430">
        <v>1.45</v>
      </c>
      <c r="AB2430">
        <v>151</v>
      </c>
      <c r="AC2430">
        <v>169</v>
      </c>
      <c r="AD2430">
        <v>10.68</v>
      </c>
      <c r="AE2430" t="s">
        <v>1907</v>
      </c>
      <c r="AF2430" t="s">
        <v>2046</v>
      </c>
      <c r="AG2430" t="s">
        <v>7260</v>
      </c>
      <c r="AH2430" t="s">
        <v>2659</v>
      </c>
      <c r="AI2430">
        <v>5.18</v>
      </c>
      <c r="AJ2430">
        <v>-6.92</v>
      </c>
      <c r="AK2430">
        <v>30.41</v>
      </c>
      <c r="AL2430">
        <v>61.17</v>
      </c>
    </row>
    <row r="2431" spans="1:38" x14ac:dyDescent="0.25">
      <c r="A2431">
        <v>2430</v>
      </c>
      <c r="B2431" t="str">
        <f xml:space="preserve"> "603878"</f>
        <v>603878</v>
      </c>
      <c r="C2431" t="s">
        <v>7572</v>
      </c>
      <c r="D2431">
        <v>24.42</v>
      </c>
      <c r="E2431">
        <v>0.91</v>
      </c>
      <c r="F2431">
        <v>0.22</v>
      </c>
      <c r="G2431" t="s">
        <v>3238</v>
      </c>
      <c r="H2431">
        <v>5</v>
      </c>
      <c r="I2431">
        <v>24.41</v>
      </c>
      <c r="J2431">
        <v>24.42</v>
      </c>
      <c r="K2431">
        <v>0.16</v>
      </c>
      <c r="L2431">
        <v>3.6</v>
      </c>
      <c r="M2431" t="s">
        <v>7573</v>
      </c>
      <c r="N2431">
        <v>41.45</v>
      </c>
      <c r="O2431" t="s">
        <v>416</v>
      </c>
      <c r="P2431">
        <v>24.44</v>
      </c>
      <c r="Q2431">
        <v>24.15</v>
      </c>
      <c r="R2431">
        <v>24.15</v>
      </c>
      <c r="S2431">
        <v>24.2</v>
      </c>
      <c r="T2431">
        <v>1.2</v>
      </c>
      <c r="U2431">
        <v>0.68</v>
      </c>
      <c r="V2431">
        <v>-21.08</v>
      </c>
      <c r="W2431">
        <v>-283</v>
      </c>
      <c r="X2431">
        <v>24.34</v>
      </c>
      <c r="Y2431">
        <v>8270</v>
      </c>
      <c r="Z2431">
        <v>9888</v>
      </c>
      <c r="AA2431">
        <v>0.84</v>
      </c>
      <c r="AB2431">
        <v>9</v>
      </c>
      <c r="AC2431">
        <v>17</v>
      </c>
      <c r="AD2431">
        <v>2.52</v>
      </c>
      <c r="AE2431" t="s">
        <v>1404</v>
      </c>
      <c r="AF2431" t="s">
        <v>2046</v>
      </c>
      <c r="AG2431" t="s">
        <v>7574</v>
      </c>
      <c r="AH2431" t="s">
        <v>2659</v>
      </c>
      <c r="AI2431">
        <v>-0.97</v>
      </c>
      <c r="AJ2431">
        <v>-1.85</v>
      </c>
      <c r="AK2431">
        <v>13.09</v>
      </c>
      <c r="AL2431">
        <v>30</v>
      </c>
    </row>
    <row r="2432" spans="1:38" x14ac:dyDescent="0.25">
      <c r="A2432">
        <v>2431</v>
      </c>
      <c r="B2432" t="str">
        <f xml:space="preserve"> "300153"</f>
        <v>300153</v>
      </c>
      <c r="C2432" t="s">
        <v>7575</v>
      </c>
      <c r="D2432">
        <v>15.39</v>
      </c>
      <c r="E2432">
        <v>1.85</v>
      </c>
      <c r="F2432">
        <v>0.28000000000000003</v>
      </c>
      <c r="G2432" t="s">
        <v>7576</v>
      </c>
      <c r="H2432">
        <v>1367</v>
      </c>
      <c r="I2432">
        <v>15.38</v>
      </c>
      <c r="J2432">
        <v>15.39</v>
      </c>
      <c r="K2432">
        <v>0</v>
      </c>
      <c r="L2432">
        <v>1.92</v>
      </c>
      <c r="M2432" t="s">
        <v>7577</v>
      </c>
      <c r="N2432">
        <v>152.47</v>
      </c>
      <c r="O2432" t="s">
        <v>680</v>
      </c>
      <c r="P2432">
        <v>15.6</v>
      </c>
      <c r="Q2432">
        <v>15.18</v>
      </c>
      <c r="R2432">
        <v>15.19</v>
      </c>
      <c r="S2432">
        <v>15.11</v>
      </c>
      <c r="T2432">
        <v>2.78</v>
      </c>
      <c r="U2432">
        <v>0.53</v>
      </c>
      <c r="V2432">
        <v>27.58</v>
      </c>
      <c r="W2432">
        <v>515</v>
      </c>
      <c r="X2432">
        <v>15.38</v>
      </c>
      <c r="Y2432" t="s">
        <v>2193</v>
      </c>
      <c r="Z2432" t="s">
        <v>4431</v>
      </c>
      <c r="AA2432">
        <v>0.9</v>
      </c>
      <c r="AB2432">
        <v>301</v>
      </c>
      <c r="AC2432">
        <v>41</v>
      </c>
      <c r="AD2432">
        <v>5.15</v>
      </c>
      <c r="AE2432" t="s">
        <v>2738</v>
      </c>
      <c r="AF2432" t="s">
        <v>6603</v>
      </c>
      <c r="AG2432" t="s">
        <v>2738</v>
      </c>
      <c r="AH2432" t="s">
        <v>6603</v>
      </c>
      <c r="AI2432">
        <v>-4.76</v>
      </c>
      <c r="AJ2432">
        <v>-0.45</v>
      </c>
      <c r="AK2432">
        <v>8.18</v>
      </c>
      <c r="AL2432">
        <v>19.989999999999998</v>
      </c>
    </row>
    <row r="2433" spans="1:38" x14ac:dyDescent="0.25">
      <c r="A2433">
        <v>2432</v>
      </c>
      <c r="B2433" t="str">
        <f xml:space="preserve"> "300688"</f>
        <v>300688</v>
      </c>
      <c r="C2433" t="s">
        <v>7578</v>
      </c>
      <c r="D2433">
        <v>72.400000000000006</v>
      </c>
      <c r="E2433">
        <v>4.08</v>
      </c>
      <c r="F2433">
        <v>2.84</v>
      </c>
      <c r="G2433" t="s">
        <v>430</v>
      </c>
      <c r="H2433">
        <v>509</v>
      </c>
      <c r="I2433">
        <v>72.400000000000006</v>
      </c>
      <c r="J2433">
        <v>72.41</v>
      </c>
      <c r="K2433">
        <v>0.03</v>
      </c>
      <c r="L2433">
        <v>21.65</v>
      </c>
      <c r="M2433" t="s">
        <v>3888</v>
      </c>
      <c r="N2433">
        <v>161.22999999999999</v>
      </c>
      <c r="O2433" t="s">
        <v>1126</v>
      </c>
      <c r="P2433">
        <v>73.45</v>
      </c>
      <c r="Q2433">
        <v>68.67</v>
      </c>
      <c r="R2433">
        <v>69.010000000000005</v>
      </c>
      <c r="S2433">
        <v>69.56</v>
      </c>
      <c r="T2433">
        <v>6.87</v>
      </c>
      <c r="U2433">
        <v>0.86</v>
      </c>
      <c r="V2433">
        <v>56.42</v>
      </c>
      <c r="W2433">
        <v>523</v>
      </c>
      <c r="X2433">
        <v>71.400000000000006</v>
      </c>
      <c r="Y2433" t="s">
        <v>2558</v>
      </c>
      <c r="Z2433" t="s">
        <v>1724</v>
      </c>
      <c r="AA2433">
        <v>0.76</v>
      </c>
      <c r="AB2433">
        <v>380</v>
      </c>
      <c r="AC2433">
        <v>10</v>
      </c>
      <c r="AD2433">
        <v>14.34</v>
      </c>
      <c r="AE2433" t="s">
        <v>7579</v>
      </c>
      <c r="AF2433" t="s">
        <v>6603</v>
      </c>
      <c r="AG2433" t="s">
        <v>6757</v>
      </c>
      <c r="AH2433" t="s">
        <v>2659</v>
      </c>
      <c r="AI2433">
        <v>-2.71</v>
      </c>
      <c r="AJ2433">
        <v>1.5</v>
      </c>
      <c r="AK2433">
        <v>64.069999999999993</v>
      </c>
      <c r="AL2433">
        <v>146.99</v>
      </c>
    </row>
    <row r="2434" spans="1:38" x14ac:dyDescent="0.25">
      <c r="A2434">
        <v>2433</v>
      </c>
      <c r="B2434" t="str">
        <f xml:space="preserve"> "300609"</f>
        <v>300609</v>
      </c>
      <c r="C2434" t="s">
        <v>7580</v>
      </c>
      <c r="D2434">
        <v>49.18</v>
      </c>
      <c r="E2434">
        <v>0.78</v>
      </c>
      <c r="F2434">
        <v>0.38</v>
      </c>
      <c r="G2434" t="s">
        <v>3603</v>
      </c>
      <c r="H2434">
        <v>603</v>
      </c>
      <c r="I2434">
        <v>49.17</v>
      </c>
      <c r="J2434">
        <v>49.18</v>
      </c>
      <c r="K2434">
        <v>0.02</v>
      </c>
      <c r="L2434">
        <v>6.99</v>
      </c>
      <c r="M2434" t="s">
        <v>7581</v>
      </c>
      <c r="N2434">
        <v>224.76</v>
      </c>
      <c r="O2434" t="s">
        <v>553</v>
      </c>
      <c r="P2434">
        <v>49.5</v>
      </c>
      <c r="Q2434">
        <v>48.15</v>
      </c>
      <c r="R2434">
        <v>48.46</v>
      </c>
      <c r="S2434">
        <v>48.8</v>
      </c>
      <c r="T2434">
        <v>2.77</v>
      </c>
      <c r="U2434">
        <v>0.76</v>
      </c>
      <c r="V2434">
        <v>-0.47</v>
      </c>
      <c r="W2434">
        <v>-2</v>
      </c>
      <c r="X2434">
        <v>48.97</v>
      </c>
      <c r="Y2434">
        <v>8999</v>
      </c>
      <c r="Z2434">
        <v>8463</v>
      </c>
      <c r="AA2434">
        <v>1.06</v>
      </c>
      <c r="AB2434">
        <v>194</v>
      </c>
      <c r="AC2434">
        <v>32</v>
      </c>
      <c r="AD2434">
        <v>11.66</v>
      </c>
      <c r="AE2434" t="s">
        <v>4464</v>
      </c>
      <c r="AF2434" t="s">
        <v>6603</v>
      </c>
      <c r="AG2434" t="s">
        <v>5931</v>
      </c>
      <c r="AH2434" t="s">
        <v>2659</v>
      </c>
      <c r="AI2434">
        <v>-2.0299999999999998</v>
      </c>
      <c r="AJ2434">
        <v>2.46</v>
      </c>
      <c r="AK2434">
        <v>24.23</v>
      </c>
      <c r="AL2434">
        <v>52.68</v>
      </c>
    </row>
    <row r="2435" spans="1:38" x14ac:dyDescent="0.25">
      <c r="A2435">
        <v>2434</v>
      </c>
      <c r="B2435" t="str">
        <f xml:space="preserve"> "603757"</f>
        <v>603757</v>
      </c>
      <c r="C2435" t="s">
        <v>7582</v>
      </c>
      <c r="D2435">
        <v>58.66</v>
      </c>
      <c r="E2435">
        <v>3.17</v>
      </c>
      <c r="F2435">
        <v>1.8</v>
      </c>
      <c r="G2435" t="s">
        <v>1683</v>
      </c>
      <c r="H2435">
        <v>5</v>
      </c>
      <c r="I2435">
        <v>58.64</v>
      </c>
      <c r="J2435">
        <v>58.65</v>
      </c>
      <c r="K2435">
        <v>0.03</v>
      </c>
      <c r="L2435">
        <v>7.61</v>
      </c>
      <c r="M2435" t="s">
        <v>1188</v>
      </c>
      <c r="N2435">
        <v>34.340000000000003</v>
      </c>
      <c r="O2435" t="s">
        <v>648</v>
      </c>
      <c r="P2435">
        <v>59</v>
      </c>
      <c r="Q2435">
        <v>56.45</v>
      </c>
      <c r="R2435">
        <v>56.86</v>
      </c>
      <c r="S2435">
        <v>56.86</v>
      </c>
      <c r="T2435">
        <v>4.4800000000000004</v>
      </c>
      <c r="U2435">
        <v>1.78</v>
      </c>
      <c r="V2435">
        <v>16.559999999999999</v>
      </c>
      <c r="W2435">
        <v>27</v>
      </c>
      <c r="X2435">
        <v>57.94</v>
      </c>
      <c r="Y2435">
        <v>7082</v>
      </c>
      <c r="Z2435">
        <v>8890</v>
      </c>
      <c r="AA2435">
        <v>0.8</v>
      </c>
      <c r="AB2435">
        <v>26</v>
      </c>
      <c r="AC2435">
        <v>6</v>
      </c>
      <c r="AD2435">
        <v>6.25</v>
      </c>
      <c r="AE2435" t="s">
        <v>7583</v>
      </c>
      <c r="AF2435" t="s">
        <v>6603</v>
      </c>
      <c r="AG2435" t="s">
        <v>7584</v>
      </c>
      <c r="AH2435" t="s">
        <v>2659</v>
      </c>
      <c r="AI2435">
        <v>2.44</v>
      </c>
      <c r="AJ2435">
        <v>2.64</v>
      </c>
      <c r="AK2435">
        <v>14.89</v>
      </c>
      <c r="AL2435">
        <v>28.96</v>
      </c>
    </row>
    <row r="2436" spans="1:38" x14ac:dyDescent="0.25">
      <c r="A2436">
        <v>2435</v>
      </c>
      <c r="B2436" t="str">
        <f xml:space="preserve"> "300420"</f>
        <v>300420</v>
      </c>
      <c r="C2436" t="s">
        <v>7585</v>
      </c>
      <c r="D2436">
        <v>10.119999999999999</v>
      </c>
      <c r="E2436">
        <v>-0.98</v>
      </c>
      <c r="F2436">
        <v>-0.1</v>
      </c>
      <c r="G2436" t="s">
        <v>2303</v>
      </c>
      <c r="H2436">
        <v>1505</v>
      </c>
      <c r="I2436">
        <v>10.119999999999999</v>
      </c>
      <c r="J2436">
        <v>10.130000000000001</v>
      </c>
      <c r="K2436">
        <v>-0.1</v>
      </c>
      <c r="L2436">
        <v>4.8600000000000003</v>
      </c>
      <c r="M2436" t="s">
        <v>7586</v>
      </c>
      <c r="N2436">
        <v>55.72</v>
      </c>
      <c r="O2436" t="s">
        <v>648</v>
      </c>
      <c r="P2436">
        <v>10.24</v>
      </c>
      <c r="Q2436">
        <v>9.9</v>
      </c>
      <c r="R2436">
        <v>10.14</v>
      </c>
      <c r="S2436">
        <v>10.220000000000001</v>
      </c>
      <c r="T2436">
        <v>3.33</v>
      </c>
      <c r="U2436">
        <v>0.89</v>
      </c>
      <c r="V2436">
        <v>-19.2</v>
      </c>
      <c r="W2436">
        <v>-396</v>
      </c>
      <c r="X2436">
        <v>10.029999999999999</v>
      </c>
      <c r="Y2436" t="s">
        <v>3552</v>
      </c>
      <c r="Z2436" t="s">
        <v>3077</v>
      </c>
      <c r="AA2436">
        <v>1.52</v>
      </c>
      <c r="AB2436">
        <v>163</v>
      </c>
      <c r="AC2436">
        <v>381</v>
      </c>
      <c r="AD2436">
        <v>4.22</v>
      </c>
      <c r="AE2436" t="s">
        <v>5652</v>
      </c>
      <c r="AF2436" t="s">
        <v>1122</v>
      </c>
      <c r="AG2436" t="s">
        <v>2267</v>
      </c>
      <c r="AH2436" t="s">
        <v>1200</v>
      </c>
      <c r="AI2436">
        <v>-3.53</v>
      </c>
      <c r="AJ2436">
        <v>1.5</v>
      </c>
      <c r="AK2436">
        <v>15.52</v>
      </c>
      <c r="AL2436">
        <v>32.21</v>
      </c>
    </row>
    <row r="2437" spans="1:38" x14ac:dyDescent="0.25">
      <c r="A2437">
        <v>2436</v>
      </c>
      <c r="B2437" t="str">
        <f xml:space="preserve"> "300571"</f>
        <v>300571</v>
      </c>
      <c r="C2437" t="s">
        <v>7587</v>
      </c>
      <c r="D2437">
        <v>61.38</v>
      </c>
      <c r="E2437">
        <v>-0.34</v>
      </c>
      <c r="F2437">
        <v>-0.21</v>
      </c>
      <c r="G2437" t="s">
        <v>1579</v>
      </c>
      <c r="H2437">
        <v>149</v>
      </c>
      <c r="I2437">
        <v>61.38</v>
      </c>
      <c r="J2437">
        <v>61.39</v>
      </c>
      <c r="K2437">
        <v>0.05</v>
      </c>
      <c r="L2437">
        <v>6.84</v>
      </c>
      <c r="M2437" t="s">
        <v>7588</v>
      </c>
      <c r="N2437">
        <v>48.79</v>
      </c>
      <c r="O2437" t="s">
        <v>553</v>
      </c>
      <c r="P2437">
        <v>62.44</v>
      </c>
      <c r="Q2437">
        <v>60.8</v>
      </c>
      <c r="R2437">
        <v>60.8</v>
      </c>
      <c r="S2437">
        <v>61.59</v>
      </c>
      <c r="T2437">
        <v>2.66</v>
      </c>
      <c r="U2437">
        <v>0.89</v>
      </c>
      <c r="V2437">
        <v>-38.85</v>
      </c>
      <c r="W2437">
        <v>-244</v>
      </c>
      <c r="X2437">
        <v>61.62</v>
      </c>
      <c r="Y2437">
        <v>7660</v>
      </c>
      <c r="Z2437">
        <v>6028</v>
      </c>
      <c r="AA2437">
        <v>1.27</v>
      </c>
      <c r="AB2437">
        <v>90</v>
      </c>
      <c r="AC2437">
        <v>288</v>
      </c>
      <c r="AD2437">
        <v>16.89</v>
      </c>
      <c r="AE2437" t="s">
        <v>5802</v>
      </c>
      <c r="AF2437" t="s">
        <v>1122</v>
      </c>
      <c r="AG2437" t="s">
        <v>5562</v>
      </c>
      <c r="AH2437" t="s">
        <v>2659</v>
      </c>
      <c r="AI2437">
        <v>-9.56</v>
      </c>
      <c r="AJ2437">
        <v>-9.58</v>
      </c>
      <c r="AK2437">
        <v>24.25</v>
      </c>
      <c r="AL2437">
        <v>45.08</v>
      </c>
    </row>
    <row r="2438" spans="1:38" x14ac:dyDescent="0.25">
      <c r="A2438">
        <v>2437</v>
      </c>
      <c r="B2438" t="str">
        <f xml:space="preserve"> "002443"</f>
        <v>002443</v>
      </c>
      <c r="C2438" t="s">
        <v>7589</v>
      </c>
      <c r="D2438">
        <v>9.43</v>
      </c>
      <c r="E2438">
        <v>2.5</v>
      </c>
      <c r="F2438">
        <v>0.23</v>
      </c>
      <c r="G2438" t="s">
        <v>965</v>
      </c>
      <c r="H2438">
        <v>1297</v>
      </c>
      <c r="I2438">
        <v>9.43</v>
      </c>
      <c r="J2438">
        <v>9.44</v>
      </c>
      <c r="K2438">
        <v>-0.11</v>
      </c>
      <c r="L2438">
        <v>3.52</v>
      </c>
      <c r="M2438" t="s">
        <v>5701</v>
      </c>
      <c r="N2438">
        <v>63.84</v>
      </c>
      <c r="O2438" t="s">
        <v>1229</v>
      </c>
      <c r="P2438">
        <v>9.5500000000000007</v>
      </c>
      <c r="Q2438">
        <v>9.2799999999999994</v>
      </c>
      <c r="R2438">
        <v>9.33</v>
      </c>
      <c r="S2438">
        <v>9.1999999999999993</v>
      </c>
      <c r="T2438">
        <v>2.93</v>
      </c>
      <c r="U2438">
        <v>1.81</v>
      </c>
      <c r="V2438">
        <v>-27.35</v>
      </c>
      <c r="W2438">
        <v>-2199</v>
      </c>
      <c r="X2438">
        <v>9.44</v>
      </c>
      <c r="Y2438" t="s">
        <v>1854</v>
      </c>
      <c r="Z2438" t="s">
        <v>371</v>
      </c>
      <c r="AA2438">
        <v>0.56000000000000005</v>
      </c>
      <c r="AB2438">
        <v>1062</v>
      </c>
      <c r="AC2438">
        <v>1524</v>
      </c>
      <c r="AD2438">
        <v>2.4500000000000002</v>
      </c>
      <c r="AE2438" t="s">
        <v>4869</v>
      </c>
      <c r="AF2438" t="s">
        <v>1122</v>
      </c>
      <c r="AG2438" t="s">
        <v>1613</v>
      </c>
      <c r="AH2438" t="s">
        <v>4904</v>
      </c>
      <c r="AI2438">
        <v>0.43</v>
      </c>
      <c r="AJ2438">
        <v>4.2</v>
      </c>
      <c r="AK2438">
        <v>6.31</v>
      </c>
      <c r="AL2438">
        <v>13.24</v>
      </c>
    </row>
    <row r="2439" spans="1:38" x14ac:dyDescent="0.25">
      <c r="A2439">
        <v>2438</v>
      </c>
      <c r="B2439" t="str">
        <f xml:space="preserve"> "603036"</f>
        <v>603036</v>
      </c>
      <c r="C2439" t="s">
        <v>7590</v>
      </c>
      <c r="D2439">
        <v>24.13</v>
      </c>
      <c r="E2439">
        <v>-0.66</v>
      </c>
      <c r="F2439">
        <v>-0.16</v>
      </c>
      <c r="G2439" t="s">
        <v>1356</v>
      </c>
      <c r="H2439">
        <v>40</v>
      </c>
      <c r="I2439">
        <v>24.13</v>
      </c>
      <c r="J2439">
        <v>24.14</v>
      </c>
      <c r="K2439">
        <v>-0.04</v>
      </c>
      <c r="L2439">
        <v>10.31</v>
      </c>
      <c r="M2439" t="s">
        <v>315</v>
      </c>
      <c r="N2439">
        <v>167.18</v>
      </c>
      <c r="O2439" t="s">
        <v>2647</v>
      </c>
      <c r="P2439">
        <v>24.66</v>
      </c>
      <c r="Q2439">
        <v>23.78</v>
      </c>
      <c r="R2439">
        <v>24.05</v>
      </c>
      <c r="S2439">
        <v>24.29</v>
      </c>
      <c r="T2439">
        <v>3.62</v>
      </c>
      <c r="U2439">
        <v>1.28</v>
      </c>
      <c r="V2439">
        <v>-32.49</v>
      </c>
      <c r="W2439">
        <v>-129</v>
      </c>
      <c r="X2439">
        <v>24.17</v>
      </c>
      <c r="Y2439" t="s">
        <v>393</v>
      </c>
      <c r="Z2439" t="s">
        <v>2731</v>
      </c>
      <c r="AA2439">
        <v>1.21</v>
      </c>
      <c r="AB2439">
        <v>3</v>
      </c>
      <c r="AC2439">
        <v>3</v>
      </c>
      <c r="AD2439">
        <v>5.15</v>
      </c>
      <c r="AE2439" t="s">
        <v>1075</v>
      </c>
      <c r="AF2439" t="s">
        <v>1122</v>
      </c>
      <c r="AG2439" t="s">
        <v>7591</v>
      </c>
      <c r="AH2439" t="s">
        <v>2659</v>
      </c>
      <c r="AI2439">
        <v>4.6900000000000004</v>
      </c>
      <c r="AJ2439">
        <v>10.23</v>
      </c>
      <c r="AK2439">
        <v>37.479999999999997</v>
      </c>
      <c r="AL2439">
        <v>50.69</v>
      </c>
    </row>
    <row r="2440" spans="1:38" x14ac:dyDescent="0.25">
      <c r="A2440">
        <v>2439</v>
      </c>
      <c r="B2440" t="str">
        <f xml:space="preserve"> "603813"</f>
        <v>603813</v>
      </c>
      <c r="C2440" t="s">
        <v>7592</v>
      </c>
      <c r="D2440">
        <v>55.58</v>
      </c>
      <c r="E2440">
        <v>9.99</v>
      </c>
      <c r="F2440">
        <v>5.05</v>
      </c>
      <c r="G2440" t="s">
        <v>314</v>
      </c>
      <c r="H2440">
        <v>3</v>
      </c>
      <c r="I2440">
        <v>55.58</v>
      </c>
      <c r="J2440" t="s">
        <v>616</v>
      </c>
      <c r="K2440">
        <v>0</v>
      </c>
      <c r="L2440">
        <v>66.08</v>
      </c>
      <c r="M2440" t="s">
        <v>3599</v>
      </c>
      <c r="N2440">
        <v>100.98</v>
      </c>
      <c r="O2440" t="s">
        <v>274</v>
      </c>
      <c r="P2440">
        <v>55.58</v>
      </c>
      <c r="Q2440">
        <v>49</v>
      </c>
      <c r="R2440">
        <v>51</v>
      </c>
      <c r="S2440">
        <v>50.53</v>
      </c>
      <c r="T2440">
        <v>13.02</v>
      </c>
      <c r="U2440">
        <v>1.69</v>
      </c>
      <c r="V2440">
        <v>100</v>
      </c>
      <c r="W2440">
        <v>2813</v>
      </c>
      <c r="X2440">
        <v>52.88</v>
      </c>
      <c r="Y2440" t="s">
        <v>6634</v>
      </c>
      <c r="Z2440" t="s">
        <v>2745</v>
      </c>
      <c r="AA2440">
        <v>0.9</v>
      </c>
      <c r="AB2440">
        <v>2797</v>
      </c>
      <c r="AC2440">
        <v>0</v>
      </c>
      <c r="AD2440">
        <v>9.1199999999999992</v>
      </c>
      <c r="AE2440" t="s">
        <v>7593</v>
      </c>
      <c r="AF2440" t="s">
        <v>1122</v>
      </c>
      <c r="AG2440" t="s">
        <v>7594</v>
      </c>
      <c r="AH2440" t="s">
        <v>2659</v>
      </c>
      <c r="AI2440">
        <v>33.090000000000003</v>
      </c>
      <c r="AJ2440">
        <v>77.180000000000007</v>
      </c>
      <c r="AK2440">
        <v>187.59</v>
      </c>
      <c r="AL2440">
        <v>261.83</v>
      </c>
    </row>
    <row r="2441" spans="1:38" x14ac:dyDescent="0.25">
      <c r="A2441">
        <v>2440</v>
      </c>
      <c r="B2441" t="str">
        <f xml:space="preserve"> "603042"</f>
        <v>603042</v>
      </c>
      <c r="C2441" t="s">
        <v>7595</v>
      </c>
      <c r="D2441">
        <v>36.07</v>
      </c>
      <c r="E2441">
        <v>-1.45</v>
      </c>
      <c r="F2441">
        <v>-0.53</v>
      </c>
      <c r="G2441" t="s">
        <v>4032</v>
      </c>
      <c r="H2441">
        <v>1</v>
      </c>
      <c r="I2441">
        <v>36.07</v>
      </c>
      <c r="J2441">
        <v>36.08</v>
      </c>
      <c r="K2441">
        <v>0.19</v>
      </c>
      <c r="L2441">
        <v>14.13</v>
      </c>
      <c r="M2441" t="s">
        <v>1531</v>
      </c>
      <c r="N2441">
        <v>53.89</v>
      </c>
      <c r="O2441" t="s">
        <v>580</v>
      </c>
      <c r="P2441">
        <v>36.25</v>
      </c>
      <c r="Q2441">
        <v>35.33</v>
      </c>
      <c r="R2441">
        <v>36.22</v>
      </c>
      <c r="S2441">
        <v>36.6</v>
      </c>
      <c r="T2441">
        <v>2.5099999999999998</v>
      </c>
      <c r="U2441">
        <v>0.44</v>
      </c>
      <c r="V2441">
        <v>-9.2799999999999994</v>
      </c>
      <c r="W2441">
        <v>-81</v>
      </c>
      <c r="X2441">
        <v>35.869999999999997</v>
      </c>
      <c r="Y2441" t="s">
        <v>121</v>
      </c>
      <c r="Z2441" t="s">
        <v>1986</v>
      </c>
      <c r="AA2441">
        <v>1.38</v>
      </c>
      <c r="AB2441">
        <v>7</v>
      </c>
      <c r="AC2441">
        <v>4</v>
      </c>
      <c r="AD2441">
        <v>5.8</v>
      </c>
      <c r="AE2441" t="s">
        <v>1757</v>
      </c>
      <c r="AF2441" t="s">
        <v>1122</v>
      </c>
      <c r="AG2441" t="s">
        <v>6902</v>
      </c>
      <c r="AH2441" t="s">
        <v>2659</v>
      </c>
      <c r="AI2441">
        <v>-7.04</v>
      </c>
      <c r="AJ2441">
        <v>2.4700000000000002</v>
      </c>
      <c r="AK2441">
        <v>67.209999999999994</v>
      </c>
      <c r="AL2441">
        <v>176.52</v>
      </c>
    </row>
    <row r="2442" spans="1:38" x14ac:dyDescent="0.25">
      <c r="A2442">
        <v>2441</v>
      </c>
      <c r="B2442" t="str">
        <f xml:space="preserve"> "300328"</f>
        <v>300328</v>
      </c>
      <c r="C2442" t="s">
        <v>7596</v>
      </c>
      <c r="D2442">
        <v>11.97</v>
      </c>
      <c r="E2442">
        <v>1.01</v>
      </c>
      <c r="F2442">
        <v>0.12</v>
      </c>
      <c r="G2442" t="s">
        <v>4200</v>
      </c>
      <c r="H2442">
        <v>1069</v>
      </c>
      <c r="I2442">
        <v>11.97</v>
      </c>
      <c r="J2442">
        <v>11.98</v>
      </c>
      <c r="K2442">
        <v>0.17</v>
      </c>
      <c r="L2442">
        <v>0.71</v>
      </c>
      <c r="M2442" t="s">
        <v>7597</v>
      </c>
      <c r="N2442">
        <v>116.5</v>
      </c>
      <c r="O2442" t="s">
        <v>1229</v>
      </c>
      <c r="P2442">
        <v>11.99</v>
      </c>
      <c r="Q2442">
        <v>11.77</v>
      </c>
      <c r="R2442">
        <v>11.87</v>
      </c>
      <c r="S2442">
        <v>11.85</v>
      </c>
      <c r="T2442">
        <v>1.86</v>
      </c>
      <c r="U2442">
        <v>0.51</v>
      </c>
      <c r="V2442">
        <v>-13.14</v>
      </c>
      <c r="W2442">
        <v>-610</v>
      </c>
      <c r="X2442">
        <v>11.9</v>
      </c>
      <c r="Y2442" t="s">
        <v>603</v>
      </c>
      <c r="Z2442" t="s">
        <v>1114</v>
      </c>
      <c r="AA2442">
        <v>0.96</v>
      </c>
      <c r="AB2442">
        <v>145</v>
      </c>
      <c r="AC2442">
        <v>760</v>
      </c>
      <c r="AD2442">
        <v>6.57</v>
      </c>
      <c r="AE2442" t="s">
        <v>3868</v>
      </c>
      <c r="AF2442" t="s">
        <v>1122</v>
      </c>
      <c r="AG2442" t="s">
        <v>3868</v>
      </c>
      <c r="AH2442" t="s">
        <v>1122</v>
      </c>
      <c r="AI2442">
        <v>0</v>
      </c>
      <c r="AJ2442">
        <v>3.19</v>
      </c>
      <c r="AK2442">
        <v>3.25</v>
      </c>
      <c r="AL2442">
        <v>7.56</v>
      </c>
    </row>
    <row r="2443" spans="1:38" x14ac:dyDescent="0.25">
      <c r="A2443">
        <v>2442</v>
      </c>
      <c r="B2443" t="str">
        <f xml:space="preserve"> "002039"</f>
        <v>002039</v>
      </c>
      <c r="C2443" t="s">
        <v>7598</v>
      </c>
      <c r="D2443">
        <v>16.04</v>
      </c>
      <c r="E2443">
        <v>0</v>
      </c>
      <c r="F2443">
        <v>0</v>
      </c>
      <c r="G2443" t="s">
        <v>3892</v>
      </c>
      <c r="H2443">
        <v>123</v>
      </c>
      <c r="I2443">
        <v>16.03</v>
      </c>
      <c r="J2443">
        <v>16.04</v>
      </c>
      <c r="K2443">
        <v>0.06</v>
      </c>
      <c r="L2443">
        <v>0.64</v>
      </c>
      <c r="M2443" t="s">
        <v>4461</v>
      </c>
      <c r="N2443">
        <v>51.97</v>
      </c>
      <c r="O2443" t="s">
        <v>186</v>
      </c>
      <c r="P2443">
        <v>16.12</v>
      </c>
      <c r="Q2443">
        <v>16</v>
      </c>
      <c r="R2443">
        <v>16.09</v>
      </c>
      <c r="S2443">
        <v>16.04</v>
      </c>
      <c r="T2443">
        <v>0.75</v>
      </c>
      <c r="U2443">
        <v>1.23</v>
      </c>
      <c r="V2443">
        <v>-32.54</v>
      </c>
      <c r="W2443">
        <v>-520</v>
      </c>
      <c r="X2443">
        <v>16.07</v>
      </c>
      <c r="Y2443">
        <v>8170</v>
      </c>
      <c r="Z2443" t="s">
        <v>1869</v>
      </c>
      <c r="AA2443">
        <v>0.72</v>
      </c>
      <c r="AB2443">
        <v>82</v>
      </c>
      <c r="AC2443">
        <v>30</v>
      </c>
      <c r="AD2443">
        <v>2.35</v>
      </c>
      <c r="AE2443" t="s">
        <v>4786</v>
      </c>
      <c r="AF2443" t="s">
        <v>526</v>
      </c>
      <c r="AG2443" t="s">
        <v>4786</v>
      </c>
      <c r="AH2443" t="s">
        <v>526</v>
      </c>
      <c r="AI2443">
        <v>0.19</v>
      </c>
      <c r="AJ2443">
        <v>2.95</v>
      </c>
      <c r="AK2443">
        <v>1.88</v>
      </c>
      <c r="AL2443">
        <v>3.25</v>
      </c>
    </row>
    <row r="2444" spans="1:38" x14ac:dyDescent="0.25">
      <c r="A2444">
        <v>2443</v>
      </c>
      <c r="B2444" t="str">
        <f xml:space="preserve"> "300534"</f>
        <v>300534</v>
      </c>
      <c r="C2444" t="s">
        <v>7599</v>
      </c>
      <c r="D2444">
        <v>16.13</v>
      </c>
      <c r="E2444">
        <v>10.029999999999999</v>
      </c>
      <c r="F2444">
        <v>1.47</v>
      </c>
      <c r="G2444" t="s">
        <v>371</v>
      </c>
      <c r="H2444">
        <v>418</v>
      </c>
      <c r="I2444">
        <v>16.13</v>
      </c>
      <c r="J2444" t="s">
        <v>616</v>
      </c>
      <c r="K2444">
        <v>0</v>
      </c>
      <c r="L2444">
        <v>5.99</v>
      </c>
      <c r="M2444" t="s">
        <v>7355</v>
      </c>
      <c r="N2444">
        <v>175.79</v>
      </c>
      <c r="O2444" t="s">
        <v>392</v>
      </c>
      <c r="P2444">
        <v>16.13</v>
      </c>
      <c r="Q2444">
        <v>14.42</v>
      </c>
      <c r="R2444">
        <v>14.49</v>
      </c>
      <c r="S2444">
        <v>14.66</v>
      </c>
      <c r="T2444">
        <v>11.66</v>
      </c>
      <c r="U2444">
        <v>1.25</v>
      </c>
      <c r="V2444">
        <v>100</v>
      </c>
      <c r="W2444" t="s">
        <v>4242</v>
      </c>
      <c r="X2444">
        <v>15.87</v>
      </c>
      <c r="Y2444" t="s">
        <v>1840</v>
      </c>
      <c r="Z2444" t="s">
        <v>3590</v>
      </c>
      <c r="AA2444">
        <v>5.86</v>
      </c>
      <c r="AB2444" t="s">
        <v>1308</v>
      </c>
      <c r="AC2444">
        <v>0</v>
      </c>
      <c r="AD2444">
        <v>6.9</v>
      </c>
      <c r="AE2444" t="s">
        <v>7152</v>
      </c>
      <c r="AF2444" t="s">
        <v>7478</v>
      </c>
      <c r="AG2444" t="s">
        <v>1371</v>
      </c>
      <c r="AH2444" t="s">
        <v>4063</v>
      </c>
      <c r="AI2444">
        <v>8.69</v>
      </c>
      <c r="AJ2444">
        <v>15.88</v>
      </c>
      <c r="AK2444">
        <v>19.16</v>
      </c>
      <c r="AL2444">
        <v>29.96</v>
      </c>
    </row>
    <row r="2445" spans="1:38" x14ac:dyDescent="0.25">
      <c r="A2445">
        <v>2444</v>
      </c>
      <c r="B2445" t="str">
        <f xml:space="preserve"> "603535"</f>
        <v>603535</v>
      </c>
      <c r="C2445" t="s">
        <v>7600</v>
      </c>
      <c r="D2445">
        <v>32.520000000000003</v>
      </c>
      <c r="E2445">
        <v>0.74</v>
      </c>
      <c r="F2445">
        <v>0.24</v>
      </c>
      <c r="G2445" t="s">
        <v>336</v>
      </c>
      <c r="H2445">
        <v>12</v>
      </c>
      <c r="I2445">
        <v>32.53</v>
      </c>
      <c r="J2445">
        <v>32.54</v>
      </c>
      <c r="K2445">
        <v>0.09</v>
      </c>
      <c r="L2445">
        <v>12.54</v>
      </c>
      <c r="M2445" t="s">
        <v>4271</v>
      </c>
      <c r="N2445">
        <v>49.59</v>
      </c>
      <c r="O2445" t="s">
        <v>274</v>
      </c>
      <c r="P2445">
        <v>32.799999999999997</v>
      </c>
      <c r="Q2445">
        <v>31.8</v>
      </c>
      <c r="R2445">
        <v>32.380000000000003</v>
      </c>
      <c r="S2445">
        <v>32.28</v>
      </c>
      <c r="T2445">
        <v>3.1</v>
      </c>
      <c r="U2445">
        <v>1.02</v>
      </c>
      <c r="V2445">
        <v>-23.86</v>
      </c>
      <c r="W2445">
        <v>-139</v>
      </c>
      <c r="X2445">
        <v>32.36</v>
      </c>
      <c r="Y2445" t="s">
        <v>86</v>
      </c>
      <c r="Z2445" t="s">
        <v>2202</v>
      </c>
      <c r="AA2445">
        <v>1</v>
      </c>
      <c r="AB2445">
        <v>5</v>
      </c>
      <c r="AC2445">
        <v>39</v>
      </c>
      <c r="AD2445">
        <v>3.74</v>
      </c>
      <c r="AE2445" t="s">
        <v>598</v>
      </c>
      <c r="AF2445" t="s">
        <v>7478</v>
      </c>
      <c r="AG2445" t="s">
        <v>6151</v>
      </c>
      <c r="AH2445" t="s">
        <v>1115</v>
      </c>
      <c r="AI2445">
        <v>7.4</v>
      </c>
      <c r="AJ2445">
        <v>11.71</v>
      </c>
      <c r="AK2445">
        <v>58.01</v>
      </c>
      <c r="AL2445">
        <v>73.87</v>
      </c>
    </row>
    <row r="2446" spans="1:38" x14ac:dyDescent="0.25">
      <c r="A2446">
        <v>2445</v>
      </c>
      <c r="B2446" t="str">
        <f xml:space="preserve"> "601086"</f>
        <v>601086</v>
      </c>
      <c r="C2446" t="s">
        <v>7601</v>
      </c>
      <c r="D2446">
        <v>7.34</v>
      </c>
      <c r="E2446">
        <v>10.039999999999999</v>
      </c>
      <c r="F2446">
        <v>0.67</v>
      </c>
      <c r="G2446">
        <v>1077</v>
      </c>
      <c r="H2446">
        <v>58</v>
      </c>
      <c r="I2446">
        <v>7.34</v>
      </c>
      <c r="J2446" t="s">
        <v>616</v>
      </c>
      <c r="K2446">
        <v>0</v>
      </c>
      <c r="L2446">
        <v>7.0000000000000007E-2</v>
      </c>
      <c r="M2446" t="s">
        <v>7602</v>
      </c>
      <c r="N2446">
        <v>32.909999999999997</v>
      </c>
      <c r="O2446" t="s">
        <v>532</v>
      </c>
      <c r="P2446">
        <v>7.34</v>
      </c>
      <c r="Q2446">
        <v>7.34</v>
      </c>
      <c r="R2446">
        <v>7.34</v>
      </c>
      <c r="S2446">
        <v>6.67</v>
      </c>
      <c r="T2446">
        <v>0</v>
      </c>
      <c r="U2446">
        <v>2.78</v>
      </c>
      <c r="V2446">
        <v>100</v>
      </c>
      <c r="W2446" t="s">
        <v>1583</v>
      </c>
      <c r="X2446">
        <v>7.34</v>
      </c>
      <c r="Y2446">
        <v>1077</v>
      </c>
      <c r="Z2446">
        <v>0</v>
      </c>
      <c r="AA2446">
        <v>1</v>
      </c>
      <c r="AB2446" t="s">
        <v>860</v>
      </c>
      <c r="AC2446">
        <v>0</v>
      </c>
      <c r="AD2446">
        <v>2.79</v>
      </c>
      <c r="AE2446" t="s">
        <v>5781</v>
      </c>
      <c r="AF2446" t="s">
        <v>7478</v>
      </c>
      <c r="AG2446" t="s">
        <v>4326</v>
      </c>
      <c r="AH2446" t="s">
        <v>1132</v>
      </c>
      <c r="AI2446">
        <v>33.21</v>
      </c>
      <c r="AJ2446">
        <v>93.67</v>
      </c>
      <c r="AK2446">
        <v>0.12</v>
      </c>
      <c r="AL2446">
        <v>0.19</v>
      </c>
    </row>
    <row r="2447" spans="1:38" x14ac:dyDescent="0.25">
      <c r="A2447">
        <v>2446</v>
      </c>
      <c r="B2447" t="str">
        <f xml:space="preserve"> "603129"</f>
        <v>603129</v>
      </c>
      <c r="C2447" t="s">
        <v>7603</v>
      </c>
      <c r="D2447">
        <v>36.659999999999997</v>
      </c>
      <c r="E2447">
        <v>1.3</v>
      </c>
      <c r="F2447">
        <v>0.47</v>
      </c>
      <c r="G2447" t="s">
        <v>3025</v>
      </c>
      <c r="H2447">
        <v>400</v>
      </c>
      <c r="I2447">
        <v>36.479999999999997</v>
      </c>
      <c r="J2447">
        <v>36.72</v>
      </c>
      <c r="K2447">
        <v>-0.24</v>
      </c>
      <c r="L2447">
        <v>6.77</v>
      </c>
      <c r="M2447" t="s">
        <v>7604</v>
      </c>
      <c r="N2447">
        <v>40.299999999999997</v>
      </c>
      <c r="O2447" t="s">
        <v>253</v>
      </c>
      <c r="P2447">
        <v>37.08</v>
      </c>
      <c r="Q2447">
        <v>35.799999999999997</v>
      </c>
      <c r="R2447">
        <v>35.799999999999997</v>
      </c>
      <c r="S2447">
        <v>36.19</v>
      </c>
      <c r="T2447">
        <v>3.54</v>
      </c>
      <c r="U2447">
        <v>0.93</v>
      </c>
      <c r="V2447">
        <v>-11.37</v>
      </c>
      <c r="W2447">
        <v>-50</v>
      </c>
      <c r="X2447">
        <v>36.65</v>
      </c>
      <c r="Y2447" t="s">
        <v>2284</v>
      </c>
      <c r="Z2447" t="s">
        <v>1259</v>
      </c>
      <c r="AA2447">
        <v>0.85</v>
      </c>
      <c r="AB2447">
        <v>9</v>
      </c>
      <c r="AC2447">
        <v>35</v>
      </c>
      <c r="AD2447">
        <v>5.69</v>
      </c>
      <c r="AE2447" t="s">
        <v>333</v>
      </c>
      <c r="AF2447" t="s">
        <v>7478</v>
      </c>
      <c r="AG2447" t="s">
        <v>7605</v>
      </c>
      <c r="AH2447" t="s">
        <v>1115</v>
      </c>
      <c r="AI2447">
        <v>0.38</v>
      </c>
      <c r="AJ2447">
        <v>3.82</v>
      </c>
      <c r="AK2447">
        <v>22.84</v>
      </c>
      <c r="AL2447">
        <v>43.29</v>
      </c>
    </row>
    <row r="2448" spans="1:38" x14ac:dyDescent="0.25">
      <c r="A2448">
        <v>2447</v>
      </c>
      <c r="B2448" t="str">
        <f xml:space="preserve"> "300505"</f>
        <v>300505</v>
      </c>
      <c r="C2448" t="s">
        <v>7606</v>
      </c>
      <c r="D2448">
        <v>52.35</v>
      </c>
      <c r="E2448">
        <v>-10.01</v>
      </c>
      <c r="F2448">
        <v>-5.82</v>
      </c>
      <c r="G2448" t="s">
        <v>678</v>
      </c>
      <c r="H2448">
        <v>280</v>
      </c>
      <c r="I2448" t="s">
        <v>616</v>
      </c>
      <c r="J2448">
        <v>52.35</v>
      </c>
      <c r="K2448">
        <v>0</v>
      </c>
      <c r="L2448">
        <v>36.590000000000003</v>
      </c>
      <c r="M2448" t="s">
        <v>4201</v>
      </c>
      <c r="N2448">
        <v>95.4</v>
      </c>
      <c r="O2448" t="s">
        <v>667</v>
      </c>
      <c r="P2448">
        <v>59.7</v>
      </c>
      <c r="Q2448">
        <v>52.35</v>
      </c>
      <c r="R2448">
        <v>57</v>
      </c>
      <c r="S2448">
        <v>58.17</v>
      </c>
      <c r="T2448">
        <v>12.64</v>
      </c>
      <c r="U2448">
        <v>1.58</v>
      </c>
      <c r="V2448">
        <v>-100</v>
      </c>
      <c r="W2448">
        <v>-3221</v>
      </c>
      <c r="X2448">
        <v>55.78</v>
      </c>
      <c r="Y2448" t="s">
        <v>2780</v>
      </c>
      <c r="Z2448" t="s">
        <v>2826</v>
      </c>
      <c r="AA2448">
        <v>1.1499999999999999</v>
      </c>
      <c r="AB2448">
        <v>0</v>
      </c>
      <c r="AC2448">
        <v>3137</v>
      </c>
      <c r="AD2448">
        <v>7.72</v>
      </c>
      <c r="AE2448" t="s">
        <v>7607</v>
      </c>
      <c r="AF2448" t="s">
        <v>7478</v>
      </c>
      <c r="AG2448" t="s">
        <v>7608</v>
      </c>
      <c r="AH2448" t="s">
        <v>2666</v>
      </c>
      <c r="AI2448">
        <v>-7.39</v>
      </c>
      <c r="AJ2448">
        <v>17.850000000000001</v>
      </c>
      <c r="AK2448">
        <v>96.58</v>
      </c>
      <c r="AL2448">
        <v>152.30000000000001</v>
      </c>
    </row>
    <row r="2449" spans="1:38" x14ac:dyDescent="0.25">
      <c r="A2449">
        <v>2448</v>
      </c>
      <c r="B2449" t="str">
        <f xml:space="preserve"> "002682"</f>
        <v>002682</v>
      </c>
      <c r="C2449" t="s">
        <v>7609</v>
      </c>
      <c r="D2449">
        <v>13.03</v>
      </c>
      <c r="E2449">
        <v>-0.84</v>
      </c>
      <c r="F2449">
        <v>-0.11</v>
      </c>
      <c r="G2449" t="s">
        <v>6807</v>
      </c>
      <c r="H2449">
        <v>395</v>
      </c>
      <c r="I2449">
        <v>13.03</v>
      </c>
      <c r="J2449">
        <v>13.04</v>
      </c>
      <c r="K2449">
        <v>0.08</v>
      </c>
      <c r="L2449">
        <v>2.39</v>
      </c>
      <c r="M2449" t="s">
        <v>7610</v>
      </c>
      <c r="N2449">
        <v>44.63</v>
      </c>
      <c r="O2449" t="s">
        <v>274</v>
      </c>
      <c r="P2449">
        <v>13.1</v>
      </c>
      <c r="Q2449">
        <v>12.89</v>
      </c>
      <c r="R2449">
        <v>13.03</v>
      </c>
      <c r="S2449">
        <v>13.14</v>
      </c>
      <c r="T2449">
        <v>1.6</v>
      </c>
      <c r="U2449">
        <v>1.43</v>
      </c>
      <c r="V2449">
        <v>50.05</v>
      </c>
      <c r="W2449">
        <v>902</v>
      </c>
      <c r="X2449">
        <v>12.98</v>
      </c>
      <c r="Y2449" t="s">
        <v>2427</v>
      </c>
      <c r="Z2449" t="s">
        <v>1153</v>
      </c>
      <c r="AA2449">
        <v>2.2799999999999998</v>
      </c>
      <c r="AB2449">
        <v>12</v>
      </c>
      <c r="AC2449">
        <v>60</v>
      </c>
      <c r="AD2449">
        <v>1.88</v>
      </c>
      <c r="AE2449" t="s">
        <v>6624</v>
      </c>
      <c r="AF2449" t="s">
        <v>7478</v>
      </c>
      <c r="AG2449" t="s">
        <v>1088</v>
      </c>
      <c r="AH2449" t="s">
        <v>1061</v>
      </c>
      <c r="AI2449">
        <v>-3.12</v>
      </c>
      <c r="AJ2449">
        <v>0</v>
      </c>
      <c r="AK2449">
        <v>7.3</v>
      </c>
      <c r="AL2449">
        <v>10.77</v>
      </c>
    </row>
    <row r="2450" spans="1:38" x14ac:dyDescent="0.25">
      <c r="A2450">
        <v>2449</v>
      </c>
      <c r="B2450" t="str">
        <f xml:space="preserve"> "002499"</f>
        <v>002499</v>
      </c>
      <c r="C2450" t="s">
        <v>7611</v>
      </c>
      <c r="D2450">
        <v>25.84</v>
      </c>
      <c r="E2450">
        <v>10</v>
      </c>
      <c r="F2450">
        <v>2.35</v>
      </c>
      <c r="G2450" t="s">
        <v>1967</v>
      </c>
      <c r="H2450">
        <v>2485</v>
      </c>
      <c r="I2450">
        <v>25.83</v>
      </c>
      <c r="J2450">
        <v>25.84</v>
      </c>
      <c r="K2450">
        <v>0</v>
      </c>
      <c r="L2450">
        <v>5.54</v>
      </c>
      <c r="M2450" t="s">
        <v>1812</v>
      </c>
      <c r="N2450">
        <v>56.09</v>
      </c>
      <c r="O2450" t="s">
        <v>648</v>
      </c>
      <c r="P2450">
        <v>25.84</v>
      </c>
      <c r="Q2450">
        <v>23.49</v>
      </c>
      <c r="R2450">
        <v>23.49</v>
      </c>
      <c r="S2450">
        <v>23.49</v>
      </c>
      <c r="T2450">
        <v>10</v>
      </c>
      <c r="U2450">
        <v>5.37</v>
      </c>
      <c r="V2450">
        <v>-76.680000000000007</v>
      </c>
      <c r="W2450">
        <v>-822</v>
      </c>
      <c r="X2450">
        <v>25.21</v>
      </c>
      <c r="Y2450" t="s">
        <v>3972</v>
      </c>
      <c r="Z2450" t="s">
        <v>3077</v>
      </c>
      <c r="AA2450">
        <v>1.55</v>
      </c>
      <c r="AB2450">
        <v>2</v>
      </c>
      <c r="AC2450">
        <v>947</v>
      </c>
      <c r="AD2450">
        <v>6.55</v>
      </c>
      <c r="AE2450" t="s">
        <v>957</v>
      </c>
      <c r="AF2450" t="s">
        <v>5857</v>
      </c>
      <c r="AG2450" t="s">
        <v>2339</v>
      </c>
      <c r="AH2450" t="s">
        <v>2227</v>
      </c>
      <c r="AI2450">
        <v>8.57</v>
      </c>
      <c r="AJ2450">
        <v>13.18</v>
      </c>
      <c r="AK2450">
        <v>6.58</v>
      </c>
      <c r="AL2450">
        <v>10.7</v>
      </c>
    </row>
    <row r="2451" spans="1:38" x14ac:dyDescent="0.25">
      <c r="A2451">
        <v>2450</v>
      </c>
      <c r="B2451" t="str">
        <f xml:space="preserve"> "002331"</f>
        <v>002331</v>
      </c>
      <c r="C2451" t="s">
        <v>7612</v>
      </c>
      <c r="D2451">
        <v>13.94</v>
      </c>
      <c r="E2451">
        <v>0.22</v>
      </c>
      <c r="F2451">
        <v>0.03</v>
      </c>
      <c r="G2451" t="s">
        <v>2272</v>
      </c>
      <c r="H2451">
        <v>770</v>
      </c>
      <c r="I2451">
        <v>13.93</v>
      </c>
      <c r="J2451">
        <v>13.94</v>
      </c>
      <c r="K2451">
        <v>-7.0000000000000007E-2</v>
      </c>
      <c r="L2451">
        <v>1.82</v>
      </c>
      <c r="M2451" t="s">
        <v>7613</v>
      </c>
      <c r="N2451">
        <v>75.86</v>
      </c>
      <c r="O2451" t="s">
        <v>893</v>
      </c>
      <c r="P2451">
        <v>14.02</v>
      </c>
      <c r="Q2451">
        <v>13.81</v>
      </c>
      <c r="R2451">
        <v>13.85</v>
      </c>
      <c r="S2451">
        <v>13.91</v>
      </c>
      <c r="T2451">
        <v>1.51</v>
      </c>
      <c r="U2451">
        <v>0.64</v>
      </c>
      <c r="V2451">
        <v>-43.41</v>
      </c>
      <c r="W2451">
        <v>-1199</v>
      </c>
      <c r="X2451">
        <v>13.94</v>
      </c>
      <c r="Y2451" t="s">
        <v>2696</v>
      </c>
      <c r="Z2451" t="s">
        <v>121</v>
      </c>
      <c r="AA2451">
        <v>0.91</v>
      </c>
      <c r="AB2451">
        <v>293</v>
      </c>
      <c r="AC2451">
        <v>382</v>
      </c>
      <c r="AD2451">
        <v>3.74</v>
      </c>
      <c r="AE2451" t="s">
        <v>4109</v>
      </c>
      <c r="AF2451" t="s">
        <v>5857</v>
      </c>
      <c r="AG2451" t="s">
        <v>540</v>
      </c>
      <c r="AH2451" t="s">
        <v>3422</v>
      </c>
      <c r="AI2451">
        <v>0.65</v>
      </c>
      <c r="AJ2451">
        <v>2.5</v>
      </c>
      <c r="AK2451">
        <v>7.32</v>
      </c>
      <c r="AL2451">
        <v>15.96</v>
      </c>
    </row>
    <row r="2452" spans="1:38" x14ac:dyDescent="0.25">
      <c r="A2452">
        <v>2451</v>
      </c>
      <c r="B2452" t="str">
        <f xml:space="preserve"> "600405"</f>
        <v>600405</v>
      </c>
      <c r="C2452" t="s">
        <v>7614</v>
      </c>
      <c r="D2452">
        <v>8.68</v>
      </c>
      <c r="E2452">
        <v>0</v>
      </c>
      <c r="F2452">
        <v>0</v>
      </c>
      <c r="G2452" t="s">
        <v>425</v>
      </c>
      <c r="H2452">
        <v>10</v>
      </c>
      <c r="I2452">
        <v>8.68</v>
      </c>
      <c r="J2452">
        <v>8.69</v>
      </c>
      <c r="K2452">
        <v>0</v>
      </c>
      <c r="L2452">
        <v>1.49</v>
      </c>
      <c r="M2452" t="s">
        <v>7615</v>
      </c>
      <c r="N2452">
        <v>-81.93</v>
      </c>
      <c r="O2452" t="s">
        <v>380</v>
      </c>
      <c r="P2452">
        <v>8.74</v>
      </c>
      <c r="Q2452">
        <v>8.61</v>
      </c>
      <c r="R2452">
        <v>8.67</v>
      </c>
      <c r="S2452">
        <v>8.68</v>
      </c>
      <c r="T2452">
        <v>1.5</v>
      </c>
      <c r="U2452">
        <v>0.37</v>
      </c>
      <c r="V2452">
        <v>-12.83</v>
      </c>
      <c r="W2452">
        <v>-788</v>
      </c>
      <c r="X2452">
        <v>8.66</v>
      </c>
      <c r="Y2452" t="s">
        <v>72</v>
      </c>
      <c r="Z2452" t="s">
        <v>2458</v>
      </c>
      <c r="AA2452">
        <v>1.2</v>
      </c>
      <c r="AB2452">
        <v>831</v>
      </c>
      <c r="AC2452">
        <v>837</v>
      </c>
      <c r="AD2452">
        <v>3.72</v>
      </c>
      <c r="AE2452" t="s">
        <v>3770</v>
      </c>
      <c r="AF2452" t="s">
        <v>5857</v>
      </c>
      <c r="AG2452" t="s">
        <v>2174</v>
      </c>
      <c r="AH2452" t="s">
        <v>984</v>
      </c>
      <c r="AI2452">
        <v>-2.8</v>
      </c>
      <c r="AJ2452">
        <v>3.21</v>
      </c>
      <c r="AK2452">
        <v>6.51</v>
      </c>
      <c r="AL2452">
        <v>21.51</v>
      </c>
    </row>
    <row r="2453" spans="1:38" x14ac:dyDescent="0.25">
      <c r="A2453">
        <v>2452</v>
      </c>
      <c r="B2453" t="str">
        <f xml:space="preserve"> "603968"</f>
        <v>603968</v>
      </c>
      <c r="C2453" t="s">
        <v>7616</v>
      </c>
      <c r="D2453">
        <v>23.87</v>
      </c>
      <c r="E2453">
        <v>-0.17</v>
      </c>
      <c r="F2453">
        <v>-0.04</v>
      </c>
      <c r="G2453">
        <v>9296</v>
      </c>
      <c r="H2453">
        <v>4</v>
      </c>
      <c r="I2453">
        <v>23.89</v>
      </c>
      <c r="J2453">
        <v>23.9</v>
      </c>
      <c r="K2453">
        <v>-0.04</v>
      </c>
      <c r="L2453">
        <v>0.68</v>
      </c>
      <c r="M2453" t="s">
        <v>4591</v>
      </c>
      <c r="N2453">
        <v>31.98</v>
      </c>
      <c r="O2453" t="s">
        <v>667</v>
      </c>
      <c r="P2453">
        <v>24.1</v>
      </c>
      <c r="Q2453">
        <v>23.81</v>
      </c>
      <c r="R2453">
        <v>23.88</v>
      </c>
      <c r="S2453">
        <v>23.91</v>
      </c>
      <c r="T2453">
        <v>1.21</v>
      </c>
      <c r="U2453">
        <v>0.67</v>
      </c>
      <c r="V2453">
        <v>-0.49</v>
      </c>
      <c r="W2453">
        <v>-3</v>
      </c>
      <c r="X2453">
        <v>23.9</v>
      </c>
      <c r="Y2453">
        <v>6207</v>
      </c>
      <c r="Z2453">
        <v>3089</v>
      </c>
      <c r="AA2453">
        <v>2.0099999999999998</v>
      </c>
      <c r="AB2453">
        <v>13</v>
      </c>
      <c r="AC2453">
        <v>103</v>
      </c>
      <c r="AD2453">
        <v>3.86</v>
      </c>
      <c r="AE2453" t="s">
        <v>7023</v>
      </c>
      <c r="AF2453" t="s">
        <v>5857</v>
      </c>
      <c r="AG2453" t="s">
        <v>3058</v>
      </c>
      <c r="AH2453" t="s">
        <v>1309</v>
      </c>
      <c r="AI2453">
        <v>-0.62</v>
      </c>
      <c r="AJ2453">
        <v>2.31</v>
      </c>
      <c r="AK2453">
        <v>2.36</v>
      </c>
      <c r="AL2453">
        <v>5.78</v>
      </c>
    </row>
    <row r="2454" spans="1:38" x14ac:dyDescent="0.25">
      <c r="A2454">
        <v>2453</v>
      </c>
      <c r="B2454" t="str">
        <f xml:space="preserve"> "300382"</f>
        <v>300382</v>
      </c>
      <c r="C2454" t="s">
        <v>7617</v>
      </c>
      <c r="D2454">
        <v>15.59</v>
      </c>
      <c r="E2454">
        <v>2.77</v>
      </c>
      <c r="F2454">
        <v>0.42</v>
      </c>
      <c r="G2454" t="s">
        <v>2696</v>
      </c>
      <c r="H2454">
        <v>370</v>
      </c>
      <c r="I2454">
        <v>15.59</v>
      </c>
      <c r="J2454">
        <v>15.6</v>
      </c>
      <c r="K2454">
        <v>0</v>
      </c>
      <c r="L2454">
        <v>1.58</v>
      </c>
      <c r="M2454" t="s">
        <v>7618</v>
      </c>
      <c r="N2454">
        <v>53.82</v>
      </c>
      <c r="O2454" t="s">
        <v>648</v>
      </c>
      <c r="P2454">
        <v>15.75</v>
      </c>
      <c r="Q2454">
        <v>15.09</v>
      </c>
      <c r="R2454">
        <v>15.09</v>
      </c>
      <c r="S2454">
        <v>15.17</v>
      </c>
      <c r="T2454">
        <v>4.3499999999999996</v>
      </c>
      <c r="U2454">
        <v>2.5099999999999998</v>
      </c>
      <c r="V2454">
        <v>-61.86</v>
      </c>
      <c r="W2454">
        <v>-642</v>
      </c>
      <c r="X2454">
        <v>15.43</v>
      </c>
      <c r="Y2454" t="s">
        <v>4791</v>
      </c>
      <c r="Z2454" t="s">
        <v>125</v>
      </c>
      <c r="AA2454">
        <v>0.66</v>
      </c>
      <c r="AB2454">
        <v>24</v>
      </c>
      <c r="AC2454">
        <v>469</v>
      </c>
      <c r="AD2454">
        <v>5.53</v>
      </c>
      <c r="AE2454" t="s">
        <v>7097</v>
      </c>
      <c r="AF2454" t="s">
        <v>5857</v>
      </c>
      <c r="AG2454" t="s">
        <v>3976</v>
      </c>
      <c r="AH2454" t="s">
        <v>782</v>
      </c>
      <c r="AI2454">
        <v>2.9</v>
      </c>
      <c r="AJ2454">
        <v>5.41</v>
      </c>
      <c r="AK2454">
        <v>3.16</v>
      </c>
      <c r="AL2454">
        <v>4.72</v>
      </c>
    </row>
    <row r="2455" spans="1:38" x14ac:dyDescent="0.25">
      <c r="A2455">
        <v>2454</v>
      </c>
      <c r="B2455" t="str">
        <f xml:space="preserve"> "000720"</f>
        <v>000720</v>
      </c>
      <c r="C2455" t="s">
        <v>7619</v>
      </c>
      <c r="D2455" t="s">
        <v>616</v>
      </c>
      <c r="E2455" t="s">
        <v>616</v>
      </c>
      <c r="F2455" t="s">
        <v>616</v>
      </c>
      <c r="G2455" t="s">
        <v>616</v>
      </c>
      <c r="H2455" t="s">
        <v>616</v>
      </c>
      <c r="I2455" t="s">
        <v>616</v>
      </c>
      <c r="J2455" t="s">
        <v>616</v>
      </c>
      <c r="K2455" t="s">
        <v>616</v>
      </c>
      <c r="L2455" t="s">
        <v>616</v>
      </c>
      <c r="M2455" t="s">
        <v>616</v>
      </c>
      <c r="N2455">
        <v>-23.29</v>
      </c>
      <c r="O2455" t="s">
        <v>186</v>
      </c>
      <c r="P2455" t="s">
        <v>616</v>
      </c>
      <c r="Q2455" t="s">
        <v>616</v>
      </c>
      <c r="R2455" t="s">
        <v>616</v>
      </c>
      <c r="S2455">
        <v>5.65</v>
      </c>
      <c r="T2455" t="s">
        <v>616</v>
      </c>
      <c r="U2455" t="s">
        <v>616</v>
      </c>
      <c r="V2455" t="s">
        <v>616</v>
      </c>
      <c r="W2455" t="s">
        <v>616</v>
      </c>
      <c r="X2455" t="s">
        <v>616</v>
      </c>
      <c r="Y2455" t="s">
        <v>616</v>
      </c>
      <c r="Z2455" t="s">
        <v>616</v>
      </c>
      <c r="AA2455" t="s">
        <v>616</v>
      </c>
      <c r="AB2455" t="s">
        <v>616</v>
      </c>
      <c r="AC2455" t="s">
        <v>616</v>
      </c>
      <c r="AD2455">
        <v>6.31</v>
      </c>
      <c r="AE2455" t="s">
        <v>1260</v>
      </c>
      <c r="AF2455" t="s">
        <v>5857</v>
      </c>
      <c r="AG2455" t="s">
        <v>1260</v>
      </c>
      <c r="AH2455" t="s">
        <v>5857</v>
      </c>
      <c r="AI2455">
        <v>0</v>
      </c>
      <c r="AJ2455">
        <v>0</v>
      </c>
      <c r="AK2455">
        <v>0</v>
      </c>
      <c r="AL2455">
        <v>0</v>
      </c>
    </row>
    <row r="2456" spans="1:38" x14ac:dyDescent="0.25">
      <c r="A2456">
        <v>2455</v>
      </c>
      <c r="B2456" t="str">
        <f xml:space="preserve"> "600119"</f>
        <v>600119</v>
      </c>
      <c r="C2456" t="s">
        <v>7620</v>
      </c>
      <c r="D2456">
        <v>15.87</v>
      </c>
      <c r="E2456">
        <v>-1.55</v>
      </c>
      <c r="F2456">
        <v>-0.25</v>
      </c>
      <c r="G2456" t="s">
        <v>609</v>
      </c>
      <c r="H2456">
        <v>24</v>
      </c>
      <c r="I2456">
        <v>15.87</v>
      </c>
      <c r="J2456">
        <v>15.89</v>
      </c>
      <c r="K2456">
        <v>-0.13</v>
      </c>
      <c r="L2456">
        <v>4.1500000000000004</v>
      </c>
      <c r="M2456" t="s">
        <v>3229</v>
      </c>
      <c r="N2456">
        <v>169.22</v>
      </c>
      <c r="O2456" t="s">
        <v>274</v>
      </c>
      <c r="P2456">
        <v>16.13</v>
      </c>
      <c r="Q2456">
        <v>15.64</v>
      </c>
      <c r="R2456">
        <v>16.010000000000002</v>
      </c>
      <c r="S2456">
        <v>16.12</v>
      </c>
      <c r="T2456">
        <v>3.04</v>
      </c>
      <c r="U2456">
        <v>1.1200000000000001</v>
      </c>
      <c r="V2456">
        <v>26.26</v>
      </c>
      <c r="W2456">
        <v>905</v>
      </c>
      <c r="X2456">
        <v>15.8</v>
      </c>
      <c r="Y2456" t="s">
        <v>6334</v>
      </c>
      <c r="Z2456" t="s">
        <v>2987</v>
      </c>
      <c r="AA2456">
        <v>1.49</v>
      </c>
      <c r="AB2456">
        <v>685</v>
      </c>
      <c r="AC2456">
        <v>63</v>
      </c>
      <c r="AD2456">
        <v>5.49</v>
      </c>
      <c r="AE2456" t="s">
        <v>719</v>
      </c>
      <c r="AF2456" t="s">
        <v>5857</v>
      </c>
      <c r="AG2456" t="s">
        <v>719</v>
      </c>
      <c r="AH2456" t="s">
        <v>5857</v>
      </c>
      <c r="AI2456">
        <v>4.8899999999999997</v>
      </c>
      <c r="AJ2456">
        <v>8.33</v>
      </c>
      <c r="AK2456">
        <v>17.82</v>
      </c>
      <c r="AL2456">
        <v>22.67</v>
      </c>
    </row>
    <row r="2457" spans="1:38" x14ac:dyDescent="0.25">
      <c r="A2457">
        <v>2456</v>
      </c>
      <c r="B2457" t="str">
        <f xml:space="preserve"> "002836"</f>
        <v>002836</v>
      </c>
      <c r="C2457" t="s">
        <v>7621</v>
      </c>
      <c r="D2457">
        <v>30.48</v>
      </c>
      <c r="E2457">
        <v>7.0000000000000007E-2</v>
      </c>
      <c r="F2457">
        <v>0.02</v>
      </c>
      <c r="G2457" t="s">
        <v>753</v>
      </c>
      <c r="H2457">
        <v>622</v>
      </c>
      <c r="I2457">
        <v>30.47</v>
      </c>
      <c r="J2457">
        <v>30.48</v>
      </c>
      <c r="K2457">
        <v>-7.0000000000000007E-2</v>
      </c>
      <c r="L2457">
        <v>10.62</v>
      </c>
      <c r="M2457" t="s">
        <v>2646</v>
      </c>
      <c r="N2457">
        <v>133.66999999999999</v>
      </c>
      <c r="O2457" t="s">
        <v>1874</v>
      </c>
      <c r="P2457">
        <v>31.8</v>
      </c>
      <c r="Q2457">
        <v>30.05</v>
      </c>
      <c r="R2457">
        <v>30.46</v>
      </c>
      <c r="S2457">
        <v>30.46</v>
      </c>
      <c r="T2457">
        <v>5.75</v>
      </c>
      <c r="U2457">
        <v>1.21</v>
      </c>
      <c r="V2457">
        <v>69.010000000000005</v>
      </c>
      <c r="W2457">
        <v>983</v>
      </c>
      <c r="X2457">
        <v>31.02</v>
      </c>
      <c r="Y2457" t="s">
        <v>432</v>
      </c>
      <c r="Z2457" t="s">
        <v>4788</v>
      </c>
      <c r="AA2457">
        <v>1.04</v>
      </c>
      <c r="AB2457">
        <v>630</v>
      </c>
      <c r="AC2457">
        <v>16</v>
      </c>
      <c r="AD2457">
        <v>12.26</v>
      </c>
      <c r="AE2457" t="s">
        <v>4326</v>
      </c>
      <c r="AF2457" t="s">
        <v>5857</v>
      </c>
      <c r="AG2457" t="s">
        <v>6081</v>
      </c>
      <c r="AH2457" t="s">
        <v>1115</v>
      </c>
      <c r="AI2457">
        <v>0.33</v>
      </c>
      <c r="AJ2457">
        <v>6.09</v>
      </c>
      <c r="AK2457">
        <v>36.57</v>
      </c>
      <c r="AL2457">
        <v>54.56</v>
      </c>
    </row>
    <row r="2458" spans="1:38" x14ac:dyDescent="0.25">
      <c r="A2458">
        <v>2457</v>
      </c>
      <c r="B2458" t="str">
        <f xml:space="preserve"> "603203"</f>
        <v>603203</v>
      </c>
      <c r="C2458" t="s">
        <v>7622</v>
      </c>
      <c r="D2458">
        <v>40.75</v>
      </c>
      <c r="E2458">
        <v>1.02</v>
      </c>
      <c r="F2458">
        <v>0.41</v>
      </c>
      <c r="G2458">
        <v>5656</v>
      </c>
      <c r="H2458">
        <v>2</v>
      </c>
      <c r="I2458">
        <v>40.659999999999997</v>
      </c>
      <c r="J2458">
        <v>40.75</v>
      </c>
      <c r="K2458">
        <v>-0.02</v>
      </c>
      <c r="L2458">
        <v>1.89</v>
      </c>
      <c r="M2458" t="s">
        <v>7623</v>
      </c>
      <c r="N2458">
        <v>41.19</v>
      </c>
      <c r="O2458" t="s">
        <v>2647</v>
      </c>
      <c r="P2458">
        <v>40.93</v>
      </c>
      <c r="Q2458">
        <v>40.06</v>
      </c>
      <c r="R2458">
        <v>40.340000000000003</v>
      </c>
      <c r="S2458">
        <v>40.340000000000003</v>
      </c>
      <c r="T2458">
        <v>2.16</v>
      </c>
      <c r="U2458">
        <v>0.67</v>
      </c>
      <c r="V2458">
        <v>-54.45</v>
      </c>
      <c r="W2458">
        <v>-105</v>
      </c>
      <c r="X2458">
        <v>40.6</v>
      </c>
      <c r="Y2458">
        <v>2260</v>
      </c>
      <c r="Z2458">
        <v>3396</v>
      </c>
      <c r="AA2458">
        <v>0.67</v>
      </c>
      <c r="AB2458">
        <v>7</v>
      </c>
      <c r="AC2458">
        <v>2</v>
      </c>
      <c r="AD2458">
        <v>7.53</v>
      </c>
      <c r="AE2458" t="s">
        <v>918</v>
      </c>
      <c r="AF2458" t="s">
        <v>4877</v>
      </c>
      <c r="AG2458" t="s">
        <v>7624</v>
      </c>
      <c r="AH2458" t="s">
        <v>1115</v>
      </c>
      <c r="AI2458">
        <v>-0.2</v>
      </c>
      <c r="AJ2458">
        <v>5.41</v>
      </c>
      <c r="AK2458">
        <v>6.56</v>
      </c>
      <c r="AL2458">
        <v>15.93</v>
      </c>
    </row>
    <row r="2459" spans="1:38" x14ac:dyDescent="0.25">
      <c r="A2459">
        <v>2458</v>
      </c>
      <c r="B2459" t="str">
        <f xml:space="preserve"> "300590"</f>
        <v>300590</v>
      </c>
      <c r="C2459" t="s">
        <v>7625</v>
      </c>
      <c r="D2459" t="s">
        <v>616</v>
      </c>
      <c r="E2459" t="s">
        <v>616</v>
      </c>
      <c r="F2459" t="s">
        <v>616</v>
      </c>
      <c r="G2459" t="s">
        <v>616</v>
      </c>
      <c r="H2459" t="s">
        <v>616</v>
      </c>
      <c r="I2459" t="s">
        <v>616</v>
      </c>
      <c r="J2459" t="s">
        <v>616</v>
      </c>
      <c r="K2459" t="s">
        <v>616</v>
      </c>
      <c r="L2459" t="s">
        <v>616</v>
      </c>
      <c r="M2459" t="s">
        <v>616</v>
      </c>
      <c r="N2459">
        <v>55.1</v>
      </c>
      <c r="O2459" t="s">
        <v>553</v>
      </c>
      <c r="P2459" t="s">
        <v>616</v>
      </c>
      <c r="Q2459" t="s">
        <v>616</v>
      </c>
      <c r="R2459" t="s">
        <v>616</v>
      </c>
      <c r="S2459">
        <v>30.45</v>
      </c>
      <c r="T2459" t="s">
        <v>616</v>
      </c>
      <c r="U2459" t="s">
        <v>616</v>
      </c>
      <c r="V2459" t="s">
        <v>616</v>
      </c>
      <c r="W2459" t="s">
        <v>616</v>
      </c>
      <c r="X2459" t="s">
        <v>616</v>
      </c>
      <c r="Y2459" t="s">
        <v>616</v>
      </c>
      <c r="Z2459" t="s">
        <v>616</v>
      </c>
      <c r="AA2459" t="s">
        <v>616</v>
      </c>
      <c r="AB2459" t="s">
        <v>616</v>
      </c>
      <c r="AC2459" t="s">
        <v>616</v>
      </c>
      <c r="AD2459">
        <v>6.8</v>
      </c>
      <c r="AE2459" t="s">
        <v>4326</v>
      </c>
      <c r="AF2459" t="s">
        <v>4877</v>
      </c>
      <c r="AG2459" t="s">
        <v>6081</v>
      </c>
      <c r="AH2459" t="s">
        <v>1115</v>
      </c>
      <c r="AI2459">
        <v>0</v>
      </c>
      <c r="AJ2459">
        <v>0</v>
      </c>
      <c r="AK2459">
        <v>0</v>
      </c>
      <c r="AL2459">
        <v>0</v>
      </c>
    </row>
    <row r="2460" spans="1:38" x14ac:dyDescent="0.25">
      <c r="A2460">
        <v>2459</v>
      </c>
      <c r="B2460" t="str">
        <f xml:space="preserve"> "603996"</f>
        <v>603996</v>
      </c>
      <c r="C2460" t="s">
        <v>7626</v>
      </c>
      <c r="D2460">
        <v>16.23</v>
      </c>
      <c r="E2460">
        <v>0.25</v>
      </c>
      <c r="F2460">
        <v>0.04</v>
      </c>
      <c r="G2460" t="s">
        <v>1732</v>
      </c>
      <c r="H2460">
        <v>14</v>
      </c>
      <c r="I2460">
        <v>16.22</v>
      </c>
      <c r="J2460">
        <v>16.23</v>
      </c>
      <c r="K2460">
        <v>-0.06</v>
      </c>
      <c r="L2460">
        <v>1.41</v>
      </c>
      <c r="M2460" t="s">
        <v>1558</v>
      </c>
      <c r="N2460">
        <v>170.4</v>
      </c>
      <c r="O2460" t="s">
        <v>380</v>
      </c>
      <c r="P2460">
        <v>16.260000000000002</v>
      </c>
      <c r="Q2460">
        <v>16.170000000000002</v>
      </c>
      <c r="R2460">
        <v>16.190000000000001</v>
      </c>
      <c r="S2460">
        <v>16.190000000000001</v>
      </c>
      <c r="T2460">
        <v>0.56000000000000005</v>
      </c>
      <c r="U2460">
        <v>1.1299999999999999</v>
      </c>
      <c r="V2460">
        <v>-70.16</v>
      </c>
      <c r="W2460">
        <v>-825</v>
      </c>
      <c r="X2460">
        <v>16.22</v>
      </c>
      <c r="Y2460">
        <v>6888</v>
      </c>
      <c r="Z2460">
        <v>7643</v>
      </c>
      <c r="AA2460">
        <v>0.9</v>
      </c>
      <c r="AB2460">
        <v>18</v>
      </c>
      <c r="AC2460">
        <v>15</v>
      </c>
      <c r="AD2460">
        <v>3.57</v>
      </c>
      <c r="AE2460" t="s">
        <v>950</v>
      </c>
      <c r="AF2460" t="s">
        <v>4877</v>
      </c>
      <c r="AG2460" t="s">
        <v>2611</v>
      </c>
      <c r="AH2460" t="s">
        <v>3026</v>
      </c>
      <c r="AI2460">
        <v>-0.18</v>
      </c>
      <c r="AJ2460">
        <v>0.06</v>
      </c>
      <c r="AK2460">
        <v>3.63</v>
      </c>
      <c r="AL2460">
        <v>7.61</v>
      </c>
    </row>
    <row r="2461" spans="1:38" x14ac:dyDescent="0.25">
      <c r="A2461">
        <v>2460</v>
      </c>
      <c r="B2461" t="str">
        <f xml:space="preserve"> "300693"</f>
        <v>300693</v>
      </c>
      <c r="C2461" t="s">
        <v>7627</v>
      </c>
      <c r="D2461">
        <v>53.38</v>
      </c>
      <c r="E2461">
        <v>0.74</v>
      </c>
      <c r="F2461">
        <v>0.39</v>
      </c>
      <c r="G2461" t="s">
        <v>1745</v>
      </c>
      <c r="H2461">
        <v>595</v>
      </c>
      <c r="I2461">
        <v>53.38</v>
      </c>
      <c r="J2461">
        <v>53.4</v>
      </c>
      <c r="K2461">
        <v>0.02</v>
      </c>
      <c r="L2461">
        <v>9.7799999999999994</v>
      </c>
      <c r="M2461" t="s">
        <v>60</v>
      </c>
      <c r="N2461">
        <v>76.790000000000006</v>
      </c>
      <c r="O2461" t="s">
        <v>2647</v>
      </c>
      <c r="P2461">
        <v>53.68</v>
      </c>
      <c r="Q2461">
        <v>52.2</v>
      </c>
      <c r="R2461">
        <v>53.1</v>
      </c>
      <c r="S2461">
        <v>52.99</v>
      </c>
      <c r="T2461">
        <v>2.79</v>
      </c>
      <c r="U2461">
        <v>0.45</v>
      </c>
      <c r="V2461">
        <v>57.34</v>
      </c>
      <c r="W2461">
        <v>293</v>
      </c>
      <c r="X2461">
        <v>53.15</v>
      </c>
      <c r="Y2461" t="s">
        <v>2241</v>
      </c>
      <c r="Z2461" t="s">
        <v>1411</v>
      </c>
      <c r="AA2461">
        <v>1.04</v>
      </c>
      <c r="AB2461">
        <v>179</v>
      </c>
      <c r="AC2461">
        <v>42</v>
      </c>
      <c r="AD2461">
        <v>8.57</v>
      </c>
      <c r="AE2461" t="s">
        <v>7628</v>
      </c>
      <c r="AF2461" t="s">
        <v>4877</v>
      </c>
      <c r="AG2461" t="s">
        <v>7629</v>
      </c>
      <c r="AH2461" t="s">
        <v>1115</v>
      </c>
      <c r="AI2461">
        <v>-9.34</v>
      </c>
      <c r="AJ2461">
        <v>-3.38</v>
      </c>
      <c r="AK2461">
        <v>46.56</v>
      </c>
      <c r="AL2461">
        <v>118.89</v>
      </c>
    </row>
    <row r="2462" spans="1:38" x14ac:dyDescent="0.25">
      <c r="A2462">
        <v>2461</v>
      </c>
      <c r="B2462" t="str">
        <f xml:space="preserve"> "600712"</f>
        <v>600712</v>
      </c>
      <c r="C2462" t="s">
        <v>7630</v>
      </c>
      <c r="D2462">
        <v>8.94</v>
      </c>
      <c r="E2462">
        <v>-1.97</v>
      </c>
      <c r="F2462">
        <v>-0.18</v>
      </c>
      <c r="G2462" t="s">
        <v>1650</v>
      </c>
      <c r="H2462">
        <v>39</v>
      </c>
      <c r="I2462">
        <v>8.94</v>
      </c>
      <c r="J2462">
        <v>8.9600000000000009</v>
      </c>
      <c r="K2462">
        <v>0</v>
      </c>
      <c r="L2462">
        <v>0.44</v>
      </c>
      <c r="M2462" t="s">
        <v>7631</v>
      </c>
      <c r="N2462">
        <v>-194.76</v>
      </c>
      <c r="O2462" t="s">
        <v>532</v>
      </c>
      <c r="P2462">
        <v>9.1199999999999992</v>
      </c>
      <c r="Q2462">
        <v>8.91</v>
      </c>
      <c r="R2462">
        <v>9.1</v>
      </c>
      <c r="S2462">
        <v>9.1199999999999992</v>
      </c>
      <c r="T2462">
        <v>2.2999999999999998</v>
      </c>
      <c r="U2462">
        <v>1.07</v>
      </c>
      <c r="V2462">
        <v>86.95</v>
      </c>
      <c r="W2462">
        <v>2159</v>
      </c>
      <c r="X2462">
        <v>8.98</v>
      </c>
      <c r="Y2462" t="s">
        <v>2558</v>
      </c>
      <c r="Z2462">
        <v>8024</v>
      </c>
      <c r="AA2462">
        <v>1.98</v>
      </c>
      <c r="AB2462">
        <v>54</v>
      </c>
      <c r="AC2462">
        <v>34</v>
      </c>
      <c r="AD2462">
        <v>4.6399999999999997</v>
      </c>
      <c r="AE2462" t="s">
        <v>4803</v>
      </c>
      <c r="AF2462" t="s">
        <v>4877</v>
      </c>
      <c r="AG2462" t="s">
        <v>2024</v>
      </c>
      <c r="AH2462" t="s">
        <v>2352</v>
      </c>
      <c r="AI2462">
        <v>-0.89</v>
      </c>
      <c r="AJ2462">
        <v>0.11</v>
      </c>
      <c r="AK2462">
        <v>1.29</v>
      </c>
      <c r="AL2462">
        <v>2.52</v>
      </c>
    </row>
    <row r="2463" spans="1:38" x14ac:dyDescent="0.25">
      <c r="A2463">
        <v>2462</v>
      </c>
      <c r="B2463" t="str">
        <f xml:space="preserve"> "002255"</f>
        <v>002255</v>
      </c>
      <c r="C2463" t="s">
        <v>7632</v>
      </c>
      <c r="D2463">
        <v>7.84</v>
      </c>
      <c r="E2463">
        <v>0.51</v>
      </c>
      <c r="F2463">
        <v>0.04</v>
      </c>
      <c r="G2463" t="s">
        <v>1623</v>
      </c>
      <c r="H2463">
        <v>171</v>
      </c>
      <c r="I2463">
        <v>7.84</v>
      </c>
      <c r="J2463">
        <v>7.85</v>
      </c>
      <c r="K2463">
        <v>0</v>
      </c>
      <c r="L2463">
        <v>1.01</v>
      </c>
      <c r="M2463" t="s">
        <v>7633</v>
      </c>
      <c r="N2463">
        <v>52.56</v>
      </c>
      <c r="O2463" t="s">
        <v>648</v>
      </c>
      <c r="P2463">
        <v>7.91</v>
      </c>
      <c r="Q2463">
        <v>7.67</v>
      </c>
      <c r="R2463">
        <v>7.82</v>
      </c>
      <c r="S2463">
        <v>7.8</v>
      </c>
      <c r="T2463">
        <v>3.08</v>
      </c>
      <c r="U2463">
        <v>1.1299999999999999</v>
      </c>
      <c r="V2463">
        <v>-65.22</v>
      </c>
      <c r="W2463">
        <v>-3090</v>
      </c>
      <c r="X2463">
        <v>7.8</v>
      </c>
      <c r="Y2463" t="s">
        <v>2932</v>
      </c>
      <c r="Z2463" t="s">
        <v>3266</v>
      </c>
      <c r="AA2463">
        <v>0.95</v>
      </c>
      <c r="AB2463">
        <v>231</v>
      </c>
      <c r="AC2463">
        <v>532</v>
      </c>
      <c r="AD2463">
        <v>2.06</v>
      </c>
      <c r="AE2463" t="s">
        <v>6178</v>
      </c>
      <c r="AF2463" t="s">
        <v>4877</v>
      </c>
      <c r="AG2463" t="s">
        <v>799</v>
      </c>
      <c r="AH2463" t="s">
        <v>1342</v>
      </c>
      <c r="AI2463">
        <v>0.64</v>
      </c>
      <c r="AJ2463">
        <v>6.67</v>
      </c>
      <c r="AK2463">
        <v>2.42</v>
      </c>
      <c r="AL2463">
        <v>5.47</v>
      </c>
    </row>
    <row r="2464" spans="1:38" x14ac:dyDescent="0.25">
      <c r="A2464">
        <v>2463</v>
      </c>
      <c r="B2464" t="str">
        <f xml:space="preserve"> "002154"</f>
        <v>002154</v>
      </c>
      <c r="C2464" t="s">
        <v>7634</v>
      </c>
      <c r="D2464">
        <v>3.85</v>
      </c>
      <c r="E2464">
        <v>0.26</v>
      </c>
      <c r="F2464">
        <v>0.01</v>
      </c>
      <c r="G2464" t="s">
        <v>2770</v>
      </c>
      <c r="H2464">
        <v>1974</v>
      </c>
      <c r="I2464">
        <v>3.84</v>
      </c>
      <c r="J2464">
        <v>3.85</v>
      </c>
      <c r="K2464">
        <v>0</v>
      </c>
      <c r="L2464">
        <v>0.55000000000000004</v>
      </c>
      <c r="M2464" t="s">
        <v>7635</v>
      </c>
      <c r="N2464">
        <v>-79.459999999999994</v>
      </c>
      <c r="O2464" t="s">
        <v>1443</v>
      </c>
      <c r="P2464">
        <v>3.86</v>
      </c>
      <c r="Q2464">
        <v>3.83</v>
      </c>
      <c r="R2464">
        <v>3.84</v>
      </c>
      <c r="S2464">
        <v>3.84</v>
      </c>
      <c r="T2464">
        <v>0.78</v>
      </c>
      <c r="U2464">
        <v>1.01</v>
      </c>
      <c r="V2464">
        <v>-24.67</v>
      </c>
      <c r="W2464">
        <v>-6872</v>
      </c>
      <c r="X2464">
        <v>3.85</v>
      </c>
      <c r="Y2464" t="s">
        <v>2755</v>
      </c>
      <c r="Z2464" t="s">
        <v>1190</v>
      </c>
      <c r="AA2464">
        <v>1.01</v>
      </c>
      <c r="AB2464">
        <v>2142</v>
      </c>
      <c r="AC2464">
        <v>7198</v>
      </c>
      <c r="AD2464">
        <v>1.87</v>
      </c>
      <c r="AE2464" t="s">
        <v>126</v>
      </c>
      <c r="AF2464" t="s">
        <v>7389</v>
      </c>
      <c r="AG2464" t="s">
        <v>1429</v>
      </c>
      <c r="AH2464" t="s">
        <v>3107</v>
      </c>
      <c r="AI2464">
        <v>-0.26</v>
      </c>
      <c r="AJ2464">
        <v>1.58</v>
      </c>
      <c r="AK2464">
        <v>1.73</v>
      </c>
      <c r="AL2464">
        <v>3.31</v>
      </c>
    </row>
    <row r="2465" spans="1:38" x14ac:dyDescent="0.25">
      <c r="A2465">
        <v>2464</v>
      </c>
      <c r="B2465" t="str">
        <f xml:space="preserve"> "600730"</f>
        <v>600730</v>
      </c>
      <c r="C2465" t="s">
        <v>7636</v>
      </c>
      <c r="D2465">
        <v>8.2899999999999991</v>
      </c>
      <c r="E2465">
        <v>0</v>
      </c>
      <c r="F2465">
        <v>0</v>
      </c>
      <c r="G2465" t="s">
        <v>2427</v>
      </c>
      <c r="H2465">
        <v>32</v>
      </c>
      <c r="I2465">
        <v>8.2899999999999991</v>
      </c>
      <c r="J2465">
        <v>8.3000000000000007</v>
      </c>
      <c r="K2465">
        <v>0</v>
      </c>
      <c r="L2465">
        <v>0.55000000000000004</v>
      </c>
      <c r="M2465" t="s">
        <v>7637</v>
      </c>
      <c r="N2465">
        <v>33.25</v>
      </c>
      <c r="O2465" t="s">
        <v>244</v>
      </c>
      <c r="P2465">
        <v>8.35</v>
      </c>
      <c r="Q2465">
        <v>8.23</v>
      </c>
      <c r="R2465">
        <v>8.27</v>
      </c>
      <c r="S2465">
        <v>8.2899999999999991</v>
      </c>
      <c r="T2465">
        <v>1.45</v>
      </c>
      <c r="U2465">
        <v>0.63</v>
      </c>
      <c r="V2465">
        <v>-6.57</v>
      </c>
      <c r="W2465">
        <v>-547</v>
      </c>
      <c r="X2465">
        <v>8.2899999999999991</v>
      </c>
      <c r="Y2465" t="s">
        <v>3798</v>
      </c>
      <c r="Z2465" t="s">
        <v>2580</v>
      </c>
      <c r="AA2465">
        <v>0.83</v>
      </c>
      <c r="AB2465">
        <v>982</v>
      </c>
      <c r="AC2465">
        <v>1830</v>
      </c>
      <c r="AD2465">
        <v>2.39</v>
      </c>
      <c r="AE2465" t="s">
        <v>3893</v>
      </c>
      <c r="AF2465" t="s">
        <v>7389</v>
      </c>
      <c r="AG2465" t="s">
        <v>3893</v>
      </c>
      <c r="AH2465" t="s">
        <v>7389</v>
      </c>
      <c r="AI2465">
        <v>-1.43</v>
      </c>
      <c r="AJ2465">
        <v>4.41</v>
      </c>
      <c r="AK2465">
        <v>2.11</v>
      </c>
      <c r="AL2465">
        <v>4.8499999999999996</v>
      </c>
    </row>
    <row r="2466" spans="1:38" x14ac:dyDescent="0.25">
      <c r="A2466">
        <v>2465</v>
      </c>
      <c r="B2466" t="str">
        <f xml:space="preserve"> "300379"</f>
        <v>300379</v>
      </c>
      <c r="C2466" t="s">
        <v>7638</v>
      </c>
      <c r="D2466">
        <v>17.55</v>
      </c>
      <c r="E2466">
        <v>-0.56999999999999995</v>
      </c>
      <c r="F2466">
        <v>-0.1</v>
      </c>
      <c r="G2466" t="s">
        <v>5784</v>
      </c>
      <c r="H2466">
        <v>811</v>
      </c>
      <c r="I2466">
        <v>17.55</v>
      </c>
      <c r="J2466">
        <v>17.559999999999999</v>
      </c>
      <c r="K2466">
        <v>-0.06</v>
      </c>
      <c r="L2466">
        <v>3.68</v>
      </c>
      <c r="M2466" t="s">
        <v>918</v>
      </c>
      <c r="N2466">
        <v>325.64999999999998</v>
      </c>
      <c r="O2466" t="s">
        <v>893</v>
      </c>
      <c r="P2466">
        <v>17.7</v>
      </c>
      <c r="Q2466">
        <v>17.2</v>
      </c>
      <c r="R2466">
        <v>17.48</v>
      </c>
      <c r="S2466">
        <v>17.649999999999999</v>
      </c>
      <c r="T2466">
        <v>2.83</v>
      </c>
      <c r="U2466">
        <v>0.66</v>
      </c>
      <c r="V2466">
        <v>2.69</v>
      </c>
      <c r="W2466">
        <v>46</v>
      </c>
      <c r="X2466">
        <v>17.440000000000001</v>
      </c>
      <c r="Y2466" t="s">
        <v>2398</v>
      </c>
      <c r="Z2466" t="s">
        <v>1111</v>
      </c>
      <c r="AA2466">
        <v>1.1299999999999999</v>
      </c>
      <c r="AB2466">
        <v>702</v>
      </c>
      <c r="AC2466">
        <v>21</v>
      </c>
      <c r="AD2466">
        <v>2.76</v>
      </c>
      <c r="AE2466" t="s">
        <v>1948</v>
      </c>
      <c r="AF2466" t="s">
        <v>7389</v>
      </c>
      <c r="AG2466" t="s">
        <v>1371</v>
      </c>
      <c r="AH2466" t="s">
        <v>2726</v>
      </c>
      <c r="AI2466">
        <v>-2.39</v>
      </c>
      <c r="AJ2466">
        <v>6.36</v>
      </c>
      <c r="AK2466">
        <v>13.35</v>
      </c>
      <c r="AL2466">
        <v>31.74</v>
      </c>
    </row>
    <row r="2467" spans="1:38" x14ac:dyDescent="0.25">
      <c r="A2467">
        <v>2466</v>
      </c>
      <c r="B2467" t="str">
        <f xml:space="preserve"> "300493"</f>
        <v>300493</v>
      </c>
      <c r="C2467" t="s">
        <v>7639</v>
      </c>
      <c r="D2467">
        <v>16.2</v>
      </c>
      <c r="E2467">
        <v>-0.25</v>
      </c>
      <c r="F2467">
        <v>-0.04</v>
      </c>
      <c r="G2467" t="s">
        <v>3230</v>
      </c>
      <c r="H2467">
        <v>504</v>
      </c>
      <c r="I2467">
        <v>16.190000000000001</v>
      </c>
      <c r="J2467">
        <v>16.2</v>
      </c>
      <c r="K2467">
        <v>0.06</v>
      </c>
      <c r="L2467">
        <v>1.5</v>
      </c>
      <c r="M2467" t="s">
        <v>7640</v>
      </c>
      <c r="N2467">
        <v>84.27</v>
      </c>
      <c r="O2467" t="s">
        <v>553</v>
      </c>
      <c r="P2467">
        <v>16.3</v>
      </c>
      <c r="Q2467">
        <v>16.09</v>
      </c>
      <c r="R2467">
        <v>16.2</v>
      </c>
      <c r="S2467">
        <v>16.239999999999998</v>
      </c>
      <c r="T2467">
        <v>1.29</v>
      </c>
      <c r="U2467">
        <v>0.34</v>
      </c>
      <c r="V2467">
        <v>25.91</v>
      </c>
      <c r="W2467">
        <v>224</v>
      </c>
      <c r="X2467">
        <v>16.18</v>
      </c>
      <c r="Y2467" t="s">
        <v>480</v>
      </c>
      <c r="Z2467">
        <v>9883</v>
      </c>
      <c r="AA2467">
        <v>1.35</v>
      </c>
      <c r="AB2467">
        <v>117</v>
      </c>
      <c r="AC2467">
        <v>21</v>
      </c>
      <c r="AD2467">
        <v>10.11</v>
      </c>
      <c r="AE2467" t="s">
        <v>950</v>
      </c>
      <c r="AF2467" t="s">
        <v>7389</v>
      </c>
      <c r="AG2467" t="s">
        <v>2049</v>
      </c>
      <c r="AH2467" t="s">
        <v>782</v>
      </c>
      <c r="AI2467">
        <v>-5.65</v>
      </c>
      <c r="AJ2467">
        <v>-2.17</v>
      </c>
      <c r="AK2467">
        <v>9.3800000000000008</v>
      </c>
      <c r="AL2467">
        <v>23.8</v>
      </c>
    </row>
    <row r="2468" spans="1:38" x14ac:dyDescent="0.25">
      <c r="A2468">
        <v>2467</v>
      </c>
      <c r="B2468" t="str">
        <f xml:space="preserve"> "600592"</f>
        <v>600592</v>
      </c>
      <c r="C2468" t="s">
        <v>7641</v>
      </c>
      <c r="D2468">
        <v>12.15</v>
      </c>
      <c r="E2468">
        <v>-1.1399999999999999</v>
      </c>
      <c r="F2468">
        <v>-0.14000000000000001</v>
      </c>
      <c r="G2468" t="s">
        <v>1876</v>
      </c>
      <c r="H2468">
        <v>110</v>
      </c>
      <c r="I2468">
        <v>12.15</v>
      </c>
      <c r="J2468">
        <v>12.17</v>
      </c>
      <c r="K2468">
        <v>0</v>
      </c>
      <c r="L2468">
        <v>1.93</v>
      </c>
      <c r="M2468" t="s">
        <v>7642</v>
      </c>
      <c r="N2468">
        <v>83.4</v>
      </c>
      <c r="O2468" t="s">
        <v>648</v>
      </c>
      <c r="P2468">
        <v>12.34</v>
      </c>
      <c r="Q2468">
        <v>12.13</v>
      </c>
      <c r="R2468">
        <v>12.28</v>
      </c>
      <c r="S2468">
        <v>12.29</v>
      </c>
      <c r="T2468">
        <v>1.71</v>
      </c>
      <c r="U2468">
        <v>0.72</v>
      </c>
      <c r="V2468">
        <v>-23.69</v>
      </c>
      <c r="W2468">
        <v>-855</v>
      </c>
      <c r="X2468">
        <v>12.22</v>
      </c>
      <c r="Y2468" t="s">
        <v>2023</v>
      </c>
      <c r="Z2468" t="s">
        <v>659</v>
      </c>
      <c r="AA2468">
        <v>1.55</v>
      </c>
      <c r="AB2468">
        <v>39</v>
      </c>
      <c r="AC2468">
        <v>34</v>
      </c>
      <c r="AD2468">
        <v>2.61</v>
      </c>
      <c r="AE2468" t="s">
        <v>1000</v>
      </c>
      <c r="AF2468" t="s">
        <v>6582</v>
      </c>
      <c r="AG2468" t="s">
        <v>1000</v>
      </c>
      <c r="AH2468" t="s">
        <v>6582</v>
      </c>
      <c r="AI2468">
        <v>-1.46</v>
      </c>
      <c r="AJ2468">
        <v>2.1</v>
      </c>
      <c r="AK2468">
        <v>7.65</v>
      </c>
      <c r="AL2468">
        <v>15.24</v>
      </c>
    </row>
    <row r="2469" spans="1:38" x14ac:dyDescent="0.25">
      <c r="A2469">
        <v>2468</v>
      </c>
      <c r="B2469" t="str">
        <f xml:space="preserve"> "603903"</f>
        <v>603903</v>
      </c>
      <c r="C2469" t="s">
        <v>7643</v>
      </c>
      <c r="D2469">
        <v>47.34</v>
      </c>
      <c r="E2469">
        <v>9.99</v>
      </c>
      <c r="F2469">
        <v>4.3</v>
      </c>
      <c r="G2469" t="s">
        <v>2673</v>
      </c>
      <c r="H2469">
        <v>10</v>
      </c>
      <c r="I2469">
        <v>47.34</v>
      </c>
      <c r="J2469" t="s">
        <v>616</v>
      </c>
      <c r="K2469">
        <v>0</v>
      </c>
      <c r="L2469">
        <v>17.78</v>
      </c>
      <c r="M2469" t="s">
        <v>2519</v>
      </c>
      <c r="N2469">
        <v>173.5</v>
      </c>
      <c r="O2469" t="s">
        <v>1155</v>
      </c>
      <c r="P2469">
        <v>47.34</v>
      </c>
      <c r="Q2469">
        <v>42.8</v>
      </c>
      <c r="R2469">
        <v>42.8</v>
      </c>
      <c r="S2469">
        <v>43.04</v>
      </c>
      <c r="T2469">
        <v>10.55</v>
      </c>
      <c r="U2469">
        <v>2.83</v>
      </c>
      <c r="V2469">
        <v>100</v>
      </c>
      <c r="W2469" t="s">
        <v>1821</v>
      </c>
      <c r="X2469">
        <v>45.91</v>
      </c>
      <c r="Y2469" t="s">
        <v>3695</v>
      </c>
      <c r="Z2469" t="s">
        <v>2653</v>
      </c>
      <c r="AA2469">
        <v>1.1599999999999999</v>
      </c>
      <c r="AB2469" t="s">
        <v>2518</v>
      </c>
      <c r="AC2469">
        <v>0</v>
      </c>
      <c r="AD2469">
        <v>7.27</v>
      </c>
      <c r="AE2469" t="s">
        <v>2179</v>
      </c>
      <c r="AF2469" t="s">
        <v>6582</v>
      </c>
      <c r="AG2469" t="s">
        <v>7644</v>
      </c>
      <c r="AH2469" t="s">
        <v>2071</v>
      </c>
      <c r="AI2469">
        <v>6.67</v>
      </c>
      <c r="AJ2469">
        <v>10.69</v>
      </c>
      <c r="AK2469">
        <v>29.24</v>
      </c>
      <c r="AL2469">
        <v>49.21</v>
      </c>
    </row>
    <row r="2470" spans="1:38" x14ac:dyDescent="0.25">
      <c r="A2470">
        <v>2469</v>
      </c>
      <c r="B2470" t="str">
        <f xml:space="preserve"> "603300"</f>
        <v>603300</v>
      </c>
      <c r="C2470" t="s">
        <v>7645</v>
      </c>
      <c r="D2470">
        <v>11.96</v>
      </c>
      <c r="E2470">
        <v>-0.83</v>
      </c>
      <c r="F2470">
        <v>-0.1</v>
      </c>
      <c r="G2470" t="s">
        <v>4213</v>
      </c>
      <c r="H2470">
        <v>34</v>
      </c>
      <c r="I2470">
        <v>11.96</v>
      </c>
      <c r="J2470">
        <v>11.97</v>
      </c>
      <c r="K2470">
        <v>-0.08</v>
      </c>
      <c r="L2470">
        <v>3.16</v>
      </c>
      <c r="M2470" t="s">
        <v>1635</v>
      </c>
      <c r="N2470">
        <v>85.39</v>
      </c>
      <c r="O2470" t="s">
        <v>482</v>
      </c>
      <c r="P2470">
        <v>12.16</v>
      </c>
      <c r="Q2470">
        <v>11.92</v>
      </c>
      <c r="R2470">
        <v>12.05</v>
      </c>
      <c r="S2470">
        <v>12.06</v>
      </c>
      <c r="T2470">
        <v>1.99</v>
      </c>
      <c r="U2470">
        <v>0.94</v>
      </c>
      <c r="V2470">
        <v>-11.39</v>
      </c>
      <c r="W2470">
        <v>-359</v>
      </c>
      <c r="X2470">
        <v>12.01</v>
      </c>
      <c r="Y2470" t="s">
        <v>3111</v>
      </c>
      <c r="Z2470" t="s">
        <v>1090</v>
      </c>
      <c r="AA2470">
        <v>1.38</v>
      </c>
      <c r="AB2470">
        <v>88</v>
      </c>
      <c r="AC2470">
        <v>260</v>
      </c>
      <c r="AD2470">
        <v>4.32</v>
      </c>
      <c r="AE2470" t="s">
        <v>2626</v>
      </c>
      <c r="AF2470" t="s">
        <v>6582</v>
      </c>
      <c r="AG2470" t="s">
        <v>273</v>
      </c>
      <c r="AH2470" t="s">
        <v>975</v>
      </c>
      <c r="AI2470">
        <v>1.61</v>
      </c>
      <c r="AJ2470">
        <v>4.18</v>
      </c>
      <c r="AK2470">
        <v>13.96</v>
      </c>
      <c r="AL2470">
        <v>20.03</v>
      </c>
    </row>
    <row r="2471" spans="1:38" x14ac:dyDescent="0.25">
      <c r="A2471">
        <v>2470</v>
      </c>
      <c r="B2471" t="str">
        <f xml:space="preserve"> "300599"</f>
        <v>300599</v>
      </c>
      <c r="C2471" t="s">
        <v>7646</v>
      </c>
      <c r="D2471">
        <v>15.94</v>
      </c>
      <c r="E2471">
        <v>2.77</v>
      </c>
      <c r="F2471">
        <v>0.43</v>
      </c>
      <c r="G2471" t="s">
        <v>650</v>
      </c>
      <c r="H2471">
        <v>815</v>
      </c>
      <c r="I2471">
        <v>15.92</v>
      </c>
      <c r="J2471">
        <v>15.94</v>
      </c>
      <c r="K2471">
        <v>-0.06</v>
      </c>
      <c r="L2471">
        <v>5.76</v>
      </c>
      <c r="M2471" t="s">
        <v>3176</v>
      </c>
      <c r="N2471">
        <v>55.59</v>
      </c>
      <c r="O2471" t="s">
        <v>2128</v>
      </c>
      <c r="P2471">
        <v>16.07</v>
      </c>
      <c r="Q2471">
        <v>15.52</v>
      </c>
      <c r="R2471">
        <v>15.56</v>
      </c>
      <c r="S2471">
        <v>15.51</v>
      </c>
      <c r="T2471">
        <v>3.55</v>
      </c>
      <c r="U2471">
        <v>2.4500000000000002</v>
      </c>
      <c r="V2471">
        <v>-23.03</v>
      </c>
      <c r="W2471">
        <v>-301</v>
      </c>
      <c r="X2471">
        <v>15.85</v>
      </c>
      <c r="Y2471" t="s">
        <v>3130</v>
      </c>
      <c r="Z2471" t="s">
        <v>623</v>
      </c>
      <c r="AA2471">
        <v>0.63</v>
      </c>
      <c r="AB2471">
        <v>157</v>
      </c>
      <c r="AC2471">
        <v>274</v>
      </c>
      <c r="AD2471">
        <v>4.3099999999999996</v>
      </c>
      <c r="AE2471" t="s">
        <v>1696</v>
      </c>
      <c r="AF2471" t="s">
        <v>6582</v>
      </c>
      <c r="AG2471" t="s">
        <v>7647</v>
      </c>
      <c r="AH2471" t="s">
        <v>2071</v>
      </c>
      <c r="AI2471">
        <v>1.72</v>
      </c>
      <c r="AJ2471">
        <v>5.42</v>
      </c>
      <c r="AK2471">
        <v>11.32</v>
      </c>
      <c r="AL2471">
        <v>17.54</v>
      </c>
    </row>
    <row r="2472" spans="1:38" x14ac:dyDescent="0.25">
      <c r="A2472">
        <v>2471</v>
      </c>
      <c r="B2472" t="str">
        <f xml:space="preserve"> "600173"</f>
        <v>600173</v>
      </c>
      <c r="C2472" t="s">
        <v>7648</v>
      </c>
      <c r="D2472">
        <v>6.68</v>
      </c>
      <c r="E2472">
        <v>0.45</v>
      </c>
      <c r="F2472">
        <v>0.03</v>
      </c>
      <c r="G2472" t="s">
        <v>1960</v>
      </c>
      <c r="H2472">
        <v>300</v>
      </c>
      <c r="I2472">
        <v>6.67</v>
      </c>
      <c r="J2472">
        <v>6.68</v>
      </c>
      <c r="K2472">
        <v>0</v>
      </c>
      <c r="L2472">
        <v>0.53</v>
      </c>
      <c r="M2472" t="s">
        <v>7649</v>
      </c>
      <c r="N2472">
        <v>27.13</v>
      </c>
      <c r="O2472" t="s">
        <v>244</v>
      </c>
      <c r="P2472">
        <v>6.69</v>
      </c>
      <c r="Q2472">
        <v>6.62</v>
      </c>
      <c r="R2472">
        <v>6.66</v>
      </c>
      <c r="S2472">
        <v>6.65</v>
      </c>
      <c r="T2472">
        <v>1.05</v>
      </c>
      <c r="U2472">
        <v>0.56999999999999995</v>
      </c>
      <c r="V2472">
        <v>16.579999999999998</v>
      </c>
      <c r="W2472">
        <v>1872</v>
      </c>
      <c r="X2472">
        <v>6.66</v>
      </c>
      <c r="Y2472" t="s">
        <v>713</v>
      </c>
      <c r="Z2472" t="s">
        <v>1420</v>
      </c>
      <c r="AA2472">
        <v>0.79</v>
      </c>
      <c r="AB2472">
        <v>422</v>
      </c>
      <c r="AC2472">
        <v>159</v>
      </c>
      <c r="AD2472">
        <v>2.8</v>
      </c>
      <c r="AE2472" t="s">
        <v>3845</v>
      </c>
      <c r="AF2472" t="s">
        <v>6017</v>
      </c>
      <c r="AG2472" t="s">
        <v>3845</v>
      </c>
      <c r="AH2472" t="s">
        <v>6017</v>
      </c>
      <c r="AI2472">
        <v>-0.74</v>
      </c>
      <c r="AJ2472">
        <v>2.4500000000000002</v>
      </c>
      <c r="AK2472">
        <v>1.94</v>
      </c>
      <c r="AL2472">
        <v>5.18</v>
      </c>
    </row>
    <row r="2473" spans="1:38" x14ac:dyDescent="0.25">
      <c r="A2473">
        <v>2472</v>
      </c>
      <c r="B2473" t="str">
        <f xml:space="preserve"> "002339"</f>
        <v>002339</v>
      </c>
      <c r="C2473" t="s">
        <v>7650</v>
      </c>
      <c r="D2473">
        <v>12.3</v>
      </c>
      <c r="E2473">
        <v>0.08</v>
      </c>
      <c r="F2473">
        <v>0.01</v>
      </c>
      <c r="G2473" t="s">
        <v>3972</v>
      </c>
      <c r="H2473">
        <v>436</v>
      </c>
      <c r="I2473">
        <v>12.29</v>
      </c>
      <c r="J2473">
        <v>12.3</v>
      </c>
      <c r="K2473">
        <v>-0.08</v>
      </c>
      <c r="L2473">
        <v>1.82</v>
      </c>
      <c r="M2473" t="s">
        <v>7651</v>
      </c>
      <c r="N2473">
        <v>-311.06</v>
      </c>
      <c r="O2473" t="s">
        <v>893</v>
      </c>
      <c r="P2473">
        <v>12.37</v>
      </c>
      <c r="Q2473">
        <v>12.2</v>
      </c>
      <c r="R2473">
        <v>12.24</v>
      </c>
      <c r="S2473">
        <v>12.29</v>
      </c>
      <c r="T2473">
        <v>1.38</v>
      </c>
      <c r="U2473">
        <v>0.57999999999999996</v>
      </c>
      <c r="V2473">
        <v>-23.99</v>
      </c>
      <c r="W2473">
        <v>-639</v>
      </c>
      <c r="X2473">
        <v>12.28</v>
      </c>
      <c r="Y2473" t="s">
        <v>2298</v>
      </c>
      <c r="Z2473" t="s">
        <v>2786</v>
      </c>
      <c r="AA2473">
        <v>1.26</v>
      </c>
      <c r="AB2473">
        <v>157</v>
      </c>
      <c r="AC2473">
        <v>90</v>
      </c>
      <c r="AD2473">
        <v>3.21</v>
      </c>
      <c r="AE2473" t="s">
        <v>2817</v>
      </c>
      <c r="AF2473" t="s">
        <v>6017</v>
      </c>
      <c r="AG2473" t="s">
        <v>7152</v>
      </c>
      <c r="AH2473" t="s">
        <v>6791</v>
      </c>
      <c r="AI2473">
        <v>-1.05</v>
      </c>
      <c r="AJ2473">
        <v>1.32</v>
      </c>
      <c r="AK2473">
        <v>7.95</v>
      </c>
      <c r="AL2473">
        <v>17.399999999999999</v>
      </c>
    </row>
    <row r="2474" spans="1:38" x14ac:dyDescent="0.25">
      <c r="A2474">
        <v>2473</v>
      </c>
      <c r="B2474" t="str">
        <f xml:space="preserve"> "300455"</f>
        <v>300455</v>
      </c>
      <c r="C2474" t="s">
        <v>7652</v>
      </c>
      <c r="D2474">
        <v>12.32</v>
      </c>
      <c r="E2474">
        <v>-0.88</v>
      </c>
      <c r="F2474">
        <v>-0.11</v>
      </c>
      <c r="G2474" t="s">
        <v>1190</v>
      </c>
      <c r="H2474">
        <v>672</v>
      </c>
      <c r="I2474">
        <v>12.32</v>
      </c>
      <c r="J2474">
        <v>12.33</v>
      </c>
      <c r="K2474">
        <v>0</v>
      </c>
      <c r="L2474">
        <v>2.3199999999999998</v>
      </c>
      <c r="M2474" t="s">
        <v>7653</v>
      </c>
      <c r="N2474">
        <v>110.31</v>
      </c>
      <c r="O2474" t="s">
        <v>553</v>
      </c>
      <c r="P2474">
        <v>12.43</v>
      </c>
      <c r="Q2474">
        <v>12.25</v>
      </c>
      <c r="R2474">
        <v>12.4</v>
      </c>
      <c r="S2474">
        <v>12.43</v>
      </c>
      <c r="T2474">
        <v>1.45</v>
      </c>
      <c r="U2474">
        <v>0.4</v>
      </c>
      <c r="V2474">
        <v>52.51</v>
      </c>
      <c r="W2474">
        <v>831</v>
      </c>
      <c r="X2474">
        <v>12.32</v>
      </c>
      <c r="Y2474" t="s">
        <v>1076</v>
      </c>
      <c r="Z2474" t="s">
        <v>75</v>
      </c>
      <c r="AA2474">
        <v>1.88</v>
      </c>
      <c r="AB2474">
        <v>221</v>
      </c>
      <c r="AC2474">
        <v>106</v>
      </c>
      <c r="AD2474">
        <v>7.4</v>
      </c>
      <c r="AE2474" t="s">
        <v>4560</v>
      </c>
      <c r="AF2474" t="s">
        <v>1633</v>
      </c>
      <c r="AG2474" t="s">
        <v>315</v>
      </c>
      <c r="AH2474" t="s">
        <v>1897</v>
      </c>
      <c r="AI2474">
        <v>-2.5299999999999998</v>
      </c>
      <c r="AJ2474">
        <v>0.56999999999999995</v>
      </c>
      <c r="AK2474">
        <v>9.61</v>
      </c>
      <c r="AL2474">
        <v>31.39</v>
      </c>
    </row>
    <row r="2475" spans="1:38" x14ac:dyDescent="0.25">
      <c r="A2475">
        <v>2474</v>
      </c>
      <c r="B2475" t="str">
        <f xml:space="preserve"> "002827"</f>
        <v>002827</v>
      </c>
      <c r="C2475" t="s">
        <v>7654</v>
      </c>
      <c r="D2475">
        <v>26.24</v>
      </c>
      <c r="E2475">
        <v>2.1</v>
      </c>
      <c r="F2475">
        <v>0.54</v>
      </c>
      <c r="G2475" t="s">
        <v>2846</v>
      </c>
      <c r="H2475">
        <v>451</v>
      </c>
      <c r="I2475">
        <v>26.24</v>
      </c>
      <c r="J2475">
        <v>26.25</v>
      </c>
      <c r="K2475">
        <v>0.04</v>
      </c>
      <c r="L2475">
        <v>5.86</v>
      </c>
      <c r="M2475" t="s">
        <v>7460</v>
      </c>
      <c r="N2475">
        <v>43.18</v>
      </c>
      <c r="O2475" t="s">
        <v>667</v>
      </c>
      <c r="P2475">
        <v>26.47</v>
      </c>
      <c r="Q2475">
        <v>25.63</v>
      </c>
      <c r="R2475">
        <v>25.72</v>
      </c>
      <c r="S2475">
        <v>25.7</v>
      </c>
      <c r="T2475">
        <v>3.27</v>
      </c>
      <c r="U2475">
        <v>1.46</v>
      </c>
      <c r="V2475">
        <v>16.22</v>
      </c>
      <c r="W2475">
        <v>180</v>
      </c>
      <c r="X2475">
        <v>26.15</v>
      </c>
      <c r="Y2475" t="s">
        <v>1869</v>
      </c>
      <c r="Z2475" t="s">
        <v>1508</v>
      </c>
      <c r="AA2475">
        <v>0.73</v>
      </c>
      <c r="AB2475">
        <v>165</v>
      </c>
      <c r="AC2475">
        <v>261</v>
      </c>
      <c r="AD2475">
        <v>6.39</v>
      </c>
      <c r="AE2475" t="s">
        <v>2267</v>
      </c>
      <c r="AF2475" t="s">
        <v>1633</v>
      </c>
      <c r="AG2475" t="s">
        <v>2415</v>
      </c>
      <c r="AH2475" t="s">
        <v>2071</v>
      </c>
      <c r="AI2475">
        <v>0.27</v>
      </c>
      <c r="AJ2475">
        <v>1.86</v>
      </c>
      <c r="AK2475">
        <v>14</v>
      </c>
      <c r="AL2475">
        <v>25.96</v>
      </c>
    </row>
    <row r="2476" spans="1:38" x14ac:dyDescent="0.25">
      <c r="A2476">
        <v>2475</v>
      </c>
      <c r="B2476" t="str">
        <f xml:space="preserve"> "603936"</f>
        <v>603936</v>
      </c>
      <c r="C2476" t="s">
        <v>7655</v>
      </c>
      <c r="D2476" t="s">
        <v>616</v>
      </c>
      <c r="E2476" t="s">
        <v>616</v>
      </c>
      <c r="F2476" t="s">
        <v>616</v>
      </c>
      <c r="G2476" t="s">
        <v>616</v>
      </c>
      <c r="H2476" t="s">
        <v>616</v>
      </c>
      <c r="I2476" t="s">
        <v>616</v>
      </c>
      <c r="J2476" t="s">
        <v>616</v>
      </c>
      <c r="K2476" t="s">
        <v>616</v>
      </c>
      <c r="L2476" t="s">
        <v>616</v>
      </c>
      <c r="M2476" t="s">
        <v>616</v>
      </c>
      <c r="N2476">
        <v>66.239999999999995</v>
      </c>
      <c r="O2476" t="s">
        <v>380</v>
      </c>
      <c r="P2476" t="s">
        <v>616</v>
      </c>
      <c r="Q2476" t="s">
        <v>616</v>
      </c>
      <c r="R2476" t="s">
        <v>616</v>
      </c>
      <c r="S2476">
        <v>28.85</v>
      </c>
      <c r="T2476" t="s">
        <v>616</v>
      </c>
      <c r="U2476" t="s">
        <v>616</v>
      </c>
      <c r="V2476" t="s">
        <v>616</v>
      </c>
      <c r="W2476" t="s">
        <v>616</v>
      </c>
      <c r="X2476" t="s">
        <v>616</v>
      </c>
      <c r="Y2476" t="s">
        <v>616</v>
      </c>
      <c r="Z2476" t="s">
        <v>616</v>
      </c>
      <c r="AA2476" t="s">
        <v>616</v>
      </c>
      <c r="AB2476" t="s">
        <v>616</v>
      </c>
      <c r="AC2476" t="s">
        <v>616</v>
      </c>
      <c r="AD2476">
        <v>5.03</v>
      </c>
      <c r="AE2476" t="s">
        <v>5701</v>
      </c>
      <c r="AF2476" t="s">
        <v>1633</v>
      </c>
      <c r="AG2476" t="s">
        <v>7656</v>
      </c>
      <c r="AH2476" t="s">
        <v>2648</v>
      </c>
      <c r="AI2476">
        <v>0</v>
      </c>
      <c r="AJ2476">
        <v>0</v>
      </c>
      <c r="AK2476">
        <v>0</v>
      </c>
      <c r="AL2476">
        <v>0</v>
      </c>
    </row>
    <row r="2477" spans="1:38" x14ac:dyDescent="0.25">
      <c r="A2477">
        <v>2476</v>
      </c>
      <c r="B2477" t="str">
        <f xml:space="preserve"> "300648"</f>
        <v>300648</v>
      </c>
      <c r="C2477" t="s">
        <v>7657</v>
      </c>
      <c r="D2477">
        <v>71.3</v>
      </c>
      <c r="E2477">
        <v>0.96</v>
      </c>
      <c r="F2477">
        <v>0.68</v>
      </c>
      <c r="G2477">
        <v>6021</v>
      </c>
      <c r="H2477">
        <v>61</v>
      </c>
      <c r="I2477">
        <v>71.3</v>
      </c>
      <c r="J2477">
        <v>71.319999999999993</v>
      </c>
      <c r="K2477">
        <v>0</v>
      </c>
      <c r="L2477">
        <v>3.54</v>
      </c>
      <c r="M2477" t="s">
        <v>4740</v>
      </c>
      <c r="N2477">
        <v>117.54</v>
      </c>
      <c r="O2477" t="s">
        <v>1372</v>
      </c>
      <c r="P2477">
        <v>72.5</v>
      </c>
      <c r="Q2477">
        <v>70.599999999999994</v>
      </c>
      <c r="R2477">
        <v>71.5</v>
      </c>
      <c r="S2477">
        <v>70.62</v>
      </c>
      <c r="T2477">
        <v>2.69</v>
      </c>
      <c r="U2477">
        <v>0.67</v>
      </c>
      <c r="V2477">
        <v>40.54</v>
      </c>
      <c r="W2477">
        <v>30</v>
      </c>
      <c r="X2477">
        <v>71.67</v>
      </c>
      <c r="Y2477">
        <v>2728</v>
      </c>
      <c r="Z2477">
        <v>3293</v>
      </c>
      <c r="AA2477">
        <v>0.83</v>
      </c>
      <c r="AB2477">
        <v>37</v>
      </c>
      <c r="AC2477">
        <v>1</v>
      </c>
      <c r="AD2477">
        <v>10.17</v>
      </c>
      <c r="AE2477" t="s">
        <v>6401</v>
      </c>
      <c r="AF2477" t="s">
        <v>1633</v>
      </c>
      <c r="AG2477" t="s">
        <v>6757</v>
      </c>
      <c r="AH2477" t="s">
        <v>2071</v>
      </c>
      <c r="AI2477">
        <v>-3.01</v>
      </c>
      <c r="AJ2477">
        <v>-6.25</v>
      </c>
      <c r="AK2477">
        <v>14.54</v>
      </c>
      <c r="AL2477">
        <v>30.06</v>
      </c>
    </row>
    <row r="2478" spans="1:38" x14ac:dyDescent="0.25">
      <c r="A2478">
        <v>2477</v>
      </c>
      <c r="B2478" t="str">
        <f xml:space="preserve"> "300579"</f>
        <v>300579</v>
      </c>
      <c r="C2478" t="s">
        <v>7658</v>
      </c>
      <c r="D2478">
        <v>60.32</v>
      </c>
      <c r="E2478">
        <v>-0.1</v>
      </c>
      <c r="F2478">
        <v>-0.06</v>
      </c>
      <c r="G2478" t="s">
        <v>1374</v>
      </c>
      <c r="H2478">
        <v>326</v>
      </c>
      <c r="I2478">
        <v>60.32</v>
      </c>
      <c r="J2478">
        <v>60.35</v>
      </c>
      <c r="K2478">
        <v>0.03</v>
      </c>
      <c r="L2478">
        <v>13.06</v>
      </c>
      <c r="M2478" t="s">
        <v>1820</v>
      </c>
      <c r="N2478">
        <v>73.66</v>
      </c>
      <c r="O2478" t="s">
        <v>893</v>
      </c>
      <c r="P2478">
        <v>61.86</v>
      </c>
      <c r="Q2478">
        <v>59.56</v>
      </c>
      <c r="R2478">
        <v>59.8</v>
      </c>
      <c r="S2478">
        <v>60.38</v>
      </c>
      <c r="T2478">
        <v>3.81</v>
      </c>
      <c r="U2478">
        <v>0.65</v>
      </c>
      <c r="V2478">
        <v>65.5</v>
      </c>
      <c r="W2478">
        <v>243</v>
      </c>
      <c r="X2478">
        <v>60.7</v>
      </c>
      <c r="Y2478" t="s">
        <v>1095</v>
      </c>
      <c r="Z2478" t="s">
        <v>5621</v>
      </c>
      <c r="AA2478">
        <v>0.92</v>
      </c>
      <c r="AB2478">
        <v>6</v>
      </c>
      <c r="AC2478">
        <v>19</v>
      </c>
      <c r="AD2478">
        <v>9.77</v>
      </c>
      <c r="AE2478" t="s">
        <v>5802</v>
      </c>
      <c r="AF2478" t="s">
        <v>1633</v>
      </c>
      <c r="AG2478" t="s">
        <v>5562</v>
      </c>
      <c r="AH2478" t="s">
        <v>2071</v>
      </c>
      <c r="AI2478">
        <v>-4.72</v>
      </c>
      <c r="AJ2478">
        <v>6.01</v>
      </c>
      <c r="AK2478">
        <v>48.87</v>
      </c>
      <c r="AL2478">
        <v>112.86</v>
      </c>
    </row>
    <row r="2479" spans="1:38" x14ac:dyDescent="0.25">
      <c r="A2479">
        <v>2478</v>
      </c>
      <c r="B2479" t="str">
        <f xml:space="preserve"> "600327"</f>
        <v>600327</v>
      </c>
      <c r="C2479" t="s">
        <v>7659</v>
      </c>
      <c r="D2479">
        <v>8.48</v>
      </c>
      <c r="E2479">
        <v>-0.12</v>
      </c>
      <c r="F2479">
        <v>-0.01</v>
      </c>
      <c r="G2479" t="s">
        <v>2226</v>
      </c>
      <c r="H2479">
        <v>32</v>
      </c>
      <c r="I2479">
        <v>8.48</v>
      </c>
      <c r="J2479">
        <v>8.49</v>
      </c>
      <c r="K2479">
        <v>0</v>
      </c>
      <c r="L2479">
        <v>0.71</v>
      </c>
      <c r="M2479" t="s">
        <v>7660</v>
      </c>
      <c r="N2479">
        <v>12.95</v>
      </c>
      <c r="O2479" t="s">
        <v>532</v>
      </c>
      <c r="P2479">
        <v>8.49</v>
      </c>
      <c r="Q2479">
        <v>8.41</v>
      </c>
      <c r="R2479">
        <v>8.4700000000000006</v>
      </c>
      <c r="S2479">
        <v>8.49</v>
      </c>
      <c r="T2479">
        <v>0.94</v>
      </c>
      <c r="U2479">
        <v>1.33</v>
      </c>
      <c r="V2479">
        <v>-39.15</v>
      </c>
      <c r="W2479">
        <v>-1176</v>
      </c>
      <c r="X2479">
        <v>8.44</v>
      </c>
      <c r="Y2479" t="s">
        <v>1704</v>
      </c>
      <c r="Z2479" t="s">
        <v>603</v>
      </c>
      <c r="AA2479">
        <v>1.85</v>
      </c>
      <c r="AB2479">
        <v>17</v>
      </c>
      <c r="AC2479">
        <v>416</v>
      </c>
      <c r="AD2479">
        <v>1.65</v>
      </c>
      <c r="AE2479" t="s">
        <v>4513</v>
      </c>
      <c r="AF2479" t="s">
        <v>2352</v>
      </c>
      <c r="AG2479" t="s">
        <v>4513</v>
      </c>
      <c r="AH2479" t="s">
        <v>2352</v>
      </c>
      <c r="AI2479">
        <v>-1.17</v>
      </c>
      <c r="AJ2479">
        <v>1.56</v>
      </c>
      <c r="AK2479">
        <v>1.77</v>
      </c>
      <c r="AL2479">
        <v>3.39</v>
      </c>
    </row>
    <row r="2480" spans="1:38" x14ac:dyDescent="0.25">
      <c r="A2480">
        <v>2479</v>
      </c>
      <c r="B2480" t="str">
        <f xml:space="preserve"> "300548"</f>
        <v>300548</v>
      </c>
      <c r="C2480" t="s">
        <v>7661</v>
      </c>
      <c r="D2480">
        <v>58.16</v>
      </c>
      <c r="E2480">
        <v>-2.87</v>
      </c>
      <c r="F2480">
        <v>-1.72</v>
      </c>
      <c r="G2480" t="s">
        <v>86</v>
      </c>
      <c r="H2480">
        <v>391</v>
      </c>
      <c r="I2480">
        <v>58.16</v>
      </c>
      <c r="J2480">
        <v>58.25</v>
      </c>
      <c r="K2480">
        <v>-0.14000000000000001</v>
      </c>
      <c r="L2480">
        <v>6.93</v>
      </c>
      <c r="M2480" t="s">
        <v>3923</v>
      </c>
      <c r="N2480">
        <v>57.22</v>
      </c>
      <c r="O2480" t="s">
        <v>580</v>
      </c>
      <c r="P2480">
        <v>60</v>
      </c>
      <c r="Q2480">
        <v>57.91</v>
      </c>
      <c r="R2480">
        <v>59.98</v>
      </c>
      <c r="S2480">
        <v>59.88</v>
      </c>
      <c r="T2480">
        <v>3.49</v>
      </c>
      <c r="U2480">
        <v>0.73</v>
      </c>
      <c r="V2480">
        <v>-33.799999999999997</v>
      </c>
      <c r="W2480">
        <v>-48</v>
      </c>
      <c r="X2480">
        <v>58.61</v>
      </c>
      <c r="Y2480" t="s">
        <v>4399</v>
      </c>
      <c r="Z2480">
        <v>9363</v>
      </c>
      <c r="AA2480">
        <v>1.52</v>
      </c>
      <c r="AB2480">
        <v>17</v>
      </c>
      <c r="AC2480">
        <v>17</v>
      </c>
      <c r="AD2480">
        <v>8.2899999999999991</v>
      </c>
      <c r="AE2480" t="s">
        <v>7662</v>
      </c>
      <c r="AF2480" t="s">
        <v>2352</v>
      </c>
      <c r="AG2480" t="s">
        <v>7663</v>
      </c>
      <c r="AH2480" t="s">
        <v>4818</v>
      </c>
      <c r="AI2480">
        <v>-4.34</v>
      </c>
      <c r="AJ2480">
        <v>-3.2</v>
      </c>
      <c r="AK2480">
        <v>21.69</v>
      </c>
      <c r="AL2480">
        <v>54.71</v>
      </c>
    </row>
    <row r="2481" spans="1:38" x14ac:dyDescent="0.25">
      <c r="A2481">
        <v>2480</v>
      </c>
      <c r="B2481" t="str">
        <f xml:space="preserve"> "603696"</f>
        <v>603696</v>
      </c>
      <c r="C2481" t="s">
        <v>7664</v>
      </c>
      <c r="D2481">
        <v>40.049999999999997</v>
      </c>
      <c r="E2481">
        <v>-0.2</v>
      </c>
      <c r="F2481">
        <v>-0.08</v>
      </c>
      <c r="G2481">
        <v>5094</v>
      </c>
      <c r="H2481">
        <v>1</v>
      </c>
      <c r="I2481">
        <v>40.01</v>
      </c>
      <c r="J2481">
        <v>40.049999999999997</v>
      </c>
      <c r="K2481">
        <v>-0.15</v>
      </c>
      <c r="L2481">
        <v>1.48</v>
      </c>
      <c r="M2481" t="s">
        <v>7665</v>
      </c>
      <c r="N2481">
        <v>141.4</v>
      </c>
      <c r="O2481" t="s">
        <v>406</v>
      </c>
      <c r="P2481">
        <v>40.869999999999997</v>
      </c>
      <c r="Q2481">
        <v>40</v>
      </c>
      <c r="R2481">
        <v>40.28</v>
      </c>
      <c r="S2481">
        <v>40.130000000000003</v>
      </c>
      <c r="T2481">
        <v>2.17</v>
      </c>
      <c r="U2481">
        <v>0.89</v>
      </c>
      <c r="V2481">
        <v>-14.58</v>
      </c>
      <c r="W2481">
        <v>-70</v>
      </c>
      <c r="X2481">
        <v>40.25</v>
      </c>
      <c r="Y2481">
        <v>2140</v>
      </c>
      <c r="Z2481">
        <v>2954</v>
      </c>
      <c r="AA2481">
        <v>0.72</v>
      </c>
      <c r="AB2481">
        <v>12</v>
      </c>
      <c r="AC2481">
        <v>62</v>
      </c>
      <c r="AD2481">
        <v>6.88</v>
      </c>
      <c r="AE2481" t="s">
        <v>918</v>
      </c>
      <c r="AF2481" t="s">
        <v>2352</v>
      </c>
      <c r="AG2481" t="s">
        <v>7666</v>
      </c>
      <c r="AH2481" t="s">
        <v>1047</v>
      </c>
      <c r="AI2481">
        <v>-0.65</v>
      </c>
      <c r="AJ2481">
        <v>0.25</v>
      </c>
      <c r="AK2481">
        <v>4.7300000000000004</v>
      </c>
      <c r="AL2481">
        <v>9.77</v>
      </c>
    </row>
    <row r="2482" spans="1:38" x14ac:dyDescent="0.25">
      <c r="A2482">
        <v>2481</v>
      </c>
      <c r="B2482" t="str">
        <f xml:space="preserve"> "603938"</f>
        <v>603938</v>
      </c>
      <c r="C2482" t="s">
        <v>7667</v>
      </c>
      <c r="D2482">
        <v>31.98</v>
      </c>
      <c r="E2482">
        <v>2.63</v>
      </c>
      <c r="F2482">
        <v>0.82</v>
      </c>
      <c r="G2482" t="s">
        <v>2421</v>
      </c>
      <c r="H2482">
        <v>2</v>
      </c>
      <c r="I2482">
        <v>31.95</v>
      </c>
      <c r="J2482">
        <v>31.97</v>
      </c>
      <c r="K2482">
        <v>0.16</v>
      </c>
      <c r="L2482">
        <v>11.63</v>
      </c>
      <c r="M2482" t="s">
        <v>3923</v>
      </c>
      <c r="N2482">
        <v>37.590000000000003</v>
      </c>
      <c r="O2482" t="s">
        <v>667</v>
      </c>
      <c r="P2482">
        <v>32.119999999999997</v>
      </c>
      <c r="Q2482">
        <v>31.11</v>
      </c>
      <c r="R2482">
        <v>31.4</v>
      </c>
      <c r="S2482">
        <v>31.16</v>
      </c>
      <c r="T2482">
        <v>3.24</v>
      </c>
      <c r="U2482">
        <v>1.35</v>
      </c>
      <c r="V2482">
        <v>-62.63</v>
      </c>
      <c r="W2482">
        <v>-543</v>
      </c>
      <c r="X2482">
        <v>31.79</v>
      </c>
      <c r="Y2482" t="s">
        <v>1340</v>
      </c>
      <c r="Z2482" t="s">
        <v>1341</v>
      </c>
      <c r="AA2482">
        <v>0.72</v>
      </c>
      <c r="AB2482">
        <v>96</v>
      </c>
      <c r="AC2482">
        <v>3</v>
      </c>
      <c r="AD2482">
        <v>5.34</v>
      </c>
      <c r="AE2482" t="s">
        <v>598</v>
      </c>
      <c r="AF2482" t="s">
        <v>984</v>
      </c>
      <c r="AG2482" t="s">
        <v>7668</v>
      </c>
      <c r="AH2482" t="s">
        <v>177</v>
      </c>
      <c r="AI2482">
        <v>1.04</v>
      </c>
      <c r="AJ2482">
        <v>4.68</v>
      </c>
      <c r="AK2482">
        <v>30.37</v>
      </c>
      <c r="AL2482">
        <v>54.88</v>
      </c>
    </row>
    <row r="2483" spans="1:38" x14ac:dyDescent="0.25">
      <c r="A2483">
        <v>2482</v>
      </c>
      <c r="B2483" t="str">
        <f xml:space="preserve"> "603011"</f>
        <v>603011</v>
      </c>
      <c r="C2483" t="s">
        <v>7669</v>
      </c>
      <c r="D2483">
        <v>10.76</v>
      </c>
      <c r="E2483">
        <v>-0.09</v>
      </c>
      <c r="F2483">
        <v>-0.01</v>
      </c>
      <c r="G2483">
        <v>9919</v>
      </c>
      <c r="H2483">
        <v>10</v>
      </c>
      <c r="I2483">
        <v>10.76</v>
      </c>
      <c r="J2483">
        <v>10.77</v>
      </c>
      <c r="K2483">
        <v>0</v>
      </c>
      <c r="L2483">
        <v>0.38</v>
      </c>
      <c r="M2483" t="s">
        <v>7670</v>
      </c>
      <c r="N2483">
        <v>86.74</v>
      </c>
      <c r="O2483" t="s">
        <v>648</v>
      </c>
      <c r="P2483">
        <v>10.79</v>
      </c>
      <c r="Q2483">
        <v>10.74</v>
      </c>
      <c r="R2483">
        <v>10.74</v>
      </c>
      <c r="S2483">
        <v>10.77</v>
      </c>
      <c r="T2483">
        <v>0.46</v>
      </c>
      <c r="U2483">
        <v>0.56999999999999995</v>
      </c>
      <c r="V2483">
        <v>-16.63</v>
      </c>
      <c r="W2483">
        <v>-758</v>
      </c>
      <c r="X2483">
        <v>10.76</v>
      </c>
      <c r="Y2483">
        <v>6101</v>
      </c>
      <c r="Z2483">
        <v>3818</v>
      </c>
      <c r="AA2483">
        <v>1.6</v>
      </c>
      <c r="AB2483">
        <v>158</v>
      </c>
      <c r="AC2483">
        <v>174</v>
      </c>
      <c r="AD2483">
        <v>2.85</v>
      </c>
      <c r="AE2483" t="s">
        <v>2744</v>
      </c>
      <c r="AF2483" t="s">
        <v>984</v>
      </c>
      <c r="AG2483" t="s">
        <v>1770</v>
      </c>
      <c r="AH2483" t="s">
        <v>1023</v>
      </c>
      <c r="AI2483">
        <v>-0.46</v>
      </c>
      <c r="AJ2483">
        <v>-0.09</v>
      </c>
      <c r="AK2483">
        <v>1.68</v>
      </c>
      <c r="AL2483">
        <v>3.69</v>
      </c>
    </row>
    <row r="2484" spans="1:38" x14ac:dyDescent="0.25">
      <c r="A2484">
        <v>2483</v>
      </c>
      <c r="B2484" t="str">
        <f xml:space="preserve"> "300152"</f>
        <v>300152</v>
      </c>
      <c r="C2484" t="s">
        <v>7671</v>
      </c>
      <c r="D2484" t="s">
        <v>616</v>
      </c>
      <c r="E2484" t="s">
        <v>616</v>
      </c>
      <c r="F2484" t="s">
        <v>616</v>
      </c>
      <c r="G2484" t="s">
        <v>616</v>
      </c>
      <c r="H2484" t="s">
        <v>616</v>
      </c>
      <c r="I2484" t="s">
        <v>616</v>
      </c>
      <c r="J2484" t="s">
        <v>616</v>
      </c>
      <c r="K2484" t="s">
        <v>616</v>
      </c>
      <c r="L2484" t="s">
        <v>616</v>
      </c>
      <c r="M2484" t="s">
        <v>616</v>
      </c>
      <c r="N2484">
        <v>94.79</v>
      </c>
      <c r="O2484" t="s">
        <v>1155</v>
      </c>
      <c r="P2484" t="s">
        <v>616</v>
      </c>
      <c r="Q2484" t="s">
        <v>616</v>
      </c>
      <c r="R2484" t="s">
        <v>616</v>
      </c>
      <c r="S2484">
        <v>6.73</v>
      </c>
      <c r="T2484" t="s">
        <v>616</v>
      </c>
      <c r="U2484" t="s">
        <v>616</v>
      </c>
      <c r="V2484" t="s">
        <v>616</v>
      </c>
      <c r="W2484" t="s">
        <v>616</v>
      </c>
      <c r="X2484" t="s">
        <v>616</v>
      </c>
      <c r="Y2484" t="s">
        <v>616</v>
      </c>
      <c r="Z2484" t="s">
        <v>616</v>
      </c>
      <c r="AA2484" t="s">
        <v>616</v>
      </c>
      <c r="AB2484" t="s">
        <v>616</v>
      </c>
      <c r="AC2484" t="s">
        <v>616</v>
      </c>
      <c r="AD2484">
        <v>3.47</v>
      </c>
      <c r="AE2484" t="s">
        <v>4273</v>
      </c>
      <c r="AF2484" t="s">
        <v>984</v>
      </c>
      <c r="AG2484" t="s">
        <v>4273</v>
      </c>
      <c r="AH2484" t="s">
        <v>984</v>
      </c>
      <c r="AI2484">
        <v>0</v>
      </c>
      <c r="AJ2484">
        <v>0</v>
      </c>
      <c r="AK2484">
        <v>0</v>
      </c>
      <c r="AL2484">
        <v>0</v>
      </c>
    </row>
    <row r="2485" spans="1:38" x14ac:dyDescent="0.25">
      <c r="A2485">
        <v>2484</v>
      </c>
      <c r="B2485" t="str">
        <f xml:space="preserve"> "002088"</f>
        <v>002088</v>
      </c>
      <c r="C2485" t="s">
        <v>7672</v>
      </c>
      <c r="D2485">
        <v>13.65</v>
      </c>
      <c r="E2485">
        <v>1.56</v>
      </c>
      <c r="F2485">
        <v>0.21</v>
      </c>
      <c r="G2485" t="s">
        <v>1602</v>
      </c>
      <c r="H2485">
        <v>411</v>
      </c>
      <c r="I2485">
        <v>13.64</v>
      </c>
      <c r="J2485">
        <v>13.65</v>
      </c>
      <c r="K2485">
        <v>0</v>
      </c>
      <c r="L2485">
        <v>1.47</v>
      </c>
      <c r="M2485" t="s">
        <v>7673</v>
      </c>
      <c r="N2485">
        <v>38.22</v>
      </c>
      <c r="O2485" t="s">
        <v>1058</v>
      </c>
      <c r="P2485">
        <v>13.7</v>
      </c>
      <c r="Q2485">
        <v>13.38</v>
      </c>
      <c r="R2485">
        <v>13.49</v>
      </c>
      <c r="S2485">
        <v>13.44</v>
      </c>
      <c r="T2485">
        <v>2.38</v>
      </c>
      <c r="U2485">
        <v>1.0900000000000001</v>
      </c>
      <c r="V2485">
        <v>-39.590000000000003</v>
      </c>
      <c r="W2485">
        <v>-535</v>
      </c>
      <c r="X2485">
        <v>13.58</v>
      </c>
      <c r="Y2485" t="s">
        <v>2522</v>
      </c>
      <c r="Z2485" t="s">
        <v>3696</v>
      </c>
      <c r="AA2485">
        <v>0.5</v>
      </c>
      <c r="AB2485">
        <v>16</v>
      </c>
      <c r="AC2485">
        <v>506</v>
      </c>
      <c r="AD2485">
        <v>2.78</v>
      </c>
      <c r="AE2485" t="s">
        <v>3724</v>
      </c>
      <c r="AF2485" t="s">
        <v>4066</v>
      </c>
      <c r="AG2485" t="s">
        <v>2519</v>
      </c>
      <c r="AH2485" t="s">
        <v>7674</v>
      </c>
      <c r="AI2485">
        <v>-7.0000000000000007E-2</v>
      </c>
      <c r="AJ2485">
        <v>5.98</v>
      </c>
      <c r="AK2485">
        <v>3.88</v>
      </c>
      <c r="AL2485">
        <v>8.2200000000000006</v>
      </c>
    </row>
    <row r="2486" spans="1:38" x14ac:dyDescent="0.25">
      <c r="A2486">
        <v>2485</v>
      </c>
      <c r="B2486" t="str">
        <f xml:space="preserve"> "002478"</f>
        <v>002478</v>
      </c>
      <c r="C2486" t="s">
        <v>7675</v>
      </c>
      <c r="D2486">
        <v>5.98</v>
      </c>
      <c r="E2486">
        <v>-1.1599999999999999</v>
      </c>
      <c r="F2486">
        <v>-7.0000000000000007E-2</v>
      </c>
      <c r="G2486" t="s">
        <v>3978</v>
      </c>
      <c r="H2486">
        <v>520</v>
      </c>
      <c r="I2486">
        <v>5.98</v>
      </c>
      <c r="J2486">
        <v>5.99</v>
      </c>
      <c r="K2486">
        <v>-0.17</v>
      </c>
      <c r="L2486">
        <v>1.01</v>
      </c>
      <c r="M2486" t="s">
        <v>7676</v>
      </c>
      <c r="N2486">
        <v>38.659999999999997</v>
      </c>
      <c r="O2486" t="s">
        <v>416</v>
      </c>
      <c r="P2486">
        <v>6.08</v>
      </c>
      <c r="Q2486">
        <v>5.91</v>
      </c>
      <c r="R2486">
        <v>6.05</v>
      </c>
      <c r="S2486">
        <v>6.05</v>
      </c>
      <c r="T2486">
        <v>2.81</v>
      </c>
      <c r="U2486">
        <v>1.9</v>
      </c>
      <c r="V2486">
        <v>15.11</v>
      </c>
      <c r="W2486">
        <v>526</v>
      </c>
      <c r="X2486">
        <v>6</v>
      </c>
      <c r="Y2486" t="s">
        <v>699</v>
      </c>
      <c r="Z2486" t="s">
        <v>713</v>
      </c>
      <c r="AA2486">
        <v>2.58</v>
      </c>
      <c r="AB2486">
        <v>381</v>
      </c>
      <c r="AC2486">
        <v>195</v>
      </c>
      <c r="AD2486">
        <v>1.8</v>
      </c>
      <c r="AE2486" t="s">
        <v>1754</v>
      </c>
      <c r="AF2486" t="s">
        <v>4066</v>
      </c>
      <c r="AG2486" t="s">
        <v>5234</v>
      </c>
      <c r="AH2486" t="s">
        <v>3649</v>
      </c>
      <c r="AI2486">
        <v>-1.97</v>
      </c>
      <c r="AJ2486">
        <v>0.17</v>
      </c>
      <c r="AK2486">
        <v>2.0699999999999998</v>
      </c>
      <c r="AL2486">
        <v>3.66</v>
      </c>
    </row>
    <row r="2487" spans="1:38" x14ac:dyDescent="0.25">
      <c r="A2487">
        <v>2486</v>
      </c>
      <c r="B2487" t="str">
        <f xml:space="preserve"> "600479"</f>
        <v>600479</v>
      </c>
      <c r="C2487" t="s">
        <v>7677</v>
      </c>
      <c r="D2487">
        <v>13.72</v>
      </c>
      <c r="E2487">
        <v>0.88</v>
      </c>
      <c r="F2487">
        <v>0.12</v>
      </c>
      <c r="G2487" t="s">
        <v>1960</v>
      </c>
      <c r="H2487">
        <v>2</v>
      </c>
      <c r="I2487">
        <v>13.72</v>
      </c>
      <c r="J2487">
        <v>13.73</v>
      </c>
      <c r="K2487">
        <v>7.0000000000000007E-2</v>
      </c>
      <c r="L2487">
        <v>1.26</v>
      </c>
      <c r="M2487" t="s">
        <v>7678</v>
      </c>
      <c r="N2487">
        <v>52.68</v>
      </c>
      <c r="O2487" t="s">
        <v>392</v>
      </c>
      <c r="P2487">
        <v>13.75</v>
      </c>
      <c r="Q2487">
        <v>13.56</v>
      </c>
      <c r="R2487">
        <v>13.59</v>
      </c>
      <c r="S2487">
        <v>13.6</v>
      </c>
      <c r="T2487">
        <v>1.4</v>
      </c>
      <c r="U2487">
        <v>0.86</v>
      </c>
      <c r="V2487">
        <v>-57.57</v>
      </c>
      <c r="W2487">
        <v>-1837</v>
      </c>
      <c r="X2487">
        <v>13.67</v>
      </c>
      <c r="Y2487" t="s">
        <v>1349</v>
      </c>
      <c r="Z2487" t="s">
        <v>2653</v>
      </c>
      <c r="AA2487">
        <v>0.81</v>
      </c>
      <c r="AB2487">
        <v>37</v>
      </c>
      <c r="AC2487">
        <v>1264</v>
      </c>
      <c r="AD2487">
        <v>2.78</v>
      </c>
      <c r="AE2487" t="s">
        <v>5407</v>
      </c>
      <c r="AF2487" t="s">
        <v>5896</v>
      </c>
      <c r="AG2487" t="s">
        <v>4786</v>
      </c>
      <c r="AH2487" t="s">
        <v>6544</v>
      </c>
      <c r="AI2487">
        <v>0.15</v>
      </c>
      <c r="AJ2487">
        <v>2.46</v>
      </c>
      <c r="AK2487">
        <v>4.83</v>
      </c>
      <c r="AL2487">
        <v>8.58</v>
      </c>
    </row>
    <row r="2488" spans="1:38" x14ac:dyDescent="0.25">
      <c r="A2488">
        <v>2487</v>
      </c>
      <c r="B2488" t="str">
        <f xml:space="preserve"> "300508"</f>
        <v>300508</v>
      </c>
      <c r="C2488" t="s">
        <v>7679</v>
      </c>
      <c r="D2488">
        <v>84.18</v>
      </c>
      <c r="E2488">
        <v>3.8</v>
      </c>
      <c r="F2488">
        <v>3.08</v>
      </c>
      <c r="G2488" t="s">
        <v>5621</v>
      </c>
      <c r="H2488">
        <v>151</v>
      </c>
      <c r="I2488">
        <v>84.17</v>
      </c>
      <c r="J2488">
        <v>84.18</v>
      </c>
      <c r="K2488">
        <v>0.01</v>
      </c>
      <c r="L2488">
        <v>9.19</v>
      </c>
      <c r="M2488" t="s">
        <v>2706</v>
      </c>
      <c r="N2488">
        <v>60.85</v>
      </c>
      <c r="O2488" t="s">
        <v>893</v>
      </c>
      <c r="P2488">
        <v>84.89</v>
      </c>
      <c r="Q2488">
        <v>82.35</v>
      </c>
      <c r="R2488">
        <v>83.5</v>
      </c>
      <c r="S2488">
        <v>81.099999999999994</v>
      </c>
      <c r="T2488">
        <v>3.13</v>
      </c>
      <c r="U2488">
        <v>2.82</v>
      </c>
      <c r="V2488">
        <v>-61.15</v>
      </c>
      <c r="W2488">
        <v>-85</v>
      </c>
      <c r="X2488">
        <v>83.86</v>
      </c>
      <c r="Y2488">
        <v>6101</v>
      </c>
      <c r="Z2488">
        <v>7495</v>
      </c>
      <c r="AA2488">
        <v>0.81</v>
      </c>
      <c r="AB2488">
        <v>3</v>
      </c>
      <c r="AC2488">
        <v>65</v>
      </c>
      <c r="AD2488">
        <v>10.18</v>
      </c>
      <c r="AE2488" t="s">
        <v>7680</v>
      </c>
      <c r="AF2488" t="s">
        <v>5896</v>
      </c>
      <c r="AG2488" t="s">
        <v>7681</v>
      </c>
      <c r="AH2488" t="s">
        <v>2674</v>
      </c>
      <c r="AI2488">
        <v>2.82</v>
      </c>
      <c r="AJ2488">
        <v>7.92</v>
      </c>
      <c r="AK2488">
        <v>16.559999999999999</v>
      </c>
      <c r="AL2488">
        <v>25.52</v>
      </c>
    </row>
    <row r="2489" spans="1:38" x14ac:dyDescent="0.25">
      <c r="A2489">
        <v>2488</v>
      </c>
      <c r="B2489" t="str">
        <f xml:space="preserve"> "600469"</f>
        <v>600469</v>
      </c>
      <c r="C2489" t="s">
        <v>7682</v>
      </c>
      <c r="D2489">
        <v>8.5</v>
      </c>
      <c r="E2489">
        <v>0.59</v>
      </c>
      <c r="F2489">
        <v>0.05</v>
      </c>
      <c r="G2489" t="s">
        <v>3877</v>
      </c>
      <c r="H2489">
        <v>3</v>
      </c>
      <c r="I2489">
        <v>8.49</v>
      </c>
      <c r="J2489">
        <v>8.5</v>
      </c>
      <c r="K2489">
        <v>-0.12</v>
      </c>
      <c r="L2489">
        <v>0.54</v>
      </c>
      <c r="M2489" t="s">
        <v>7683</v>
      </c>
      <c r="N2489">
        <v>-21.25</v>
      </c>
      <c r="O2489" t="s">
        <v>169</v>
      </c>
      <c r="P2489">
        <v>8.6</v>
      </c>
      <c r="Q2489">
        <v>8.44</v>
      </c>
      <c r="R2489">
        <v>8.44</v>
      </c>
      <c r="S2489">
        <v>8.4499999999999993</v>
      </c>
      <c r="T2489">
        <v>1.89</v>
      </c>
      <c r="U2489">
        <v>0.47</v>
      </c>
      <c r="V2489">
        <v>-4.32</v>
      </c>
      <c r="W2489">
        <v>-109</v>
      </c>
      <c r="X2489">
        <v>8.52</v>
      </c>
      <c r="Y2489" t="s">
        <v>2518</v>
      </c>
      <c r="Z2489" t="s">
        <v>3946</v>
      </c>
      <c r="AA2489">
        <v>0.8</v>
      </c>
      <c r="AB2489">
        <v>2</v>
      </c>
      <c r="AC2489">
        <v>395</v>
      </c>
      <c r="AD2489">
        <v>2.1</v>
      </c>
      <c r="AE2489" t="s">
        <v>3795</v>
      </c>
      <c r="AF2489" t="s">
        <v>5896</v>
      </c>
      <c r="AG2489" t="s">
        <v>3795</v>
      </c>
      <c r="AH2489" t="s">
        <v>5896</v>
      </c>
      <c r="AI2489">
        <v>-1.96</v>
      </c>
      <c r="AJ2489">
        <v>-0.82</v>
      </c>
      <c r="AK2489">
        <v>1.7</v>
      </c>
      <c r="AL2489">
        <v>6.22</v>
      </c>
    </row>
    <row r="2490" spans="1:38" x14ac:dyDescent="0.25">
      <c r="A2490">
        <v>2489</v>
      </c>
      <c r="B2490" t="str">
        <f xml:space="preserve"> "600071"</f>
        <v>600071</v>
      </c>
      <c r="C2490" t="s">
        <v>7684</v>
      </c>
      <c r="D2490">
        <v>20.12</v>
      </c>
      <c r="E2490">
        <v>-0.69</v>
      </c>
      <c r="F2490">
        <v>-0.14000000000000001</v>
      </c>
      <c r="G2490">
        <v>6241</v>
      </c>
      <c r="H2490">
        <v>2</v>
      </c>
      <c r="I2490">
        <v>20.12</v>
      </c>
      <c r="J2490">
        <v>20.13</v>
      </c>
      <c r="K2490">
        <v>0</v>
      </c>
      <c r="L2490">
        <v>0.26</v>
      </c>
      <c r="M2490" t="s">
        <v>7685</v>
      </c>
      <c r="N2490">
        <v>-128.78</v>
      </c>
      <c r="O2490" t="s">
        <v>807</v>
      </c>
      <c r="P2490">
        <v>20.239999999999998</v>
      </c>
      <c r="Q2490">
        <v>19.72</v>
      </c>
      <c r="R2490">
        <v>20.239999999999998</v>
      </c>
      <c r="S2490">
        <v>20.260000000000002</v>
      </c>
      <c r="T2490">
        <v>2.57</v>
      </c>
      <c r="U2490">
        <v>0.72</v>
      </c>
      <c r="V2490">
        <v>-17.2</v>
      </c>
      <c r="W2490">
        <v>-54</v>
      </c>
      <c r="X2490">
        <v>20.079999999999998</v>
      </c>
      <c r="Y2490">
        <v>4084</v>
      </c>
      <c r="Z2490">
        <v>2157</v>
      </c>
      <c r="AA2490">
        <v>1.89</v>
      </c>
      <c r="AB2490">
        <v>39</v>
      </c>
      <c r="AC2490">
        <v>3</v>
      </c>
      <c r="AD2490">
        <v>12.86</v>
      </c>
      <c r="AE2490" t="s">
        <v>6252</v>
      </c>
      <c r="AF2490" t="s">
        <v>5896</v>
      </c>
      <c r="AG2490" t="s">
        <v>6252</v>
      </c>
      <c r="AH2490" t="s">
        <v>5896</v>
      </c>
      <c r="AI2490">
        <v>-0.3</v>
      </c>
      <c r="AJ2490">
        <v>1.87</v>
      </c>
      <c r="AK2490">
        <v>1.04</v>
      </c>
      <c r="AL2490">
        <v>2.09</v>
      </c>
    </row>
    <row r="2491" spans="1:38" x14ac:dyDescent="0.25">
      <c r="A2491">
        <v>2490</v>
      </c>
      <c r="B2491" t="str">
        <f xml:space="preserve"> "300526"</f>
        <v>300526</v>
      </c>
      <c r="C2491" t="s">
        <v>7686</v>
      </c>
      <c r="D2491">
        <v>28.13</v>
      </c>
      <c r="E2491">
        <v>-0.6</v>
      </c>
      <c r="F2491">
        <v>-0.17</v>
      </c>
      <c r="G2491" t="s">
        <v>2889</v>
      </c>
      <c r="H2491">
        <v>1190</v>
      </c>
      <c r="I2491">
        <v>28.13</v>
      </c>
      <c r="J2491">
        <v>28.14</v>
      </c>
      <c r="K2491">
        <v>-0.04</v>
      </c>
      <c r="L2491">
        <v>9.69</v>
      </c>
      <c r="M2491" t="s">
        <v>2339</v>
      </c>
      <c r="N2491">
        <v>106.27</v>
      </c>
      <c r="O2491" t="s">
        <v>2647</v>
      </c>
      <c r="P2491">
        <v>28.6</v>
      </c>
      <c r="Q2491">
        <v>27.81</v>
      </c>
      <c r="R2491">
        <v>28.36</v>
      </c>
      <c r="S2491">
        <v>28.3</v>
      </c>
      <c r="T2491">
        <v>2.79</v>
      </c>
      <c r="U2491">
        <v>1.1299999999999999</v>
      </c>
      <c r="V2491">
        <v>23.38</v>
      </c>
      <c r="W2491">
        <v>367</v>
      </c>
      <c r="X2491">
        <v>28.19</v>
      </c>
      <c r="Y2491" t="s">
        <v>1321</v>
      </c>
      <c r="Z2491" t="s">
        <v>3086</v>
      </c>
      <c r="AA2491">
        <v>1.1299999999999999</v>
      </c>
      <c r="AB2491">
        <v>438</v>
      </c>
      <c r="AC2491">
        <v>132</v>
      </c>
      <c r="AD2491">
        <v>9.49</v>
      </c>
      <c r="AE2491" t="s">
        <v>2345</v>
      </c>
      <c r="AF2491" t="s">
        <v>5896</v>
      </c>
      <c r="AG2491" t="s">
        <v>7687</v>
      </c>
      <c r="AH2491" t="s">
        <v>3026</v>
      </c>
      <c r="AI2491">
        <v>0.86</v>
      </c>
      <c r="AJ2491">
        <v>13.02</v>
      </c>
      <c r="AK2491">
        <v>30.29</v>
      </c>
      <c r="AL2491">
        <v>52.75</v>
      </c>
    </row>
    <row r="2492" spans="1:38" x14ac:dyDescent="0.25">
      <c r="A2492">
        <v>2491</v>
      </c>
      <c r="B2492" t="str">
        <f xml:space="preserve"> "000554"</f>
        <v>000554</v>
      </c>
      <c r="C2492" t="s">
        <v>7688</v>
      </c>
      <c r="D2492">
        <v>9.93</v>
      </c>
      <c r="E2492">
        <v>-0.5</v>
      </c>
      <c r="F2492">
        <v>-0.05</v>
      </c>
      <c r="G2492" t="s">
        <v>3098</v>
      </c>
      <c r="H2492">
        <v>814</v>
      </c>
      <c r="I2492">
        <v>9.92</v>
      </c>
      <c r="J2492">
        <v>9.93</v>
      </c>
      <c r="K2492">
        <v>0</v>
      </c>
      <c r="L2492">
        <v>1.98</v>
      </c>
      <c r="M2492" t="s">
        <v>7689</v>
      </c>
      <c r="N2492">
        <v>3049.73</v>
      </c>
      <c r="O2492" t="s">
        <v>61</v>
      </c>
      <c r="P2492">
        <v>9.99</v>
      </c>
      <c r="Q2492">
        <v>9.85</v>
      </c>
      <c r="R2492">
        <v>9.92</v>
      </c>
      <c r="S2492">
        <v>9.98</v>
      </c>
      <c r="T2492">
        <v>1.4</v>
      </c>
      <c r="U2492">
        <v>0.66</v>
      </c>
      <c r="V2492">
        <v>27.94</v>
      </c>
      <c r="W2492">
        <v>1395</v>
      </c>
      <c r="X2492">
        <v>9.9</v>
      </c>
      <c r="Y2492" t="s">
        <v>3401</v>
      </c>
      <c r="Z2492" t="s">
        <v>1341</v>
      </c>
      <c r="AA2492">
        <v>1.83</v>
      </c>
      <c r="AB2492">
        <v>433</v>
      </c>
      <c r="AC2492">
        <v>133</v>
      </c>
      <c r="AD2492">
        <v>5.21</v>
      </c>
      <c r="AE2492" t="s">
        <v>2852</v>
      </c>
      <c r="AF2492" t="s">
        <v>1287</v>
      </c>
      <c r="AG2492" t="s">
        <v>474</v>
      </c>
      <c r="AH2492" t="s">
        <v>1845</v>
      </c>
      <c r="AI2492">
        <v>-0.9</v>
      </c>
      <c r="AJ2492">
        <v>2.06</v>
      </c>
      <c r="AK2492">
        <v>8.68</v>
      </c>
      <c r="AL2492">
        <v>17.059999999999999</v>
      </c>
    </row>
    <row r="2493" spans="1:38" x14ac:dyDescent="0.25">
      <c r="A2493">
        <v>2492</v>
      </c>
      <c r="B2493" t="str">
        <f xml:space="preserve"> "300087"</f>
        <v>300087</v>
      </c>
      <c r="C2493" t="s">
        <v>7690</v>
      </c>
      <c r="D2493">
        <v>11.3</v>
      </c>
      <c r="E2493">
        <v>-1.22</v>
      </c>
      <c r="F2493">
        <v>-0.14000000000000001</v>
      </c>
      <c r="G2493" t="s">
        <v>3825</v>
      </c>
      <c r="H2493">
        <v>232</v>
      </c>
      <c r="I2493">
        <v>11.29</v>
      </c>
      <c r="J2493">
        <v>11.3</v>
      </c>
      <c r="K2493">
        <v>-0.09</v>
      </c>
      <c r="L2493">
        <v>0.65</v>
      </c>
      <c r="M2493" t="s">
        <v>7454</v>
      </c>
      <c r="N2493">
        <v>-278.83999999999997</v>
      </c>
      <c r="O2493" t="s">
        <v>622</v>
      </c>
      <c r="P2493">
        <v>11.45</v>
      </c>
      <c r="Q2493">
        <v>11.2</v>
      </c>
      <c r="R2493">
        <v>11.35</v>
      </c>
      <c r="S2493">
        <v>11.44</v>
      </c>
      <c r="T2493">
        <v>2.19</v>
      </c>
      <c r="U2493">
        <v>1.25</v>
      </c>
      <c r="V2493">
        <v>-17.34</v>
      </c>
      <c r="W2493">
        <v>-159</v>
      </c>
      <c r="X2493">
        <v>11.3</v>
      </c>
      <c r="Y2493" t="s">
        <v>1508</v>
      </c>
      <c r="Z2493">
        <v>6999</v>
      </c>
      <c r="AA2493">
        <v>2.2200000000000002</v>
      </c>
      <c r="AB2493">
        <v>11</v>
      </c>
      <c r="AC2493">
        <v>58</v>
      </c>
      <c r="AD2493">
        <v>7.21</v>
      </c>
      <c r="AE2493" t="s">
        <v>5070</v>
      </c>
      <c r="AF2493" t="s">
        <v>1287</v>
      </c>
      <c r="AG2493" t="s">
        <v>5176</v>
      </c>
      <c r="AH2493" t="s">
        <v>946</v>
      </c>
      <c r="AI2493">
        <v>-1.91</v>
      </c>
      <c r="AJ2493">
        <v>-0.44</v>
      </c>
      <c r="AK2493">
        <v>1.89</v>
      </c>
      <c r="AL2493">
        <v>3.27</v>
      </c>
    </row>
    <row r="2494" spans="1:38" x14ac:dyDescent="0.25">
      <c r="A2494">
        <v>2493</v>
      </c>
      <c r="B2494" t="str">
        <f xml:space="preserve"> "600152"</f>
        <v>600152</v>
      </c>
      <c r="C2494" t="s">
        <v>7691</v>
      </c>
      <c r="D2494">
        <v>10.83</v>
      </c>
      <c r="E2494">
        <v>1.5</v>
      </c>
      <c r="F2494">
        <v>0.16</v>
      </c>
      <c r="G2494" t="s">
        <v>3177</v>
      </c>
      <c r="H2494">
        <v>2</v>
      </c>
      <c r="I2494">
        <v>10.83</v>
      </c>
      <c r="J2494">
        <v>10.84</v>
      </c>
      <c r="K2494">
        <v>0.19</v>
      </c>
      <c r="L2494">
        <v>1.77</v>
      </c>
      <c r="M2494" t="s">
        <v>6492</v>
      </c>
      <c r="N2494">
        <v>64.92</v>
      </c>
      <c r="O2494" t="s">
        <v>1443</v>
      </c>
      <c r="P2494">
        <v>10.84</v>
      </c>
      <c r="Q2494">
        <v>10.58</v>
      </c>
      <c r="R2494">
        <v>10.64</v>
      </c>
      <c r="S2494">
        <v>10.67</v>
      </c>
      <c r="T2494">
        <v>2.44</v>
      </c>
      <c r="U2494">
        <v>0.73</v>
      </c>
      <c r="V2494">
        <v>-2.91</v>
      </c>
      <c r="W2494">
        <v>-147</v>
      </c>
      <c r="X2494">
        <v>10.75</v>
      </c>
      <c r="Y2494" t="s">
        <v>5033</v>
      </c>
      <c r="Z2494" t="s">
        <v>2373</v>
      </c>
      <c r="AA2494">
        <v>0.96</v>
      </c>
      <c r="AB2494">
        <v>217</v>
      </c>
      <c r="AC2494">
        <v>451</v>
      </c>
      <c r="AD2494">
        <v>2.37</v>
      </c>
      <c r="AE2494" t="s">
        <v>5031</v>
      </c>
      <c r="AF2494" t="s">
        <v>1287</v>
      </c>
      <c r="AG2494" t="s">
        <v>6621</v>
      </c>
      <c r="AH2494" t="s">
        <v>4062</v>
      </c>
      <c r="AI2494">
        <v>-2.78</v>
      </c>
      <c r="AJ2494">
        <v>0.19</v>
      </c>
      <c r="AK2494">
        <v>6.74</v>
      </c>
      <c r="AL2494">
        <v>13.82</v>
      </c>
    </row>
    <row r="2495" spans="1:38" x14ac:dyDescent="0.25">
      <c r="A2495">
        <v>2494</v>
      </c>
      <c r="B2495" t="str">
        <f xml:space="preserve"> "601518"</f>
        <v>601518</v>
      </c>
      <c r="C2495" t="s">
        <v>7692</v>
      </c>
      <c r="D2495">
        <v>3.93</v>
      </c>
      <c r="E2495">
        <v>0.51</v>
      </c>
      <c r="F2495">
        <v>0.02</v>
      </c>
      <c r="G2495" t="s">
        <v>3579</v>
      </c>
      <c r="H2495">
        <v>1</v>
      </c>
      <c r="I2495">
        <v>3.92</v>
      </c>
      <c r="J2495">
        <v>3.93</v>
      </c>
      <c r="K2495">
        <v>0</v>
      </c>
      <c r="L2495">
        <v>0.18</v>
      </c>
      <c r="M2495" t="s">
        <v>7693</v>
      </c>
      <c r="N2495">
        <v>19.12</v>
      </c>
      <c r="O2495" t="s">
        <v>1348</v>
      </c>
      <c r="P2495">
        <v>3.93</v>
      </c>
      <c r="Q2495">
        <v>3.89</v>
      </c>
      <c r="R2495">
        <v>3.91</v>
      </c>
      <c r="S2495">
        <v>3.91</v>
      </c>
      <c r="T2495">
        <v>1.02</v>
      </c>
      <c r="U2495">
        <v>0.71</v>
      </c>
      <c r="V2495">
        <v>-42.99</v>
      </c>
      <c r="W2495">
        <v>-6252</v>
      </c>
      <c r="X2495">
        <v>3.91</v>
      </c>
      <c r="Y2495" t="s">
        <v>3941</v>
      </c>
      <c r="Z2495" t="s">
        <v>75</v>
      </c>
      <c r="AA2495">
        <v>1.1299999999999999</v>
      </c>
      <c r="AB2495">
        <v>104</v>
      </c>
      <c r="AC2495">
        <v>2485</v>
      </c>
      <c r="AD2495">
        <v>1.75</v>
      </c>
      <c r="AE2495" t="s">
        <v>2071</v>
      </c>
      <c r="AF2495" t="s">
        <v>1287</v>
      </c>
      <c r="AG2495" t="s">
        <v>2071</v>
      </c>
      <c r="AH2495" t="s">
        <v>1287</v>
      </c>
      <c r="AI2495">
        <v>-0.25</v>
      </c>
      <c r="AJ2495">
        <v>1.81</v>
      </c>
      <c r="AK2495">
        <v>0.67</v>
      </c>
      <c r="AL2495">
        <v>1.44</v>
      </c>
    </row>
    <row r="2496" spans="1:38" x14ac:dyDescent="0.25">
      <c r="A2496">
        <v>2495</v>
      </c>
      <c r="B2496" t="str">
        <f xml:space="preserve"> "002795"</f>
        <v>002795</v>
      </c>
      <c r="C2496" t="s">
        <v>7694</v>
      </c>
      <c r="D2496">
        <v>23.82</v>
      </c>
      <c r="E2496">
        <v>1.79</v>
      </c>
      <c r="F2496">
        <v>0.42</v>
      </c>
      <c r="G2496" t="s">
        <v>4122</v>
      </c>
      <c r="H2496">
        <v>704</v>
      </c>
      <c r="I2496">
        <v>23.81</v>
      </c>
      <c r="J2496">
        <v>23.82</v>
      </c>
      <c r="K2496">
        <v>0</v>
      </c>
      <c r="L2496">
        <v>9.0299999999999994</v>
      </c>
      <c r="M2496" t="s">
        <v>746</v>
      </c>
      <c r="N2496">
        <v>79.03</v>
      </c>
      <c r="O2496" t="s">
        <v>648</v>
      </c>
      <c r="P2496">
        <v>24.63</v>
      </c>
      <c r="Q2496">
        <v>23.14</v>
      </c>
      <c r="R2496">
        <v>23.21</v>
      </c>
      <c r="S2496">
        <v>23.4</v>
      </c>
      <c r="T2496">
        <v>6.37</v>
      </c>
      <c r="U2496">
        <v>1.1299999999999999</v>
      </c>
      <c r="V2496">
        <v>-68.400000000000006</v>
      </c>
      <c r="W2496">
        <v>-697</v>
      </c>
      <c r="X2496">
        <v>24.03</v>
      </c>
      <c r="Y2496" t="s">
        <v>1704</v>
      </c>
      <c r="Z2496" t="s">
        <v>2433</v>
      </c>
      <c r="AA2496">
        <v>0.84</v>
      </c>
      <c r="AB2496">
        <v>71</v>
      </c>
      <c r="AC2496">
        <v>234</v>
      </c>
      <c r="AD2496">
        <v>8.09</v>
      </c>
      <c r="AE2496" t="s">
        <v>1485</v>
      </c>
      <c r="AF2496" t="s">
        <v>7044</v>
      </c>
      <c r="AG2496" t="s">
        <v>7380</v>
      </c>
      <c r="AH2496" t="s">
        <v>1225</v>
      </c>
      <c r="AI2496">
        <v>-0.79</v>
      </c>
      <c r="AJ2496">
        <v>5.21</v>
      </c>
      <c r="AK2496">
        <v>22.98</v>
      </c>
      <c r="AL2496">
        <v>49.03</v>
      </c>
    </row>
    <row r="2497" spans="1:38" x14ac:dyDescent="0.25">
      <c r="A2497">
        <v>2496</v>
      </c>
      <c r="B2497" t="str">
        <f xml:space="preserve"> "600692"</f>
        <v>600692</v>
      </c>
      <c r="C2497" t="s">
        <v>7695</v>
      </c>
      <c r="D2497">
        <v>13.54</v>
      </c>
      <c r="E2497">
        <v>0.82</v>
      </c>
      <c r="F2497">
        <v>0.11</v>
      </c>
      <c r="G2497" t="s">
        <v>1602</v>
      </c>
      <c r="H2497">
        <v>25</v>
      </c>
      <c r="I2497">
        <v>13.54</v>
      </c>
      <c r="J2497">
        <v>13.56</v>
      </c>
      <c r="K2497">
        <v>0.22</v>
      </c>
      <c r="L2497">
        <v>1.21</v>
      </c>
      <c r="M2497" t="s">
        <v>7696</v>
      </c>
      <c r="N2497">
        <v>108.82</v>
      </c>
      <c r="O2497" t="s">
        <v>244</v>
      </c>
      <c r="P2497">
        <v>13.59</v>
      </c>
      <c r="Q2497">
        <v>13.35</v>
      </c>
      <c r="R2497">
        <v>13.43</v>
      </c>
      <c r="S2497">
        <v>13.43</v>
      </c>
      <c r="T2497">
        <v>1.79</v>
      </c>
      <c r="U2497">
        <v>0.85</v>
      </c>
      <c r="V2497">
        <v>-42.33</v>
      </c>
      <c r="W2497">
        <v>-768</v>
      </c>
      <c r="X2497">
        <v>13.45</v>
      </c>
      <c r="Y2497" t="s">
        <v>1153</v>
      </c>
      <c r="Z2497" t="s">
        <v>3946</v>
      </c>
      <c r="AA2497">
        <v>0.83</v>
      </c>
      <c r="AB2497">
        <v>71</v>
      </c>
      <c r="AC2497">
        <v>233</v>
      </c>
      <c r="AD2497">
        <v>7.26</v>
      </c>
      <c r="AE2497" t="s">
        <v>3287</v>
      </c>
      <c r="AF2497" t="s">
        <v>7044</v>
      </c>
      <c r="AG2497" t="s">
        <v>4480</v>
      </c>
      <c r="AH2497" t="s">
        <v>1855</v>
      </c>
      <c r="AI2497">
        <v>0.97</v>
      </c>
      <c r="AJ2497">
        <v>3.44</v>
      </c>
      <c r="AK2497">
        <v>5.01</v>
      </c>
      <c r="AL2497">
        <v>8.33</v>
      </c>
    </row>
    <row r="2498" spans="1:38" x14ac:dyDescent="0.25">
      <c r="A2498">
        <v>2497</v>
      </c>
      <c r="B2498" t="str">
        <f xml:space="preserve"> "300217"</f>
        <v>300217</v>
      </c>
      <c r="C2498" t="s">
        <v>7697</v>
      </c>
      <c r="D2498">
        <v>3.74</v>
      </c>
      <c r="E2498">
        <v>0.81</v>
      </c>
      <c r="F2498">
        <v>0.03</v>
      </c>
      <c r="G2498" t="s">
        <v>4133</v>
      </c>
      <c r="H2498">
        <v>1746</v>
      </c>
      <c r="I2498">
        <v>3.73</v>
      </c>
      <c r="J2498">
        <v>3.74</v>
      </c>
      <c r="K2498">
        <v>0</v>
      </c>
      <c r="L2498">
        <v>0.72</v>
      </c>
      <c r="M2498" t="s">
        <v>6033</v>
      </c>
      <c r="N2498">
        <v>63.08</v>
      </c>
      <c r="O2498" t="s">
        <v>648</v>
      </c>
      <c r="P2498">
        <v>3.75</v>
      </c>
      <c r="Q2498">
        <v>3.69</v>
      </c>
      <c r="R2498">
        <v>3.7</v>
      </c>
      <c r="S2498">
        <v>3.71</v>
      </c>
      <c r="T2498">
        <v>1.62</v>
      </c>
      <c r="U2498">
        <v>0.74</v>
      </c>
      <c r="V2498">
        <v>-39.42</v>
      </c>
      <c r="W2498" t="s">
        <v>990</v>
      </c>
      <c r="X2498">
        <v>3.72</v>
      </c>
      <c r="Y2498" t="s">
        <v>3914</v>
      </c>
      <c r="Z2498" t="s">
        <v>2476</v>
      </c>
      <c r="AA2498">
        <v>0.72</v>
      </c>
      <c r="AB2498">
        <v>1291</v>
      </c>
      <c r="AC2498">
        <v>1008</v>
      </c>
      <c r="AD2498">
        <v>2.6</v>
      </c>
      <c r="AE2498" t="s">
        <v>1483</v>
      </c>
      <c r="AF2498" t="s">
        <v>7044</v>
      </c>
      <c r="AG2498" t="s">
        <v>4710</v>
      </c>
      <c r="AH2498" t="s">
        <v>5489</v>
      </c>
      <c r="AI2498">
        <v>-0.53</v>
      </c>
      <c r="AJ2498">
        <v>3.89</v>
      </c>
      <c r="AK2498">
        <v>2.4500000000000002</v>
      </c>
      <c r="AL2498">
        <v>5.6</v>
      </c>
    </row>
    <row r="2499" spans="1:38" x14ac:dyDescent="0.25">
      <c r="A2499">
        <v>2498</v>
      </c>
      <c r="B2499" t="str">
        <f xml:space="preserve"> "002696"</f>
        <v>002696</v>
      </c>
      <c r="C2499" t="s">
        <v>7698</v>
      </c>
      <c r="D2499">
        <v>20.47</v>
      </c>
      <c r="E2499">
        <v>-2.34</v>
      </c>
      <c r="F2499">
        <v>-0.49</v>
      </c>
      <c r="G2499">
        <v>7235</v>
      </c>
      <c r="H2499">
        <v>178</v>
      </c>
      <c r="I2499">
        <v>20.46</v>
      </c>
      <c r="J2499">
        <v>20.47</v>
      </c>
      <c r="K2499">
        <v>-0.49</v>
      </c>
      <c r="L2499">
        <v>0.41</v>
      </c>
      <c r="M2499" t="s">
        <v>7699</v>
      </c>
      <c r="N2499">
        <v>163.54</v>
      </c>
      <c r="O2499" t="s">
        <v>622</v>
      </c>
      <c r="P2499">
        <v>20.96</v>
      </c>
      <c r="Q2499">
        <v>20.3</v>
      </c>
      <c r="R2499">
        <v>20.92</v>
      </c>
      <c r="S2499">
        <v>20.96</v>
      </c>
      <c r="T2499">
        <v>3.15</v>
      </c>
      <c r="U2499">
        <v>0.81</v>
      </c>
      <c r="V2499">
        <v>38.21</v>
      </c>
      <c r="W2499">
        <v>214</v>
      </c>
      <c r="X2499">
        <v>20.65</v>
      </c>
      <c r="Y2499">
        <v>3846</v>
      </c>
      <c r="Z2499">
        <v>3389</v>
      </c>
      <c r="AA2499">
        <v>1.1299999999999999</v>
      </c>
      <c r="AB2499">
        <v>93</v>
      </c>
      <c r="AC2499">
        <v>80</v>
      </c>
      <c r="AD2499">
        <v>2.2599999999999998</v>
      </c>
      <c r="AE2499" t="s">
        <v>4430</v>
      </c>
      <c r="AF2499" t="s">
        <v>7044</v>
      </c>
      <c r="AG2499" t="s">
        <v>2861</v>
      </c>
      <c r="AH2499" t="s">
        <v>1845</v>
      </c>
      <c r="AI2499">
        <v>-3.08</v>
      </c>
      <c r="AJ2499">
        <v>1.64</v>
      </c>
      <c r="AK2499">
        <v>1.3</v>
      </c>
      <c r="AL2499">
        <v>2.94</v>
      </c>
    </row>
    <row r="2500" spans="1:38" x14ac:dyDescent="0.25">
      <c r="A2500">
        <v>2499</v>
      </c>
      <c r="B2500" t="str">
        <f xml:space="preserve"> "603798"</f>
        <v>603798</v>
      </c>
      <c r="C2500" t="s">
        <v>7700</v>
      </c>
      <c r="D2500">
        <v>23.8</v>
      </c>
      <c r="E2500">
        <v>0.89</v>
      </c>
      <c r="F2500">
        <v>0.21</v>
      </c>
      <c r="G2500">
        <v>9423</v>
      </c>
      <c r="H2500">
        <v>2</v>
      </c>
      <c r="I2500">
        <v>23.78</v>
      </c>
      <c r="J2500">
        <v>23.79</v>
      </c>
      <c r="K2500">
        <v>0.21</v>
      </c>
      <c r="L2500">
        <v>1.1000000000000001</v>
      </c>
      <c r="M2500" t="s">
        <v>7701</v>
      </c>
      <c r="N2500">
        <v>31.53</v>
      </c>
      <c r="O2500" t="s">
        <v>169</v>
      </c>
      <c r="P2500">
        <v>23.8</v>
      </c>
      <c r="Q2500">
        <v>23.51</v>
      </c>
      <c r="R2500">
        <v>23.51</v>
      </c>
      <c r="S2500">
        <v>23.59</v>
      </c>
      <c r="T2500">
        <v>1.23</v>
      </c>
      <c r="U2500">
        <v>0.74</v>
      </c>
      <c r="V2500">
        <v>49.68</v>
      </c>
      <c r="W2500">
        <v>464</v>
      </c>
      <c r="X2500">
        <v>23.68</v>
      </c>
      <c r="Y2500">
        <v>3162</v>
      </c>
      <c r="Z2500">
        <v>6261</v>
      </c>
      <c r="AA2500">
        <v>0.51</v>
      </c>
      <c r="AB2500">
        <v>22</v>
      </c>
      <c r="AC2500">
        <v>8</v>
      </c>
      <c r="AD2500">
        <v>5.95</v>
      </c>
      <c r="AE2500" t="s">
        <v>1485</v>
      </c>
      <c r="AF2500" t="s">
        <v>7044</v>
      </c>
      <c r="AG2500" t="s">
        <v>7702</v>
      </c>
      <c r="AH2500" t="s">
        <v>1761</v>
      </c>
      <c r="AI2500">
        <v>0.85</v>
      </c>
      <c r="AJ2500">
        <v>4.34</v>
      </c>
      <c r="AK2500">
        <v>3.82</v>
      </c>
      <c r="AL2500">
        <v>8.6</v>
      </c>
    </row>
    <row r="2501" spans="1:38" x14ac:dyDescent="0.25">
      <c r="A2501">
        <v>2500</v>
      </c>
      <c r="B2501" t="str">
        <f xml:space="preserve"> "002574"</f>
        <v>002574</v>
      </c>
      <c r="C2501" t="s">
        <v>7703</v>
      </c>
      <c r="D2501">
        <v>9</v>
      </c>
      <c r="E2501">
        <v>0.67</v>
      </c>
      <c r="F2501">
        <v>0.06</v>
      </c>
      <c r="G2501" t="s">
        <v>2702</v>
      </c>
      <c r="H2501">
        <v>1376</v>
      </c>
      <c r="I2501">
        <v>8.99</v>
      </c>
      <c r="J2501">
        <v>9</v>
      </c>
      <c r="K2501">
        <v>0</v>
      </c>
      <c r="L2501">
        <v>0.93</v>
      </c>
      <c r="M2501" t="s">
        <v>7704</v>
      </c>
      <c r="N2501">
        <v>42.56</v>
      </c>
      <c r="O2501" t="s">
        <v>2984</v>
      </c>
      <c r="P2501">
        <v>9</v>
      </c>
      <c r="Q2501">
        <v>8.91</v>
      </c>
      <c r="R2501">
        <v>8.94</v>
      </c>
      <c r="S2501">
        <v>8.94</v>
      </c>
      <c r="T2501">
        <v>1.01</v>
      </c>
      <c r="U2501">
        <v>0.87</v>
      </c>
      <c r="V2501">
        <v>-9.43</v>
      </c>
      <c r="W2501">
        <v>-378</v>
      </c>
      <c r="X2501">
        <v>8.9600000000000009</v>
      </c>
      <c r="Y2501" t="s">
        <v>1887</v>
      </c>
      <c r="Z2501" t="s">
        <v>2022</v>
      </c>
      <c r="AA2501">
        <v>0.87</v>
      </c>
      <c r="AB2501">
        <v>407</v>
      </c>
      <c r="AC2501">
        <v>299</v>
      </c>
      <c r="AD2501">
        <v>1.53</v>
      </c>
      <c r="AE2501" t="s">
        <v>2438</v>
      </c>
      <c r="AF2501" t="s">
        <v>4904</v>
      </c>
      <c r="AG2501" t="s">
        <v>2438</v>
      </c>
      <c r="AH2501" t="s">
        <v>4904</v>
      </c>
      <c r="AI2501">
        <v>-0.11</v>
      </c>
      <c r="AJ2501">
        <v>2.27</v>
      </c>
      <c r="AK2501">
        <v>3.36</v>
      </c>
      <c r="AL2501">
        <v>6.27</v>
      </c>
    </row>
    <row r="2502" spans="1:38" x14ac:dyDescent="0.25">
      <c r="A2502">
        <v>2501</v>
      </c>
      <c r="B2502" t="str">
        <f xml:space="preserve"> "002406"</f>
        <v>002406</v>
      </c>
      <c r="C2502" t="s">
        <v>7705</v>
      </c>
      <c r="D2502">
        <v>8.4700000000000006</v>
      </c>
      <c r="E2502">
        <v>-1.17</v>
      </c>
      <c r="F2502">
        <v>-0.1</v>
      </c>
      <c r="G2502" t="s">
        <v>1738</v>
      </c>
      <c r="H2502">
        <v>520</v>
      </c>
      <c r="I2502">
        <v>8.4700000000000006</v>
      </c>
      <c r="J2502">
        <v>8.48</v>
      </c>
      <c r="K2502">
        <v>0.12</v>
      </c>
      <c r="L2502">
        <v>1.67</v>
      </c>
      <c r="M2502" t="s">
        <v>7706</v>
      </c>
      <c r="N2502">
        <v>27.35</v>
      </c>
      <c r="O2502" t="s">
        <v>648</v>
      </c>
      <c r="P2502">
        <v>8.58</v>
      </c>
      <c r="Q2502">
        <v>8.4</v>
      </c>
      <c r="R2502">
        <v>8.57</v>
      </c>
      <c r="S2502">
        <v>8.57</v>
      </c>
      <c r="T2502">
        <v>2.1</v>
      </c>
      <c r="U2502">
        <v>1.1000000000000001</v>
      </c>
      <c r="V2502">
        <v>-10.97</v>
      </c>
      <c r="W2502">
        <v>-252</v>
      </c>
      <c r="X2502">
        <v>8.4499999999999993</v>
      </c>
      <c r="Y2502" t="s">
        <v>1711</v>
      </c>
      <c r="Z2502" t="s">
        <v>2360</v>
      </c>
      <c r="AA2502">
        <v>1.94</v>
      </c>
      <c r="AB2502">
        <v>436</v>
      </c>
      <c r="AC2502">
        <v>526</v>
      </c>
      <c r="AD2502">
        <v>2.2000000000000002</v>
      </c>
      <c r="AE2502" t="s">
        <v>4678</v>
      </c>
      <c r="AF2502" t="s">
        <v>4904</v>
      </c>
      <c r="AG2502" t="s">
        <v>5102</v>
      </c>
      <c r="AH2502" t="s">
        <v>7707</v>
      </c>
      <c r="AI2502">
        <v>-1.97</v>
      </c>
      <c r="AJ2502">
        <v>4.3099999999999996</v>
      </c>
      <c r="AK2502">
        <v>4.33</v>
      </c>
      <c r="AL2502">
        <v>9.2799999999999994</v>
      </c>
    </row>
    <row r="2503" spans="1:38" x14ac:dyDescent="0.25">
      <c r="A2503">
        <v>2502</v>
      </c>
      <c r="B2503" t="str">
        <f xml:space="preserve"> "600279"</f>
        <v>600279</v>
      </c>
      <c r="C2503" t="s">
        <v>7708</v>
      </c>
      <c r="D2503">
        <v>6.85</v>
      </c>
      <c r="E2503">
        <v>0.44</v>
      </c>
      <c r="F2503">
        <v>0.03</v>
      </c>
      <c r="G2503" t="s">
        <v>2695</v>
      </c>
      <c r="H2503">
        <v>1</v>
      </c>
      <c r="I2503">
        <v>6.84</v>
      </c>
      <c r="J2503">
        <v>6.85</v>
      </c>
      <c r="K2503">
        <v>0.15</v>
      </c>
      <c r="L2503">
        <v>0.36</v>
      </c>
      <c r="M2503" t="s">
        <v>7709</v>
      </c>
      <c r="N2503">
        <v>37.65</v>
      </c>
      <c r="O2503" t="s">
        <v>440</v>
      </c>
      <c r="P2503">
        <v>6.86</v>
      </c>
      <c r="Q2503">
        <v>6.79</v>
      </c>
      <c r="R2503">
        <v>6.83</v>
      </c>
      <c r="S2503">
        <v>6.82</v>
      </c>
      <c r="T2503">
        <v>1.03</v>
      </c>
      <c r="U2503">
        <v>0.56000000000000005</v>
      </c>
      <c r="V2503">
        <v>-19.57</v>
      </c>
      <c r="W2503">
        <v>-1395</v>
      </c>
      <c r="X2503">
        <v>6.83</v>
      </c>
      <c r="Y2503" t="s">
        <v>1799</v>
      </c>
      <c r="Z2503" t="s">
        <v>1095</v>
      </c>
      <c r="AA2503">
        <v>1.01</v>
      </c>
      <c r="AB2503">
        <v>49</v>
      </c>
      <c r="AC2503">
        <v>707</v>
      </c>
      <c r="AD2503">
        <v>1.45</v>
      </c>
      <c r="AE2503" t="s">
        <v>6186</v>
      </c>
      <c r="AF2503" t="s">
        <v>4904</v>
      </c>
      <c r="AG2503" t="s">
        <v>6186</v>
      </c>
      <c r="AH2503" t="s">
        <v>4904</v>
      </c>
      <c r="AI2503">
        <v>-0.15</v>
      </c>
      <c r="AJ2503">
        <v>2.2400000000000002</v>
      </c>
      <c r="AK2503">
        <v>1.87</v>
      </c>
      <c r="AL2503">
        <v>3.62</v>
      </c>
    </row>
    <row r="2504" spans="1:38" x14ac:dyDescent="0.25">
      <c r="A2504">
        <v>2503</v>
      </c>
      <c r="B2504" t="str">
        <f xml:space="preserve"> "002809"</f>
        <v>002809</v>
      </c>
      <c r="C2504" t="s">
        <v>7710</v>
      </c>
      <c r="D2504">
        <v>37.909999999999997</v>
      </c>
      <c r="E2504">
        <v>1.94</v>
      </c>
      <c r="F2504">
        <v>0.72</v>
      </c>
      <c r="G2504" t="s">
        <v>2580</v>
      </c>
      <c r="H2504">
        <v>291</v>
      </c>
      <c r="I2504">
        <v>37.9</v>
      </c>
      <c r="J2504">
        <v>37.909999999999997</v>
      </c>
      <c r="K2504">
        <v>0</v>
      </c>
      <c r="L2504">
        <v>2.9</v>
      </c>
      <c r="M2504" t="s">
        <v>5763</v>
      </c>
      <c r="N2504">
        <v>59.46</v>
      </c>
      <c r="O2504" t="s">
        <v>667</v>
      </c>
      <c r="P2504">
        <v>38.090000000000003</v>
      </c>
      <c r="Q2504">
        <v>37.19</v>
      </c>
      <c r="R2504">
        <v>37.19</v>
      </c>
      <c r="S2504">
        <v>37.19</v>
      </c>
      <c r="T2504">
        <v>2.42</v>
      </c>
      <c r="U2504">
        <v>0.68</v>
      </c>
      <c r="V2504">
        <v>-37.840000000000003</v>
      </c>
      <c r="W2504">
        <v>-168</v>
      </c>
      <c r="X2504">
        <v>37.82</v>
      </c>
      <c r="Y2504">
        <v>6975</v>
      </c>
      <c r="Z2504" t="s">
        <v>2800</v>
      </c>
      <c r="AA2504">
        <v>0.67</v>
      </c>
      <c r="AB2504">
        <v>74</v>
      </c>
      <c r="AC2504">
        <v>109</v>
      </c>
      <c r="AD2504">
        <v>4.7699999999999996</v>
      </c>
      <c r="AE2504" t="s">
        <v>640</v>
      </c>
      <c r="AF2504" t="s">
        <v>1451</v>
      </c>
      <c r="AG2504" t="s">
        <v>7711</v>
      </c>
      <c r="AH2504" t="s">
        <v>1681</v>
      </c>
      <c r="AI2504">
        <v>-1.17</v>
      </c>
      <c r="AJ2504">
        <v>1.1499999999999999</v>
      </c>
      <c r="AK2504">
        <v>8.31</v>
      </c>
      <c r="AL2504">
        <v>24.28</v>
      </c>
    </row>
    <row r="2505" spans="1:38" x14ac:dyDescent="0.25">
      <c r="A2505">
        <v>2504</v>
      </c>
      <c r="B2505" t="str">
        <f xml:space="preserve"> "000532"</f>
        <v>000532</v>
      </c>
      <c r="C2505" t="s">
        <v>7712</v>
      </c>
      <c r="D2505">
        <v>13.75</v>
      </c>
      <c r="E2505">
        <v>-0.57999999999999996</v>
      </c>
      <c r="F2505">
        <v>-0.08</v>
      </c>
      <c r="G2505" t="s">
        <v>3272</v>
      </c>
      <c r="H2505">
        <v>655</v>
      </c>
      <c r="I2505">
        <v>13.74</v>
      </c>
      <c r="J2505">
        <v>13.75</v>
      </c>
      <c r="K2505">
        <v>0</v>
      </c>
      <c r="L2505">
        <v>0.71</v>
      </c>
      <c r="M2505" t="s">
        <v>7713</v>
      </c>
      <c r="N2505">
        <v>157.09</v>
      </c>
      <c r="O2505" t="s">
        <v>3277</v>
      </c>
      <c r="P2505">
        <v>13.88</v>
      </c>
      <c r="Q2505">
        <v>13.68</v>
      </c>
      <c r="R2505">
        <v>13.88</v>
      </c>
      <c r="S2505">
        <v>13.83</v>
      </c>
      <c r="T2505">
        <v>1.45</v>
      </c>
      <c r="U2505">
        <v>0.56999999999999995</v>
      </c>
      <c r="V2505">
        <v>57.24</v>
      </c>
      <c r="W2505">
        <v>672</v>
      </c>
      <c r="X2505">
        <v>13.78</v>
      </c>
      <c r="Y2505" t="s">
        <v>2370</v>
      </c>
      <c r="Z2505" t="s">
        <v>3941</v>
      </c>
      <c r="AA2505">
        <v>1.1200000000000001</v>
      </c>
      <c r="AB2505">
        <v>337</v>
      </c>
      <c r="AC2505">
        <v>2</v>
      </c>
      <c r="AD2505">
        <v>6.89</v>
      </c>
      <c r="AE2505" t="s">
        <v>2198</v>
      </c>
      <c r="AF2505" t="s">
        <v>1451</v>
      </c>
      <c r="AG2505" t="s">
        <v>3744</v>
      </c>
      <c r="AH2505" t="s">
        <v>2538</v>
      </c>
      <c r="AI2505">
        <v>-0.87</v>
      </c>
      <c r="AJ2505">
        <v>0.95</v>
      </c>
      <c r="AK2505">
        <v>3.36</v>
      </c>
      <c r="AL2505">
        <v>6.96</v>
      </c>
    </row>
    <row r="2506" spans="1:38" x14ac:dyDescent="0.25">
      <c r="A2506">
        <v>2505</v>
      </c>
      <c r="B2506" t="str">
        <f xml:space="preserve"> "300569"</f>
        <v>300569</v>
      </c>
      <c r="C2506" t="s">
        <v>7714</v>
      </c>
      <c r="D2506">
        <v>31.59</v>
      </c>
      <c r="E2506">
        <v>-1.25</v>
      </c>
      <c r="F2506">
        <v>-0.4</v>
      </c>
      <c r="G2506" t="s">
        <v>86</v>
      </c>
      <c r="H2506">
        <v>345</v>
      </c>
      <c r="I2506">
        <v>31.58</v>
      </c>
      <c r="J2506">
        <v>31.59</v>
      </c>
      <c r="K2506">
        <v>0.06</v>
      </c>
      <c r="L2506">
        <v>6.28</v>
      </c>
      <c r="M2506" t="s">
        <v>7715</v>
      </c>
      <c r="N2506">
        <v>46.76</v>
      </c>
      <c r="O2506" t="s">
        <v>680</v>
      </c>
      <c r="P2506">
        <v>31.79</v>
      </c>
      <c r="Q2506">
        <v>31.11</v>
      </c>
      <c r="R2506">
        <v>31.53</v>
      </c>
      <c r="S2506">
        <v>31.99</v>
      </c>
      <c r="T2506">
        <v>2.13</v>
      </c>
      <c r="U2506">
        <v>1.06</v>
      </c>
      <c r="V2506">
        <v>23.75</v>
      </c>
      <c r="W2506">
        <v>70</v>
      </c>
      <c r="X2506">
        <v>31.35</v>
      </c>
      <c r="Y2506" t="s">
        <v>1726</v>
      </c>
      <c r="Z2506" t="s">
        <v>5181</v>
      </c>
      <c r="AA2506">
        <v>1.23</v>
      </c>
      <c r="AB2506">
        <v>2</v>
      </c>
      <c r="AC2506">
        <v>37</v>
      </c>
      <c r="AD2506">
        <v>2.9</v>
      </c>
      <c r="AE2506" t="s">
        <v>598</v>
      </c>
      <c r="AF2506" t="s">
        <v>1451</v>
      </c>
      <c r="AG2506" t="s">
        <v>2448</v>
      </c>
      <c r="AH2506" t="s">
        <v>1011</v>
      </c>
      <c r="AI2506">
        <v>-5.84</v>
      </c>
      <c r="AJ2506">
        <v>-4.01</v>
      </c>
      <c r="AK2506">
        <v>20.329999999999998</v>
      </c>
      <c r="AL2506">
        <v>35.85</v>
      </c>
    </row>
    <row r="2507" spans="1:38" x14ac:dyDescent="0.25">
      <c r="A2507">
        <v>2506</v>
      </c>
      <c r="B2507" t="str">
        <f xml:space="preserve"> "300067"</f>
        <v>300067</v>
      </c>
      <c r="C2507" t="s">
        <v>7716</v>
      </c>
      <c r="D2507">
        <v>7.23</v>
      </c>
      <c r="E2507">
        <v>1.54</v>
      </c>
      <c r="F2507">
        <v>0.11</v>
      </c>
      <c r="G2507" t="s">
        <v>721</v>
      </c>
      <c r="H2507">
        <v>1114</v>
      </c>
      <c r="I2507">
        <v>7.22</v>
      </c>
      <c r="J2507">
        <v>7.23</v>
      </c>
      <c r="K2507">
        <v>0.14000000000000001</v>
      </c>
      <c r="L2507">
        <v>1.37</v>
      </c>
      <c r="M2507" t="s">
        <v>7717</v>
      </c>
      <c r="N2507">
        <v>38.479999999999997</v>
      </c>
      <c r="O2507" t="s">
        <v>667</v>
      </c>
      <c r="P2507">
        <v>7.29</v>
      </c>
      <c r="Q2507">
        <v>7.08</v>
      </c>
      <c r="R2507">
        <v>7.13</v>
      </c>
      <c r="S2507">
        <v>7.12</v>
      </c>
      <c r="T2507">
        <v>2.95</v>
      </c>
      <c r="U2507">
        <v>0.82</v>
      </c>
      <c r="V2507">
        <v>-13.09</v>
      </c>
      <c r="W2507">
        <v>-678</v>
      </c>
      <c r="X2507">
        <v>7.18</v>
      </c>
      <c r="Y2507" t="s">
        <v>4200</v>
      </c>
      <c r="Z2507" t="s">
        <v>3814</v>
      </c>
      <c r="AA2507">
        <v>0.95</v>
      </c>
      <c r="AB2507">
        <v>375</v>
      </c>
      <c r="AC2507">
        <v>1134</v>
      </c>
      <c r="AD2507">
        <v>4.3499999999999996</v>
      </c>
      <c r="AE2507" t="s">
        <v>3582</v>
      </c>
      <c r="AF2507" t="s">
        <v>1451</v>
      </c>
      <c r="AG2507" t="s">
        <v>5565</v>
      </c>
      <c r="AH2507" t="s">
        <v>364</v>
      </c>
      <c r="AI2507">
        <v>-2.56</v>
      </c>
      <c r="AJ2507">
        <v>1.97</v>
      </c>
      <c r="AK2507">
        <v>4.8600000000000003</v>
      </c>
      <c r="AL2507">
        <v>9.7200000000000006</v>
      </c>
    </row>
    <row r="2508" spans="1:38" x14ac:dyDescent="0.25">
      <c r="A2508">
        <v>2507</v>
      </c>
      <c r="B2508" t="str">
        <f xml:space="preserve"> "300582"</f>
        <v>300582</v>
      </c>
      <c r="C2508" t="s">
        <v>7718</v>
      </c>
      <c r="D2508">
        <v>23.38</v>
      </c>
      <c r="E2508">
        <v>-2.34</v>
      </c>
      <c r="F2508">
        <v>-0.56000000000000005</v>
      </c>
      <c r="G2508" t="s">
        <v>696</v>
      </c>
      <c r="H2508">
        <v>2981</v>
      </c>
      <c r="I2508">
        <v>23.38</v>
      </c>
      <c r="J2508">
        <v>23.39</v>
      </c>
      <c r="K2508">
        <v>0.13</v>
      </c>
      <c r="L2508">
        <v>18.61</v>
      </c>
      <c r="M2508" t="s">
        <v>7719</v>
      </c>
      <c r="N2508">
        <v>99.27</v>
      </c>
      <c r="O2508" t="s">
        <v>380</v>
      </c>
      <c r="P2508">
        <v>23.7</v>
      </c>
      <c r="Q2508">
        <v>22.72</v>
      </c>
      <c r="R2508">
        <v>23.5</v>
      </c>
      <c r="S2508">
        <v>23.94</v>
      </c>
      <c r="T2508">
        <v>4.09</v>
      </c>
      <c r="U2508">
        <v>0.6</v>
      </c>
      <c r="V2508">
        <v>43.63</v>
      </c>
      <c r="W2508">
        <v>763</v>
      </c>
      <c r="X2508">
        <v>23.21</v>
      </c>
      <c r="Y2508" t="s">
        <v>2693</v>
      </c>
      <c r="Z2508" t="s">
        <v>3297</v>
      </c>
      <c r="AA2508">
        <v>1.21</v>
      </c>
      <c r="AB2508">
        <v>835</v>
      </c>
      <c r="AC2508">
        <v>166</v>
      </c>
      <c r="AD2508">
        <v>4.82</v>
      </c>
      <c r="AE2508" t="s">
        <v>1075</v>
      </c>
      <c r="AF2508" t="s">
        <v>1451</v>
      </c>
      <c r="AG2508" t="s">
        <v>6347</v>
      </c>
      <c r="AH2508" t="s">
        <v>1572</v>
      </c>
      <c r="AI2508">
        <v>3</v>
      </c>
      <c r="AJ2508">
        <v>9.41</v>
      </c>
      <c r="AK2508">
        <v>76.37</v>
      </c>
      <c r="AL2508">
        <v>172.66</v>
      </c>
    </row>
    <row r="2509" spans="1:38" x14ac:dyDescent="0.25">
      <c r="A2509">
        <v>2508</v>
      </c>
      <c r="B2509" t="str">
        <f xml:space="preserve"> "603100"</f>
        <v>603100</v>
      </c>
      <c r="C2509" t="s">
        <v>7720</v>
      </c>
      <c r="D2509">
        <v>11.99</v>
      </c>
      <c r="E2509">
        <v>1.18</v>
      </c>
      <c r="F2509">
        <v>0.14000000000000001</v>
      </c>
      <c r="G2509" t="s">
        <v>1043</v>
      </c>
      <c r="H2509">
        <v>2</v>
      </c>
      <c r="I2509">
        <v>11.98</v>
      </c>
      <c r="J2509">
        <v>11.99</v>
      </c>
      <c r="K2509">
        <v>0</v>
      </c>
      <c r="L2509">
        <v>1.08</v>
      </c>
      <c r="M2509" t="s">
        <v>7713</v>
      </c>
      <c r="N2509">
        <v>33.409999999999997</v>
      </c>
      <c r="O2509" t="s">
        <v>1372</v>
      </c>
      <c r="P2509">
        <v>12.03</v>
      </c>
      <c r="Q2509">
        <v>11.8</v>
      </c>
      <c r="R2509">
        <v>11.85</v>
      </c>
      <c r="S2509">
        <v>11.85</v>
      </c>
      <c r="T2509">
        <v>1.94</v>
      </c>
      <c r="U2509">
        <v>1.29</v>
      </c>
      <c r="V2509">
        <v>-60.1</v>
      </c>
      <c r="W2509">
        <v>-1367</v>
      </c>
      <c r="X2509">
        <v>11.95</v>
      </c>
      <c r="Y2509" t="s">
        <v>808</v>
      </c>
      <c r="Z2509" t="s">
        <v>3130</v>
      </c>
      <c r="AA2509">
        <v>0.66</v>
      </c>
      <c r="AB2509">
        <v>96</v>
      </c>
      <c r="AC2509">
        <v>451</v>
      </c>
      <c r="AD2509">
        <v>2.48</v>
      </c>
      <c r="AE2509" t="s">
        <v>4544</v>
      </c>
      <c r="AF2509" t="s">
        <v>1451</v>
      </c>
      <c r="AG2509" t="s">
        <v>2208</v>
      </c>
      <c r="AH2509" t="s">
        <v>7721</v>
      </c>
      <c r="AI2509">
        <v>0.67</v>
      </c>
      <c r="AJ2509">
        <v>4.53</v>
      </c>
      <c r="AK2509">
        <v>2.66</v>
      </c>
      <c r="AL2509">
        <v>5.28</v>
      </c>
    </row>
    <row r="2510" spans="1:38" x14ac:dyDescent="0.25">
      <c r="A2510">
        <v>2509</v>
      </c>
      <c r="B2510" t="str">
        <f xml:space="preserve"> "600223"</f>
        <v>600223</v>
      </c>
      <c r="C2510" t="s">
        <v>7722</v>
      </c>
      <c r="D2510">
        <v>4.7300000000000004</v>
      </c>
      <c r="E2510">
        <v>0.42</v>
      </c>
      <c r="F2510">
        <v>0.02</v>
      </c>
      <c r="G2510" t="s">
        <v>875</v>
      </c>
      <c r="H2510">
        <v>50</v>
      </c>
      <c r="I2510">
        <v>4.72</v>
      </c>
      <c r="J2510">
        <v>4.7300000000000004</v>
      </c>
      <c r="K2510">
        <v>-0.21</v>
      </c>
      <c r="L2510">
        <v>0.48</v>
      </c>
      <c r="M2510" t="s">
        <v>7723</v>
      </c>
      <c r="N2510">
        <v>61.23</v>
      </c>
      <c r="O2510" t="s">
        <v>244</v>
      </c>
      <c r="P2510">
        <v>4.75</v>
      </c>
      <c r="Q2510">
        <v>4.6900000000000004</v>
      </c>
      <c r="R2510">
        <v>4.6900000000000004</v>
      </c>
      <c r="S2510">
        <v>4.71</v>
      </c>
      <c r="T2510">
        <v>1.27</v>
      </c>
      <c r="U2510">
        <v>1.08</v>
      </c>
      <c r="V2510">
        <v>-12.36</v>
      </c>
      <c r="W2510">
        <v>-1516</v>
      </c>
      <c r="X2510">
        <v>4.72</v>
      </c>
      <c r="Y2510" t="s">
        <v>1276</v>
      </c>
      <c r="Z2510" t="s">
        <v>1986</v>
      </c>
      <c r="AA2510">
        <v>1.4</v>
      </c>
      <c r="AB2510">
        <v>1834</v>
      </c>
      <c r="AC2510">
        <v>2645</v>
      </c>
      <c r="AD2510">
        <v>2.09</v>
      </c>
      <c r="AE2510" t="s">
        <v>1384</v>
      </c>
      <c r="AF2510" t="s">
        <v>348</v>
      </c>
      <c r="AG2510" t="s">
        <v>1384</v>
      </c>
      <c r="AH2510" t="s">
        <v>348</v>
      </c>
      <c r="AI2510">
        <v>0.85</v>
      </c>
      <c r="AJ2510">
        <v>3.05</v>
      </c>
      <c r="AK2510">
        <v>1.4</v>
      </c>
      <c r="AL2510">
        <v>2.73</v>
      </c>
    </row>
    <row r="2511" spans="1:38" x14ac:dyDescent="0.25">
      <c r="A2511">
        <v>2510</v>
      </c>
      <c r="B2511" t="str">
        <f xml:space="preserve"> "600215"</f>
        <v>600215</v>
      </c>
      <c r="C2511" t="s">
        <v>7724</v>
      </c>
      <c r="D2511">
        <v>10.17</v>
      </c>
      <c r="E2511">
        <v>0.49</v>
      </c>
      <c r="F2511">
        <v>0.05</v>
      </c>
      <c r="G2511" t="s">
        <v>4023</v>
      </c>
      <c r="H2511">
        <v>3</v>
      </c>
      <c r="I2511">
        <v>10.16</v>
      </c>
      <c r="J2511">
        <v>10.17</v>
      </c>
      <c r="K2511">
        <v>-0.1</v>
      </c>
      <c r="L2511">
        <v>0.5</v>
      </c>
      <c r="M2511" t="s">
        <v>7725</v>
      </c>
      <c r="N2511">
        <v>162.96</v>
      </c>
      <c r="O2511" t="s">
        <v>244</v>
      </c>
      <c r="P2511">
        <v>10.18</v>
      </c>
      <c r="Q2511">
        <v>10.09</v>
      </c>
      <c r="R2511">
        <v>10.15</v>
      </c>
      <c r="S2511">
        <v>10.119999999999999</v>
      </c>
      <c r="T2511">
        <v>0.89</v>
      </c>
      <c r="U2511">
        <v>0.83</v>
      </c>
      <c r="V2511">
        <v>-52.33</v>
      </c>
      <c r="W2511">
        <v>-1326</v>
      </c>
      <c r="X2511">
        <v>10.130000000000001</v>
      </c>
      <c r="Y2511" t="s">
        <v>2232</v>
      </c>
      <c r="Z2511" t="s">
        <v>808</v>
      </c>
      <c r="AA2511">
        <v>1.0900000000000001</v>
      </c>
      <c r="AB2511">
        <v>282</v>
      </c>
      <c r="AC2511">
        <v>9</v>
      </c>
      <c r="AD2511">
        <v>1.94</v>
      </c>
      <c r="AE2511" t="s">
        <v>3545</v>
      </c>
      <c r="AF2511" t="s">
        <v>348</v>
      </c>
      <c r="AG2511" t="s">
        <v>3545</v>
      </c>
      <c r="AH2511" t="s">
        <v>348</v>
      </c>
      <c r="AI2511">
        <v>-0.2</v>
      </c>
      <c r="AJ2511">
        <v>0.1</v>
      </c>
      <c r="AK2511">
        <v>1.71</v>
      </c>
      <c r="AL2511">
        <v>3.52</v>
      </c>
    </row>
    <row r="2512" spans="1:38" x14ac:dyDescent="0.25">
      <c r="A2512">
        <v>2511</v>
      </c>
      <c r="B2512" t="str">
        <f xml:space="preserve"> "300566"</f>
        <v>300566</v>
      </c>
      <c r="C2512" t="s">
        <v>7726</v>
      </c>
      <c r="D2512">
        <v>38</v>
      </c>
      <c r="E2512">
        <v>0</v>
      </c>
      <c r="F2512">
        <v>0</v>
      </c>
      <c r="G2512" t="s">
        <v>3041</v>
      </c>
      <c r="H2512">
        <v>219</v>
      </c>
      <c r="I2512">
        <v>38</v>
      </c>
      <c r="J2512">
        <v>38.01</v>
      </c>
      <c r="K2512">
        <v>0.03</v>
      </c>
      <c r="L2512">
        <v>3.66</v>
      </c>
      <c r="M2512" t="s">
        <v>7727</v>
      </c>
      <c r="N2512">
        <v>97.83</v>
      </c>
      <c r="O2512" t="s">
        <v>380</v>
      </c>
      <c r="P2512">
        <v>38.4</v>
      </c>
      <c r="Q2512">
        <v>37.6</v>
      </c>
      <c r="R2512">
        <v>37.6</v>
      </c>
      <c r="S2512">
        <v>38</v>
      </c>
      <c r="T2512">
        <v>2.11</v>
      </c>
      <c r="U2512">
        <v>0.48</v>
      </c>
      <c r="V2512">
        <v>58.3</v>
      </c>
      <c r="W2512">
        <v>185</v>
      </c>
      <c r="X2512">
        <v>37.97</v>
      </c>
      <c r="Y2512">
        <v>5077</v>
      </c>
      <c r="Z2512">
        <v>5859</v>
      </c>
      <c r="AA2512">
        <v>0.87</v>
      </c>
      <c r="AB2512">
        <v>137</v>
      </c>
      <c r="AC2512">
        <v>11</v>
      </c>
      <c r="AD2512">
        <v>6.7</v>
      </c>
      <c r="AE2512" t="s">
        <v>734</v>
      </c>
      <c r="AF2512" t="s">
        <v>348</v>
      </c>
      <c r="AG2512" t="s">
        <v>7728</v>
      </c>
      <c r="AH2512" t="s">
        <v>2756</v>
      </c>
      <c r="AI2512">
        <v>-1.83</v>
      </c>
      <c r="AJ2512">
        <v>4.05</v>
      </c>
      <c r="AK2512">
        <v>15.6</v>
      </c>
      <c r="AL2512">
        <v>41.79</v>
      </c>
    </row>
    <row r="2513" spans="1:38" x14ac:dyDescent="0.25">
      <c r="A2513">
        <v>2512</v>
      </c>
      <c r="B2513" t="str">
        <f xml:space="preserve"> "000819"</f>
        <v>000819</v>
      </c>
      <c r="C2513" t="s">
        <v>7729</v>
      </c>
      <c r="D2513">
        <v>17.41</v>
      </c>
      <c r="E2513">
        <v>-0.8</v>
      </c>
      <c r="F2513">
        <v>-0.14000000000000001</v>
      </c>
      <c r="G2513" t="s">
        <v>125</v>
      </c>
      <c r="H2513">
        <v>217</v>
      </c>
      <c r="I2513">
        <v>17.41</v>
      </c>
      <c r="J2513">
        <v>17.420000000000002</v>
      </c>
      <c r="K2513">
        <v>0.06</v>
      </c>
      <c r="L2513">
        <v>0.56999999999999995</v>
      </c>
      <c r="M2513" t="s">
        <v>7730</v>
      </c>
      <c r="N2513">
        <v>-461.33</v>
      </c>
      <c r="O2513" t="s">
        <v>61</v>
      </c>
      <c r="P2513">
        <v>17.73</v>
      </c>
      <c r="Q2513">
        <v>17.350000000000001</v>
      </c>
      <c r="R2513">
        <v>17.55</v>
      </c>
      <c r="S2513">
        <v>17.55</v>
      </c>
      <c r="T2513">
        <v>2.17</v>
      </c>
      <c r="U2513">
        <v>0.69</v>
      </c>
      <c r="V2513">
        <v>55.97</v>
      </c>
      <c r="W2513">
        <v>393</v>
      </c>
      <c r="X2513">
        <v>17.489999999999998</v>
      </c>
      <c r="Y2513">
        <v>9979</v>
      </c>
      <c r="Z2513">
        <v>5364</v>
      </c>
      <c r="AA2513">
        <v>1.86</v>
      </c>
      <c r="AB2513">
        <v>1</v>
      </c>
      <c r="AC2513">
        <v>39</v>
      </c>
      <c r="AD2513">
        <v>6.89</v>
      </c>
      <c r="AE2513" t="s">
        <v>159</v>
      </c>
      <c r="AF2513" t="s">
        <v>2538</v>
      </c>
      <c r="AG2513" t="s">
        <v>159</v>
      </c>
      <c r="AH2513" t="s">
        <v>2538</v>
      </c>
      <c r="AI2513">
        <v>-2.68</v>
      </c>
      <c r="AJ2513">
        <v>1.87</v>
      </c>
      <c r="AK2513">
        <v>2.33</v>
      </c>
      <c r="AL2513">
        <v>4.68</v>
      </c>
    </row>
    <row r="2514" spans="1:38" x14ac:dyDescent="0.25">
      <c r="A2514">
        <v>2513</v>
      </c>
      <c r="B2514" t="str">
        <f xml:space="preserve"> "002338"</f>
        <v>002338</v>
      </c>
      <c r="C2514" t="s">
        <v>7731</v>
      </c>
      <c r="D2514">
        <v>19.68</v>
      </c>
      <c r="E2514">
        <v>-1.06</v>
      </c>
      <c r="F2514">
        <v>-0.21</v>
      </c>
      <c r="G2514" t="s">
        <v>2695</v>
      </c>
      <c r="H2514">
        <v>538</v>
      </c>
      <c r="I2514">
        <v>19.68</v>
      </c>
      <c r="J2514">
        <v>19.690000000000001</v>
      </c>
      <c r="K2514">
        <v>0</v>
      </c>
      <c r="L2514">
        <v>1.05</v>
      </c>
      <c r="M2514" t="s">
        <v>7732</v>
      </c>
      <c r="N2514">
        <v>89.36</v>
      </c>
      <c r="O2514" t="s">
        <v>1372</v>
      </c>
      <c r="P2514">
        <v>20.079999999999998</v>
      </c>
      <c r="Q2514">
        <v>19.54</v>
      </c>
      <c r="R2514">
        <v>19.809999999999999</v>
      </c>
      <c r="S2514">
        <v>19.89</v>
      </c>
      <c r="T2514">
        <v>2.71</v>
      </c>
      <c r="U2514">
        <v>0.87</v>
      </c>
      <c r="V2514">
        <v>-6.79</v>
      </c>
      <c r="W2514">
        <v>-37</v>
      </c>
      <c r="X2514">
        <v>19.73</v>
      </c>
      <c r="Y2514" t="s">
        <v>3590</v>
      </c>
      <c r="Z2514">
        <v>8754</v>
      </c>
      <c r="AA2514">
        <v>1.88</v>
      </c>
      <c r="AB2514">
        <v>46</v>
      </c>
      <c r="AC2514">
        <v>50</v>
      </c>
      <c r="AD2514">
        <v>6.39</v>
      </c>
      <c r="AE2514" t="s">
        <v>2521</v>
      </c>
      <c r="AF2514" t="s">
        <v>2538</v>
      </c>
      <c r="AG2514" t="s">
        <v>2521</v>
      </c>
      <c r="AH2514" t="s">
        <v>2538</v>
      </c>
      <c r="AI2514">
        <v>-2.14</v>
      </c>
      <c r="AJ2514">
        <v>2.61</v>
      </c>
      <c r="AK2514">
        <v>3.48</v>
      </c>
      <c r="AL2514">
        <v>7.13</v>
      </c>
    </row>
    <row r="2515" spans="1:38" x14ac:dyDescent="0.25">
      <c r="A2515">
        <v>2514</v>
      </c>
      <c r="B2515" t="str">
        <f xml:space="preserve"> "002700"</f>
        <v>002700</v>
      </c>
      <c r="C2515" t="s">
        <v>7733</v>
      </c>
      <c r="D2515">
        <v>11.18</v>
      </c>
      <c r="E2515">
        <v>0.45</v>
      </c>
      <c r="F2515">
        <v>0.05</v>
      </c>
      <c r="G2515" t="s">
        <v>6945</v>
      </c>
      <c r="H2515">
        <v>871</v>
      </c>
      <c r="I2515">
        <v>11.17</v>
      </c>
      <c r="J2515">
        <v>11.18</v>
      </c>
      <c r="K2515">
        <v>0</v>
      </c>
      <c r="L2515">
        <v>1.1100000000000001</v>
      </c>
      <c r="M2515" t="s">
        <v>3966</v>
      </c>
      <c r="N2515">
        <v>64.59</v>
      </c>
      <c r="O2515" t="s">
        <v>2085</v>
      </c>
      <c r="P2515">
        <v>11.28</v>
      </c>
      <c r="Q2515">
        <v>11.03</v>
      </c>
      <c r="R2515">
        <v>11.06</v>
      </c>
      <c r="S2515">
        <v>11.13</v>
      </c>
      <c r="T2515">
        <v>2.25</v>
      </c>
      <c r="U2515">
        <v>1.04</v>
      </c>
      <c r="V2515">
        <v>16.14</v>
      </c>
      <c r="W2515">
        <v>222</v>
      </c>
      <c r="X2515">
        <v>11.19</v>
      </c>
      <c r="Y2515" t="s">
        <v>999</v>
      </c>
      <c r="Z2515" t="s">
        <v>4118</v>
      </c>
      <c r="AA2515">
        <v>0.71</v>
      </c>
      <c r="AB2515">
        <v>242</v>
      </c>
      <c r="AC2515">
        <v>86</v>
      </c>
      <c r="AD2515">
        <v>5.12</v>
      </c>
      <c r="AE2515" t="s">
        <v>5070</v>
      </c>
      <c r="AF2515" t="s">
        <v>2538</v>
      </c>
      <c r="AG2515" t="s">
        <v>7097</v>
      </c>
      <c r="AH2515" t="s">
        <v>1239</v>
      </c>
      <c r="AI2515">
        <v>2.85</v>
      </c>
      <c r="AJ2515">
        <v>4.1900000000000004</v>
      </c>
      <c r="AK2515">
        <v>4.91</v>
      </c>
      <c r="AL2515">
        <v>6.44</v>
      </c>
    </row>
    <row r="2516" spans="1:38" x14ac:dyDescent="0.25">
      <c r="A2516">
        <v>2515</v>
      </c>
      <c r="B2516" t="str">
        <f xml:space="preserve"> "002227"</f>
        <v>002227</v>
      </c>
      <c r="C2516" t="s">
        <v>7734</v>
      </c>
      <c r="D2516">
        <v>21.4</v>
      </c>
      <c r="E2516">
        <v>0.85</v>
      </c>
      <c r="F2516">
        <v>0.18</v>
      </c>
      <c r="G2516" t="s">
        <v>713</v>
      </c>
      <c r="H2516">
        <v>413</v>
      </c>
      <c r="I2516">
        <v>21.4</v>
      </c>
      <c r="J2516">
        <v>21.41</v>
      </c>
      <c r="K2516">
        <v>-0.05</v>
      </c>
      <c r="L2516">
        <v>0.78</v>
      </c>
      <c r="M2516" t="s">
        <v>7735</v>
      </c>
      <c r="N2516">
        <v>2234.29</v>
      </c>
      <c r="O2516" t="s">
        <v>680</v>
      </c>
      <c r="P2516">
        <v>21.43</v>
      </c>
      <c r="Q2516">
        <v>21.2</v>
      </c>
      <c r="R2516">
        <v>21.38</v>
      </c>
      <c r="S2516">
        <v>21.22</v>
      </c>
      <c r="T2516">
        <v>1.08</v>
      </c>
      <c r="U2516">
        <v>0.4</v>
      </c>
      <c r="V2516">
        <v>-13.24</v>
      </c>
      <c r="W2516">
        <v>-156</v>
      </c>
      <c r="X2516">
        <v>21.35</v>
      </c>
      <c r="Y2516">
        <v>7813</v>
      </c>
      <c r="Z2516">
        <v>9201</v>
      </c>
      <c r="AA2516">
        <v>0.85</v>
      </c>
      <c r="AB2516">
        <v>190</v>
      </c>
      <c r="AC2516">
        <v>171</v>
      </c>
      <c r="AD2516">
        <v>5.95</v>
      </c>
      <c r="AE2516" t="s">
        <v>439</v>
      </c>
      <c r="AF2516" t="s">
        <v>2538</v>
      </c>
      <c r="AG2516" t="s">
        <v>1666</v>
      </c>
      <c r="AH2516" t="s">
        <v>2039</v>
      </c>
      <c r="AI2516">
        <v>-3.73</v>
      </c>
      <c r="AJ2516">
        <v>-2.42</v>
      </c>
      <c r="AK2516">
        <v>4.13</v>
      </c>
      <c r="AL2516">
        <v>10.38</v>
      </c>
    </row>
    <row r="2517" spans="1:38" x14ac:dyDescent="0.25">
      <c r="A2517">
        <v>2516</v>
      </c>
      <c r="B2517" t="str">
        <f xml:space="preserve"> "600815"</f>
        <v>600815</v>
      </c>
      <c r="C2517" t="s">
        <v>7736</v>
      </c>
      <c r="D2517">
        <v>4.92</v>
      </c>
      <c r="E2517">
        <v>-0.2</v>
      </c>
      <c r="F2517">
        <v>-0.01</v>
      </c>
      <c r="G2517" t="s">
        <v>1190</v>
      </c>
      <c r="H2517">
        <v>169</v>
      </c>
      <c r="I2517">
        <v>4.91</v>
      </c>
      <c r="J2517">
        <v>4.92</v>
      </c>
      <c r="K2517">
        <v>0</v>
      </c>
      <c r="L2517">
        <v>0.31</v>
      </c>
      <c r="M2517" t="s">
        <v>7737</v>
      </c>
      <c r="N2517">
        <v>16.84</v>
      </c>
      <c r="O2517" t="s">
        <v>648</v>
      </c>
      <c r="P2517">
        <v>4.95</v>
      </c>
      <c r="Q2517">
        <v>4.9000000000000004</v>
      </c>
      <c r="R2517">
        <v>4.93</v>
      </c>
      <c r="S2517">
        <v>4.93</v>
      </c>
      <c r="T2517">
        <v>1.01</v>
      </c>
      <c r="U2517">
        <v>0.88</v>
      </c>
      <c r="V2517">
        <v>-21.82</v>
      </c>
      <c r="W2517">
        <v>-2432</v>
      </c>
      <c r="X2517">
        <v>4.92</v>
      </c>
      <c r="Y2517" t="s">
        <v>3656</v>
      </c>
      <c r="Z2517">
        <v>6350</v>
      </c>
      <c r="AA2517">
        <v>3.63</v>
      </c>
      <c r="AB2517">
        <v>453</v>
      </c>
      <c r="AC2517">
        <v>838</v>
      </c>
      <c r="AD2517">
        <v>8.41</v>
      </c>
      <c r="AE2517" t="s">
        <v>4738</v>
      </c>
      <c r="AF2517" t="s">
        <v>2538</v>
      </c>
      <c r="AG2517" t="s">
        <v>4738</v>
      </c>
      <c r="AH2517" t="s">
        <v>2538</v>
      </c>
      <c r="AI2517">
        <v>-0.81</v>
      </c>
      <c r="AJ2517">
        <v>2.5</v>
      </c>
      <c r="AK2517">
        <v>1.01</v>
      </c>
      <c r="AL2517">
        <v>2.06</v>
      </c>
    </row>
    <row r="2518" spans="1:38" x14ac:dyDescent="0.25">
      <c r="A2518">
        <v>2517</v>
      </c>
      <c r="B2518" t="str">
        <f xml:space="preserve"> "000010"</f>
        <v>000010</v>
      </c>
      <c r="C2518" t="s">
        <v>7738</v>
      </c>
      <c r="D2518">
        <v>5.75</v>
      </c>
      <c r="E2518">
        <v>4.74</v>
      </c>
      <c r="F2518">
        <v>0.26</v>
      </c>
      <c r="G2518" t="s">
        <v>1020</v>
      </c>
      <c r="H2518">
        <v>2738</v>
      </c>
      <c r="I2518">
        <v>5.74</v>
      </c>
      <c r="J2518">
        <v>5.75</v>
      </c>
      <c r="K2518">
        <v>0</v>
      </c>
      <c r="L2518">
        <v>5.29</v>
      </c>
      <c r="M2518" t="s">
        <v>2091</v>
      </c>
      <c r="N2518">
        <v>-51.74</v>
      </c>
      <c r="O2518" t="s">
        <v>1221</v>
      </c>
      <c r="P2518">
        <v>5.88</v>
      </c>
      <c r="Q2518">
        <v>5.44</v>
      </c>
      <c r="R2518">
        <v>5.45</v>
      </c>
      <c r="S2518">
        <v>5.49</v>
      </c>
      <c r="T2518">
        <v>8.01</v>
      </c>
      <c r="U2518">
        <v>1.8</v>
      </c>
      <c r="V2518">
        <v>-20.25</v>
      </c>
      <c r="W2518">
        <v>-2365</v>
      </c>
      <c r="X2518">
        <v>5.73</v>
      </c>
      <c r="Y2518" t="s">
        <v>1242</v>
      </c>
      <c r="Z2518" t="s">
        <v>351</v>
      </c>
      <c r="AA2518">
        <v>0.73</v>
      </c>
      <c r="AB2518">
        <v>707</v>
      </c>
      <c r="AC2518">
        <v>1221</v>
      </c>
      <c r="AD2518">
        <v>2.17</v>
      </c>
      <c r="AE2518" t="s">
        <v>5578</v>
      </c>
      <c r="AF2518" t="s">
        <v>5471</v>
      </c>
      <c r="AG2518" t="s">
        <v>4417</v>
      </c>
      <c r="AH2518" t="s">
        <v>1880</v>
      </c>
      <c r="AI2518">
        <v>4.55</v>
      </c>
      <c r="AJ2518">
        <v>12.75</v>
      </c>
      <c r="AK2518">
        <v>9.9600000000000009</v>
      </c>
      <c r="AL2518">
        <v>20.03</v>
      </c>
    </row>
    <row r="2519" spans="1:38" x14ac:dyDescent="0.25">
      <c r="A2519">
        <v>2518</v>
      </c>
      <c r="B2519" t="str">
        <f xml:space="preserve"> "603079"</f>
        <v>603079</v>
      </c>
      <c r="C2519" t="s">
        <v>7739</v>
      </c>
      <c r="D2519">
        <v>58.9</v>
      </c>
      <c r="E2519">
        <v>-0.3</v>
      </c>
      <c r="F2519">
        <v>-0.18</v>
      </c>
      <c r="G2519">
        <v>8143</v>
      </c>
      <c r="H2519">
        <v>27</v>
      </c>
      <c r="I2519">
        <v>58.8</v>
      </c>
      <c r="J2519">
        <v>58.89</v>
      </c>
      <c r="K2519">
        <v>-0.08</v>
      </c>
      <c r="L2519">
        <v>4.07</v>
      </c>
      <c r="M2519" t="s">
        <v>4389</v>
      </c>
      <c r="N2519">
        <v>56.58</v>
      </c>
      <c r="O2519" t="s">
        <v>392</v>
      </c>
      <c r="P2519">
        <v>59.8</v>
      </c>
      <c r="Q2519">
        <v>57.5</v>
      </c>
      <c r="R2519">
        <v>57.5</v>
      </c>
      <c r="S2519">
        <v>59.08</v>
      </c>
      <c r="T2519">
        <v>3.89</v>
      </c>
      <c r="U2519">
        <v>0.36</v>
      </c>
      <c r="V2519">
        <v>-44.35</v>
      </c>
      <c r="W2519">
        <v>-51</v>
      </c>
      <c r="X2519">
        <v>59.09</v>
      </c>
      <c r="Y2519">
        <v>4407</v>
      </c>
      <c r="Z2519">
        <v>3736</v>
      </c>
      <c r="AA2519">
        <v>1.18</v>
      </c>
      <c r="AB2519">
        <v>11</v>
      </c>
      <c r="AC2519">
        <v>13</v>
      </c>
      <c r="AD2519">
        <v>6.39</v>
      </c>
      <c r="AE2519" t="s">
        <v>5802</v>
      </c>
      <c r="AF2519" t="s">
        <v>5471</v>
      </c>
      <c r="AG2519" t="s">
        <v>5562</v>
      </c>
      <c r="AH2519" t="s">
        <v>896</v>
      </c>
      <c r="AI2519">
        <v>-8.98</v>
      </c>
      <c r="AJ2519">
        <v>-12.48</v>
      </c>
      <c r="AK2519">
        <v>26.4</v>
      </c>
      <c r="AL2519">
        <v>60.43</v>
      </c>
    </row>
    <row r="2520" spans="1:38" x14ac:dyDescent="0.25">
      <c r="A2520">
        <v>2519</v>
      </c>
      <c r="B2520" t="str">
        <f xml:space="preserve"> "603855"</f>
        <v>603855</v>
      </c>
      <c r="C2520" t="s">
        <v>7740</v>
      </c>
      <c r="D2520">
        <v>14.23</v>
      </c>
      <c r="E2520">
        <v>0.78</v>
      </c>
      <c r="F2520">
        <v>0.11</v>
      </c>
      <c r="G2520" t="s">
        <v>4003</v>
      </c>
      <c r="H2520">
        <v>26</v>
      </c>
      <c r="I2520">
        <v>14.23</v>
      </c>
      <c r="J2520">
        <v>14.24</v>
      </c>
      <c r="K2520">
        <v>0</v>
      </c>
      <c r="L2520">
        <v>4.1500000000000004</v>
      </c>
      <c r="M2520" t="s">
        <v>7741</v>
      </c>
      <c r="N2520">
        <v>73.44</v>
      </c>
      <c r="O2520" t="s">
        <v>2647</v>
      </c>
      <c r="P2520">
        <v>14.27</v>
      </c>
      <c r="Q2520">
        <v>14.01</v>
      </c>
      <c r="R2520">
        <v>14.22</v>
      </c>
      <c r="S2520">
        <v>14.12</v>
      </c>
      <c r="T2520">
        <v>1.84</v>
      </c>
      <c r="U2520">
        <v>1.08</v>
      </c>
      <c r="V2520">
        <v>-26.99</v>
      </c>
      <c r="W2520">
        <v>-829</v>
      </c>
      <c r="X2520">
        <v>14.15</v>
      </c>
      <c r="Y2520" t="s">
        <v>713</v>
      </c>
      <c r="Z2520" t="s">
        <v>2580</v>
      </c>
      <c r="AA2520">
        <v>0.98</v>
      </c>
      <c r="AB2520">
        <v>314</v>
      </c>
      <c r="AC2520">
        <v>408</v>
      </c>
      <c r="AD2520">
        <v>3.55</v>
      </c>
      <c r="AE2520" t="s">
        <v>7034</v>
      </c>
      <c r="AF2520" t="s">
        <v>5471</v>
      </c>
      <c r="AG2520" t="s">
        <v>7742</v>
      </c>
      <c r="AH2520" t="s">
        <v>896</v>
      </c>
      <c r="AI2520">
        <v>2.2999999999999998</v>
      </c>
      <c r="AJ2520">
        <v>6.91</v>
      </c>
      <c r="AK2520">
        <v>13.37</v>
      </c>
      <c r="AL2520">
        <v>23.32</v>
      </c>
    </row>
    <row r="2521" spans="1:38" x14ac:dyDescent="0.25">
      <c r="A2521">
        <v>2520</v>
      </c>
      <c r="B2521" t="str">
        <f xml:space="preserve"> "000962"</f>
        <v>000962</v>
      </c>
      <c r="C2521" t="s">
        <v>7743</v>
      </c>
      <c r="D2521">
        <v>10.68</v>
      </c>
      <c r="E2521">
        <v>-1.29</v>
      </c>
      <c r="F2521">
        <v>-0.14000000000000001</v>
      </c>
      <c r="G2521" t="s">
        <v>363</v>
      </c>
      <c r="H2521">
        <v>1883</v>
      </c>
      <c r="I2521">
        <v>10.68</v>
      </c>
      <c r="J2521">
        <v>10.69</v>
      </c>
      <c r="K2521">
        <v>0</v>
      </c>
      <c r="L2521">
        <v>2.48</v>
      </c>
      <c r="M2521" t="s">
        <v>2827</v>
      </c>
      <c r="N2521">
        <v>-24.69</v>
      </c>
      <c r="O2521" t="s">
        <v>449</v>
      </c>
      <c r="P2521">
        <v>10.88</v>
      </c>
      <c r="Q2521">
        <v>10.61</v>
      </c>
      <c r="R2521">
        <v>10.67</v>
      </c>
      <c r="S2521">
        <v>10.82</v>
      </c>
      <c r="T2521">
        <v>2.5</v>
      </c>
      <c r="U2521">
        <v>0.63</v>
      </c>
      <c r="V2521">
        <v>30.12</v>
      </c>
      <c r="W2521">
        <v>650</v>
      </c>
      <c r="X2521">
        <v>10.71</v>
      </c>
      <c r="Y2521" t="s">
        <v>2416</v>
      </c>
      <c r="Z2521" t="s">
        <v>3555</v>
      </c>
      <c r="AA2521">
        <v>1.31</v>
      </c>
      <c r="AB2521">
        <v>113</v>
      </c>
      <c r="AC2521">
        <v>214</v>
      </c>
      <c r="AD2521">
        <v>3.39</v>
      </c>
      <c r="AE2521" t="s">
        <v>5031</v>
      </c>
      <c r="AF2521" t="s">
        <v>5471</v>
      </c>
      <c r="AG2521" t="s">
        <v>5031</v>
      </c>
      <c r="AH2521" t="s">
        <v>5471</v>
      </c>
      <c r="AI2521">
        <v>-8.8699999999999992</v>
      </c>
      <c r="AJ2521">
        <v>-9.11</v>
      </c>
      <c r="AK2521">
        <v>10.029999999999999</v>
      </c>
      <c r="AL2521">
        <v>22.03</v>
      </c>
    </row>
    <row r="2522" spans="1:38" x14ac:dyDescent="0.25">
      <c r="A2522">
        <v>2521</v>
      </c>
      <c r="B2522" t="str">
        <f xml:space="preserve"> "002837"</f>
        <v>002837</v>
      </c>
      <c r="C2522" t="s">
        <v>7744</v>
      </c>
      <c r="D2522" t="s">
        <v>616</v>
      </c>
      <c r="E2522" t="s">
        <v>616</v>
      </c>
      <c r="F2522" t="s">
        <v>616</v>
      </c>
      <c r="G2522" t="s">
        <v>616</v>
      </c>
      <c r="H2522" t="s">
        <v>616</v>
      </c>
      <c r="I2522" t="s">
        <v>616</v>
      </c>
      <c r="J2522" t="s">
        <v>616</v>
      </c>
      <c r="K2522" t="s">
        <v>616</v>
      </c>
      <c r="L2522" t="s">
        <v>616</v>
      </c>
      <c r="M2522" t="s">
        <v>616</v>
      </c>
      <c r="N2522">
        <v>58.92</v>
      </c>
      <c r="O2522" t="s">
        <v>648</v>
      </c>
      <c r="P2522" t="s">
        <v>616</v>
      </c>
      <c r="Q2522" t="s">
        <v>616</v>
      </c>
      <c r="R2522" t="s">
        <v>616</v>
      </c>
      <c r="S2522">
        <v>23.29</v>
      </c>
      <c r="T2522" t="s">
        <v>616</v>
      </c>
      <c r="U2522" t="s">
        <v>616</v>
      </c>
      <c r="V2522" t="s">
        <v>616</v>
      </c>
      <c r="W2522" t="s">
        <v>616</v>
      </c>
      <c r="X2522" t="s">
        <v>616</v>
      </c>
      <c r="Y2522" t="s">
        <v>616</v>
      </c>
      <c r="Z2522" t="s">
        <v>616</v>
      </c>
      <c r="AA2522" t="s">
        <v>616</v>
      </c>
      <c r="AB2522" t="s">
        <v>616</v>
      </c>
      <c r="AC2522" t="s">
        <v>616</v>
      </c>
      <c r="AD2522">
        <v>7.64</v>
      </c>
      <c r="AE2522" t="s">
        <v>1404</v>
      </c>
      <c r="AF2522" t="s">
        <v>5471</v>
      </c>
      <c r="AG2522" t="s">
        <v>7745</v>
      </c>
      <c r="AH2522" t="s">
        <v>2388</v>
      </c>
      <c r="AI2522">
        <v>0</v>
      </c>
      <c r="AJ2522">
        <v>0</v>
      </c>
      <c r="AK2522">
        <v>0</v>
      </c>
      <c r="AL2522">
        <v>0</v>
      </c>
    </row>
    <row r="2523" spans="1:38" x14ac:dyDescent="0.25">
      <c r="A2523">
        <v>2522</v>
      </c>
      <c r="B2523" t="str">
        <f xml:space="preserve"> "300585"</f>
        <v>300585</v>
      </c>
      <c r="C2523" t="s">
        <v>7746</v>
      </c>
      <c r="D2523" t="s">
        <v>616</v>
      </c>
      <c r="E2523" t="s">
        <v>616</v>
      </c>
      <c r="F2523" t="s">
        <v>616</v>
      </c>
      <c r="G2523" t="s">
        <v>616</v>
      </c>
      <c r="H2523" t="s">
        <v>616</v>
      </c>
      <c r="I2523" t="s">
        <v>616</v>
      </c>
      <c r="J2523" t="s">
        <v>616</v>
      </c>
      <c r="K2523" t="s">
        <v>616</v>
      </c>
      <c r="L2523" t="s">
        <v>616</v>
      </c>
      <c r="M2523" t="s">
        <v>616</v>
      </c>
      <c r="N2523">
        <v>77.650000000000006</v>
      </c>
      <c r="O2523" t="s">
        <v>169</v>
      </c>
      <c r="P2523" t="s">
        <v>616</v>
      </c>
      <c r="Q2523" t="s">
        <v>616</v>
      </c>
      <c r="R2523" t="s">
        <v>616</v>
      </c>
      <c r="S2523">
        <v>29.4</v>
      </c>
      <c r="T2523" t="s">
        <v>616</v>
      </c>
      <c r="U2523" t="s">
        <v>616</v>
      </c>
      <c r="V2523" t="s">
        <v>616</v>
      </c>
      <c r="W2523" t="s">
        <v>616</v>
      </c>
      <c r="X2523" t="s">
        <v>616</v>
      </c>
      <c r="Y2523" t="s">
        <v>616</v>
      </c>
      <c r="Z2523" t="s">
        <v>616</v>
      </c>
      <c r="AA2523" t="s">
        <v>616</v>
      </c>
      <c r="AB2523" t="s">
        <v>616</v>
      </c>
      <c r="AC2523" t="s">
        <v>616</v>
      </c>
      <c r="AD2523">
        <v>11.22</v>
      </c>
      <c r="AE2523" t="s">
        <v>4326</v>
      </c>
      <c r="AF2523" t="s">
        <v>2039</v>
      </c>
      <c r="AG2523" t="s">
        <v>6081</v>
      </c>
      <c r="AH2523" t="s">
        <v>896</v>
      </c>
      <c r="AI2523">
        <v>20.99</v>
      </c>
      <c r="AJ2523">
        <v>0</v>
      </c>
      <c r="AK2523">
        <v>123.13</v>
      </c>
      <c r="AL2523">
        <v>191.32</v>
      </c>
    </row>
    <row r="2524" spans="1:38" x14ac:dyDescent="0.25">
      <c r="A2524">
        <v>2523</v>
      </c>
      <c r="B2524" t="str">
        <f xml:space="preserve"> "002866"</f>
        <v>002866</v>
      </c>
      <c r="C2524" t="s">
        <v>7747</v>
      </c>
      <c r="D2524">
        <v>32.75</v>
      </c>
      <c r="E2524">
        <v>-0.4</v>
      </c>
      <c r="F2524">
        <v>-0.13</v>
      </c>
      <c r="G2524" t="s">
        <v>4237</v>
      </c>
      <c r="H2524">
        <v>74</v>
      </c>
      <c r="I2524">
        <v>32.75</v>
      </c>
      <c r="J2524">
        <v>32.869999999999997</v>
      </c>
      <c r="K2524">
        <v>0.09</v>
      </c>
      <c r="L2524">
        <v>4.33</v>
      </c>
      <c r="M2524" t="s">
        <v>7748</v>
      </c>
      <c r="N2524">
        <v>58.77</v>
      </c>
      <c r="O2524" t="s">
        <v>380</v>
      </c>
      <c r="P2524">
        <v>33.1</v>
      </c>
      <c r="Q2524">
        <v>32.4</v>
      </c>
      <c r="R2524">
        <v>32.6</v>
      </c>
      <c r="S2524">
        <v>32.880000000000003</v>
      </c>
      <c r="T2524">
        <v>2.13</v>
      </c>
      <c r="U2524">
        <v>0.71</v>
      </c>
      <c r="V2524">
        <v>-7.52</v>
      </c>
      <c r="W2524">
        <v>-39</v>
      </c>
      <c r="X2524">
        <v>32.840000000000003</v>
      </c>
      <c r="Y2524">
        <v>6803</v>
      </c>
      <c r="Z2524">
        <v>8739</v>
      </c>
      <c r="AA2524">
        <v>0.78</v>
      </c>
      <c r="AB2524">
        <v>13</v>
      </c>
      <c r="AC2524">
        <v>26</v>
      </c>
      <c r="AD2524">
        <v>5.51</v>
      </c>
      <c r="AE2524" t="s">
        <v>2106</v>
      </c>
      <c r="AF2524" t="s">
        <v>2039</v>
      </c>
      <c r="AG2524" t="s">
        <v>7749</v>
      </c>
      <c r="AH2524" t="s">
        <v>896</v>
      </c>
      <c r="AI2524">
        <v>0.52</v>
      </c>
      <c r="AJ2524">
        <v>7.38</v>
      </c>
      <c r="AK2524">
        <v>16.690000000000001</v>
      </c>
      <c r="AL2524">
        <v>34.75</v>
      </c>
    </row>
    <row r="2525" spans="1:38" x14ac:dyDescent="0.25">
      <c r="A2525">
        <v>2524</v>
      </c>
      <c r="B2525" t="str">
        <f xml:space="preserve"> "603189"</f>
        <v>603189</v>
      </c>
      <c r="C2525" t="s">
        <v>7750</v>
      </c>
      <c r="D2525">
        <v>21.29</v>
      </c>
      <c r="E2525">
        <v>-0.37</v>
      </c>
      <c r="F2525">
        <v>-0.08</v>
      </c>
      <c r="G2525" t="s">
        <v>1886</v>
      </c>
      <c r="H2525">
        <v>10</v>
      </c>
      <c r="I2525">
        <v>21.27</v>
      </c>
      <c r="J2525">
        <v>21.28</v>
      </c>
      <c r="K2525">
        <v>-0.09</v>
      </c>
      <c r="L2525">
        <v>1.62</v>
      </c>
      <c r="M2525" t="s">
        <v>7751</v>
      </c>
      <c r="N2525">
        <v>196.94</v>
      </c>
      <c r="O2525" t="s">
        <v>893</v>
      </c>
      <c r="P2525">
        <v>21.46</v>
      </c>
      <c r="Q2525">
        <v>20.9</v>
      </c>
      <c r="R2525">
        <v>21.37</v>
      </c>
      <c r="S2525">
        <v>21.37</v>
      </c>
      <c r="T2525">
        <v>2.62</v>
      </c>
      <c r="U2525">
        <v>0.75</v>
      </c>
      <c r="V2525">
        <v>13.37</v>
      </c>
      <c r="W2525">
        <v>75</v>
      </c>
      <c r="X2525">
        <v>21.12</v>
      </c>
      <c r="Y2525" t="s">
        <v>1685</v>
      </c>
      <c r="Z2525">
        <v>7752</v>
      </c>
      <c r="AA2525">
        <v>1.3</v>
      </c>
      <c r="AB2525">
        <v>69</v>
      </c>
      <c r="AC2525">
        <v>45</v>
      </c>
      <c r="AD2525">
        <v>6.03</v>
      </c>
      <c r="AE2525" t="s">
        <v>439</v>
      </c>
      <c r="AF2525" t="s">
        <v>2039</v>
      </c>
      <c r="AG2525" t="s">
        <v>679</v>
      </c>
      <c r="AH2525" t="s">
        <v>2733</v>
      </c>
      <c r="AI2525">
        <v>0.47</v>
      </c>
      <c r="AJ2525">
        <v>6.72</v>
      </c>
      <c r="AK2525">
        <v>7.14</v>
      </c>
      <c r="AL2525">
        <v>12.49</v>
      </c>
    </row>
    <row r="2526" spans="1:38" x14ac:dyDescent="0.25">
      <c r="A2526">
        <v>2525</v>
      </c>
      <c r="B2526" t="str">
        <f xml:space="preserve"> "000906"</f>
        <v>000906</v>
      </c>
      <c r="C2526" t="s">
        <v>7752</v>
      </c>
      <c r="D2526">
        <v>9.1999999999999993</v>
      </c>
      <c r="E2526">
        <v>-0.33</v>
      </c>
      <c r="F2526">
        <v>-0.03</v>
      </c>
      <c r="G2526" t="s">
        <v>2950</v>
      </c>
      <c r="H2526">
        <v>351</v>
      </c>
      <c r="I2526">
        <v>9.1999999999999993</v>
      </c>
      <c r="J2526">
        <v>9.2100000000000009</v>
      </c>
      <c r="K2526">
        <v>0</v>
      </c>
      <c r="L2526">
        <v>0.67</v>
      </c>
      <c r="M2526" t="s">
        <v>7753</v>
      </c>
      <c r="N2526">
        <v>27.38</v>
      </c>
      <c r="O2526" t="s">
        <v>532</v>
      </c>
      <c r="P2526">
        <v>9.25</v>
      </c>
      <c r="Q2526">
        <v>9.14</v>
      </c>
      <c r="R2526">
        <v>9.2200000000000006</v>
      </c>
      <c r="S2526">
        <v>9.23</v>
      </c>
      <c r="T2526">
        <v>1.19</v>
      </c>
      <c r="U2526">
        <v>1.1399999999999999</v>
      </c>
      <c r="V2526">
        <v>-0.69</v>
      </c>
      <c r="W2526">
        <v>-17</v>
      </c>
      <c r="X2526">
        <v>9.18</v>
      </c>
      <c r="Y2526" t="s">
        <v>4118</v>
      </c>
      <c r="Z2526">
        <v>8397</v>
      </c>
      <c r="AA2526">
        <v>2.42</v>
      </c>
      <c r="AB2526">
        <v>146</v>
      </c>
      <c r="AC2526">
        <v>96</v>
      </c>
      <c r="AD2526">
        <v>2.67</v>
      </c>
      <c r="AE2526" t="s">
        <v>5626</v>
      </c>
      <c r="AF2526" t="s">
        <v>2039</v>
      </c>
      <c r="AG2526" t="s">
        <v>2233</v>
      </c>
      <c r="AH2526" t="s">
        <v>1794</v>
      </c>
      <c r="AI2526">
        <v>0</v>
      </c>
      <c r="AJ2526">
        <v>3.37</v>
      </c>
      <c r="AK2526">
        <v>2.23</v>
      </c>
      <c r="AL2526">
        <v>3.61</v>
      </c>
    </row>
    <row r="2527" spans="1:38" x14ac:dyDescent="0.25">
      <c r="A2527">
        <v>2526</v>
      </c>
      <c r="B2527" t="str">
        <f xml:space="preserve"> "600336"</f>
        <v>600336</v>
      </c>
      <c r="C2527" t="s">
        <v>7754</v>
      </c>
      <c r="D2527">
        <v>6.05</v>
      </c>
      <c r="E2527">
        <v>0.5</v>
      </c>
      <c r="F2527">
        <v>0.03</v>
      </c>
      <c r="G2527" t="s">
        <v>1739</v>
      </c>
      <c r="H2527">
        <v>2</v>
      </c>
      <c r="I2527">
        <v>6.05</v>
      </c>
      <c r="J2527">
        <v>6.06</v>
      </c>
      <c r="K2527">
        <v>0</v>
      </c>
      <c r="L2527">
        <v>0.61</v>
      </c>
      <c r="M2527" t="s">
        <v>6632</v>
      </c>
      <c r="N2527">
        <v>50.75</v>
      </c>
      <c r="O2527" t="s">
        <v>215</v>
      </c>
      <c r="P2527">
        <v>6.06</v>
      </c>
      <c r="Q2527">
        <v>5.99</v>
      </c>
      <c r="R2527">
        <v>6.02</v>
      </c>
      <c r="S2527">
        <v>6.02</v>
      </c>
      <c r="T2527">
        <v>1.1599999999999999</v>
      </c>
      <c r="U2527">
        <v>0.68</v>
      </c>
      <c r="V2527">
        <v>-5.6</v>
      </c>
      <c r="W2527">
        <v>-681</v>
      </c>
      <c r="X2527">
        <v>6.02</v>
      </c>
      <c r="Y2527" t="s">
        <v>87</v>
      </c>
      <c r="Z2527" t="s">
        <v>3590</v>
      </c>
      <c r="AA2527">
        <v>1.52</v>
      </c>
      <c r="AB2527">
        <v>687</v>
      </c>
      <c r="AC2527">
        <v>2154</v>
      </c>
      <c r="AD2527">
        <v>2.6</v>
      </c>
      <c r="AE2527" t="s">
        <v>7755</v>
      </c>
      <c r="AF2527" t="s">
        <v>2039</v>
      </c>
      <c r="AG2527" t="s">
        <v>4102</v>
      </c>
      <c r="AH2527" t="s">
        <v>1871</v>
      </c>
      <c r="AI2527">
        <v>0.67</v>
      </c>
      <c r="AJ2527">
        <v>2.72</v>
      </c>
      <c r="AK2527">
        <v>2.62</v>
      </c>
      <c r="AL2527">
        <v>5.13</v>
      </c>
    </row>
    <row r="2528" spans="1:38" x14ac:dyDescent="0.25">
      <c r="A2528">
        <v>2527</v>
      </c>
      <c r="B2528" t="str">
        <f xml:space="preserve"> "603963"</f>
        <v>603963</v>
      </c>
      <c r="C2528" t="s">
        <v>7756</v>
      </c>
      <c r="D2528">
        <v>46.98</v>
      </c>
      <c r="E2528">
        <v>10</v>
      </c>
      <c r="F2528">
        <v>4.2699999999999996</v>
      </c>
      <c r="G2528" t="s">
        <v>3342</v>
      </c>
      <c r="H2528">
        <v>2</v>
      </c>
      <c r="I2528">
        <v>46.98</v>
      </c>
      <c r="J2528" t="s">
        <v>616</v>
      </c>
      <c r="K2528">
        <v>0</v>
      </c>
      <c r="L2528">
        <v>59.83</v>
      </c>
      <c r="M2528" t="s">
        <v>2195</v>
      </c>
      <c r="N2528">
        <v>75.36</v>
      </c>
      <c r="O2528" t="s">
        <v>392</v>
      </c>
      <c r="P2528">
        <v>46.98</v>
      </c>
      <c r="Q2528">
        <v>43</v>
      </c>
      <c r="R2528">
        <v>44.63</v>
      </c>
      <c r="S2528">
        <v>42.71</v>
      </c>
      <c r="T2528">
        <v>9.32</v>
      </c>
      <c r="U2528">
        <v>6.61</v>
      </c>
      <c r="V2528">
        <v>100</v>
      </c>
      <c r="W2528">
        <v>7535</v>
      </c>
      <c r="X2528">
        <v>45.56</v>
      </c>
      <c r="Y2528" t="s">
        <v>4153</v>
      </c>
      <c r="Z2528" t="s">
        <v>3098</v>
      </c>
      <c r="AA2528">
        <v>1.08</v>
      </c>
      <c r="AB2528">
        <v>7484</v>
      </c>
      <c r="AC2528">
        <v>0</v>
      </c>
      <c r="AD2528">
        <v>10.44</v>
      </c>
      <c r="AE2528" t="s">
        <v>4464</v>
      </c>
      <c r="AF2528" t="s">
        <v>2039</v>
      </c>
      <c r="AG2528" t="s">
        <v>5931</v>
      </c>
      <c r="AH2528" t="s">
        <v>1132</v>
      </c>
      <c r="AI2528">
        <v>33.090000000000003</v>
      </c>
      <c r="AJ2528">
        <v>77.150000000000006</v>
      </c>
      <c r="AK2528">
        <v>102.82</v>
      </c>
      <c r="AL2528">
        <v>105.11</v>
      </c>
    </row>
    <row r="2529" spans="1:38" x14ac:dyDescent="0.25">
      <c r="A2529">
        <v>2528</v>
      </c>
      <c r="B2529" t="str">
        <f xml:space="preserve"> "300138"</f>
        <v>300138</v>
      </c>
      <c r="C2529" t="s">
        <v>7757</v>
      </c>
      <c r="D2529">
        <v>12.8</v>
      </c>
      <c r="E2529">
        <v>-0.7</v>
      </c>
      <c r="F2529">
        <v>-0.09</v>
      </c>
      <c r="G2529" t="s">
        <v>2116</v>
      </c>
      <c r="H2529">
        <v>183</v>
      </c>
      <c r="I2529">
        <v>12.8</v>
      </c>
      <c r="J2529">
        <v>12.82</v>
      </c>
      <c r="K2529">
        <v>0.08</v>
      </c>
      <c r="L2529">
        <v>1.29</v>
      </c>
      <c r="M2529" t="s">
        <v>7758</v>
      </c>
      <c r="N2529">
        <v>29.91</v>
      </c>
      <c r="O2529" t="s">
        <v>406</v>
      </c>
      <c r="P2529">
        <v>12.88</v>
      </c>
      <c r="Q2529">
        <v>12.67</v>
      </c>
      <c r="R2529">
        <v>12.88</v>
      </c>
      <c r="S2529">
        <v>12.89</v>
      </c>
      <c r="T2529">
        <v>1.63</v>
      </c>
      <c r="U2529">
        <v>1.62</v>
      </c>
      <c r="V2529">
        <v>-24.82</v>
      </c>
      <c r="W2529">
        <v>-403</v>
      </c>
      <c r="X2529">
        <v>12.76</v>
      </c>
      <c r="Y2529" t="s">
        <v>3590</v>
      </c>
      <c r="Z2529" t="s">
        <v>1113</v>
      </c>
      <c r="AA2529">
        <v>0.93</v>
      </c>
      <c r="AB2529">
        <v>4</v>
      </c>
      <c r="AC2529">
        <v>78</v>
      </c>
      <c r="AD2529">
        <v>3</v>
      </c>
      <c r="AE2529" t="s">
        <v>7759</v>
      </c>
      <c r="AF2529" t="s">
        <v>2039</v>
      </c>
      <c r="AG2529" t="s">
        <v>2504</v>
      </c>
      <c r="AH2529" t="s">
        <v>4488</v>
      </c>
      <c r="AI2529">
        <v>-2.59</v>
      </c>
      <c r="AJ2529">
        <v>-2.2200000000000002</v>
      </c>
      <c r="AK2529">
        <v>2.97</v>
      </c>
      <c r="AL2529">
        <v>5.29</v>
      </c>
    </row>
    <row r="2530" spans="1:38" x14ac:dyDescent="0.25">
      <c r="A2530">
        <v>2529</v>
      </c>
      <c r="B2530" t="str">
        <f xml:space="preserve"> "600149"</f>
        <v>600149</v>
      </c>
      <c r="C2530" t="s">
        <v>7760</v>
      </c>
      <c r="D2530">
        <v>12.35</v>
      </c>
      <c r="E2530">
        <v>1.9</v>
      </c>
      <c r="F2530">
        <v>0.23</v>
      </c>
      <c r="G2530" t="s">
        <v>1307</v>
      </c>
      <c r="H2530">
        <v>1</v>
      </c>
      <c r="I2530">
        <v>12.34</v>
      </c>
      <c r="J2530">
        <v>12.35</v>
      </c>
      <c r="K2530">
        <v>0.16</v>
      </c>
      <c r="L2530">
        <v>1.03</v>
      </c>
      <c r="M2530" t="s">
        <v>7761</v>
      </c>
      <c r="N2530">
        <v>-428.21</v>
      </c>
      <c r="O2530" t="s">
        <v>244</v>
      </c>
      <c r="P2530">
        <v>12.37</v>
      </c>
      <c r="Q2530">
        <v>12.03</v>
      </c>
      <c r="R2530">
        <v>12.1</v>
      </c>
      <c r="S2530">
        <v>12.12</v>
      </c>
      <c r="T2530">
        <v>2.81</v>
      </c>
      <c r="U2530">
        <v>1.1000000000000001</v>
      </c>
      <c r="V2530">
        <v>-14.12</v>
      </c>
      <c r="W2530">
        <v>-318</v>
      </c>
      <c r="X2530">
        <v>12.25</v>
      </c>
      <c r="Y2530" t="s">
        <v>4303</v>
      </c>
      <c r="Z2530" t="s">
        <v>1565</v>
      </c>
      <c r="AA2530">
        <v>0.75</v>
      </c>
      <c r="AB2530">
        <v>250</v>
      </c>
      <c r="AC2530">
        <v>6</v>
      </c>
      <c r="AD2530">
        <v>26.32</v>
      </c>
      <c r="AE2530" t="s">
        <v>3721</v>
      </c>
      <c r="AF2530" t="s">
        <v>5010</v>
      </c>
      <c r="AG2530" t="s">
        <v>3721</v>
      </c>
      <c r="AH2530" t="s">
        <v>5010</v>
      </c>
      <c r="AI2530">
        <v>0.08</v>
      </c>
      <c r="AJ2530">
        <v>3.52</v>
      </c>
      <c r="AK2530">
        <v>2.73</v>
      </c>
      <c r="AL2530">
        <v>5.7</v>
      </c>
    </row>
    <row r="2531" spans="1:38" x14ac:dyDescent="0.25">
      <c r="A2531">
        <v>2530</v>
      </c>
      <c r="B2531" t="str">
        <f xml:space="preserve"> "002730"</f>
        <v>002730</v>
      </c>
      <c r="C2531" t="s">
        <v>7762</v>
      </c>
      <c r="D2531">
        <v>14.55</v>
      </c>
      <c r="E2531">
        <v>1.18</v>
      </c>
      <c r="F2531">
        <v>0.17</v>
      </c>
      <c r="G2531" t="s">
        <v>2061</v>
      </c>
      <c r="H2531">
        <v>389</v>
      </c>
      <c r="I2531">
        <v>14.55</v>
      </c>
      <c r="J2531">
        <v>14.56</v>
      </c>
      <c r="K2531">
        <v>0</v>
      </c>
      <c r="L2531">
        <v>0.66</v>
      </c>
      <c r="M2531" t="s">
        <v>7763</v>
      </c>
      <c r="N2531">
        <v>99.18</v>
      </c>
      <c r="O2531" t="s">
        <v>2647</v>
      </c>
      <c r="P2531">
        <v>14.58</v>
      </c>
      <c r="Q2531">
        <v>14.37</v>
      </c>
      <c r="R2531">
        <v>14.38</v>
      </c>
      <c r="S2531">
        <v>14.38</v>
      </c>
      <c r="T2531">
        <v>1.46</v>
      </c>
      <c r="U2531">
        <v>0.88</v>
      </c>
      <c r="V2531">
        <v>-36.159999999999997</v>
      </c>
      <c r="W2531">
        <v>-886</v>
      </c>
      <c r="X2531">
        <v>14.5</v>
      </c>
      <c r="Y2531">
        <v>9176</v>
      </c>
      <c r="Z2531">
        <v>9871</v>
      </c>
      <c r="AA2531">
        <v>0.93</v>
      </c>
      <c r="AB2531">
        <v>163</v>
      </c>
      <c r="AC2531">
        <v>407</v>
      </c>
      <c r="AD2531">
        <v>5.44</v>
      </c>
      <c r="AE2531" t="s">
        <v>3150</v>
      </c>
      <c r="AF2531" t="s">
        <v>5010</v>
      </c>
      <c r="AG2531" t="s">
        <v>726</v>
      </c>
      <c r="AH2531" t="s">
        <v>653</v>
      </c>
      <c r="AI2531">
        <v>0.41</v>
      </c>
      <c r="AJ2531">
        <v>1.68</v>
      </c>
      <c r="AK2531">
        <v>2.4</v>
      </c>
      <c r="AL2531">
        <v>4.4000000000000004</v>
      </c>
    </row>
    <row r="2532" spans="1:38" x14ac:dyDescent="0.25">
      <c r="A2532">
        <v>2531</v>
      </c>
      <c r="B2532" t="str">
        <f xml:space="preserve"> "603078"</f>
        <v>603078</v>
      </c>
      <c r="C2532" t="s">
        <v>7764</v>
      </c>
      <c r="D2532">
        <v>78.23</v>
      </c>
      <c r="E2532">
        <v>3.53</v>
      </c>
      <c r="F2532">
        <v>2.67</v>
      </c>
      <c r="G2532" t="s">
        <v>2002</v>
      </c>
      <c r="H2532">
        <v>1</v>
      </c>
      <c r="I2532">
        <v>78.260000000000005</v>
      </c>
      <c r="J2532">
        <v>78.28</v>
      </c>
      <c r="K2532">
        <v>-0.09</v>
      </c>
      <c r="L2532">
        <v>7.43</v>
      </c>
      <c r="M2532" t="s">
        <v>7765</v>
      </c>
      <c r="N2532">
        <v>90</v>
      </c>
      <c r="O2532" t="s">
        <v>667</v>
      </c>
      <c r="P2532">
        <v>79.5</v>
      </c>
      <c r="Q2532">
        <v>74.709999999999994</v>
      </c>
      <c r="R2532">
        <v>74.88</v>
      </c>
      <c r="S2532">
        <v>75.56</v>
      </c>
      <c r="T2532">
        <v>6.34</v>
      </c>
      <c r="U2532">
        <v>0.75</v>
      </c>
      <c r="V2532">
        <v>-46.94</v>
      </c>
      <c r="W2532">
        <v>-23</v>
      </c>
      <c r="X2532">
        <v>78.069999999999993</v>
      </c>
      <c r="Y2532">
        <v>4187</v>
      </c>
      <c r="Z2532">
        <v>6965</v>
      </c>
      <c r="AA2532">
        <v>0.6</v>
      </c>
      <c r="AB2532">
        <v>1</v>
      </c>
      <c r="AC2532">
        <v>2</v>
      </c>
      <c r="AD2532">
        <v>6.52</v>
      </c>
      <c r="AE2532" t="s">
        <v>5162</v>
      </c>
      <c r="AF2532" t="s">
        <v>5010</v>
      </c>
      <c r="AG2532" t="s">
        <v>7030</v>
      </c>
      <c r="AH2532" t="s">
        <v>1132</v>
      </c>
      <c r="AI2532">
        <v>2.33</v>
      </c>
      <c r="AJ2532">
        <v>1.54</v>
      </c>
      <c r="AK2532">
        <v>19.29</v>
      </c>
      <c r="AL2532">
        <v>57.12</v>
      </c>
    </row>
    <row r="2533" spans="1:38" x14ac:dyDescent="0.25">
      <c r="A2533">
        <v>2532</v>
      </c>
      <c r="B2533" t="str">
        <f xml:space="preserve"> "603186"</f>
        <v>603186</v>
      </c>
      <c r="C2533" t="s">
        <v>7766</v>
      </c>
      <c r="D2533">
        <v>36.25</v>
      </c>
      <c r="E2533">
        <v>0.03</v>
      </c>
      <c r="F2533">
        <v>0.01</v>
      </c>
      <c r="G2533" t="s">
        <v>2453</v>
      </c>
      <c r="H2533">
        <v>1</v>
      </c>
      <c r="I2533">
        <v>36.24</v>
      </c>
      <c r="J2533">
        <v>36.25</v>
      </c>
      <c r="K2533">
        <v>-0.03</v>
      </c>
      <c r="L2533">
        <v>4.5599999999999996</v>
      </c>
      <c r="M2533" t="s">
        <v>7767</v>
      </c>
      <c r="N2533">
        <v>45.25</v>
      </c>
      <c r="O2533" t="s">
        <v>1229</v>
      </c>
      <c r="P2533">
        <v>36.479999999999997</v>
      </c>
      <c r="Q2533">
        <v>35.799999999999997</v>
      </c>
      <c r="R2533">
        <v>36.31</v>
      </c>
      <c r="S2533">
        <v>36.24</v>
      </c>
      <c r="T2533">
        <v>1.88</v>
      </c>
      <c r="U2533">
        <v>0.46</v>
      </c>
      <c r="V2533">
        <v>-20.6</v>
      </c>
      <c r="W2533">
        <v>-55</v>
      </c>
      <c r="X2533">
        <v>36.21</v>
      </c>
      <c r="Y2533">
        <v>7996</v>
      </c>
      <c r="Z2533">
        <v>6756</v>
      </c>
      <c r="AA2533">
        <v>1.18</v>
      </c>
      <c r="AB2533">
        <v>2</v>
      </c>
      <c r="AC2533">
        <v>42</v>
      </c>
      <c r="AD2533">
        <v>8.15</v>
      </c>
      <c r="AE2533" t="s">
        <v>3961</v>
      </c>
      <c r="AF2533" t="s">
        <v>5010</v>
      </c>
      <c r="AG2533" t="s">
        <v>7768</v>
      </c>
      <c r="AH2533" t="s">
        <v>1132</v>
      </c>
      <c r="AI2533">
        <v>-1.95</v>
      </c>
      <c r="AJ2533">
        <v>-2.42</v>
      </c>
      <c r="AK2533">
        <v>15.59</v>
      </c>
      <c r="AL2533">
        <v>54.63</v>
      </c>
    </row>
    <row r="2534" spans="1:38" x14ac:dyDescent="0.25">
      <c r="A2534">
        <v>2533</v>
      </c>
      <c r="B2534" t="str">
        <f xml:space="preserve"> "000736"</f>
        <v>000736</v>
      </c>
      <c r="C2534" t="s">
        <v>7769</v>
      </c>
      <c r="D2534">
        <v>15.77</v>
      </c>
      <c r="E2534">
        <v>-2.41</v>
      </c>
      <c r="F2534">
        <v>-0.39</v>
      </c>
      <c r="G2534" t="s">
        <v>2406</v>
      </c>
      <c r="H2534">
        <v>705</v>
      </c>
      <c r="I2534">
        <v>15.77</v>
      </c>
      <c r="J2534">
        <v>15.78</v>
      </c>
      <c r="K2534">
        <v>0</v>
      </c>
      <c r="L2534">
        <v>1.7</v>
      </c>
      <c r="M2534" t="s">
        <v>7770</v>
      </c>
      <c r="N2534">
        <v>-33.340000000000003</v>
      </c>
      <c r="O2534" t="s">
        <v>244</v>
      </c>
      <c r="P2534">
        <v>16.2</v>
      </c>
      <c r="Q2534">
        <v>15.76</v>
      </c>
      <c r="R2534">
        <v>16.190000000000001</v>
      </c>
      <c r="S2534">
        <v>16.16</v>
      </c>
      <c r="T2534">
        <v>2.72</v>
      </c>
      <c r="U2534">
        <v>0.83</v>
      </c>
      <c r="V2534">
        <v>72.69</v>
      </c>
      <c r="W2534">
        <v>1773</v>
      </c>
      <c r="X2534">
        <v>15.89</v>
      </c>
      <c r="Y2534" t="s">
        <v>3987</v>
      </c>
      <c r="Z2534" t="s">
        <v>468</v>
      </c>
      <c r="AA2534">
        <v>1.37</v>
      </c>
      <c r="AB2534">
        <v>508</v>
      </c>
      <c r="AC2534">
        <v>70</v>
      </c>
      <c r="AD2534">
        <v>3.41</v>
      </c>
      <c r="AE2534" t="s">
        <v>2923</v>
      </c>
      <c r="AF2534" t="s">
        <v>5010</v>
      </c>
      <c r="AG2534" t="s">
        <v>2923</v>
      </c>
      <c r="AH2534" t="s">
        <v>5010</v>
      </c>
      <c r="AI2534">
        <v>-4.42</v>
      </c>
      <c r="AJ2534">
        <v>-3.25</v>
      </c>
      <c r="AK2534">
        <v>4.58</v>
      </c>
      <c r="AL2534">
        <v>11.92</v>
      </c>
    </row>
    <row r="2535" spans="1:38" x14ac:dyDescent="0.25">
      <c r="A2535">
        <v>2534</v>
      </c>
      <c r="B2535" t="str">
        <f xml:space="preserve"> "600858"</f>
        <v>600858</v>
      </c>
      <c r="C2535" t="s">
        <v>7771</v>
      </c>
      <c r="D2535">
        <v>9.01</v>
      </c>
      <c r="E2535">
        <v>3.21</v>
      </c>
      <c r="F2535">
        <v>0.28000000000000003</v>
      </c>
      <c r="G2535" t="s">
        <v>384</v>
      </c>
      <c r="H2535">
        <v>6</v>
      </c>
      <c r="I2535">
        <v>9</v>
      </c>
      <c r="J2535">
        <v>9.01</v>
      </c>
      <c r="K2535">
        <v>0.11</v>
      </c>
      <c r="L2535">
        <v>1.65</v>
      </c>
      <c r="M2535" t="s">
        <v>7772</v>
      </c>
      <c r="N2535">
        <v>46.88</v>
      </c>
      <c r="O2535" t="s">
        <v>532</v>
      </c>
      <c r="P2535">
        <v>9.09</v>
      </c>
      <c r="Q2535">
        <v>8.6199999999999992</v>
      </c>
      <c r="R2535">
        <v>8.69</v>
      </c>
      <c r="S2535">
        <v>8.73</v>
      </c>
      <c r="T2535">
        <v>5.38</v>
      </c>
      <c r="U2535">
        <v>2.14</v>
      </c>
      <c r="V2535">
        <v>0.91</v>
      </c>
      <c r="W2535">
        <v>26</v>
      </c>
      <c r="X2535">
        <v>8.9</v>
      </c>
      <c r="Y2535" t="s">
        <v>3213</v>
      </c>
      <c r="Z2535" t="s">
        <v>2839</v>
      </c>
      <c r="AA2535">
        <v>0.62</v>
      </c>
      <c r="AB2535">
        <v>327</v>
      </c>
      <c r="AC2535">
        <v>452</v>
      </c>
      <c r="AD2535">
        <v>1.56</v>
      </c>
      <c r="AE2535" t="s">
        <v>1108</v>
      </c>
      <c r="AF2535" t="s">
        <v>5010</v>
      </c>
      <c r="AG2535" t="s">
        <v>3641</v>
      </c>
      <c r="AH2535" t="s">
        <v>6525</v>
      </c>
      <c r="AI2535">
        <v>7.52</v>
      </c>
      <c r="AJ2535">
        <v>10.82</v>
      </c>
      <c r="AK2535">
        <v>4.21</v>
      </c>
      <c r="AL2535">
        <v>5.48</v>
      </c>
    </row>
    <row r="2536" spans="1:38" x14ac:dyDescent="0.25">
      <c r="A2536">
        <v>2535</v>
      </c>
      <c r="B2536" t="str">
        <f xml:space="preserve"> "002666"</f>
        <v>002666</v>
      </c>
      <c r="C2536" t="s">
        <v>7773</v>
      </c>
      <c r="D2536">
        <v>6.21</v>
      </c>
      <c r="E2536">
        <v>0.98</v>
      </c>
      <c r="F2536">
        <v>0.06</v>
      </c>
      <c r="G2536" t="s">
        <v>489</v>
      </c>
      <c r="H2536">
        <v>532</v>
      </c>
      <c r="I2536">
        <v>6.2</v>
      </c>
      <c r="J2536">
        <v>6.21</v>
      </c>
      <c r="K2536">
        <v>0</v>
      </c>
      <c r="L2536">
        <v>1.5</v>
      </c>
      <c r="M2536" t="s">
        <v>5458</v>
      </c>
      <c r="N2536">
        <v>42.28</v>
      </c>
      <c r="O2536" t="s">
        <v>169</v>
      </c>
      <c r="P2536">
        <v>6.27</v>
      </c>
      <c r="Q2536">
        <v>6.16</v>
      </c>
      <c r="R2536">
        <v>6.19</v>
      </c>
      <c r="S2536">
        <v>6.15</v>
      </c>
      <c r="T2536">
        <v>1.79</v>
      </c>
      <c r="U2536">
        <v>1.46</v>
      </c>
      <c r="V2536">
        <v>-18.72</v>
      </c>
      <c r="W2536">
        <v>-1530</v>
      </c>
      <c r="X2536">
        <v>6.2</v>
      </c>
      <c r="Y2536" t="s">
        <v>1984</v>
      </c>
      <c r="Z2536" t="s">
        <v>2391</v>
      </c>
      <c r="AA2536">
        <v>1.02</v>
      </c>
      <c r="AB2536">
        <v>50</v>
      </c>
      <c r="AC2536">
        <v>499</v>
      </c>
      <c r="AD2536">
        <v>1.72</v>
      </c>
      <c r="AE2536" t="s">
        <v>4158</v>
      </c>
      <c r="AF2536" t="s">
        <v>6514</v>
      </c>
      <c r="AG2536" t="s">
        <v>4970</v>
      </c>
      <c r="AH2536" t="s">
        <v>1382</v>
      </c>
      <c r="AI2536">
        <v>0.32</v>
      </c>
      <c r="AJ2536">
        <v>4.37</v>
      </c>
      <c r="AK2536">
        <v>3.63</v>
      </c>
      <c r="AL2536">
        <v>6.64</v>
      </c>
    </row>
    <row r="2537" spans="1:38" x14ac:dyDescent="0.25">
      <c r="A2537">
        <v>2536</v>
      </c>
      <c r="B2537" t="str">
        <f xml:space="preserve"> "600527"</f>
        <v>600527</v>
      </c>
      <c r="C2537" t="s">
        <v>7774</v>
      </c>
      <c r="D2537">
        <v>5.84</v>
      </c>
      <c r="E2537">
        <v>5.04</v>
      </c>
      <c r="F2537">
        <v>0.28000000000000003</v>
      </c>
      <c r="G2537" t="s">
        <v>307</v>
      </c>
      <c r="H2537">
        <v>148</v>
      </c>
      <c r="I2537">
        <v>5.83</v>
      </c>
      <c r="J2537">
        <v>5.84</v>
      </c>
      <c r="K2537">
        <v>-0.17</v>
      </c>
      <c r="L2537">
        <v>3.35</v>
      </c>
      <c r="M2537" t="s">
        <v>3053</v>
      </c>
      <c r="N2537">
        <v>100.59</v>
      </c>
      <c r="O2537" t="s">
        <v>1798</v>
      </c>
      <c r="P2537">
        <v>5.95</v>
      </c>
      <c r="Q2537">
        <v>5.57</v>
      </c>
      <c r="R2537">
        <v>5.57</v>
      </c>
      <c r="S2537">
        <v>5.56</v>
      </c>
      <c r="T2537">
        <v>6.83</v>
      </c>
      <c r="U2537">
        <v>4.1500000000000004</v>
      </c>
      <c r="V2537">
        <v>0.72</v>
      </c>
      <c r="W2537">
        <v>58</v>
      </c>
      <c r="X2537">
        <v>5.79</v>
      </c>
      <c r="Y2537" t="s">
        <v>7775</v>
      </c>
      <c r="Z2537" t="s">
        <v>965</v>
      </c>
      <c r="AA2537">
        <v>0.52</v>
      </c>
      <c r="AB2537">
        <v>1146</v>
      </c>
      <c r="AC2537">
        <v>37</v>
      </c>
      <c r="AD2537">
        <v>2.9</v>
      </c>
      <c r="AE2537" t="s">
        <v>3015</v>
      </c>
      <c r="AF2537" t="s">
        <v>6514</v>
      </c>
      <c r="AG2537" t="s">
        <v>3015</v>
      </c>
      <c r="AH2537" t="s">
        <v>6514</v>
      </c>
      <c r="AI2537">
        <v>4.8499999999999996</v>
      </c>
      <c r="AJ2537">
        <v>6.18</v>
      </c>
      <c r="AK2537">
        <v>4.82</v>
      </c>
      <c r="AL2537">
        <v>7.39</v>
      </c>
    </row>
    <row r="2538" spans="1:38" x14ac:dyDescent="0.25">
      <c r="A2538">
        <v>2537</v>
      </c>
      <c r="B2538" t="str">
        <f xml:space="preserve"> "603958"</f>
        <v>603958</v>
      </c>
      <c r="C2538" t="s">
        <v>7776</v>
      </c>
      <c r="D2538">
        <v>21.54</v>
      </c>
      <c r="E2538">
        <v>1.94</v>
      </c>
      <c r="F2538">
        <v>0.41</v>
      </c>
      <c r="G2538" t="s">
        <v>1307</v>
      </c>
      <c r="H2538">
        <v>35</v>
      </c>
      <c r="I2538">
        <v>21.53</v>
      </c>
      <c r="J2538">
        <v>21.54</v>
      </c>
      <c r="K2538">
        <v>0.05</v>
      </c>
      <c r="L2538">
        <v>5.92</v>
      </c>
      <c r="M2538" t="s">
        <v>7777</v>
      </c>
      <c r="N2538">
        <v>53.56</v>
      </c>
      <c r="O2538" t="s">
        <v>1443</v>
      </c>
      <c r="P2538">
        <v>21.56</v>
      </c>
      <c r="Q2538">
        <v>21</v>
      </c>
      <c r="R2538">
        <v>21.13</v>
      </c>
      <c r="S2538">
        <v>21.13</v>
      </c>
      <c r="T2538">
        <v>2.65</v>
      </c>
      <c r="U2538">
        <v>1.57</v>
      </c>
      <c r="V2538">
        <v>-58.36</v>
      </c>
      <c r="W2538">
        <v>-628</v>
      </c>
      <c r="X2538">
        <v>21.37</v>
      </c>
      <c r="Y2538" t="s">
        <v>1950</v>
      </c>
      <c r="Z2538" t="s">
        <v>1416</v>
      </c>
      <c r="AA2538">
        <v>0.78</v>
      </c>
      <c r="AB2538">
        <v>28</v>
      </c>
      <c r="AC2538">
        <v>126</v>
      </c>
      <c r="AD2538">
        <v>4.04</v>
      </c>
      <c r="AE2538" t="s">
        <v>3184</v>
      </c>
      <c r="AF2538" t="s">
        <v>6514</v>
      </c>
      <c r="AG2538" t="s">
        <v>5040</v>
      </c>
      <c r="AH2538" t="s">
        <v>1202</v>
      </c>
      <c r="AI2538">
        <v>1.94</v>
      </c>
      <c r="AJ2538">
        <v>4.1100000000000003</v>
      </c>
      <c r="AK2538">
        <v>12.97</v>
      </c>
      <c r="AL2538">
        <v>24.78</v>
      </c>
    </row>
    <row r="2539" spans="1:38" x14ac:dyDescent="0.25">
      <c r="A2539">
        <v>2538</v>
      </c>
      <c r="B2539" t="str">
        <f xml:space="preserve"> "002750"</f>
        <v>002750</v>
      </c>
      <c r="C2539" t="s">
        <v>7778</v>
      </c>
      <c r="D2539">
        <v>11.69</v>
      </c>
      <c r="E2539">
        <v>1.21</v>
      </c>
      <c r="F2539">
        <v>0.14000000000000001</v>
      </c>
      <c r="G2539" t="s">
        <v>698</v>
      </c>
      <c r="H2539">
        <v>658</v>
      </c>
      <c r="I2539">
        <v>11.68</v>
      </c>
      <c r="J2539">
        <v>11.69</v>
      </c>
      <c r="K2539">
        <v>-0.09</v>
      </c>
      <c r="L2539">
        <v>2.14</v>
      </c>
      <c r="M2539" t="s">
        <v>7779</v>
      </c>
      <c r="N2539">
        <v>100.03</v>
      </c>
      <c r="O2539" t="s">
        <v>392</v>
      </c>
      <c r="P2539">
        <v>12.3</v>
      </c>
      <c r="Q2539">
        <v>11.49</v>
      </c>
      <c r="R2539">
        <v>11.54</v>
      </c>
      <c r="S2539">
        <v>11.55</v>
      </c>
      <c r="T2539">
        <v>7.01</v>
      </c>
      <c r="U2539">
        <v>2.29</v>
      </c>
      <c r="V2539">
        <v>-4.67</v>
      </c>
      <c r="W2539">
        <v>-71</v>
      </c>
      <c r="X2539">
        <v>11.83</v>
      </c>
      <c r="Y2539" t="s">
        <v>3695</v>
      </c>
      <c r="Z2539" t="s">
        <v>3090</v>
      </c>
      <c r="AA2539">
        <v>1.03</v>
      </c>
      <c r="AB2539">
        <v>247</v>
      </c>
      <c r="AC2539">
        <v>17</v>
      </c>
      <c r="AD2539">
        <v>7.39</v>
      </c>
      <c r="AE2539" t="s">
        <v>1000</v>
      </c>
      <c r="AF2539" t="s">
        <v>6514</v>
      </c>
      <c r="AG2539" t="s">
        <v>845</v>
      </c>
      <c r="AH2539" t="s">
        <v>2182</v>
      </c>
      <c r="AI2539">
        <v>1.39</v>
      </c>
      <c r="AJ2539">
        <v>1.21</v>
      </c>
      <c r="AK2539">
        <v>4.46</v>
      </c>
      <c r="AL2539">
        <v>6.83</v>
      </c>
    </row>
    <row r="2540" spans="1:38" x14ac:dyDescent="0.25">
      <c r="A2540">
        <v>2539</v>
      </c>
      <c r="B2540" t="str">
        <f xml:space="preserve"> "000753"</f>
        <v>000753</v>
      </c>
      <c r="C2540" t="s">
        <v>7780</v>
      </c>
      <c r="D2540">
        <v>4.72</v>
      </c>
      <c r="E2540">
        <v>0.85</v>
      </c>
      <c r="F2540">
        <v>0.04</v>
      </c>
      <c r="G2540" t="s">
        <v>2505</v>
      </c>
      <c r="H2540">
        <v>1133</v>
      </c>
      <c r="I2540">
        <v>4.71</v>
      </c>
      <c r="J2540">
        <v>4.72</v>
      </c>
      <c r="K2540">
        <v>0.21</v>
      </c>
      <c r="L2540">
        <v>1.46</v>
      </c>
      <c r="M2540" t="s">
        <v>7781</v>
      </c>
      <c r="N2540">
        <v>205.01</v>
      </c>
      <c r="O2540" t="s">
        <v>532</v>
      </c>
      <c r="P2540">
        <v>4.7300000000000004</v>
      </c>
      <c r="Q2540">
        <v>4.6500000000000004</v>
      </c>
      <c r="R2540">
        <v>4.67</v>
      </c>
      <c r="S2540">
        <v>4.68</v>
      </c>
      <c r="T2540">
        <v>1.71</v>
      </c>
      <c r="U2540">
        <v>1.7</v>
      </c>
      <c r="V2540">
        <v>-51.8</v>
      </c>
      <c r="W2540">
        <v>-7779</v>
      </c>
      <c r="X2540">
        <v>4.6900000000000004</v>
      </c>
      <c r="Y2540" t="s">
        <v>390</v>
      </c>
      <c r="Z2540" t="s">
        <v>354</v>
      </c>
      <c r="AA2540">
        <v>0.75</v>
      </c>
      <c r="AB2540">
        <v>817</v>
      </c>
      <c r="AC2540">
        <v>1103</v>
      </c>
      <c r="AD2540">
        <v>2.2400000000000002</v>
      </c>
      <c r="AE2540" t="s">
        <v>2936</v>
      </c>
      <c r="AF2540" t="s">
        <v>6514</v>
      </c>
      <c r="AG2540" t="s">
        <v>2981</v>
      </c>
      <c r="AH2540" t="s">
        <v>6196</v>
      </c>
      <c r="AI2540">
        <v>2.83</v>
      </c>
      <c r="AJ2540">
        <v>5.83</v>
      </c>
      <c r="AK2540">
        <v>3.73</v>
      </c>
      <c r="AL2540">
        <v>5.74</v>
      </c>
    </row>
    <row r="2541" spans="1:38" x14ac:dyDescent="0.25">
      <c r="A2541">
        <v>2540</v>
      </c>
      <c r="B2541" t="str">
        <f xml:space="preserve"> "002394"</f>
        <v>002394</v>
      </c>
      <c r="C2541" t="s">
        <v>7782</v>
      </c>
      <c r="D2541">
        <v>14.45</v>
      </c>
      <c r="E2541">
        <v>2.0499999999999998</v>
      </c>
      <c r="F2541">
        <v>0.28999999999999998</v>
      </c>
      <c r="G2541" t="s">
        <v>2950</v>
      </c>
      <c r="H2541">
        <v>3000</v>
      </c>
      <c r="I2541">
        <v>14.32</v>
      </c>
      <c r="J2541">
        <v>14.45</v>
      </c>
      <c r="K2541">
        <v>0.35</v>
      </c>
      <c r="L2541">
        <v>0.89</v>
      </c>
      <c r="M2541" t="s">
        <v>7783</v>
      </c>
      <c r="N2541">
        <v>16.62</v>
      </c>
      <c r="O2541" t="s">
        <v>1443</v>
      </c>
      <c r="P2541">
        <v>14.45</v>
      </c>
      <c r="Q2541">
        <v>14.12</v>
      </c>
      <c r="R2541">
        <v>14.21</v>
      </c>
      <c r="S2541">
        <v>14.16</v>
      </c>
      <c r="T2541">
        <v>2.33</v>
      </c>
      <c r="U2541">
        <v>0.79</v>
      </c>
      <c r="V2541">
        <v>1.96</v>
      </c>
      <c r="W2541">
        <v>16</v>
      </c>
      <c r="X2541">
        <v>14.23</v>
      </c>
      <c r="Y2541" t="s">
        <v>808</v>
      </c>
      <c r="Z2541" t="s">
        <v>1113</v>
      </c>
      <c r="AA2541">
        <v>0.62</v>
      </c>
      <c r="AB2541">
        <v>10</v>
      </c>
      <c r="AC2541">
        <v>16</v>
      </c>
      <c r="AD2541">
        <v>1.61</v>
      </c>
      <c r="AE2541" t="s">
        <v>3682</v>
      </c>
      <c r="AF2541" t="s">
        <v>6514</v>
      </c>
      <c r="AG2541" t="s">
        <v>3682</v>
      </c>
      <c r="AH2541" t="s">
        <v>6514</v>
      </c>
      <c r="AI2541">
        <v>2.63</v>
      </c>
      <c r="AJ2541">
        <v>4.5599999999999996</v>
      </c>
      <c r="AK2541">
        <v>3.7</v>
      </c>
      <c r="AL2541">
        <v>6.5</v>
      </c>
    </row>
    <row r="2542" spans="1:38" x14ac:dyDescent="0.25">
      <c r="A2542">
        <v>2541</v>
      </c>
      <c r="B2542" t="str">
        <f xml:space="preserve"> "603123"</f>
        <v>603123</v>
      </c>
      <c r="C2542" t="s">
        <v>7784</v>
      </c>
      <c r="D2542">
        <v>8.92</v>
      </c>
      <c r="E2542">
        <v>0.45</v>
      </c>
      <c r="F2542">
        <v>0.04</v>
      </c>
      <c r="G2542" t="s">
        <v>3238</v>
      </c>
      <c r="H2542">
        <v>15</v>
      </c>
      <c r="I2542">
        <v>8.91</v>
      </c>
      <c r="J2542">
        <v>8.92</v>
      </c>
      <c r="K2542">
        <v>0</v>
      </c>
      <c r="L2542">
        <v>0.5</v>
      </c>
      <c r="M2542" t="s">
        <v>7785</v>
      </c>
      <c r="N2542">
        <v>39.450000000000003</v>
      </c>
      <c r="O2542" t="s">
        <v>532</v>
      </c>
      <c r="P2542">
        <v>8.92</v>
      </c>
      <c r="Q2542">
        <v>8.86</v>
      </c>
      <c r="R2542">
        <v>8.86</v>
      </c>
      <c r="S2542">
        <v>8.8800000000000008</v>
      </c>
      <c r="T2542">
        <v>0.68</v>
      </c>
      <c r="U2542">
        <v>1</v>
      </c>
      <c r="V2542">
        <v>-66.33</v>
      </c>
      <c r="W2542">
        <v>-3432</v>
      </c>
      <c r="X2542">
        <v>8.9</v>
      </c>
      <c r="Y2542">
        <v>5391</v>
      </c>
      <c r="Z2542" t="s">
        <v>2370</v>
      </c>
      <c r="AA2542">
        <v>0.42</v>
      </c>
      <c r="AB2542">
        <v>270</v>
      </c>
      <c r="AC2542">
        <v>723</v>
      </c>
      <c r="AD2542">
        <v>1.59</v>
      </c>
      <c r="AE2542" t="s">
        <v>4119</v>
      </c>
      <c r="AF2542" t="s">
        <v>6514</v>
      </c>
      <c r="AG2542" t="s">
        <v>2591</v>
      </c>
      <c r="AH2542" t="s">
        <v>2726</v>
      </c>
      <c r="AI2542">
        <v>0.11</v>
      </c>
      <c r="AJ2542">
        <v>2.65</v>
      </c>
      <c r="AK2542">
        <v>1.55</v>
      </c>
      <c r="AL2542">
        <v>2.98</v>
      </c>
    </row>
    <row r="2543" spans="1:38" x14ac:dyDescent="0.25">
      <c r="A2543">
        <v>2542</v>
      </c>
      <c r="B2543" t="str">
        <f xml:space="preserve"> "002743"</f>
        <v>002743</v>
      </c>
      <c r="C2543" t="s">
        <v>7786</v>
      </c>
      <c r="D2543">
        <v>13.85</v>
      </c>
      <c r="E2543">
        <v>0.36</v>
      </c>
      <c r="F2543">
        <v>0.05</v>
      </c>
      <c r="G2543" t="s">
        <v>1738</v>
      </c>
      <c r="H2543">
        <v>1917</v>
      </c>
      <c r="I2543">
        <v>13.84</v>
      </c>
      <c r="J2543">
        <v>13.85</v>
      </c>
      <c r="K2543">
        <v>0</v>
      </c>
      <c r="L2543">
        <v>3.19</v>
      </c>
      <c r="M2543" t="s">
        <v>7787</v>
      </c>
      <c r="N2543">
        <v>77.260000000000005</v>
      </c>
      <c r="O2543" t="s">
        <v>562</v>
      </c>
      <c r="P2543">
        <v>13.93</v>
      </c>
      <c r="Q2543">
        <v>13.66</v>
      </c>
      <c r="R2543">
        <v>13.85</v>
      </c>
      <c r="S2543">
        <v>13.8</v>
      </c>
      <c r="T2543">
        <v>1.96</v>
      </c>
      <c r="U2543">
        <v>0.55000000000000004</v>
      </c>
      <c r="V2543">
        <v>-4.62</v>
      </c>
      <c r="W2543">
        <v>-200</v>
      </c>
      <c r="X2543">
        <v>13.81</v>
      </c>
      <c r="Y2543" t="s">
        <v>1984</v>
      </c>
      <c r="Z2543" t="s">
        <v>1973</v>
      </c>
      <c r="AA2543">
        <v>1.07</v>
      </c>
      <c r="AB2543">
        <v>465</v>
      </c>
      <c r="AC2543">
        <v>725</v>
      </c>
      <c r="AD2543">
        <v>2.36</v>
      </c>
      <c r="AE2543" t="s">
        <v>4127</v>
      </c>
      <c r="AF2543" t="s">
        <v>6835</v>
      </c>
      <c r="AG2543" t="s">
        <v>7023</v>
      </c>
      <c r="AH2543" t="s">
        <v>395</v>
      </c>
      <c r="AI2543">
        <v>-3.48</v>
      </c>
      <c r="AJ2543">
        <v>1.0900000000000001</v>
      </c>
      <c r="AK2543">
        <v>13.67</v>
      </c>
      <c r="AL2543">
        <v>32</v>
      </c>
    </row>
    <row r="2544" spans="1:38" x14ac:dyDescent="0.25">
      <c r="A2544">
        <v>2543</v>
      </c>
      <c r="B2544" t="str">
        <f xml:space="preserve"> "300069"</f>
        <v>300069</v>
      </c>
      <c r="C2544" t="s">
        <v>7788</v>
      </c>
      <c r="D2544">
        <v>39.9</v>
      </c>
      <c r="E2544">
        <v>0.03</v>
      </c>
      <c r="F2544">
        <v>0.01</v>
      </c>
      <c r="G2544">
        <v>2112</v>
      </c>
      <c r="H2544">
        <v>523</v>
      </c>
      <c r="I2544">
        <v>39.9</v>
      </c>
      <c r="J2544">
        <v>39.909999999999997</v>
      </c>
      <c r="K2544">
        <v>0.28000000000000003</v>
      </c>
      <c r="L2544">
        <v>0.23</v>
      </c>
      <c r="M2544" t="s">
        <v>7789</v>
      </c>
      <c r="N2544">
        <v>216.76</v>
      </c>
      <c r="O2544" t="s">
        <v>680</v>
      </c>
      <c r="P2544">
        <v>40.049999999999997</v>
      </c>
      <c r="Q2544">
        <v>39.549999999999997</v>
      </c>
      <c r="R2544">
        <v>40.049999999999997</v>
      </c>
      <c r="S2544">
        <v>39.89</v>
      </c>
      <c r="T2544">
        <v>1.25</v>
      </c>
      <c r="U2544">
        <v>0.48</v>
      </c>
      <c r="V2544">
        <v>45.15</v>
      </c>
      <c r="W2544">
        <v>234</v>
      </c>
      <c r="X2544">
        <v>39.75</v>
      </c>
      <c r="Y2544">
        <v>1072</v>
      </c>
      <c r="Z2544">
        <v>1041</v>
      </c>
      <c r="AA2544">
        <v>1.03</v>
      </c>
      <c r="AB2544">
        <v>29</v>
      </c>
      <c r="AC2544">
        <v>50</v>
      </c>
      <c r="AD2544">
        <v>9.01</v>
      </c>
      <c r="AE2544" t="s">
        <v>2827</v>
      </c>
      <c r="AF2544" t="s">
        <v>6835</v>
      </c>
      <c r="AG2544" t="s">
        <v>5524</v>
      </c>
      <c r="AH2544" t="s">
        <v>1342</v>
      </c>
      <c r="AI2544">
        <v>-0.5</v>
      </c>
      <c r="AJ2544">
        <v>2.31</v>
      </c>
      <c r="AK2544">
        <v>1.0900000000000001</v>
      </c>
      <c r="AL2544">
        <v>2.64</v>
      </c>
    </row>
    <row r="2545" spans="1:38" x14ac:dyDescent="0.25">
      <c r="A2545">
        <v>2544</v>
      </c>
      <c r="B2545" t="str">
        <f xml:space="preserve"> "002748"</f>
        <v>002748</v>
      </c>
      <c r="C2545" t="s">
        <v>7790</v>
      </c>
      <c r="D2545">
        <v>19.45</v>
      </c>
      <c r="E2545">
        <v>0.83</v>
      </c>
      <c r="F2545">
        <v>0.16</v>
      </c>
      <c r="G2545" t="s">
        <v>1076</v>
      </c>
      <c r="H2545">
        <v>469</v>
      </c>
      <c r="I2545">
        <v>19.45</v>
      </c>
      <c r="J2545">
        <v>19.46</v>
      </c>
      <c r="K2545">
        <v>0.05</v>
      </c>
      <c r="L2545">
        <v>2.35</v>
      </c>
      <c r="M2545" t="s">
        <v>3386</v>
      </c>
      <c r="N2545">
        <v>19.670000000000002</v>
      </c>
      <c r="O2545" t="s">
        <v>667</v>
      </c>
      <c r="P2545">
        <v>19.510000000000002</v>
      </c>
      <c r="Q2545">
        <v>19.2</v>
      </c>
      <c r="R2545">
        <v>19.39</v>
      </c>
      <c r="S2545">
        <v>19.29</v>
      </c>
      <c r="T2545">
        <v>1.61</v>
      </c>
      <c r="U2545">
        <v>0.92</v>
      </c>
      <c r="V2545">
        <v>13.71</v>
      </c>
      <c r="W2545">
        <v>211</v>
      </c>
      <c r="X2545">
        <v>19.38</v>
      </c>
      <c r="Y2545">
        <v>8696</v>
      </c>
      <c r="Z2545" t="s">
        <v>2800</v>
      </c>
      <c r="AA2545">
        <v>0.83</v>
      </c>
      <c r="AB2545">
        <v>11</v>
      </c>
      <c r="AC2545">
        <v>95</v>
      </c>
      <c r="AD2545">
        <v>4.13</v>
      </c>
      <c r="AE2545" t="s">
        <v>2521</v>
      </c>
      <c r="AF2545" t="s">
        <v>6835</v>
      </c>
      <c r="AG2545" t="s">
        <v>7791</v>
      </c>
      <c r="AH2545" t="s">
        <v>1477</v>
      </c>
      <c r="AI2545">
        <v>0</v>
      </c>
      <c r="AJ2545">
        <v>3.73</v>
      </c>
      <c r="AK2545">
        <v>7.33</v>
      </c>
      <c r="AL2545">
        <v>15.19</v>
      </c>
    </row>
    <row r="2546" spans="1:38" x14ac:dyDescent="0.25">
      <c r="A2546">
        <v>2545</v>
      </c>
      <c r="B2546" t="str">
        <f xml:space="preserve"> "002565"</f>
        <v>002565</v>
      </c>
      <c r="C2546" t="s">
        <v>7792</v>
      </c>
      <c r="D2546">
        <v>6.79</v>
      </c>
      <c r="E2546">
        <v>-0.44</v>
      </c>
      <c r="F2546">
        <v>-0.03</v>
      </c>
      <c r="G2546" t="s">
        <v>6292</v>
      </c>
      <c r="H2546">
        <v>73</v>
      </c>
      <c r="I2546">
        <v>6.79</v>
      </c>
      <c r="J2546">
        <v>6.8</v>
      </c>
      <c r="K2546">
        <v>-0.15</v>
      </c>
      <c r="L2546">
        <v>0.26</v>
      </c>
      <c r="M2546" t="s">
        <v>7793</v>
      </c>
      <c r="N2546">
        <v>138.82</v>
      </c>
      <c r="O2546" t="s">
        <v>3873</v>
      </c>
      <c r="P2546">
        <v>6.82</v>
      </c>
      <c r="Q2546">
        <v>6.76</v>
      </c>
      <c r="R2546">
        <v>6.8</v>
      </c>
      <c r="S2546">
        <v>6.82</v>
      </c>
      <c r="T2546">
        <v>0.88</v>
      </c>
      <c r="U2546">
        <v>0.95</v>
      </c>
      <c r="V2546">
        <v>5.6</v>
      </c>
      <c r="W2546">
        <v>312</v>
      </c>
      <c r="X2546">
        <v>6.78</v>
      </c>
      <c r="Y2546" t="s">
        <v>1685</v>
      </c>
      <c r="Z2546">
        <v>7430</v>
      </c>
      <c r="AA2546">
        <v>1.36</v>
      </c>
      <c r="AB2546">
        <v>682</v>
      </c>
      <c r="AC2546">
        <v>460</v>
      </c>
      <c r="AD2546">
        <v>2.15</v>
      </c>
      <c r="AE2546" t="s">
        <v>3672</v>
      </c>
      <c r="AF2546" t="s">
        <v>6835</v>
      </c>
      <c r="AG2546" t="s">
        <v>2612</v>
      </c>
      <c r="AH2546" t="s">
        <v>6443</v>
      </c>
      <c r="AI2546">
        <v>-0.44</v>
      </c>
      <c r="AJ2546">
        <v>1.8</v>
      </c>
      <c r="AK2546">
        <v>0.82</v>
      </c>
      <c r="AL2546">
        <v>1.6</v>
      </c>
    </row>
    <row r="2547" spans="1:38" x14ac:dyDescent="0.25">
      <c r="A2547">
        <v>2546</v>
      </c>
      <c r="B2547" t="str">
        <f xml:space="preserve"> "600735"</f>
        <v>600735</v>
      </c>
      <c r="C2547" t="s">
        <v>7794</v>
      </c>
      <c r="D2547">
        <v>12.41</v>
      </c>
      <c r="E2547">
        <v>0.73</v>
      </c>
      <c r="F2547">
        <v>0.09</v>
      </c>
      <c r="G2547" t="s">
        <v>4912</v>
      </c>
      <c r="H2547">
        <v>5</v>
      </c>
      <c r="I2547">
        <v>12.42</v>
      </c>
      <c r="J2547">
        <v>12.43</v>
      </c>
      <c r="K2547">
        <v>0</v>
      </c>
      <c r="L2547">
        <v>1.49</v>
      </c>
      <c r="M2547" t="s">
        <v>6471</v>
      </c>
      <c r="N2547">
        <v>67.34</v>
      </c>
      <c r="O2547" t="s">
        <v>2001</v>
      </c>
      <c r="P2547">
        <v>12.45</v>
      </c>
      <c r="Q2547">
        <v>12.3</v>
      </c>
      <c r="R2547">
        <v>12.35</v>
      </c>
      <c r="S2547">
        <v>12.32</v>
      </c>
      <c r="T2547">
        <v>1.22</v>
      </c>
      <c r="U2547">
        <v>0.9</v>
      </c>
      <c r="V2547">
        <v>-89.66</v>
      </c>
      <c r="W2547">
        <v>-1977</v>
      </c>
      <c r="X2547">
        <v>12.38</v>
      </c>
      <c r="Y2547" t="s">
        <v>1704</v>
      </c>
      <c r="Z2547" t="s">
        <v>754</v>
      </c>
      <c r="AA2547">
        <v>0.88</v>
      </c>
      <c r="AB2547">
        <v>8</v>
      </c>
      <c r="AC2547">
        <v>460</v>
      </c>
      <c r="AD2547">
        <v>5.86</v>
      </c>
      <c r="AE2547" t="s">
        <v>5978</v>
      </c>
      <c r="AF2547" t="s">
        <v>6835</v>
      </c>
      <c r="AG2547" t="s">
        <v>5978</v>
      </c>
      <c r="AH2547" t="s">
        <v>6835</v>
      </c>
      <c r="AI2547">
        <v>1.1399999999999999</v>
      </c>
      <c r="AJ2547">
        <v>2.99</v>
      </c>
      <c r="AK2547">
        <v>5.62</v>
      </c>
      <c r="AL2547">
        <v>9.7899999999999991</v>
      </c>
    </row>
    <row r="2548" spans="1:38" x14ac:dyDescent="0.25">
      <c r="A2548">
        <v>2547</v>
      </c>
      <c r="B2548" t="str">
        <f xml:space="preserve"> "002599"</f>
        <v>002599</v>
      </c>
      <c r="C2548" t="s">
        <v>7795</v>
      </c>
      <c r="D2548">
        <v>14.39</v>
      </c>
      <c r="E2548">
        <v>-0.28000000000000003</v>
      </c>
      <c r="F2548">
        <v>-0.04</v>
      </c>
      <c r="G2548">
        <v>6922</v>
      </c>
      <c r="H2548">
        <v>168</v>
      </c>
      <c r="I2548">
        <v>14.38</v>
      </c>
      <c r="J2548">
        <v>14.39</v>
      </c>
      <c r="K2548">
        <v>-7.0000000000000007E-2</v>
      </c>
      <c r="L2548">
        <v>0.38</v>
      </c>
      <c r="M2548" t="s">
        <v>7796</v>
      </c>
      <c r="N2548">
        <v>77.2</v>
      </c>
      <c r="O2548" t="s">
        <v>3873</v>
      </c>
      <c r="P2548">
        <v>14.5</v>
      </c>
      <c r="Q2548">
        <v>14.32</v>
      </c>
      <c r="R2548">
        <v>14.43</v>
      </c>
      <c r="S2548">
        <v>14.43</v>
      </c>
      <c r="T2548">
        <v>1.25</v>
      </c>
      <c r="U2548">
        <v>0.74</v>
      </c>
      <c r="V2548">
        <v>30.55</v>
      </c>
      <c r="W2548">
        <v>163</v>
      </c>
      <c r="X2548">
        <v>14.4</v>
      </c>
      <c r="Y2548">
        <v>3417</v>
      </c>
      <c r="Z2548">
        <v>3505</v>
      </c>
      <c r="AA2548">
        <v>0.97</v>
      </c>
      <c r="AB2548">
        <v>37</v>
      </c>
      <c r="AC2548">
        <v>10</v>
      </c>
      <c r="AD2548">
        <v>3.24</v>
      </c>
      <c r="AE2548" t="s">
        <v>3682</v>
      </c>
      <c r="AF2548" t="s">
        <v>6525</v>
      </c>
      <c r="AG2548" t="s">
        <v>2637</v>
      </c>
      <c r="AH2548" t="s">
        <v>877</v>
      </c>
      <c r="AI2548">
        <v>-0.9</v>
      </c>
      <c r="AJ2548">
        <v>1.7</v>
      </c>
      <c r="AK2548">
        <v>1.23</v>
      </c>
      <c r="AL2548">
        <v>2.96</v>
      </c>
    </row>
    <row r="2549" spans="1:38" x14ac:dyDescent="0.25">
      <c r="A2549">
        <v>2548</v>
      </c>
      <c r="B2549" t="str">
        <f xml:space="preserve"> "600984"</f>
        <v>600984</v>
      </c>
      <c r="C2549" t="s">
        <v>7797</v>
      </c>
      <c r="D2549">
        <v>7.32</v>
      </c>
      <c r="E2549">
        <v>0.83</v>
      </c>
      <c r="F2549">
        <v>0.06</v>
      </c>
      <c r="G2549" t="s">
        <v>3895</v>
      </c>
      <c r="H2549">
        <v>145</v>
      </c>
      <c r="I2549">
        <v>7.32</v>
      </c>
      <c r="J2549">
        <v>7.33</v>
      </c>
      <c r="K2549">
        <v>0</v>
      </c>
      <c r="L2549">
        <v>0.89</v>
      </c>
      <c r="M2549" t="s">
        <v>7798</v>
      </c>
      <c r="N2549">
        <v>41.22</v>
      </c>
      <c r="O2549" t="s">
        <v>648</v>
      </c>
      <c r="P2549">
        <v>7.35</v>
      </c>
      <c r="Q2549">
        <v>7.22</v>
      </c>
      <c r="R2549">
        <v>7.26</v>
      </c>
      <c r="S2549">
        <v>7.26</v>
      </c>
      <c r="T2549">
        <v>1.79</v>
      </c>
      <c r="U2549">
        <v>0.84</v>
      </c>
      <c r="V2549">
        <v>-67.31</v>
      </c>
      <c r="W2549">
        <v>-4118</v>
      </c>
      <c r="X2549">
        <v>7.28</v>
      </c>
      <c r="Y2549" t="s">
        <v>86</v>
      </c>
      <c r="Z2549" t="s">
        <v>3266</v>
      </c>
      <c r="AA2549">
        <v>0.98</v>
      </c>
      <c r="AB2549">
        <v>254</v>
      </c>
      <c r="AC2549">
        <v>1139</v>
      </c>
      <c r="AD2549">
        <v>1.43</v>
      </c>
      <c r="AE2549" t="s">
        <v>3382</v>
      </c>
      <c r="AF2549" t="s">
        <v>6525</v>
      </c>
      <c r="AG2549" t="s">
        <v>2718</v>
      </c>
      <c r="AH2549" t="s">
        <v>7799</v>
      </c>
      <c r="AI2549">
        <v>-0.54</v>
      </c>
      <c r="AJ2549">
        <v>2.81</v>
      </c>
      <c r="AK2549">
        <v>3</v>
      </c>
      <c r="AL2549">
        <v>6.18</v>
      </c>
    </row>
    <row r="2550" spans="1:38" x14ac:dyDescent="0.25">
      <c r="A2550">
        <v>2549</v>
      </c>
      <c r="B2550" t="str">
        <f xml:space="preserve"> "603020"</f>
        <v>603020</v>
      </c>
      <c r="C2550" t="s">
        <v>7800</v>
      </c>
      <c r="D2550">
        <v>14.56</v>
      </c>
      <c r="E2550">
        <v>0.48</v>
      </c>
      <c r="F2550">
        <v>7.0000000000000007E-2</v>
      </c>
      <c r="G2550" t="s">
        <v>1821</v>
      </c>
      <c r="H2550">
        <v>30</v>
      </c>
      <c r="I2550">
        <v>14.55</v>
      </c>
      <c r="J2550">
        <v>14.56</v>
      </c>
      <c r="K2550">
        <v>7.0000000000000007E-2</v>
      </c>
      <c r="L2550">
        <v>0.7</v>
      </c>
      <c r="M2550" t="s">
        <v>7801</v>
      </c>
      <c r="N2550">
        <v>25.82</v>
      </c>
      <c r="O2550" t="s">
        <v>406</v>
      </c>
      <c r="P2550">
        <v>14.58</v>
      </c>
      <c r="Q2550">
        <v>14.42</v>
      </c>
      <c r="R2550">
        <v>14.44</v>
      </c>
      <c r="S2550">
        <v>14.49</v>
      </c>
      <c r="T2550">
        <v>1.1000000000000001</v>
      </c>
      <c r="U2550">
        <v>0.84</v>
      </c>
      <c r="V2550">
        <v>-34.15</v>
      </c>
      <c r="W2550">
        <v>-696</v>
      </c>
      <c r="X2550">
        <v>14.53</v>
      </c>
      <c r="Y2550">
        <v>4600</v>
      </c>
      <c r="Z2550">
        <v>8911</v>
      </c>
      <c r="AA2550">
        <v>0.52</v>
      </c>
      <c r="AB2550">
        <v>22</v>
      </c>
      <c r="AC2550">
        <v>363</v>
      </c>
      <c r="AD2550">
        <v>2.52</v>
      </c>
      <c r="AE2550" t="s">
        <v>2738</v>
      </c>
      <c r="AF2550" t="s">
        <v>6525</v>
      </c>
      <c r="AG2550" t="s">
        <v>1088</v>
      </c>
      <c r="AH2550" t="s">
        <v>395</v>
      </c>
      <c r="AI2550">
        <v>-0.27</v>
      </c>
      <c r="AJ2550">
        <v>3.41</v>
      </c>
      <c r="AK2550">
        <v>2.66</v>
      </c>
      <c r="AL2550">
        <v>4.87</v>
      </c>
    </row>
    <row r="2551" spans="1:38" x14ac:dyDescent="0.25">
      <c r="A2551">
        <v>2550</v>
      </c>
      <c r="B2551" t="str">
        <f xml:space="preserve"> "600163"</f>
        <v>600163</v>
      </c>
      <c r="C2551" t="s">
        <v>7802</v>
      </c>
      <c r="D2551">
        <v>4.66</v>
      </c>
      <c r="E2551">
        <v>0.65</v>
      </c>
      <c r="F2551">
        <v>0.03</v>
      </c>
      <c r="G2551" t="s">
        <v>1692</v>
      </c>
      <c r="H2551">
        <v>1</v>
      </c>
      <c r="I2551">
        <v>4.6500000000000004</v>
      </c>
      <c r="J2551">
        <v>4.66</v>
      </c>
      <c r="K2551">
        <v>0.22</v>
      </c>
      <c r="L2551">
        <v>0.51</v>
      </c>
      <c r="M2551" t="s">
        <v>7803</v>
      </c>
      <c r="N2551">
        <v>41.22</v>
      </c>
      <c r="O2551" t="s">
        <v>186</v>
      </c>
      <c r="P2551">
        <v>4.67</v>
      </c>
      <c r="Q2551">
        <v>4.6100000000000003</v>
      </c>
      <c r="R2551">
        <v>4.63</v>
      </c>
      <c r="S2551">
        <v>4.63</v>
      </c>
      <c r="T2551">
        <v>1.3</v>
      </c>
      <c r="U2551">
        <v>0.92</v>
      </c>
      <c r="V2551">
        <v>-32.909999999999997</v>
      </c>
      <c r="W2551">
        <v>-5025</v>
      </c>
      <c r="X2551">
        <v>4.6500000000000004</v>
      </c>
      <c r="Y2551" t="s">
        <v>1732</v>
      </c>
      <c r="Z2551" t="s">
        <v>86</v>
      </c>
      <c r="AA2551">
        <v>0.62</v>
      </c>
      <c r="AB2551">
        <v>251</v>
      </c>
      <c r="AC2551">
        <v>1241</v>
      </c>
      <c r="AD2551">
        <v>2.85</v>
      </c>
      <c r="AE2551" t="s">
        <v>4421</v>
      </c>
      <c r="AF2551" t="s">
        <v>6525</v>
      </c>
      <c r="AG2551" t="s">
        <v>4158</v>
      </c>
      <c r="AH2551" t="s">
        <v>7340</v>
      </c>
      <c r="AI2551">
        <v>0.87</v>
      </c>
      <c r="AJ2551">
        <v>3.56</v>
      </c>
      <c r="AK2551">
        <v>1.78</v>
      </c>
      <c r="AL2551">
        <v>3.25</v>
      </c>
    </row>
    <row r="2552" spans="1:38" x14ac:dyDescent="0.25">
      <c r="A2552">
        <v>2551</v>
      </c>
      <c r="B2552" t="str">
        <f xml:space="preserve"> "603823"</f>
        <v>603823</v>
      </c>
      <c r="C2552" t="s">
        <v>7804</v>
      </c>
      <c r="D2552">
        <v>20.7</v>
      </c>
      <c r="E2552">
        <v>1.62</v>
      </c>
      <c r="F2552">
        <v>0.33</v>
      </c>
      <c r="G2552" t="s">
        <v>1683</v>
      </c>
      <c r="H2552">
        <v>1</v>
      </c>
      <c r="I2552">
        <v>20.7</v>
      </c>
      <c r="J2552">
        <v>20.71</v>
      </c>
      <c r="K2552">
        <v>-0.05</v>
      </c>
      <c r="L2552">
        <v>3.56</v>
      </c>
      <c r="M2552" t="s">
        <v>7805</v>
      </c>
      <c r="N2552">
        <v>39.97</v>
      </c>
      <c r="O2552" t="s">
        <v>667</v>
      </c>
      <c r="P2552">
        <v>20.84</v>
      </c>
      <c r="Q2552">
        <v>20.309999999999999</v>
      </c>
      <c r="R2552">
        <v>20.350000000000001</v>
      </c>
      <c r="S2552">
        <v>20.37</v>
      </c>
      <c r="T2552">
        <v>2.6</v>
      </c>
      <c r="U2552">
        <v>1.34</v>
      </c>
      <c r="V2552">
        <v>-25.83</v>
      </c>
      <c r="W2552">
        <v>-209</v>
      </c>
      <c r="X2552">
        <v>20.67</v>
      </c>
      <c r="Y2552">
        <v>6532</v>
      </c>
      <c r="Z2552">
        <v>9509</v>
      </c>
      <c r="AA2552">
        <v>0.69</v>
      </c>
      <c r="AB2552">
        <v>103</v>
      </c>
      <c r="AC2552">
        <v>332</v>
      </c>
      <c r="AD2552">
        <v>3.9</v>
      </c>
      <c r="AE2552" t="s">
        <v>845</v>
      </c>
      <c r="AF2552" t="s">
        <v>6525</v>
      </c>
      <c r="AG2552" t="s">
        <v>1609</v>
      </c>
      <c r="AH2552" t="s">
        <v>6818</v>
      </c>
      <c r="AI2552">
        <v>1.17</v>
      </c>
      <c r="AJ2552">
        <v>5.61</v>
      </c>
      <c r="AK2552">
        <v>9.67</v>
      </c>
      <c r="AL2552">
        <v>16.899999999999999</v>
      </c>
    </row>
    <row r="2553" spans="1:38" x14ac:dyDescent="0.25">
      <c r="A2553">
        <v>2552</v>
      </c>
      <c r="B2553" t="str">
        <f xml:space="preserve"> "300389"</f>
        <v>300389</v>
      </c>
      <c r="C2553" t="s">
        <v>7806</v>
      </c>
      <c r="D2553">
        <v>14.65</v>
      </c>
      <c r="E2553">
        <v>-4.87</v>
      </c>
      <c r="F2553">
        <v>-0.75</v>
      </c>
      <c r="G2553" t="s">
        <v>2745</v>
      </c>
      <c r="H2553">
        <v>947</v>
      </c>
      <c r="I2553">
        <v>14.64</v>
      </c>
      <c r="J2553">
        <v>14.65</v>
      </c>
      <c r="K2553">
        <v>0</v>
      </c>
      <c r="L2553">
        <v>6.52</v>
      </c>
      <c r="M2553" t="s">
        <v>2869</v>
      </c>
      <c r="N2553">
        <v>67.319999999999993</v>
      </c>
      <c r="O2553" t="s">
        <v>380</v>
      </c>
      <c r="P2553">
        <v>15.39</v>
      </c>
      <c r="Q2553">
        <v>14.36</v>
      </c>
      <c r="R2553">
        <v>15.31</v>
      </c>
      <c r="S2553">
        <v>15.4</v>
      </c>
      <c r="T2553">
        <v>6.69</v>
      </c>
      <c r="U2553">
        <v>1.26</v>
      </c>
      <c r="V2553">
        <v>8.73</v>
      </c>
      <c r="W2553">
        <v>144</v>
      </c>
      <c r="X2553">
        <v>14.76</v>
      </c>
      <c r="Y2553" t="s">
        <v>336</v>
      </c>
      <c r="Z2553" t="s">
        <v>1190</v>
      </c>
      <c r="AA2553">
        <v>1.61</v>
      </c>
      <c r="AB2553">
        <v>30</v>
      </c>
      <c r="AC2553">
        <v>140</v>
      </c>
      <c r="AD2553">
        <v>4.79</v>
      </c>
      <c r="AE2553" t="s">
        <v>103</v>
      </c>
      <c r="AF2553" t="s">
        <v>6443</v>
      </c>
      <c r="AG2553" t="s">
        <v>2827</v>
      </c>
      <c r="AH2553" t="s">
        <v>1367</v>
      </c>
      <c r="AI2553">
        <v>-5.12</v>
      </c>
      <c r="AJ2553">
        <v>-5.67</v>
      </c>
      <c r="AK2553">
        <v>14.48</v>
      </c>
      <c r="AL2553">
        <v>32.49</v>
      </c>
    </row>
    <row r="2554" spans="1:38" x14ac:dyDescent="0.25">
      <c r="A2554">
        <v>2553</v>
      </c>
      <c r="B2554" t="str">
        <f xml:space="preserve"> "002177"</f>
        <v>002177</v>
      </c>
      <c r="C2554" t="s">
        <v>7807</v>
      </c>
      <c r="D2554">
        <v>6.11</v>
      </c>
      <c r="E2554">
        <v>-0.33</v>
      </c>
      <c r="F2554">
        <v>-0.02</v>
      </c>
      <c r="G2554" t="s">
        <v>5135</v>
      </c>
      <c r="H2554">
        <v>1290</v>
      </c>
      <c r="I2554">
        <v>6.1</v>
      </c>
      <c r="J2554">
        <v>6.11</v>
      </c>
      <c r="K2554">
        <v>0.16</v>
      </c>
      <c r="L2554">
        <v>1.63</v>
      </c>
      <c r="M2554" t="s">
        <v>6751</v>
      </c>
      <c r="N2554">
        <v>129.41</v>
      </c>
      <c r="O2554" t="s">
        <v>553</v>
      </c>
      <c r="P2554">
        <v>6.17</v>
      </c>
      <c r="Q2554">
        <v>6.08</v>
      </c>
      <c r="R2554">
        <v>6.14</v>
      </c>
      <c r="S2554">
        <v>6.13</v>
      </c>
      <c r="T2554">
        <v>1.47</v>
      </c>
      <c r="U2554">
        <v>0.83</v>
      </c>
      <c r="V2554">
        <v>28.86</v>
      </c>
      <c r="W2554">
        <v>4797</v>
      </c>
      <c r="X2554">
        <v>6.12</v>
      </c>
      <c r="Y2554" t="s">
        <v>1370</v>
      </c>
      <c r="Z2554" t="s">
        <v>1286</v>
      </c>
      <c r="AA2554">
        <v>1.79</v>
      </c>
      <c r="AB2554">
        <v>2636</v>
      </c>
      <c r="AC2554">
        <v>425</v>
      </c>
      <c r="AD2554">
        <v>2.74</v>
      </c>
      <c r="AE2554" t="s">
        <v>4350</v>
      </c>
      <c r="AF2554" t="s">
        <v>6443</v>
      </c>
      <c r="AG2554" t="s">
        <v>1951</v>
      </c>
      <c r="AH2554" t="s">
        <v>7077</v>
      </c>
      <c r="AI2554">
        <v>-0.49</v>
      </c>
      <c r="AJ2554">
        <v>3.74</v>
      </c>
      <c r="AK2554">
        <v>5.89</v>
      </c>
      <c r="AL2554">
        <v>11.46</v>
      </c>
    </row>
    <row r="2555" spans="1:38" x14ac:dyDescent="0.25">
      <c r="A2555">
        <v>2554</v>
      </c>
      <c r="B2555" t="str">
        <f xml:space="preserve"> "300425"</f>
        <v>300425</v>
      </c>
      <c r="C2555" t="s">
        <v>7808</v>
      </c>
      <c r="D2555">
        <v>12.39</v>
      </c>
      <c r="E2555">
        <v>10.039999999999999</v>
      </c>
      <c r="F2555">
        <v>1.1299999999999999</v>
      </c>
      <c r="G2555" t="s">
        <v>609</v>
      </c>
      <c r="H2555">
        <v>644</v>
      </c>
      <c r="I2555">
        <v>12.39</v>
      </c>
      <c r="J2555" t="s">
        <v>616</v>
      </c>
      <c r="K2555">
        <v>0</v>
      </c>
      <c r="L2555">
        <v>8.57</v>
      </c>
      <c r="M2555" t="s">
        <v>621</v>
      </c>
      <c r="N2555">
        <v>61.84</v>
      </c>
      <c r="O2555" t="s">
        <v>1155</v>
      </c>
      <c r="P2555">
        <v>12.39</v>
      </c>
      <c r="Q2555">
        <v>11.07</v>
      </c>
      <c r="R2555">
        <v>11.19</v>
      </c>
      <c r="S2555">
        <v>11.26</v>
      </c>
      <c r="T2555">
        <v>11.72</v>
      </c>
      <c r="U2555">
        <v>3.44</v>
      </c>
      <c r="V2555">
        <v>100</v>
      </c>
      <c r="W2555" t="s">
        <v>1416</v>
      </c>
      <c r="X2555">
        <v>12.1</v>
      </c>
      <c r="Y2555" t="s">
        <v>5784</v>
      </c>
      <c r="Z2555" t="s">
        <v>1698</v>
      </c>
      <c r="AA2555">
        <v>1.18</v>
      </c>
      <c r="AB2555" t="s">
        <v>1805</v>
      </c>
      <c r="AC2555">
        <v>0</v>
      </c>
      <c r="AD2555">
        <v>3.29</v>
      </c>
      <c r="AE2555" t="s">
        <v>6624</v>
      </c>
      <c r="AF2555" t="s">
        <v>6443</v>
      </c>
      <c r="AG2555" t="s">
        <v>1306</v>
      </c>
      <c r="AH2555" t="s">
        <v>2856</v>
      </c>
      <c r="AI2555">
        <v>9.07</v>
      </c>
      <c r="AJ2555">
        <v>11.52</v>
      </c>
      <c r="AK2555">
        <v>14.16</v>
      </c>
      <c r="AL2555">
        <v>21.04</v>
      </c>
    </row>
    <row r="2556" spans="1:38" x14ac:dyDescent="0.25">
      <c r="A2556">
        <v>2555</v>
      </c>
      <c r="B2556" t="str">
        <f xml:space="preserve"> "300111"</f>
        <v>300111</v>
      </c>
      <c r="C2556" t="s">
        <v>7809</v>
      </c>
      <c r="D2556">
        <v>4.1500000000000004</v>
      </c>
      <c r="E2556">
        <v>0</v>
      </c>
      <c r="F2556">
        <v>0</v>
      </c>
      <c r="G2556" t="s">
        <v>4583</v>
      </c>
      <c r="H2556">
        <v>2171</v>
      </c>
      <c r="I2556">
        <v>4.1399999999999997</v>
      </c>
      <c r="J2556">
        <v>4.1500000000000004</v>
      </c>
      <c r="K2556">
        <v>0</v>
      </c>
      <c r="L2556">
        <v>0.4</v>
      </c>
      <c r="M2556" t="s">
        <v>7810</v>
      </c>
      <c r="N2556">
        <v>236.21</v>
      </c>
      <c r="O2556" t="s">
        <v>680</v>
      </c>
      <c r="P2556">
        <v>4.16</v>
      </c>
      <c r="Q2556">
        <v>4.12</v>
      </c>
      <c r="R2556">
        <v>4.1399999999999997</v>
      </c>
      <c r="S2556">
        <v>4.1500000000000004</v>
      </c>
      <c r="T2556">
        <v>0.96</v>
      </c>
      <c r="U2556">
        <v>0.7</v>
      </c>
      <c r="V2556">
        <v>-6.61</v>
      </c>
      <c r="W2556">
        <v>-1248</v>
      </c>
      <c r="X2556">
        <v>4.1399999999999997</v>
      </c>
      <c r="Y2556" t="s">
        <v>1509</v>
      </c>
      <c r="Z2556" t="s">
        <v>507</v>
      </c>
      <c r="AA2556">
        <v>1.32</v>
      </c>
      <c r="AB2556">
        <v>1900</v>
      </c>
      <c r="AC2556">
        <v>833</v>
      </c>
      <c r="AD2556">
        <v>3.56</v>
      </c>
      <c r="AE2556" t="s">
        <v>2328</v>
      </c>
      <c r="AF2556" t="s">
        <v>6443</v>
      </c>
      <c r="AG2556" t="s">
        <v>2328</v>
      </c>
      <c r="AH2556" t="s">
        <v>7811</v>
      </c>
      <c r="AI2556">
        <v>-1.43</v>
      </c>
      <c r="AJ2556">
        <v>1.97</v>
      </c>
      <c r="AK2556">
        <v>1.41</v>
      </c>
      <c r="AL2556">
        <v>3.28</v>
      </c>
    </row>
    <row r="2557" spans="1:38" x14ac:dyDescent="0.25">
      <c r="A2557">
        <v>2556</v>
      </c>
      <c r="B2557" t="str">
        <f xml:space="preserve"> "000411"</f>
        <v>000411</v>
      </c>
      <c r="C2557" t="s">
        <v>7812</v>
      </c>
      <c r="D2557">
        <v>22.39</v>
      </c>
      <c r="E2557">
        <v>-0.04</v>
      </c>
      <c r="F2557">
        <v>-0.01</v>
      </c>
      <c r="G2557">
        <v>4637</v>
      </c>
      <c r="H2557">
        <v>19</v>
      </c>
      <c r="I2557">
        <v>22.35</v>
      </c>
      <c r="J2557">
        <v>22.4</v>
      </c>
      <c r="K2557">
        <v>0.18</v>
      </c>
      <c r="L2557">
        <v>0.22</v>
      </c>
      <c r="M2557" t="s">
        <v>7813</v>
      </c>
      <c r="N2557">
        <v>55.05</v>
      </c>
      <c r="O2557" t="s">
        <v>392</v>
      </c>
      <c r="P2557">
        <v>22.46</v>
      </c>
      <c r="Q2557">
        <v>22.24</v>
      </c>
      <c r="R2557">
        <v>22.45</v>
      </c>
      <c r="S2557">
        <v>22.4</v>
      </c>
      <c r="T2557">
        <v>0.98</v>
      </c>
      <c r="U2557">
        <v>0.45</v>
      </c>
      <c r="V2557">
        <v>-37.26</v>
      </c>
      <c r="W2557">
        <v>-238</v>
      </c>
      <c r="X2557">
        <v>22.35</v>
      </c>
      <c r="Y2557">
        <v>2182</v>
      </c>
      <c r="Z2557">
        <v>2454</v>
      </c>
      <c r="AA2557">
        <v>0.89</v>
      </c>
      <c r="AB2557">
        <v>144</v>
      </c>
      <c r="AC2557">
        <v>26</v>
      </c>
      <c r="AD2557">
        <v>5.82</v>
      </c>
      <c r="AE2557" t="s">
        <v>883</v>
      </c>
      <c r="AF2557" t="s">
        <v>7814</v>
      </c>
      <c r="AG2557" t="s">
        <v>883</v>
      </c>
      <c r="AH2557" t="s">
        <v>7814</v>
      </c>
      <c r="AI2557">
        <v>-0.04</v>
      </c>
      <c r="AJ2557">
        <v>4.72</v>
      </c>
      <c r="AK2557">
        <v>1.35</v>
      </c>
      <c r="AL2557">
        <v>2.72</v>
      </c>
    </row>
    <row r="2558" spans="1:38" x14ac:dyDescent="0.25">
      <c r="A2558">
        <v>2557</v>
      </c>
      <c r="B2558" t="str">
        <f xml:space="preserve"> "603127"</f>
        <v>603127</v>
      </c>
      <c r="C2558" t="s">
        <v>7815</v>
      </c>
      <c r="D2558">
        <v>56.75</v>
      </c>
      <c r="E2558">
        <v>1</v>
      </c>
      <c r="F2558">
        <v>0.56000000000000005</v>
      </c>
      <c r="G2558" t="s">
        <v>603</v>
      </c>
      <c r="H2558">
        <v>30</v>
      </c>
      <c r="I2558">
        <v>56.72</v>
      </c>
      <c r="J2558">
        <v>56.75</v>
      </c>
      <c r="K2558">
        <v>-0.14000000000000001</v>
      </c>
      <c r="L2558">
        <v>6.94</v>
      </c>
      <c r="M2558" t="s">
        <v>7345</v>
      </c>
      <c r="N2558">
        <v>190.5</v>
      </c>
      <c r="O2558" t="s">
        <v>1552</v>
      </c>
      <c r="P2558">
        <v>57.68</v>
      </c>
      <c r="Q2558">
        <v>55.95</v>
      </c>
      <c r="R2558">
        <v>56.25</v>
      </c>
      <c r="S2558">
        <v>56.19</v>
      </c>
      <c r="T2558">
        <v>3.08</v>
      </c>
      <c r="U2558">
        <v>0.51</v>
      </c>
      <c r="V2558">
        <v>26.28</v>
      </c>
      <c r="W2558">
        <v>24</v>
      </c>
      <c r="X2558">
        <v>56.93</v>
      </c>
      <c r="Y2558">
        <v>8156</v>
      </c>
      <c r="Z2558">
        <v>6076</v>
      </c>
      <c r="AA2558">
        <v>1.34</v>
      </c>
      <c r="AB2558">
        <v>10</v>
      </c>
      <c r="AC2558">
        <v>2</v>
      </c>
      <c r="AD2558">
        <v>9.4</v>
      </c>
      <c r="AE2558" t="s">
        <v>7816</v>
      </c>
      <c r="AF2558" t="s">
        <v>7814</v>
      </c>
      <c r="AG2558" t="s">
        <v>7665</v>
      </c>
      <c r="AH2558" t="s">
        <v>1572</v>
      </c>
      <c r="AI2558">
        <v>-7.78</v>
      </c>
      <c r="AJ2558">
        <v>-1.65</v>
      </c>
      <c r="AK2558">
        <v>38.14</v>
      </c>
      <c r="AL2558">
        <v>74.98</v>
      </c>
    </row>
    <row r="2559" spans="1:38" x14ac:dyDescent="0.25">
      <c r="A2559">
        <v>2558</v>
      </c>
      <c r="B2559" t="str">
        <f xml:space="preserve"> "600354"</f>
        <v>600354</v>
      </c>
      <c r="C2559" t="s">
        <v>7817</v>
      </c>
      <c r="D2559">
        <v>8.7899999999999991</v>
      </c>
      <c r="E2559">
        <v>-0.56999999999999995</v>
      </c>
      <c r="F2559">
        <v>-0.05</v>
      </c>
      <c r="G2559" t="s">
        <v>7818</v>
      </c>
      <c r="H2559">
        <v>64</v>
      </c>
      <c r="I2559">
        <v>8.7899999999999991</v>
      </c>
      <c r="J2559">
        <v>8.8000000000000007</v>
      </c>
      <c r="K2559">
        <v>0.11</v>
      </c>
      <c r="L2559">
        <v>2.09</v>
      </c>
      <c r="M2559" t="s">
        <v>7819</v>
      </c>
      <c r="N2559">
        <v>11.96</v>
      </c>
      <c r="O2559" t="s">
        <v>622</v>
      </c>
      <c r="P2559">
        <v>8.84</v>
      </c>
      <c r="Q2559">
        <v>8.74</v>
      </c>
      <c r="R2559">
        <v>8.82</v>
      </c>
      <c r="S2559">
        <v>8.84</v>
      </c>
      <c r="T2559">
        <v>1.1299999999999999</v>
      </c>
      <c r="U2559">
        <v>0.73</v>
      </c>
      <c r="V2559">
        <v>-0.46</v>
      </c>
      <c r="W2559">
        <v>-38</v>
      </c>
      <c r="X2559">
        <v>8.7799999999999994</v>
      </c>
      <c r="Y2559" t="s">
        <v>4122</v>
      </c>
      <c r="Z2559" t="s">
        <v>3273</v>
      </c>
      <c r="AA2559">
        <v>1.6</v>
      </c>
      <c r="AB2559">
        <v>440</v>
      </c>
      <c r="AC2559">
        <v>1465</v>
      </c>
      <c r="AD2559">
        <v>4.26</v>
      </c>
      <c r="AE2559" t="s">
        <v>2438</v>
      </c>
      <c r="AF2559" t="s">
        <v>7814</v>
      </c>
      <c r="AG2559" t="s">
        <v>4457</v>
      </c>
      <c r="AH2559" t="s">
        <v>7799</v>
      </c>
      <c r="AI2559">
        <v>0</v>
      </c>
      <c r="AJ2559">
        <v>4.0199999999999996</v>
      </c>
      <c r="AK2559">
        <v>8.1300000000000008</v>
      </c>
      <c r="AL2559">
        <v>16.489999999999998</v>
      </c>
    </row>
    <row r="2560" spans="1:38" x14ac:dyDescent="0.25">
      <c r="A2560">
        <v>2559</v>
      </c>
      <c r="B2560" t="str">
        <f xml:space="preserve"> "603578"</f>
        <v>603578</v>
      </c>
      <c r="C2560" t="s">
        <v>7820</v>
      </c>
      <c r="D2560">
        <v>52.7</v>
      </c>
      <c r="E2560">
        <v>3.88</v>
      </c>
      <c r="F2560">
        <v>1.97</v>
      </c>
      <c r="G2560" t="s">
        <v>713</v>
      </c>
      <c r="H2560">
        <v>25</v>
      </c>
      <c r="I2560">
        <v>52.5</v>
      </c>
      <c r="J2560">
        <v>52.68</v>
      </c>
      <c r="K2560">
        <v>0.56999999999999995</v>
      </c>
      <c r="L2560">
        <v>7.72</v>
      </c>
      <c r="M2560" t="s">
        <v>7821</v>
      </c>
      <c r="N2560">
        <v>78.64</v>
      </c>
      <c r="O2560" t="s">
        <v>1058</v>
      </c>
      <c r="P2560">
        <v>52.95</v>
      </c>
      <c r="Q2560">
        <v>50.28</v>
      </c>
      <c r="R2560">
        <v>50.88</v>
      </c>
      <c r="S2560">
        <v>50.73</v>
      </c>
      <c r="T2560">
        <v>5.26</v>
      </c>
      <c r="U2560">
        <v>0.73</v>
      </c>
      <c r="V2560">
        <v>-19.66</v>
      </c>
      <c r="W2560">
        <v>-23</v>
      </c>
      <c r="X2560">
        <v>51.69</v>
      </c>
      <c r="Y2560">
        <v>6713</v>
      </c>
      <c r="Z2560" t="s">
        <v>2522</v>
      </c>
      <c r="AA2560">
        <v>0.65</v>
      </c>
      <c r="AB2560">
        <v>2</v>
      </c>
      <c r="AC2560">
        <v>9</v>
      </c>
      <c r="AD2560">
        <v>9.86</v>
      </c>
      <c r="AE2560" t="s">
        <v>7464</v>
      </c>
      <c r="AF2560" t="s">
        <v>7814</v>
      </c>
      <c r="AG2560" t="s">
        <v>7465</v>
      </c>
      <c r="AH2560" t="s">
        <v>1572</v>
      </c>
      <c r="AI2560">
        <v>-0.53</v>
      </c>
      <c r="AJ2560">
        <v>-0.53</v>
      </c>
      <c r="AK2560">
        <v>24.46</v>
      </c>
      <c r="AL2560">
        <v>24.46</v>
      </c>
    </row>
    <row r="2561" spans="1:38" x14ac:dyDescent="0.25">
      <c r="A2561">
        <v>2560</v>
      </c>
      <c r="B2561" t="str">
        <f xml:space="preserve"> "002231"</f>
        <v>002231</v>
      </c>
      <c r="C2561" t="s">
        <v>7822</v>
      </c>
      <c r="D2561">
        <v>12.99</v>
      </c>
      <c r="E2561">
        <v>-1.81</v>
      </c>
      <c r="F2561">
        <v>-0.24</v>
      </c>
      <c r="G2561" t="s">
        <v>980</v>
      </c>
      <c r="H2561">
        <v>3214</v>
      </c>
      <c r="I2561">
        <v>12.98</v>
      </c>
      <c r="J2561">
        <v>12.99</v>
      </c>
      <c r="K2561">
        <v>-0.08</v>
      </c>
      <c r="L2561">
        <v>7.88</v>
      </c>
      <c r="M2561" t="s">
        <v>2173</v>
      </c>
      <c r="N2561">
        <v>-149.24</v>
      </c>
      <c r="O2561" t="s">
        <v>580</v>
      </c>
      <c r="P2561">
        <v>13.47</v>
      </c>
      <c r="Q2561">
        <v>12.8</v>
      </c>
      <c r="R2561">
        <v>13.13</v>
      </c>
      <c r="S2561">
        <v>13.23</v>
      </c>
      <c r="T2561">
        <v>5.0599999999999996</v>
      </c>
      <c r="U2561">
        <v>2.02</v>
      </c>
      <c r="V2561">
        <v>-33.69</v>
      </c>
      <c r="W2561">
        <v>-1126</v>
      </c>
      <c r="X2561">
        <v>13.08</v>
      </c>
      <c r="Y2561" t="s">
        <v>148</v>
      </c>
      <c r="Z2561" t="s">
        <v>1222</v>
      </c>
      <c r="AA2561">
        <v>1.24</v>
      </c>
      <c r="AB2561">
        <v>252</v>
      </c>
      <c r="AC2561">
        <v>668</v>
      </c>
      <c r="AD2561">
        <v>7.01</v>
      </c>
      <c r="AE2561" t="s">
        <v>2425</v>
      </c>
      <c r="AF2561" t="s">
        <v>7811</v>
      </c>
      <c r="AG2561" t="s">
        <v>4989</v>
      </c>
      <c r="AH2561" t="s">
        <v>1394</v>
      </c>
      <c r="AI2561">
        <v>4.84</v>
      </c>
      <c r="AJ2561">
        <v>9.9</v>
      </c>
      <c r="AK2561">
        <v>16.739999999999998</v>
      </c>
      <c r="AL2561">
        <v>27.41</v>
      </c>
    </row>
    <row r="2562" spans="1:38" x14ac:dyDescent="0.25">
      <c r="A2562">
        <v>2561</v>
      </c>
      <c r="B2562" t="str">
        <f xml:space="preserve"> "300346"</f>
        <v>300346</v>
      </c>
      <c r="C2562" t="s">
        <v>7823</v>
      </c>
      <c r="D2562">
        <v>28.81</v>
      </c>
      <c r="E2562">
        <v>1.41</v>
      </c>
      <c r="F2562">
        <v>0.4</v>
      </c>
      <c r="G2562" t="s">
        <v>999</v>
      </c>
      <c r="H2562">
        <v>349</v>
      </c>
      <c r="I2562">
        <v>28.81</v>
      </c>
      <c r="J2562">
        <v>28.82</v>
      </c>
      <c r="K2562">
        <v>-0.03</v>
      </c>
      <c r="L2562">
        <v>1.18</v>
      </c>
      <c r="M2562" t="s">
        <v>4611</v>
      </c>
      <c r="N2562">
        <v>123.8</v>
      </c>
      <c r="O2562" t="s">
        <v>859</v>
      </c>
      <c r="P2562">
        <v>29.13</v>
      </c>
      <c r="Q2562">
        <v>28.15</v>
      </c>
      <c r="R2562">
        <v>28.53</v>
      </c>
      <c r="S2562">
        <v>28.41</v>
      </c>
      <c r="T2562">
        <v>3.45</v>
      </c>
      <c r="U2562">
        <v>0.54</v>
      </c>
      <c r="V2562">
        <v>-19.78</v>
      </c>
      <c r="W2562">
        <v>-141</v>
      </c>
      <c r="X2562">
        <v>28.82</v>
      </c>
      <c r="Y2562">
        <v>6362</v>
      </c>
      <c r="Z2562">
        <v>8068</v>
      </c>
      <c r="AA2562">
        <v>0.79</v>
      </c>
      <c r="AB2562">
        <v>46</v>
      </c>
      <c r="AC2562">
        <v>299</v>
      </c>
      <c r="AD2562">
        <v>3.87</v>
      </c>
      <c r="AE2562" t="s">
        <v>3976</v>
      </c>
      <c r="AF2562" t="s">
        <v>7811</v>
      </c>
      <c r="AG2562" t="s">
        <v>943</v>
      </c>
      <c r="AH2562" t="s">
        <v>7340</v>
      </c>
      <c r="AI2562">
        <v>-4.92</v>
      </c>
      <c r="AJ2562">
        <v>-2.87</v>
      </c>
      <c r="AK2562">
        <v>5.1100000000000003</v>
      </c>
      <c r="AL2562">
        <v>12.12</v>
      </c>
    </row>
    <row r="2563" spans="1:38" x14ac:dyDescent="0.25">
      <c r="A2563">
        <v>2562</v>
      </c>
      <c r="B2563" t="str">
        <f xml:space="preserve"> "002788"</f>
        <v>002788</v>
      </c>
      <c r="C2563" t="s">
        <v>7824</v>
      </c>
      <c r="D2563">
        <v>36.15</v>
      </c>
      <c r="E2563">
        <v>3.61</v>
      </c>
      <c r="F2563">
        <v>1.26</v>
      </c>
      <c r="G2563" t="s">
        <v>1660</v>
      </c>
      <c r="H2563">
        <v>441</v>
      </c>
      <c r="I2563">
        <v>36.14</v>
      </c>
      <c r="J2563">
        <v>36.15</v>
      </c>
      <c r="K2563">
        <v>0</v>
      </c>
      <c r="L2563">
        <v>7.78</v>
      </c>
      <c r="M2563" t="s">
        <v>4935</v>
      </c>
      <c r="N2563">
        <v>36.51</v>
      </c>
      <c r="O2563" t="s">
        <v>1552</v>
      </c>
      <c r="P2563">
        <v>38</v>
      </c>
      <c r="Q2563">
        <v>34.89</v>
      </c>
      <c r="R2563">
        <v>34.89</v>
      </c>
      <c r="S2563">
        <v>34.89</v>
      </c>
      <c r="T2563">
        <v>8.91</v>
      </c>
      <c r="U2563">
        <v>2.19</v>
      </c>
      <c r="V2563">
        <v>36.83</v>
      </c>
      <c r="W2563">
        <v>288</v>
      </c>
      <c r="X2563">
        <v>36.520000000000003</v>
      </c>
      <c r="Y2563" t="s">
        <v>2022</v>
      </c>
      <c r="Z2563" t="s">
        <v>2099</v>
      </c>
      <c r="AA2563">
        <v>0.94</v>
      </c>
      <c r="AB2563">
        <v>196</v>
      </c>
      <c r="AC2563">
        <v>38</v>
      </c>
      <c r="AD2563">
        <v>3.29</v>
      </c>
      <c r="AE2563" t="s">
        <v>2239</v>
      </c>
      <c r="AF2563" t="s">
        <v>7811</v>
      </c>
      <c r="AG2563" t="s">
        <v>7825</v>
      </c>
      <c r="AH2563" t="s">
        <v>1061</v>
      </c>
      <c r="AI2563">
        <v>2.41</v>
      </c>
      <c r="AJ2563">
        <v>9.81</v>
      </c>
      <c r="AK2563">
        <v>15.19</v>
      </c>
      <c r="AL2563">
        <v>25.51</v>
      </c>
    </row>
    <row r="2564" spans="1:38" x14ac:dyDescent="0.25">
      <c r="A2564">
        <v>2563</v>
      </c>
      <c r="B2564" t="str">
        <f xml:space="preserve"> "002220"</f>
        <v>002220</v>
      </c>
      <c r="C2564" t="s">
        <v>7826</v>
      </c>
      <c r="D2564">
        <v>8.4499999999999993</v>
      </c>
      <c r="E2564">
        <v>0</v>
      </c>
      <c r="F2564">
        <v>0</v>
      </c>
      <c r="G2564" t="s">
        <v>2714</v>
      </c>
      <c r="H2564">
        <v>908</v>
      </c>
      <c r="I2564">
        <v>8.4499999999999993</v>
      </c>
      <c r="J2564">
        <v>8.4600000000000009</v>
      </c>
      <c r="K2564">
        <v>0.12</v>
      </c>
      <c r="L2564">
        <v>0.91</v>
      </c>
      <c r="M2564" t="s">
        <v>6571</v>
      </c>
      <c r="N2564">
        <v>26.73</v>
      </c>
      <c r="O2564" t="s">
        <v>406</v>
      </c>
      <c r="P2564">
        <v>8.49</v>
      </c>
      <c r="Q2564">
        <v>8.42</v>
      </c>
      <c r="R2564">
        <v>8.43</v>
      </c>
      <c r="S2564">
        <v>8.4499999999999993</v>
      </c>
      <c r="T2564">
        <v>0.83</v>
      </c>
      <c r="U2564">
        <v>0.56000000000000005</v>
      </c>
      <c r="V2564">
        <v>37.42</v>
      </c>
      <c r="W2564">
        <v>1833</v>
      </c>
      <c r="X2564">
        <v>8.4499999999999993</v>
      </c>
      <c r="Y2564" t="s">
        <v>1724</v>
      </c>
      <c r="Z2564" t="s">
        <v>4399</v>
      </c>
      <c r="AA2564">
        <v>1.46</v>
      </c>
      <c r="AB2564">
        <v>81</v>
      </c>
      <c r="AC2564">
        <v>155</v>
      </c>
      <c r="AD2564">
        <v>1.7</v>
      </c>
      <c r="AE2564" t="s">
        <v>6576</v>
      </c>
      <c r="AF2564" t="s">
        <v>7811</v>
      </c>
      <c r="AG2564" t="s">
        <v>6399</v>
      </c>
      <c r="AH2564" t="s">
        <v>2726</v>
      </c>
      <c r="AI2564">
        <v>1.56</v>
      </c>
      <c r="AJ2564">
        <v>3.43</v>
      </c>
      <c r="AK2564">
        <v>5.89</v>
      </c>
      <c r="AL2564">
        <v>8.91</v>
      </c>
    </row>
    <row r="2565" spans="1:38" x14ac:dyDescent="0.25">
      <c r="A2565">
        <v>2564</v>
      </c>
      <c r="B2565" t="str">
        <f xml:space="preserve"> "603901"</f>
        <v>603901</v>
      </c>
      <c r="C2565" t="s">
        <v>7827</v>
      </c>
      <c r="D2565">
        <v>11.56</v>
      </c>
      <c r="E2565">
        <v>1.31</v>
      </c>
      <c r="F2565">
        <v>0.15</v>
      </c>
      <c r="G2565" t="s">
        <v>833</v>
      </c>
      <c r="H2565">
        <v>8</v>
      </c>
      <c r="I2565">
        <v>11.56</v>
      </c>
      <c r="J2565">
        <v>11.57</v>
      </c>
      <c r="K2565">
        <v>0.26</v>
      </c>
      <c r="L2565">
        <v>2.59</v>
      </c>
      <c r="M2565" t="s">
        <v>7828</v>
      </c>
      <c r="N2565">
        <v>59.24</v>
      </c>
      <c r="O2565" t="s">
        <v>2647</v>
      </c>
      <c r="P2565">
        <v>11.58</v>
      </c>
      <c r="Q2565">
        <v>11.23</v>
      </c>
      <c r="R2565">
        <v>11.36</v>
      </c>
      <c r="S2565">
        <v>11.41</v>
      </c>
      <c r="T2565">
        <v>3.07</v>
      </c>
      <c r="U2565">
        <v>0.84</v>
      </c>
      <c r="V2565">
        <v>-24.76</v>
      </c>
      <c r="W2565">
        <v>-545</v>
      </c>
      <c r="X2565">
        <v>11.37</v>
      </c>
      <c r="Y2565" t="s">
        <v>2509</v>
      </c>
      <c r="Z2565" t="s">
        <v>3892</v>
      </c>
      <c r="AA2565">
        <v>1.04</v>
      </c>
      <c r="AB2565">
        <v>113</v>
      </c>
      <c r="AC2565">
        <v>201</v>
      </c>
      <c r="AD2565">
        <v>5.04</v>
      </c>
      <c r="AE2565" t="s">
        <v>1000</v>
      </c>
      <c r="AF2565" t="s">
        <v>2412</v>
      </c>
      <c r="AG2565" t="s">
        <v>621</v>
      </c>
      <c r="AH2565" t="s">
        <v>1713</v>
      </c>
      <c r="AI2565">
        <v>1.94</v>
      </c>
      <c r="AJ2565">
        <v>6.94</v>
      </c>
      <c r="AK2565">
        <v>11.53</v>
      </c>
      <c r="AL2565">
        <v>17.95</v>
      </c>
    </row>
    <row r="2566" spans="1:38" x14ac:dyDescent="0.25">
      <c r="A2566">
        <v>2565</v>
      </c>
      <c r="B2566" t="str">
        <f xml:space="preserve"> "300481"</f>
        <v>300481</v>
      </c>
      <c r="C2566" t="s">
        <v>7829</v>
      </c>
      <c r="D2566">
        <v>28.89</v>
      </c>
      <c r="E2566">
        <v>2.08</v>
      </c>
      <c r="F2566">
        <v>0.59</v>
      </c>
      <c r="G2566" t="s">
        <v>885</v>
      </c>
      <c r="H2566">
        <v>1226</v>
      </c>
      <c r="I2566">
        <v>28.89</v>
      </c>
      <c r="J2566">
        <v>28.9</v>
      </c>
      <c r="K2566">
        <v>0.1</v>
      </c>
      <c r="L2566">
        <v>4.42</v>
      </c>
      <c r="M2566" t="s">
        <v>7830</v>
      </c>
      <c r="N2566">
        <v>64.89</v>
      </c>
      <c r="O2566" t="s">
        <v>667</v>
      </c>
      <c r="P2566">
        <v>28.9</v>
      </c>
      <c r="Q2566">
        <v>28.09</v>
      </c>
      <c r="R2566">
        <v>28.25</v>
      </c>
      <c r="S2566">
        <v>28.3</v>
      </c>
      <c r="T2566">
        <v>2.86</v>
      </c>
      <c r="U2566">
        <v>1.05</v>
      </c>
      <c r="V2566">
        <v>34.549999999999997</v>
      </c>
      <c r="W2566">
        <v>378</v>
      </c>
      <c r="X2566">
        <v>28.63</v>
      </c>
      <c r="Y2566" t="s">
        <v>2991</v>
      </c>
      <c r="Z2566" t="s">
        <v>4118</v>
      </c>
      <c r="AA2566">
        <v>0.57999999999999996</v>
      </c>
      <c r="AB2566">
        <v>4</v>
      </c>
      <c r="AC2566">
        <v>203</v>
      </c>
      <c r="AD2566">
        <v>9.77</v>
      </c>
      <c r="AE2566" t="s">
        <v>4326</v>
      </c>
      <c r="AF2566" t="s">
        <v>2412</v>
      </c>
      <c r="AG2566" t="s">
        <v>5288</v>
      </c>
      <c r="AH2566" t="s">
        <v>1734</v>
      </c>
      <c r="AI2566">
        <v>-0.76</v>
      </c>
      <c r="AJ2566">
        <v>-0.14000000000000001</v>
      </c>
      <c r="AK2566">
        <v>12.31</v>
      </c>
      <c r="AL2566">
        <v>25.35</v>
      </c>
    </row>
    <row r="2567" spans="1:38" x14ac:dyDescent="0.25">
      <c r="A2567">
        <v>2566</v>
      </c>
      <c r="B2567" t="str">
        <f xml:space="preserve"> "603600"</f>
        <v>603600</v>
      </c>
      <c r="C2567" t="s">
        <v>7831</v>
      </c>
      <c r="D2567">
        <v>18.25</v>
      </c>
      <c r="E2567">
        <v>-1.19</v>
      </c>
      <c r="F2567">
        <v>-0.22</v>
      </c>
      <c r="G2567" t="s">
        <v>5621</v>
      </c>
      <c r="H2567">
        <v>20</v>
      </c>
      <c r="I2567">
        <v>18.25</v>
      </c>
      <c r="J2567">
        <v>18.28</v>
      </c>
      <c r="K2567">
        <v>-0.05</v>
      </c>
      <c r="L2567">
        <v>1.3</v>
      </c>
      <c r="M2567" t="s">
        <v>7832</v>
      </c>
      <c r="N2567">
        <v>35.21</v>
      </c>
      <c r="O2567" t="s">
        <v>1469</v>
      </c>
      <c r="P2567">
        <v>18.48</v>
      </c>
      <c r="Q2567">
        <v>18.11</v>
      </c>
      <c r="R2567">
        <v>18.420000000000002</v>
      </c>
      <c r="S2567">
        <v>18.47</v>
      </c>
      <c r="T2567">
        <v>2</v>
      </c>
      <c r="U2567">
        <v>0.38</v>
      </c>
      <c r="V2567">
        <v>-29.39</v>
      </c>
      <c r="W2567">
        <v>-98</v>
      </c>
      <c r="X2567">
        <v>18.22</v>
      </c>
      <c r="Y2567">
        <v>7946</v>
      </c>
      <c r="Z2567">
        <v>5617</v>
      </c>
      <c r="AA2567">
        <v>1.41</v>
      </c>
      <c r="AB2567">
        <v>1</v>
      </c>
      <c r="AC2567">
        <v>25</v>
      </c>
      <c r="AD2567">
        <v>7.03</v>
      </c>
      <c r="AE2567" t="s">
        <v>424</v>
      </c>
      <c r="AF2567" t="s">
        <v>2412</v>
      </c>
      <c r="AG2567" t="s">
        <v>1907</v>
      </c>
      <c r="AH2567" t="s">
        <v>784</v>
      </c>
      <c r="AI2567">
        <v>0.83</v>
      </c>
      <c r="AJ2567">
        <v>7.99</v>
      </c>
      <c r="AK2567">
        <v>6.96</v>
      </c>
      <c r="AL2567">
        <v>18.53</v>
      </c>
    </row>
    <row r="2568" spans="1:38" x14ac:dyDescent="0.25">
      <c r="A2568">
        <v>2567</v>
      </c>
      <c r="B2568" t="str">
        <f xml:space="preserve"> "300468"</f>
        <v>300468</v>
      </c>
      <c r="C2568" t="s">
        <v>7833</v>
      </c>
      <c r="D2568">
        <v>43.81</v>
      </c>
      <c r="E2568">
        <v>4.43</v>
      </c>
      <c r="F2568">
        <v>1.86</v>
      </c>
      <c r="G2568" t="s">
        <v>3483</v>
      </c>
      <c r="H2568">
        <v>275</v>
      </c>
      <c r="I2568">
        <v>43.81</v>
      </c>
      <c r="J2568">
        <v>43.84</v>
      </c>
      <c r="K2568">
        <v>0</v>
      </c>
      <c r="L2568">
        <v>3.08</v>
      </c>
      <c r="M2568" t="s">
        <v>7834</v>
      </c>
      <c r="N2568">
        <v>82.35</v>
      </c>
      <c r="O2568" t="s">
        <v>893</v>
      </c>
      <c r="P2568">
        <v>46.15</v>
      </c>
      <c r="Q2568">
        <v>42.03</v>
      </c>
      <c r="R2568">
        <v>42.09</v>
      </c>
      <c r="S2568">
        <v>41.95</v>
      </c>
      <c r="T2568">
        <v>9.82</v>
      </c>
      <c r="U2568">
        <v>2.5099999999999998</v>
      </c>
      <c r="V2568">
        <v>4.63</v>
      </c>
      <c r="W2568">
        <v>13</v>
      </c>
      <c r="X2568">
        <v>44.34</v>
      </c>
      <c r="Y2568">
        <v>9089</v>
      </c>
      <c r="Z2568" t="s">
        <v>3941</v>
      </c>
      <c r="AA2568">
        <v>0.79</v>
      </c>
      <c r="AB2568">
        <v>88</v>
      </c>
      <c r="AC2568">
        <v>3</v>
      </c>
      <c r="AD2568">
        <v>5.23</v>
      </c>
      <c r="AE2568" t="s">
        <v>1907</v>
      </c>
      <c r="AF2568" t="s">
        <v>2412</v>
      </c>
      <c r="AG2568" t="s">
        <v>7835</v>
      </c>
      <c r="AH2568" t="s">
        <v>2341</v>
      </c>
      <c r="AI2568">
        <v>3.28</v>
      </c>
      <c r="AJ2568">
        <v>8.57</v>
      </c>
      <c r="AK2568">
        <v>6.51</v>
      </c>
      <c r="AL2568">
        <v>9.1999999999999993</v>
      </c>
    </row>
    <row r="2569" spans="1:38" x14ac:dyDescent="0.25">
      <c r="A2569">
        <v>2568</v>
      </c>
      <c r="B2569" t="str">
        <f xml:space="preserve"> "600238"</f>
        <v>600238</v>
      </c>
      <c r="C2569" t="s">
        <v>7836</v>
      </c>
      <c r="D2569">
        <v>10.27</v>
      </c>
      <c r="E2569">
        <v>0.59</v>
      </c>
      <c r="F2569">
        <v>0.06</v>
      </c>
      <c r="G2569" t="s">
        <v>3477</v>
      </c>
      <c r="H2569">
        <v>10</v>
      </c>
      <c r="I2569">
        <v>10.220000000000001</v>
      </c>
      <c r="J2569">
        <v>10.24</v>
      </c>
      <c r="K2569">
        <v>-0.1</v>
      </c>
      <c r="L2569">
        <v>0.96</v>
      </c>
      <c r="M2569" t="s">
        <v>7837</v>
      </c>
      <c r="N2569">
        <v>-325.77999999999997</v>
      </c>
      <c r="O2569" t="s">
        <v>123</v>
      </c>
      <c r="P2569">
        <v>10.35</v>
      </c>
      <c r="Q2569">
        <v>10.1</v>
      </c>
      <c r="R2569">
        <v>10.19</v>
      </c>
      <c r="S2569">
        <v>10.210000000000001</v>
      </c>
      <c r="T2569">
        <v>2.4500000000000002</v>
      </c>
      <c r="U2569">
        <v>0.72</v>
      </c>
      <c r="V2569">
        <v>-51.68</v>
      </c>
      <c r="W2569">
        <v>-817</v>
      </c>
      <c r="X2569">
        <v>10.23</v>
      </c>
      <c r="Y2569" t="s">
        <v>3042</v>
      </c>
      <c r="Z2569" t="s">
        <v>1887</v>
      </c>
      <c r="AA2569">
        <v>0.88</v>
      </c>
      <c r="AB2569">
        <v>30</v>
      </c>
      <c r="AC2569">
        <v>190</v>
      </c>
      <c r="AD2569">
        <v>5.37</v>
      </c>
      <c r="AE2569" t="s">
        <v>4457</v>
      </c>
      <c r="AF2569" t="s">
        <v>1391</v>
      </c>
      <c r="AG2569" t="s">
        <v>2221</v>
      </c>
      <c r="AH2569" t="s">
        <v>4633</v>
      </c>
      <c r="AI2569">
        <v>0.39</v>
      </c>
      <c r="AJ2569">
        <v>3.11</v>
      </c>
      <c r="AK2569">
        <v>5.18</v>
      </c>
      <c r="AL2569">
        <v>7.6</v>
      </c>
    </row>
    <row r="2570" spans="1:38" x14ac:dyDescent="0.25">
      <c r="A2570">
        <v>2569</v>
      </c>
      <c r="B2570" t="str">
        <f xml:space="preserve"> "600387"</f>
        <v>600387</v>
      </c>
      <c r="C2570" t="s">
        <v>7838</v>
      </c>
      <c r="D2570">
        <v>11.9</v>
      </c>
      <c r="E2570">
        <v>0.34</v>
      </c>
      <c r="F2570">
        <v>0.04</v>
      </c>
      <c r="G2570" t="s">
        <v>2695</v>
      </c>
      <c r="H2570">
        <v>10</v>
      </c>
      <c r="I2570">
        <v>11.89</v>
      </c>
      <c r="J2570">
        <v>11.9</v>
      </c>
      <c r="K2570">
        <v>0</v>
      </c>
      <c r="L2570">
        <v>0.65</v>
      </c>
      <c r="M2570" t="s">
        <v>7839</v>
      </c>
      <c r="N2570">
        <v>2255</v>
      </c>
      <c r="O2570" t="s">
        <v>61</v>
      </c>
      <c r="P2570">
        <v>11.93</v>
      </c>
      <c r="Q2570">
        <v>11.84</v>
      </c>
      <c r="R2570">
        <v>11.9</v>
      </c>
      <c r="S2570">
        <v>11.86</v>
      </c>
      <c r="T2570">
        <v>0.76</v>
      </c>
      <c r="U2570">
        <v>0.66</v>
      </c>
      <c r="V2570">
        <v>-7.81</v>
      </c>
      <c r="W2570">
        <v>-108</v>
      </c>
      <c r="X2570">
        <v>11.89</v>
      </c>
      <c r="Y2570" t="s">
        <v>2800</v>
      </c>
      <c r="Z2570" t="s">
        <v>1114</v>
      </c>
      <c r="AA2570">
        <v>0.71</v>
      </c>
      <c r="AB2570">
        <v>105</v>
      </c>
      <c r="AC2570">
        <v>141</v>
      </c>
      <c r="AD2570">
        <v>4.0999999999999996</v>
      </c>
      <c r="AE2570" t="s">
        <v>787</v>
      </c>
      <c r="AF2570" t="s">
        <v>1473</v>
      </c>
      <c r="AG2570" t="s">
        <v>787</v>
      </c>
      <c r="AH2570" t="s">
        <v>1473</v>
      </c>
      <c r="AI2570">
        <v>0.17</v>
      </c>
      <c r="AJ2570">
        <v>2.06</v>
      </c>
      <c r="AK2570">
        <v>2.46</v>
      </c>
      <c r="AL2570">
        <v>5.62</v>
      </c>
    </row>
    <row r="2571" spans="1:38" x14ac:dyDescent="0.25">
      <c r="A2571">
        <v>2570</v>
      </c>
      <c r="B2571" t="str">
        <f xml:space="preserve"> "000585"</f>
        <v>000585</v>
      </c>
      <c r="C2571" t="s">
        <v>7840</v>
      </c>
      <c r="D2571" t="s">
        <v>616</v>
      </c>
      <c r="E2571" t="s">
        <v>616</v>
      </c>
      <c r="F2571" t="s">
        <v>616</v>
      </c>
      <c r="G2571" t="s">
        <v>616</v>
      </c>
      <c r="H2571" t="s">
        <v>616</v>
      </c>
      <c r="I2571" t="s">
        <v>616</v>
      </c>
      <c r="J2571" t="s">
        <v>616</v>
      </c>
      <c r="K2571" t="s">
        <v>616</v>
      </c>
      <c r="L2571" t="s">
        <v>616</v>
      </c>
      <c r="M2571" t="s">
        <v>616</v>
      </c>
      <c r="N2571">
        <v>-115.25</v>
      </c>
      <c r="O2571" t="s">
        <v>680</v>
      </c>
      <c r="P2571" t="s">
        <v>616</v>
      </c>
      <c r="Q2571" t="s">
        <v>616</v>
      </c>
      <c r="R2571" t="s">
        <v>616</v>
      </c>
      <c r="S2571">
        <v>5.26</v>
      </c>
      <c r="T2571" t="s">
        <v>616</v>
      </c>
      <c r="U2571" t="s">
        <v>616</v>
      </c>
      <c r="V2571" t="s">
        <v>616</v>
      </c>
      <c r="W2571" t="s">
        <v>616</v>
      </c>
      <c r="X2571" t="s">
        <v>616</v>
      </c>
      <c r="Y2571" t="s">
        <v>616</v>
      </c>
      <c r="Z2571" t="s">
        <v>616</v>
      </c>
      <c r="AA2571" t="s">
        <v>616</v>
      </c>
      <c r="AB2571" t="s">
        <v>616</v>
      </c>
      <c r="AC2571" t="s">
        <v>616</v>
      </c>
      <c r="AD2571">
        <v>25.17</v>
      </c>
      <c r="AE2571" t="s">
        <v>4704</v>
      </c>
      <c r="AF2571" t="s">
        <v>1473</v>
      </c>
      <c r="AG2571" t="s">
        <v>3208</v>
      </c>
      <c r="AH2571" t="s">
        <v>4298</v>
      </c>
      <c r="AI2571">
        <v>0</v>
      </c>
      <c r="AJ2571">
        <v>0</v>
      </c>
      <c r="AK2571">
        <v>0</v>
      </c>
      <c r="AL2571">
        <v>0</v>
      </c>
    </row>
    <row r="2572" spans="1:38" x14ac:dyDescent="0.25">
      <c r="A2572">
        <v>2571</v>
      </c>
      <c r="B2572" t="str">
        <f xml:space="preserve"> "300378"</f>
        <v>300378</v>
      </c>
      <c r="C2572" t="s">
        <v>7841</v>
      </c>
      <c r="D2572">
        <v>17.34</v>
      </c>
      <c r="E2572">
        <v>0.76</v>
      </c>
      <c r="F2572">
        <v>0.13</v>
      </c>
      <c r="G2572" t="s">
        <v>2741</v>
      </c>
      <c r="H2572">
        <v>731</v>
      </c>
      <c r="I2572">
        <v>17.34</v>
      </c>
      <c r="J2572">
        <v>17.350000000000001</v>
      </c>
      <c r="K2572">
        <v>0</v>
      </c>
      <c r="L2572">
        <v>1.05</v>
      </c>
      <c r="M2572" t="s">
        <v>7842</v>
      </c>
      <c r="N2572">
        <v>69.27</v>
      </c>
      <c r="O2572" t="s">
        <v>893</v>
      </c>
      <c r="P2572">
        <v>17.399999999999999</v>
      </c>
      <c r="Q2572">
        <v>17.25</v>
      </c>
      <c r="R2572">
        <v>17.27</v>
      </c>
      <c r="S2572">
        <v>17.21</v>
      </c>
      <c r="T2572">
        <v>0.87</v>
      </c>
      <c r="U2572">
        <v>0.75</v>
      </c>
      <c r="V2572">
        <v>-27.04</v>
      </c>
      <c r="W2572">
        <v>-290</v>
      </c>
      <c r="X2572">
        <v>17.32</v>
      </c>
      <c r="Y2572" t="s">
        <v>2280</v>
      </c>
      <c r="Z2572" t="s">
        <v>4590</v>
      </c>
      <c r="AA2572">
        <v>0.82</v>
      </c>
      <c r="AB2572">
        <v>52</v>
      </c>
      <c r="AC2572">
        <v>113</v>
      </c>
      <c r="AD2572">
        <v>3.78</v>
      </c>
      <c r="AE2572" t="s">
        <v>3198</v>
      </c>
      <c r="AF2572" t="s">
        <v>1473</v>
      </c>
      <c r="AG2572" t="s">
        <v>1770</v>
      </c>
      <c r="AH2572" t="s">
        <v>3677</v>
      </c>
      <c r="AI2572">
        <v>-1.92</v>
      </c>
      <c r="AJ2572">
        <v>3.28</v>
      </c>
      <c r="AK2572">
        <v>3.85</v>
      </c>
      <c r="AL2572">
        <v>8.06</v>
      </c>
    </row>
    <row r="2573" spans="1:38" x14ac:dyDescent="0.25">
      <c r="A2573">
        <v>2572</v>
      </c>
      <c r="B2573" t="str">
        <f xml:space="preserve"> "002902"</f>
        <v>002902</v>
      </c>
      <c r="C2573" t="s">
        <v>7843</v>
      </c>
      <c r="D2573">
        <v>32.78</v>
      </c>
      <c r="E2573">
        <v>10</v>
      </c>
      <c r="F2573">
        <v>2.98</v>
      </c>
      <c r="G2573">
        <v>223</v>
      </c>
      <c r="H2573">
        <v>1</v>
      </c>
      <c r="I2573">
        <v>32.78</v>
      </c>
      <c r="J2573" t="s">
        <v>616</v>
      </c>
      <c r="K2573">
        <v>0</v>
      </c>
      <c r="L2573">
        <v>0.06</v>
      </c>
      <c r="M2573" t="s">
        <v>7844</v>
      </c>
      <c r="N2573">
        <v>60.77</v>
      </c>
      <c r="O2573" t="s">
        <v>380</v>
      </c>
      <c r="P2573">
        <v>32.78</v>
      </c>
      <c r="Q2573">
        <v>32.78</v>
      </c>
      <c r="R2573">
        <v>32.78</v>
      </c>
      <c r="S2573">
        <v>29.8</v>
      </c>
      <c r="T2573">
        <v>0</v>
      </c>
      <c r="U2573">
        <v>2.52</v>
      </c>
      <c r="V2573">
        <v>100</v>
      </c>
      <c r="W2573" t="s">
        <v>3483</v>
      </c>
      <c r="X2573">
        <v>32.78</v>
      </c>
      <c r="Y2573">
        <v>223</v>
      </c>
      <c r="Z2573">
        <v>0</v>
      </c>
      <c r="AA2573">
        <v>1</v>
      </c>
      <c r="AB2573" t="s">
        <v>3696</v>
      </c>
      <c r="AC2573">
        <v>0</v>
      </c>
      <c r="AD2573">
        <v>4.58</v>
      </c>
      <c r="AE2573" t="s">
        <v>3110</v>
      </c>
      <c r="AF2573" t="s">
        <v>1473</v>
      </c>
      <c r="AG2573" t="s">
        <v>4537</v>
      </c>
      <c r="AH2573" t="s">
        <v>2388</v>
      </c>
      <c r="AI2573">
        <v>33.090000000000003</v>
      </c>
      <c r="AJ2573">
        <v>93.28</v>
      </c>
      <c r="AK2573">
        <v>0.11</v>
      </c>
      <c r="AL2573">
        <v>0.19</v>
      </c>
    </row>
    <row r="2574" spans="1:38" x14ac:dyDescent="0.25">
      <c r="A2574">
        <v>2573</v>
      </c>
      <c r="B2574" t="str">
        <f xml:space="preserve"> "000922"</f>
        <v>000922</v>
      </c>
      <c r="C2574" t="s">
        <v>7845</v>
      </c>
      <c r="D2574">
        <v>8.42</v>
      </c>
      <c r="E2574">
        <v>-0.82</v>
      </c>
      <c r="F2574">
        <v>-7.0000000000000007E-2</v>
      </c>
      <c r="G2574" t="s">
        <v>1334</v>
      </c>
      <c r="H2574">
        <v>448</v>
      </c>
      <c r="I2574">
        <v>8.41</v>
      </c>
      <c r="J2574">
        <v>8.42</v>
      </c>
      <c r="K2574">
        <v>0.12</v>
      </c>
      <c r="L2574">
        <v>0.81</v>
      </c>
      <c r="M2574" t="s">
        <v>7846</v>
      </c>
      <c r="N2574">
        <v>415.55</v>
      </c>
      <c r="O2574" t="s">
        <v>648</v>
      </c>
      <c r="P2574">
        <v>8.48</v>
      </c>
      <c r="Q2574">
        <v>8.36</v>
      </c>
      <c r="R2574">
        <v>8.4700000000000006</v>
      </c>
      <c r="S2574">
        <v>8.49</v>
      </c>
      <c r="T2574">
        <v>1.41</v>
      </c>
      <c r="U2574">
        <v>0.68</v>
      </c>
      <c r="V2574">
        <v>17.059999999999999</v>
      </c>
      <c r="W2574">
        <v>639</v>
      </c>
      <c r="X2574">
        <v>8.43</v>
      </c>
      <c r="Y2574" t="s">
        <v>2731</v>
      </c>
      <c r="Z2574" t="s">
        <v>1821</v>
      </c>
      <c r="AA2574">
        <v>1.76</v>
      </c>
      <c r="AB2574">
        <v>229</v>
      </c>
      <c r="AC2574">
        <v>325</v>
      </c>
      <c r="AD2574">
        <v>3.18</v>
      </c>
      <c r="AE2574" t="s">
        <v>2211</v>
      </c>
      <c r="AF2574" t="s">
        <v>3399</v>
      </c>
      <c r="AG2574" t="s">
        <v>51</v>
      </c>
      <c r="AH2574" t="s">
        <v>1829</v>
      </c>
      <c r="AI2574">
        <v>-0.36</v>
      </c>
      <c r="AJ2574">
        <v>4.08</v>
      </c>
      <c r="AK2574">
        <v>3.02</v>
      </c>
      <c r="AL2574">
        <v>6.76</v>
      </c>
    </row>
    <row r="2575" spans="1:38" x14ac:dyDescent="0.25">
      <c r="A2575">
        <v>2574</v>
      </c>
      <c r="B2575" t="str">
        <f xml:space="preserve"> "603131"</f>
        <v>603131</v>
      </c>
      <c r="C2575" t="s">
        <v>7847</v>
      </c>
      <c r="D2575" t="s">
        <v>616</v>
      </c>
      <c r="E2575" t="s">
        <v>616</v>
      </c>
      <c r="F2575" t="s">
        <v>616</v>
      </c>
      <c r="G2575" t="s">
        <v>616</v>
      </c>
      <c r="H2575" t="s">
        <v>616</v>
      </c>
      <c r="I2575" t="s">
        <v>616</v>
      </c>
      <c r="J2575" t="s">
        <v>616</v>
      </c>
      <c r="K2575" t="s">
        <v>616</v>
      </c>
      <c r="L2575" t="s">
        <v>616</v>
      </c>
      <c r="M2575" t="s">
        <v>616</v>
      </c>
      <c r="N2575">
        <v>54.11</v>
      </c>
      <c r="O2575" t="s">
        <v>648</v>
      </c>
      <c r="P2575" t="s">
        <v>616</v>
      </c>
      <c r="Q2575" t="s">
        <v>616</v>
      </c>
      <c r="R2575" t="s">
        <v>616</v>
      </c>
      <c r="S2575">
        <v>22.88</v>
      </c>
      <c r="T2575" t="s">
        <v>616</v>
      </c>
      <c r="U2575" t="s">
        <v>616</v>
      </c>
      <c r="V2575" t="s">
        <v>616</v>
      </c>
      <c r="W2575" t="s">
        <v>616</v>
      </c>
      <c r="X2575" t="s">
        <v>616</v>
      </c>
      <c r="Y2575" t="s">
        <v>616</v>
      </c>
      <c r="Z2575" t="s">
        <v>616</v>
      </c>
      <c r="AA2575" t="s">
        <v>616</v>
      </c>
      <c r="AB2575" t="s">
        <v>616</v>
      </c>
      <c r="AC2575" t="s">
        <v>616</v>
      </c>
      <c r="AD2575">
        <v>7.27</v>
      </c>
      <c r="AE2575" t="s">
        <v>1485</v>
      </c>
      <c r="AF2575" t="s">
        <v>3399</v>
      </c>
      <c r="AG2575" t="s">
        <v>3869</v>
      </c>
      <c r="AH2575" t="s">
        <v>357</v>
      </c>
      <c r="AI2575">
        <v>0</v>
      </c>
      <c r="AJ2575">
        <v>0</v>
      </c>
      <c r="AK2575">
        <v>0</v>
      </c>
      <c r="AL2575">
        <v>0</v>
      </c>
    </row>
    <row r="2576" spans="1:38" x14ac:dyDescent="0.25">
      <c r="A2576">
        <v>2575</v>
      </c>
      <c r="B2576" t="str">
        <f xml:space="preserve"> "002403"</f>
        <v>002403</v>
      </c>
      <c r="C2576" t="s">
        <v>7848</v>
      </c>
      <c r="D2576">
        <v>13.06</v>
      </c>
      <c r="E2576">
        <v>-0.53</v>
      </c>
      <c r="F2576">
        <v>-7.0000000000000007E-2</v>
      </c>
      <c r="G2576" t="s">
        <v>2614</v>
      </c>
      <c r="H2576">
        <v>530</v>
      </c>
      <c r="I2576">
        <v>13.06</v>
      </c>
      <c r="J2576">
        <v>13.07</v>
      </c>
      <c r="K2576">
        <v>0</v>
      </c>
      <c r="L2576">
        <v>0.89</v>
      </c>
      <c r="M2576" t="s">
        <v>7849</v>
      </c>
      <c r="N2576">
        <v>26.64</v>
      </c>
      <c r="O2576" t="s">
        <v>215</v>
      </c>
      <c r="P2576">
        <v>13.21</v>
      </c>
      <c r="Q2576">
        <v>13.02</v>
      </c>
      <c r="R2576">
        <v>13.07</v>
      </c>
      <c r="S2576">
        <v>13.13</v>
      </c>
      <c r="T2576">
        <v>1.45</v>
      </c>
      <c r="U2576">
        <v>0.81</v>
      </c>
      <c r="V2576">
        <v>-12.93</v>
      </c>
      <c r="W2576">
        <v>-215</v>
      </c>
      <c r="X2576">
        <v>13.09</v>
      </c>
      <c r="Y2576" t="s">
        <v>2773</v>
      </c>
      <c r="Z2576">
        <v>9583</v>
      </c>
      <c r="AA2576">
        <v>1.7</v>
      </c>
      <c r="AB2576">
        <v>46</v>
      </c>
      <c r="AC2576">
        <v>71</v>
      </c>
      <c r="AD2576">
        <v>2.16</v>
      </c>
      <c r="AE2576" t="s">
        <v>4109</v>
      </c>
      <c r="AF2576" t="s">
        <v>3399</v>
      </c>
      <c r="AG2576" t="s">
        <v>4989</v>
      </c>
      <c r="AH2576" t="s">
        <v>6070</v>
      </c>
      <c r="AI2576">
        <v>0.31</v>
      </c>
      <c r="AJ2576">
        <v>2.4300000000000002</v>
      </c>
      <c r="AK2576">
        <v>3.31</v>
      </c>
      <c r="AL2576">
        <v>6.39</v>
      </c>
    </row>
    <row r="2577" spans="1:38" x14ac:dyDescent="0.25">
      <c r="A2577">
        <v>2576</v>
      </c>
      <c r="B2577" t="str">
        <f xml:space="preserve"> "603138"</f>
        <v>603138</v>
      </c>
      <c r="C2577" t="s">
        <v>7850</v>
      </c>
      <c r="D2577">
        <v>42.88</v>
      </c>
      <c r="E2577">
        <v>-1.9</v>
      </c>
      <c r="F2577">
        <v>-0.83</v>
      </c>
      <c r="G2577" t="s">
        <v>3695</v>
      </c>
      <c r="H2577">
        <v>5</v>
      </c>
      <c r="I2577">
        <v>42.86</v>
      </c>
      <c r="J2577">
        <v>42.88</v>
      </c>
      <c r="K2577">
        <v>-0.05</v>
      </c>
      <c r="L2577">
        <v>9.1999999999999993</v>
      </c>
      <c r="M2577" t="s">
        <v>1635</v>
      </c>
      <c r="N2577">
        <v>105.62</v>
      </c>
      <c r="O2577" t="s">
        <v>893</v>
      </c>
      <c r="P2577">
        <v>43.58</v>
      </c>
      <c r="Q2577">
        <v>42.81</v>
      </c>
      <c r="R2577">
        <v>43.58</v>
      </c>
      <c r="S2577">
        <v>43.71</v>
      </c>
      <c r="T2577">
        <v>1.76</v>
      </c>
      <c r="U2577">
        <v>0.47</v>
      </c>
      <c r="V2577">
        <v>-5.99</v>
      </c>
      <c r="W2577">
        <v>-30</v>
      </c>
      <c r="X2577">
        <v>43.08</v>
      </c>
      <c r="Y2577" t="s">
        <v>3798</v>
      </c>
      <c r="Z2577">
        <v>9967</v>
      </c>
      <c r="AA2577">
        <v>1.46</v>
      </c>
      <c r="AB2577">
        <v>3</v>
      </c>
      <c r="AC2577">
        <v>1</v>
      </c>
      <c r="AD2577">
        <v>13.2</v>
      </c>
      <c r="AE2577" t="s">
        <v>1314</v>
      </c>
      <c r="AF2577" t="s">
        <v>4633</v>
      </c>
      <c r="AG2577" t="s">
        <v>5129</v>
      </c>
      <c r="AH2577" t="s">
        <v>357</v>
      </c>
      <c r="AI2577">
        <v>-7.59</v>
      </c>
      <c r="AJ2577">
        <v>2.76</v>
      </c>
      <c r="AK2577">
        <v>40.64</v>
      </c>
      <c r="AL2577">
        <v>106.88</v>
      </c>
    </row>
    <row r="2578" spans="1:38" x14ac:dyDescent="0.25">
      <c r="A2578">
        <v>2577</v>
      </c>
      <c r="B2578" t="str">
        <f xml:space="preserve"> "002734"</f>
        <v>002734</v>
      </c>
      <c r="C2578" t="s">
        <v>7851</v>
      </c>
      <c r="D2578">
        <v>27.74</v>
      </c>
      <c r="E2578">
        <v>0.36</v>
      </c>
      <c r="F2578">
        <v>0.1</v>
      </c>
      <c r="G2578" t="s">
        <v>691</v>
      </c>
      <c r="H2578">
        <v>177</v>
      </c>
      <c r="I2578">
        <v>27.74</v>
      </c>
      <c r="J2578">
        <v>27.76</v>
      </c>
      <c r="K2578">
        <v>-7.0000000000000007E-2</v>
      </c>
      <c r="L2578">
        <v>1.41</v>
      </c>
      <c r="M2578" t="s">
        <v>4587</v>
      </c>
      <c r="N2578">
        <v>28.93</v>
      </c>
      <c r="O2578" t="s">
        <v>2060</v>
      </c>
      <c r="P2578">
        <v>27.78</v>
      </c>
      <c r="Q2578">
        <v>27.59</v>
      </c>
      <c r="R2578">
        <v>27.66</v>
      </c>
      <c r="S2578">
        <v>27.64</v>
      </c>
      <c r="T2578">
        <v>0.69</v>
      </c>
      <c r="U2578">
        <v>1.03</v>
      </c>
      <c r="V2578">
        <v>-21.17</v>
      </c>
      <c r="W2578">
        <v>-123</v>
      </c>
      <c r="X2578">
        <v>27.68</v>
      </c>
      <c r="Y2578">
        <v>6897</v>
      </c>
      <c r="Z2578">
        <v>4955</v>
      </c>
      <c r="AA2578">
        <v>1.39</v>
      </c>
      <c r="AB2578">
        <v>104</v>
      </c>
      <c r="AC2578">
        <v>55</v>
      </c>
      <c r="AD2578">
        <v>2.83</v>
      </c>
      <c r="AE2578" t="s">
        <v>1112</v>
      </c>
      <c r="AF2578" t="s">
        <v>4633</v>
      </c>
      <c r="AG2578" t="s">
        <v>7149</v>
      </c>
      <c r="AH2578" t="s">
        <v>3142</v>
      </c>
      <c r="AI2578">
        <v>-0.72</v>
      </c>
      <c r="AJ2578">
        <v>2.82</v>
      </c>
      <c r="AK2578">
        <v>3.88</v>
      </c>
      <c r="AL2578">
        <v>8.25</v>
      </c>
    </row>
    <row r="2579" spans="1:38" x14ac:dyDescent="0.25">
      <c r="A2579">
        <v>2578</v>
      </c>
      <c r="B2579" t="str">
        <f xml:space="preserve"> "300231"</f>
        <v>300231</v>
      </c>
      <c r="C2579" t="s">
        <v>7852</v>
      </c>
      <c r="D2579">
        <v>13.33</v>
      </c>
      <c r="E2579">
        <v>-0.52</v>
      </c>
      <c r="F2579">
        <v>-7.0000000000000007E-2</v>
      </c>
      <c r="G2579" t="s">
        <v>344</v>
      </c>
      <c r="H2579">
        <v>532</v>
      </c>
      <c r="I2579">
        <v>13.32</v>
      </c>
      <c r="J2579">
        <v>13.33</v>
      </c>
      <c r="K2579">
        <v>-7.0000000000000007E-2</v>
      </c>
      <c r="L2579">
        <v>2.12</v>
      </c>
      <c r="M2579" t="s">
        <v>7853</v>
      </c>
      <c r="N2579">
        <v>36.58</v>
      </c>
      <c r="O2579" t="s">
        <v>893</v>
      </c>
      <c r="P2579">
        <v>13.39</v>
      </c>
      <c r="Q2579">
        <v>13.12</v>
      </c>
      <c r="R2579">
        <v>13.23</v>
      </c>
      <c r="S2579">
        <v>13.4</v>
      </c>
      <c r="T2579">
        <v>2.0099999999999998</v>
      </c>
      <c r="U2579">
        <v>0.68</v>
      </c>
      <c r="V2579">
        <v>9.1300000000000008</v>
      </c>
      <c r="W2579">
        <v>212</v>
      </c>
      <c r="X2579">
        <v>13.24</v>
      </c>
      <c r="Y2579" t="s">
        <v>2273</v>
      </c>
      <c r="Z2579" t="s">
        <v>87</v>
      </c>
      <c r="AA2579">
        <v>1.27</v>
      </c>
      <c r="AB2579">
        <v>116</v>
      </c>
      <c r="AC2579">
        <v>31</v>
      </c>
      <c r="AD2579">
        <v>7.88</v>
      </c>
      <c r="AE2579" t="s">
        <v>3744</v>
      </c>
      <c r="AF2579" t="s">
        <v>4633</v>
      </c>
      <c r="AG2579" t="s">
        <v>4143</v>
      </c>
      <c r="AH2579" t="s">
        <v>1406</v>
      </c>
      <c r="AI2579">
        <v>-1.55</v>
      </c>
      <c r="AJ2579">
        <v>5.21</v>
      </c>
      <c r="AK2579">
        <v>8.58</v>
      </c>
      <c r="AL2579">
        <v>17.71</v>
      </c>
    </row>
    <row r="2580" spans="1:38" x14ac:dyDescent="0.25">
      <c r="A2580">
        <v>2579</v>
      </c>
      <c r="B2580" t="str">
        <f xml:space="preserve"> "603050"</f>
        <v>603050</v>
      </c>
      <c r="C2580" t="s">
        <v>7854</v>
      </c>
      <c r="D2580">
        <v>28.52</v>
      </c>
      <c r="E2580">
        <v>3.97</v>
      </c>
      <c r="F2580">
        <v>1.0900000000000001</v>
      </c>
      <c r="G2580" t="s">
        <v>2732</v>
      </c>
      <c r="H2580">
        <v>21</v>
      </c>
      <c r="I2580">
        <v>28.52</v>
      </c>
      <c r="J2580">
        <v>28.54</v>
      </c>
      <c r="K2580">
        <v>-0.18</v>
      </c>
      <c r="L2580">
        <v>9.0500000000000007</v>
      </c>
      <c r="M2580" t="s">
        <v>2179</v>
      </c>
      <c r="N2580">
        <v>118.61</v>
      </c>
      <c r="O2580" t="s">
        <v>680</v>
      </c>
      <c r="P2580">
        <v>28.87</v>
      </c>
      <c r="Q2580">
        <v>27.31</v>
      </c>
      <c r="R2580">
        <v>27.43</v>
      </c>
      <c r="S2580">
        <v>27.43</v>
      </c>
      <c r="T2580">
        <v>5.69</v>
      </c>
      <c r="U2580">
        <v>1.1499999999999999</v>
      </c>
      <c r="V2580">
        <v>-33.369999999999997</v>
      </c>
      <c r="W2580">
        <v>-124</v>
      </c>
      <c r="X2580">
        <v>28.17</v>
      </c>
      <c r="Y2580" t="s">
        <v>125</v>
      </c>
      <c r="Z2580" t="s">
        <v>3896</v>
      </c>
      <c r="AA2580">
        <v>0.73</v>
      </c>
      <c r="AB2580">
        <v>22</v>
      </c>
      <c r="AC2580">
        <v>61</v>
      </c>
      <c r="AD2580">
        <v>4.93</v>
      </c>
      <c r="AE2580" t="s">
        <v>4326</v>
      </c>
      <c r="AF2580" t="s">
        <v>1137</v>
      </c>
      <c r="AG2580" t="s">
        <v>2596</v>
      </c>
      <c r="AH2580" t="s">
        <v>357</v>
      </c>
      <c r="AI2580">
        <v>-3.19</v>
      </c>
      <c r="AJ2580">
        <v>7.0000000000000007E-2</v>
      </c>
      <c r="AK2580">
        <v>26.83</v>
      </c>
      <c r="AL2580">
        <v>48.34</v>
      </c>
    </row>
    <row r="2581" spans="1:38" x14ac:dyDescent="0.25">
      <c r="A2581">
        <v>2580</v>
      </c>
      <c r="B2581" t="str">
        <f xml:space="preserve"> "300697"</f>
        <v>300697</v>
      </c>
      <c r="C2581" t="s">
        <v>7855</v>
      </c>
      <c r="D2581">
        <v>28.51</v>
      </c>
      <c r="E2581">
        <v>0.78</v>
      </c>
      <c r="F2581">
        <v>0.22</v>
      </c>
      <c r="G2581" t="s">
        <v>4152</v>
      </c>
      <c r="H2581">
        <v>1144</v>
      </c>
      <c r="I2581">
        <v>28.51</v>
      </c>
      <c r="J2581">
        <v>28.52</v>
      </c>
      <c r="K2581">
        <v>0.04</v>
      </c>
      <c r="L2581">
        <v>14.36</v>
      </c>
      <c r="M2581" t="s">
        <v>608</v>
      </c>
      <c r="N2581">
        <v>73.45</v>
      </c>
      <c r="O2581" t="s">
        <v>449</v>
      </c>
      <c r="P2581">
        <v>28.96</v>
      </c>
      <c r="Q2581">
        <v>28.21</v>
      </c>
      <c r="R2581">
        <v>28.32</v>
      </c>
      <c r="S2581">
        <v>28.29</v>
      </c>
      <c r="T2581">
        <v>2.65</v>
      </c>
      <c r="U2581">
        <v>0.48</v>
      </c>
      <c r="V2581">
        <v>83.8</v>
      </c>
      <c r="W2581">
        <v>2575</v>
      </c>
      <c r="X2581">
        <v>28.59</v>
      </c>
      <c r="Y2581" t="s">
        <v>2451</v>
      </c>
      <c r="Z2581" t="s">
        <v>997</v>
      </c>
      <c r="AA2581">
        <v>1.07</v>
      </c>
      <c r="AB2581">
        <v>55</v>
      </c>
      <c r="AC2581">
        <v>144</v>
      </c>
      <c r="AD2581">
        <v>6.73</v>
      </c>
      <c r="AE2581" t="s">
        <v>4326</v>
      </c>
      <c r="AF2581" t="s">
        <v>1137</v>
      </c>
      <c r="AG2581" t="s">
        <v>6081</v>
      </c>
      <c r="AH2581" t="s">
        <v>357</v>
      </c>
      <c r="AI2581">
        <v>-9.26</v>
      </c>
      <c r="AJ2581">
        <v>-26.69</v>
      </c>
      <c r="AK2581">
        <v>63.28</v>
      </c>
      <c r="AL2581">
        <v>164.34</v>
      </c>
    </row>
    <row r="2582" spans="1:38" x14ac:dyDescent="0.25">
      <c r="A2582">
        <v>2581</v>
      </c>
      <c r="B2582" t="str">
        <f xml:space="preserve"> "300341"</f>
        <v>300341</v>
      </c>
      <c r="C2582" t="s">
        <v>7856</v>
      </c>
      <c r="D2582">
        <v>8.94</v>
      </c>
      <c r="E2582">
        <v>2.41</v>
      </c>
      <c r="F2582">
        <v>0.21</v>
      </c>
      <c r="G2582" t="s">
        <v>1854</v>
      </c>
      <c r="H2582">
        <v>1093</v>
      </c>
      <c r="I2582">
        <v>8.94</v>
      </c>
      <c r="J2582">
        <v>8.9499999999999993</v>
      </c>
      <c r="K2582">
        <v>-0.11</v>
      </c>
      <c r="L2582">
        <v>1.72</v>
      </c>
      <c r="M2582" t="s">
        <v>7857</v>
      </c>
      <c r="N2582">
        <v>41.99</v>
      </c>
      <c r="O2582" t="s">
        <v>680</v>
      </c>
      <c r="P2582">
        <v>9.15</v>
      </c>
      <c r="Q2582">
        <v>8.74</v>
      </c>
      <c r="R2582">
        <v>8.76</v>
      </c>
      <c r="S2582">
        <v>8.73</v>
      </c>
      <c r="T2582">
        <v>4.7</v>
      </c>
      <c r="U2582">
        <v>2.69</v>
      </c>
      <c r="V2582">
        <v>17.09</v>
      </c>
      <c r="W2582">
        <v>654</v>
      </c>
      <c r="X2582">
        <v>8.9600000000000009</v>
      </c>
      <c r="Y2582" t="s">
        <v>2099</v>
      </c>
      <c r="Z2582" t="s">
        <v>2808</v>
      </c>
      <c r="AA2582">
        <v>0.77</v>
      </c>
      <c r="AB2582">
        <v>485</v>
      </c>
      <c r="AC2582">
        <v>702</v>
      </c>
      <c r="AD2582">
        <v>4.47</v>
      </c>
      <c r="AE2582" t="s">
        <v>4410</v>
      </c>
      <c r="AF2582" t="s">
        <v>1137</v>
      </c>
      <c r="AG2582" t="s">
        <v>3022</v>
      </c>
      <c r="AH2582" t="s">
        <v>7437</v>
      </c>
      <c r="AI2582">
        <v>0.9</v>
      </c>
      <c r="AJ2582">
        <v>3.83</v>
      </c>
      <c r="AK2582">
        <v>3.17</v>
      </c>
      <c r="AL2582">
        <v>4.92</v>
      </c>
    </row>
    <row r="2583" spans="1:38" x14ac:dyDescent="0.25">
      <c r="A2583">
        <v>2582</v>
      </c>
      <c r="B2583" t="str">
        <f xml:space="preserve"> "300193"</f>
        <v>300193</v>
      </c>
      <c r="C2583" t="s">
        <v>7858</v>
      </c>
      <c r="D2583">
        <v>8.99</v>
      </c>
      <c r="E2583">
        <v>-0.44</v>
      </c>
      <c r="F2583">
        <v>-0.04</v>
      </c>
      <c r="G2583" t="s">
        <v>1476</v>
      </c>
      <c r="H2583">
        <v>351</v>
      </c>
      <c r="I2583">
        <v>8.99</v>
      </c>
      <c r="J2583">
        <v>9</v>
      </c>
      <c r="K2583">
        <v>-0.11</v>
      </c>
      <c r="L2583">
        <v>0.71</v>
      </c>
      <c r="M2583" t="s">
        <v>7859</v>
      </c>
      <c r="N2583">
        <v>31.87</v>
      </c>
      <c r="O2583" t="s">
        <v>648</v>
      </c>
      <c r="P2583">
        <v>9.0500000000000007</v>
      </c>
      <c r="Q2583">
        <v>8.9499999999999993</v>
      </c>
      <c r="R2583">
        <v>8.98</v>
      </c>
      <c r="S2583">
        <v>9.0299999999999994</v>
      </c>
      <c r="T2583">
        <v>1.1100000000000001</v>
      </c>
      <c r="U2583">
        <v>0.48</v>
      </c>
      <c r="V2583">
        <v>-11.27</v>
      </c>
      <c r="W2583">
        <v>-401</v>
      </c>
      <c r="X2583">
        <v>9</v>
      </c>
      <c r="Y2583" t="s">
        <v>5621</v>
      </c>
      <c r="Z2583" t="s">
        <v>5764</v>
      </c>
      <c r="AA2583">
        <v>1.1000000000000001</v>
      </c>
      <c r="AB2583">
        <v>351</v>
      </c>
      <c r="AC2583">
        <v>316</v>
      </c>
      <c r="AD2583">
        <v>2.0699999999999998</v>
      </c>
      <c r="AE2583" t="s">
        <v>4321</v>
      </c>
      <c r="AF2583" t="s">
        <v>1137</v>
      </c>
      <c r="AG2583" t="s">
        <v>1343</v>
      </c>
      <c r="AH2583" t="s">
        <v>2726</v>
      </c>
      <c r="AI2583">
        <v>-1.86</v>
      </c>
      <c r="AJ2583">
        <v>2.74</v>
      </c>
      <c r="AK2583">
        <v>3.86</v>
      </c>
      <c r="AL2583">
        <v>8.07</v>
      </c>
    </row>
    <row r="2584" spans="1:38" x14ac:dyDescent="0.25">
      <c r="A2584">
        <v>2583</v>
      </c>
      <c r="B2584" t="str">
        <f xml:space="preserve"> "603598"</f>
        <v>603598</v>
      </c>
      <c r="C2584" t="s">
        <v>7860</v>
      </c>
      <c r="D2584">
        <v>16.809999999999999</v>
      </c>
      <c r="E2584">
        <v>1.2</v>
      </c>
      <c r="F2584">
        <v>0.2</v>
      </c>
      <c r="G2584" t="s">
        <v>1114</v>
      </c>
      <c r="H2584">
        <v>86</v>
      </c>
      <c r="I2584">
        <v>16.8</v>
      </c>
      <c r="J2584">
        <v>16.82</v>
      </c>
      <c r="K2584">
        <v>0.24</v>
      </c>
      <c r="L2584">
        <v>1.51</v>
      </c>
      <c r="M2584" t="s">
        <v>7861</v>
      </c>
      <c r="N2584">
        <v>110.55</v>
      </c>
      <c r="O2584" t="s">
        <v>1126</v>
      </c>
      <c r="P2584">
        <v>16.82</v>
      </c>
      <c r="Q2584">
        <v>16.510000000000002</v>
      </c>
      <c r="R2584">
        <v>16.579999999999998</v>
      </c>
      <c r="S2584">
        <v>16.61</v>
      </c>
      <c r="T2584">
        <v>1.87</v>
      </c>
      <c r="U2584">
        <v>0.75</v>
      </c>
      <c r="V2584">
        <v>-26.93</v>
      </c>
      <c r="W2584">
        <v>-87</v>
      </c>
      <c r="X2584">
        <v>16.64</v>
      </c>
      <c r="Y2584">
        <v>6794</v>
      </c>
      <c r="Z2584">
        <v>7921</v>
      </c>
      <c r="AA2584">
        <v>0.86</v>
      </c>
      <c r="AB2584">
        <v>12</v>
      </c>
      <c r="AC2584">
        <v>23</v>
      </c>
      <c r="AD2584">
        <v>7.49</v>
      </c>
      <c r="AE2584" t="s">
        <v>159</v>
      </c>
      <c r="AF2584" t="s">
        <v>1137</v>
      </c>
      <c r="AG2584" t="s">
        <v>7862</v>
      </c>
      <c r="AH2584" t="s">
        <v>1778</v>
      </c>
      <c r="AI2584">
        <v>-0.18</v>
      </c>
      <c r="AJ2584">
        <v>5.13</v>
      </c>
      <c r="AK2584">
        <v>4.8600000000000003</v>
      </c>
      <c r="AL2584">
        <v>11.55</v>
      </c>
    </row>
    <row r="2585" spans="1:38" x14ac:dyDescent="0.25">
      <c r="A2585">
        <v>2584</v>
      </c>
      <c r="B2585" t="str">
        <f xml:space="preserve"> "000599"</f>
        <v>000599</v>
      </c>
      <c r="C2585" t="s">
        <v>7863</v>
      </c>
      <c r="D2585">
        <v>6.75</v>
      </c>
      <c r="E2585">
        <v>-0.3</v>
      </c>
      <c r="F2585">
        <v>-0.02</v>
      </c>
      <c r="G2585" t="s">
        <v>1494</v>
      </c>
      <c r="H2585">
        <v>1335</v>
      </c>
      <c r="I2585">
        <v>6.75</v>
      </c>
      <c r="J2585">
        <v>6.76</v>
      </c>
      <c r="K2585">
        <v>0</v>
      </c>
      <c r="L2585">
        <v>0.69</v>
      </c>
      <c r="M2585" t="s">
        <v>7864</v>
      </c>
      <c r="N2585">
        <v>39.72</v>
      </c>
      <c r="O2585" t="s">
        <v>169</v>
      </c>
      <c r="P2585">
        <v>6.79</v>
      </c>
      <c r="Q2585">
        <v>6.71</v>
      </c>
      <c r="R2585">
        <v>6.77</v>
      </c>
      <c r="S2585">
        <v>6.77</v>
      </c>
      <c r="T2585">
        <v>1.18</v>
      </c>
      <c r="U2585">
        <v>0.6</v>
      </c>
      <c r="V2585">
        <v>1.78</v>
      </c>
      <c r="W2585">
        <v>192</v>
      </c>
      <c r="X2585">
        <v>6.75</v>
      </c>
      <c r="Y2585" t="s">
        <v>4023</v>
      </c>
      <c r="Z2585" t="s">
        <v>2509</v>
      </c>
      <c r="AA2585">
        <v>1.1499999999999999</v>
      </c>
      <c r="AB2585">
        <v>893</v>
      </c>
      <c r="AC2585">
        <v>1245</v>
      </c>
      <c r="AD2585">
        <v>1.7</v>
      </c>
      <c r="AE2585" t="s">
        <v>1792</v>
      </c>
      <c r="AF2585" t="s">
        <v>2460</v>
      </c>
      <c r="AG2585" t="s">
        <v>3726</v>
      </c>
      <c r="AH2585" t="s">
        <v>4866</v>
      </c>
      <c r="AI2585">
        <v>-0.74</v>
      </c>
      <c r="AJ2585">
        <v>1.35</v>
      </c>
      <c r="AK2585">
        <v>2.59</v>
      </c>
      <c r="AL2585">
        <v>6.48</v>
      </c>
    </row>
    <row r="2586" spans="1:38" x14ac:dyDescent="0.25">
      <c r="A2586">
        <v>2585</v>
      </c>
      <c r="B2586" t="str">
        <f xml:space="preserve"> "002803"</f>
        <v>002803</v>
      </c>
      <c r="C2586" t="s">
        <v>7865</v>
      </c>
      <c r="D2586">
        <v>39.229999999999997</v>
      </c>
      <c r="E2586">
        <v>-1.08</v>
      </c>
      <c r="F2586">
        <v>-0.43</v>
      </c>
      <c r="G2586">
        <v>5815</v>
      </c>
      <c r="H2586">
        <v>149</v>
      </c>
      <c r="I2586">
        <v>39.229999999999997</v>
      </c>
      <c r="J2586">
        <v>39.24</v>
      </c>
      <c r="K2586">
        <v>0</v>
      </c>
      <c r="L2586">
        <v>1.26</v>
      </c>
      <c r="M2586" t="s">
        <v>7866</v>
      </c>
      <c r="N2586">
        <v>115.58</v>
      </c>
      <c r="O2586" t="s">
        <v>1874</v>
      </c>
      <c r="P2586">
        <v>39.99</v>
      </c>
      <c r="Q2586">
        <v>39.15</v>
      </c>
      <c r="R2586">
        <v>39.799999999999997</v>
      </c>
      <c r="S2586">
        <v>39.659999999999997</v>
      </c>
      <c r="T2586">
        <v>2.12</v>
      </c>
      <c r="U2586">
        <v>0.7</v>
      </c>
      <c r="V2586">
        <v>14.42</v>
      </c>
      <c r="W2586">
        <v>31</v>
      </c>
      <c r="X2586">
        <v>39.35</v>
      </c>
      <c r="Y2586">
        <v>3752</v>
      </c>
      <c r="Z2586">
        <v>2063</v>
      </c>
      <c r="AA2586">
        <v>1.82</v>
      </c>
      <c r="AB2586">
        <v>25</v>
      </c>
      <c r="AC2586">
        <v>5</v>
      </c>
      <c r="AD2586">
        <v>10.28</v>
      </c>
      <c r="AE2586" t="s">
        <v>2748</v>
      </c>
      <c r="AF2586" t="s">
        <v>2460</v>
      </c>
      <c r="AG2586" t="s">
        <v>2415</v>
      </c>
      <c r="AH2586" t="s">
        <v>2434</v>
      </c>
      <c r="AI2586">
        <v>4.8899999999999997</v>
      </c>
      <c r="AJ2586">
        <v>10.01</v>
      </c>
      <c r="AK2586">
        <v>6.49</v>
      </c>
      <c r="AL2586">
        <v>10.3</v>
      </c>
    </row>
    <row r="2587" spans="1:38" x14ac:dyDescent="0.25">
      <c r="A2587">
        <v>2586</v>
      </c>
      <c r="B2587" t="str">
        <f xml:space="preserve"> "601208"</f>
        <v>601208</v>
      </c>
      <c r="C2587" t="s">
        <v>7867</v>
      </c>
      <c r="D2587">
        <v>7.26</v>
      </c>
      <c r="E2587">
        <v>0.41</v>
      </c>
      <c r="F2587">
        <v>0.03</v>
      </c>
      <c r="G2587" t="s">
        <v>2391</v>
      </c>
      <c r="H2587">
        <v>55</v>
      </c>
      <c r="I2587">
        <v>7.25</v>
      </c>
      <c r="J2587">
        <v>7.26</v>
      </c>
      <c r="K2587">
        <v>0</v>
      </c>
      <c r="L2587">
        <v>0.53</v>
      </c>
      <c r="M2587" t="s">
        <v>7868</v>
      </c>
      <c r="N2587">
        <v>34.11</v>
      </c>
      <c r="O2587" t="s">
        <v>859</v>
      </c>
      <c r="P2587">
        <v>7.27</v>
      </c>
      <c r="Q2587">
        <v>7.19</v>
      </c>
      <c r="R2587">
        <v>7.22</v>
      </c>
      <c r="S2587">
        <v>7.23</v>
      </c>
      <c r="T2587">
        <v>1.1100000000000001</v>
      </c>
      <c r="U2587">
        <v>0.76</v>
      </c>
      <c r="V2587">
        <v>-13.41</v>
      </c>
      <c r="W2587">
        <v>-1255</v>
      </c>
      <c r="X2587">
        <v>7.23</v>
      </c>
      <c r="Y2587" t="s">
        <v>125</v>
      </c>
      <c r="Z2587" t="s">
        <v>1493</v>
      </c>
      <c r="AA2587">
        <v>0.86</v>
      </c>
      <c r="AB2587">
        <v>1018</v>
      </c>
      <c r="AC2587">
        <v>452</v>
      </c>
      <c r="AD2587">
        <v>1.99</v>
      </c>
      <c r="AE2587" t="s">
        <v>5753</v>
      </c>
      <c r="AF2587" t="s">
        <v>2460</v>
      </c>
      <c r="AG2587" t="s">
        <v>5753</v>
      </c>
      <c r="AH2587" t="s">
        <v>2460</v>
      </c>
      <c r="AI2587">
        <v>0</v>
      </c>
      <c r="AJ2587">
        <v>2.98</v>
      </c>
      <c r="AK2587">
        <v>1.99</v>
      </c>
      <c r="AL2587">
        <v>4</v>
      </c>
    </row>
    <row r="2588" spans="1:38" x14ac:dyDescent="0.25">
      <c r="A2588">
        <v>2587</v>
      </c>
      <c r="B2588" t="str">
        <f xml:space="preserve"> "002476"</f>
        <v>002476</v>
      </c>
      <c r="C2588" t="s">
        <v>7869</v>
      </c>
      <c r="D2588">
        <v>7.43</v>
      </c>
      <c r="E2588">
        <v>0.41</v>
      </c>
      <c r="F2588">
        <v>0.03</v>
      </c>
      <c r="G2588" t="s">
        <v>2451</v>
      </c>
      <c r="H2588">
        <v>727</v>
      </c>
      <c r="I2588">
        <v>7.42</v>
      </c>
      <c r="J2588">
        <v>7.43</v>
      </c>
      <c r="K2588">
        <v>0.27</v>
      </c>
      <c r="L2588">
        <v>0.51</v>
      </c>
      <c r="M2588" t="s">
        <v>7465</v>
      </c>
      <c r="N2588">
        <v>-48.16</v>
      </c>
      <c r="O2588" t="s">
        <v>667</v>
      </c>
      <c r="P2588">
        <v>7.45</v>
      </c>
      <c r="Q2588">
        <v>7.36</v>
      </c>
      <c r="R2588">
        <v>7.38</v>
      </c>
      <c r="S2588">
        <v>7.4</v>
      </c>
      <c r="T2588">
        <v>1.22</v>
      </c>
      <c r="U2588">
        <v>0.78</v>
      </c>
      <c r="V2588">
        <v>27.11</v>
      </c>
      <c r="W2588">
        <v>1193</v>
      </c>
      <c r="X2588">
        <v>7.4</v>
      </c>
      <c r="Y2588" t="s">
        <v>1950</v>
      </c>
      <c r="Z2588" t="s">
        <v>1799</v>
      </c>
      <c r="AA2588">
        <v>1.35</v>
      </c>
      <c r="AB2588">
        <v>182</v>
      </c>
      <c r="AC2588">
        <v>196</v>
      </c>
      <c r="AD2588">
        <v>4.92</v>
      </c>
      <c r="AE2588" t="s">
        <v>3450</v>
      </c>
      <c r="AF2588" t="s">
        <v>2460</v>
      </c>
      <c r="AG2588" t="s">
        <v>1747</v>
      </c>
      <c r="AH2588" t="s">
        <v>7124</v>
      </c>
      <c r="AI2588">
        <v>0.27</v>
      </c>
      <c r="AJ2588">
        <v>1.64</v>
      </c>
      <c r="AK2588">
        <v>1.97</v>
      </c>
      <c r="AL2588">
        <v>3.81</v>
      </c>
    </row>
    <row r="2589" spans="1:38" x14ac:dyDescent="0.25">
      <c r="A2589">
        <v>2588</v>
      </c>
      <c r="B2589" t="str">
        <f xml:space="preserve"> "002535"</f>
        <v>002535</v>
      </c>
      <c r="C2589" t="s">
        <v>7870</v>
      </c>
      <c r="D2589">
        <v>5.67</v>
      </c>
      <c r="E2589">
        <v>0.71</v>
      </c>
      <c r="F2589">
        <v>0.04</v>
      </c>
      <c r="G2589" t="s">
        <v>2458</v>
      </c>
      <c r="H2589">
        <v>419</v>
      </c>
      <c r="I2589">
        <v>5.66</v>
      </c>
      <c r="J2589">
        <v>5.67</v>
      </c>
      <c r="K2589">
        <v>0</v>
      </c>
      <c r="L2589">
        <v>0.7</v>
      </c>
      <c r="M2589" t="s">
        <v>7871</v>
      </c>
      <c r="N2589">
        <v>110.94</v>
      </c>
      <c r="O2589" t="s">
        <v>648</v>
      </c>
      <c r="P2589">
        <v>5.68</v>
      </c>
      <c r="Q2589">
        <v>5.59</v>
      </c>
      <c r="R2589">
        <v>5.62</v>
      </c>
      <c r="S2589">
        <v>5.63</v>
      </c>
      <c r="T2589">
        <v>1.6</v>
      </c>
      <c r="U2589">
        <v>0.87</v>
      </c>
      <c r="V2589">
        <v>-10.32</v>
      </c>
      <c r="W2589">
        <v>-675</v>
      </c>
      <c r="X2589">
        <v>5.65</v>
      </c>
      <c r="Y2589" t="s">
        <v>3062</v>
      </c>
      <c r="Z2589" t="s">
        <v>6292</v>
      </c>
      <c r="AA2589">
        <v>1.1299999999999999</v>
      </c>
      <c r="AB2589">
        <v>315</v>
      </c>
      <c r="AC2589">
        <v>213</v>
      </c>
      <c r="AD2589">
        <v>1.53</v>
      </c>
      <c r="AE2589" t="s">
        <v>3015</v>
      </c>
      <c r="AF2589" t="s">
        <v>2460</v>
      </c>
      <c r="AG2589" t="s">
        <v>2804</v>
      </c>
      <c r="AH2589" t="s">
        <v>4063</v>
      </c>
      <c r="AI2589">
        <v>-0.53</v>
      </c>
      <c r="AJ2589">
        <v>2.35</v>
      </c>
      <c r="AK2589">
        <v>2.36</v>
      </c>
      <c r="AL2589">
        <v>4.71</v>
      </c>
    </row>
    <row r="2590" spans="1:38" x14ac:dyDescent="0.25">
      <c r="A2590">
        <v>2589</v>
      </c>
      <c r="B2590" t="str">
        <f xml:space="preserve"> "300639"</f>
        <v>300639</v>
      </c>
      <c r="C2590" t="s">
        <v>7872</v>
      </c>
      <c r="D2590">
        <v>49.75</v>
      </c>
      <c r="E2590">
        <v>-0.5</v>
      </c>
      <c r="F2590">
        <v>-0.25</v>
      </c>
      <c r="G2590" t="s">
        <v>1726</v>
      </c>
      <c r="H2590">
        <v>135</v>
      </c>
      <c r="I2590">
        <v>49.75</v>
      </c>
      <c r="J2590">
        <v>49.79</v>
      </c>
      <c r="K2590">
        <v>0.1</v>
      </c>
      <c r="L2590">
        <v>5.81</v>
      </c>
      <c r="M2590" t="s">
        <v>7873</v>
      </c>
      <c r="N2590">
        <v>60.25</v>
      </c>
      <c r="O2590" t="s">
        <v>392</v>
      </c>
      <c r="P2590">
        <v>50.75</v>
      </c>
      <c r="Q2590">
        <v>49.5</v>
      </c>
      <c r="R2590">
        <v>50.03</v>
      </c>
      <c r="S2590">
        <v>50</v>
      </c>
      <c r="T2590">
        <v>2.5</v>
      </c>
      <c r="U2590">
        <v>0.89</v>
      </c>
      <c r="V2590">
        <v>13.48</v>
      </c>
      <c r="W2590">
        <v>24</v>
      </c>
      <c r="X2590">
        <v>50.04</v>
      </c>
      <c r="Y2590">
        <v>7304</v>
      </c>
      <c r="Z2590">
        <v>5728</v>
      </c>
      <c r="AA2590">
        <v>1.28</v>
      </c>
      <c r="AB2590">
        <v>7</v>
      </c>
      <c r="AC2590">
        <v>9</v>
      </c>
      <c r="AD2590">
        <v>4.91</v>
      </c>
      <c r="AE2590" t="s">
        <v>7874</v>
      </c>
      <c r="AF2590" t="s">
        <v>3677</v>
      </c>
      <c r="AG2590" t="s">
        <v>7875</v>
      </c>
      <c r="AH2590" t="s">
        <v>2328</v>
      </c>
      <c r="AI2590">
        <v>0.53</v>
      </c>
      <c r="AJ2590">
        <v>6.76</v>
      </c>
      <c r="AK2590">
        <v>21.74</v>
      </c>
      <c r="AL2590">
        <v>38.22</v>
      </c>
    </row>
    <row r="2591" spans="1:38" x14ac:dyDescent="0.25">
      <c r="A2591">
        <v>2590</v>
      </c>
      <c r="B2591" t="str">
        <f xml:space="preserve"> "600463"</f>
        <v>600463</v>
      </c>
      <c r="C2591" t="s">
        <v>7876</v>
      </c>
      <c r="D2591">
        <v>15.08</v>
      </c>
      <c r="E2591">
        <v>1</v>
      </c>
      <c r="F2591">
        <v>0.15</v>
      </c>
      <c r="G2591" t="s">
        <v>1349</v>
      </c>
      <c r="H2591">
        <v>11</v>
      </c>
      <c r="I2591">
        <v>15.07</v>
      </c>
      <c r="J2591">
        <v>15.09</v>
      </c>
      <c r="K2591">
        <v>0</v>
      </c>
      <c r="L2591">
        <v>0.68</v>
      </c>
      <c r="M2591" t="s">
        <v>7877</v>
      </c>
      <c r="N2591">
        <v>36.36</v>
      </c>
      <c r="O2591" t="s">
        <v>244</v>
      </c>
      <c r="P2591">
        <v>15.16</v>
      </c>
      <c r="Q2591">
        <v>14.87</v>
      </c>
      <c r="R2591">
        <v>14.92</v>
      </c>
      <c r="S2591">
        <v>14.93</v>
      </c>
      <c r="T2591">
        <v>1.94</v>
      </c>
      <c r="U2591">
        <v>0.69</v>
      </c>
      <c r="V2591">
        <v>0.5</v>
      </c>
      <c r="W2591">
        <v>5</v>
      </c>
      <c r="X2591">
        <v>15.04</v>
      </c>
      <c r="Y2591">
        <v>6348</v>
      </c>
      <c r="Z2591" t="s">
        <v>3041</v>
      </c>
      <c r="AA2591">
        <v>0.57999999999999996</v>
      </c>
      <c r="AB2591">
        <v>134</v>
      </c>
      <c r="AC2591">
        <v>9</v>
      </c>
      <c r="AD2591">
        <v>3.13</v>
      </c>
      <c r="AE2591" t="s">
        <v>950</v>
      </c>
      <c r="AF2591" t="s">
        <v>4804</v>
      </c>
      <c r="AG2591" t="s">
        <v>5050</v>
      </c>
      <c r="AH2591" t="s">
        <v>301</v>
      </c>
      <c r="AI2591">
        <v>-1.18</v>
      </c>
      <c r="AJ2591">
        <v>1.28</v>
      </c>
      <c r="AK2591">
        <v>2.57</v>
      </c>
      <c r="AL2591">
        <v>5.63</v>
      </c>
    </row>
    <row r="2592" spans="1:38" x14ac:dyDescent="0.25">
      <c r="A2592">
        <v>2591</v>
      </c>
      <c r="B2592" t="str">
        <f xml:space="preserve"> "002286"</f>
        <v>002286</v>
      </c>
      <c r="C2592" t="s">
        <v>7878</v>
      </c>
      <c r="D2592">
        <v>12.25</v>
      </c>
      <c r="E2592">
        <v>-2</v>
      </c>
      <c r="F2592">
        <v>-0.25</v>
      </c>
      <c r="G2592" t="s">
        <v>121</v>
      </c>
      <c r="H2592">
        <v>508</v>
      </c>
      <c r="I2592">
        <v>12.24</v>
      </c>
      <c r="J2592">
        <v>12.25</v>
      </c>
      <c r="K2592">
        <v>-0.08</v>
      </c>
      <c r="L2592">
        <v>0.97</v>
      </c>
      <c r="M2592" t="s">
        <v>7879</v>
      </c>
      <c r="N2592">
        <v>62.29</v>
      </c>
      <c r="O2592" t="s">
        <v>406</v>
      </c>
      <c r="P2592">
        <v>12.56</v>
      </c>
      <c r="Q2592">
        <v>12.18</v>
      </c>
      <c r="R2592">
        <v>12.5</v>
      </c>
      <c r="S2592">
        <v>12.5</v>
      </c>
      <c r="T2592">
        <v>3.04</v>
      </c>
      <c r="U2592">
        <v>0.88</v>
      </c>
      <c r="V2592">
        <v>63.47</v>
      </c>
      <c r="W2592">
        <v>392</v>
      </c>
      <c r="X2592">
        <v>12.33</v>
      </c>
      <c r="Y2592" t="s">
        <v>3251</v>
      </c>
      <c r="Z2592">
        <v>9043</v>
      </c>
      <c r="AA2592">
        <v>2.09</v>
      </c>
      <c r="AB2592">
        <v>153</v>
      </c>
      <c r="AC2592">
        <v>33</v>
      </c>
      <c r="AD2592">
        <v>3.05</v>
      </c>
      <c r="AE2592" t="s">
        <v>4391</v>
      </c>
      <c r="AF2592" t="s">
        <v>4804</v>
      </c>
      <c r="AG2592" t="s">
        <v>2668</v>
      </c>
      <c r="AH2592" t="s">
        <v>2794</v>
      </c>
      <c r="AI2592">
        <v>0.41</v>
      </c>
      <c r="AJ2592">
        <v>5.24</v>
      </c>
      <c r="AK2592">
        <v>3.45</v>
      </c>
      <c r="AL2592">
        <v>6.46</v>
      </c>
    </row>
    <row r="2593" spans="1:38" x14ac:dyDescent="0.25">
      <c r="A2593">
        <v>2592</v>
      </c>
      <c r="B2593" t="str">
        <f xml:space="preserve"> "603398"</f>
        <v>603398</v>
      </c>
      <c r="C2593" t="s">
        <v>7880</v>
      </c>
      <c r="D2593">
        <v>21.28</v>
      </c>
      <c r="E2593">
        <v>1.58</v>
      </c>
      <c r="F2593">
        <v>0.33</v>
      </c>
      <c r="G2593" t="s">
        <v>6749</v>
      </c>
      <c r="H2593">
        <v>59</v>
      </c>
      <c r="I2593">
        <v>21.29</v>
      </c>
      <c r="J2593">
        <v>21.3</v>
      </c>
      <c r="K2593">
        <v>0.66</v>
      </c>
      <c r="L2593">
        <v>4.21</v>
      </c>
      <c r="M2593" t="s">
        <v>7881</v>
      </c>
      <c r="N2593">
        <v>78.92</v>
      </c>
      <c r="O2593" t="s">
        <v>5499</v>
      </c>
      <c r="P2593">
        <v>21.34</v>
      </c>
      <c r="Q2593">
        <v>21.02</v>
      </c>
      <c r="R2593">
        <v>21.02</v>
      </c>
      <c r="S2593">
        <v>20.95</v>
      </c>
      <c r="T2593">
        <v>1.53</v>
      </c>
      <c r="U2593">
        <v>1.1399999999999999</v>
      </c>
      <c r="V2593">
        <v>-49.32</v>
      </c>
      <c r="W2593">
        <v>-469</v>
      </c>
      <c r="X2593">
        <v>21.19</v>
      </c>
      <c r="Y2593" t="s">
        <v>75</v>
      </c>
      <c r="Z2593" t="s">
        <v>2089</v>
      </c>
      <c r="AA2593">
        <v>0.85</v>
      </c>
      <c r="AB2593">
        <v>10</v>
      </c>
      <c r="AC2593">
        <v>51</v>
      </c>
      <c r="AD2593">
        <v>7.49</v>
      </c>
      <c r="AE2593" t="s">
        <v>1853</v>
      </c>
      <c r="AF2593" t="s">
        <v>4804</v>
      </c>
      <c r="AG2593" t="s">
        <v>7882</v>
      </c>
      <c r="AH2593" t="s">
        <v>2328</v>
      </c>
      <c r="AI2593">
        <v>0.56999999999999995</v>
      </c>
      <c r="AJ2593">
        <v>3.96</v>
      </c>
      <c r="AK2593">
        <v>9.99</v>
      </c>
      <c r="AL2593">
        <v>22.72</v>
      </c>
    </row>
    <row r="2594" spans="1:38" x14ac:dyDescent="0.25">
      <c r="A2594">
        <v>2593</v>
      </c>
      <c r="B2594" t="str">
        <f xml:space="preserve"> "002861"</f>
        <v>002861</v>
      </c>
      <c r="C2594" t="s">
        <v>7883</v>
      </c>
      <c r="D2594">
        <v>36.85</v>
      </c>
      <c r="E2594">
        <v>-1.58</v>
      </c>
      <c r="F2594">
        <v>-0.59</v>
      </c>
      <c r="G2594" t="s">
        <v>1321</v>
      </c>
      <c r="H2594">
        <v>757</v>
      </c>
      <c r="I2594">
        <v>36.840000000000003</v>
      </c>
      <c r="J2594">
        <v>36.85</v>
      </c>
      <c r="K2594">
        <v>0</v>
      </c>
      <c r="L2594">
        <v>10.02</v>
      </c>
      <c r="M2594" t="s">
        <v>2706</v>
      </c>
      <c r="N2594">
        <v>50.37</v>
      </c>
      <c r="O2594" t="s">
        <v>380</v>
      </c>
      <c r="P2594">
        <v>37.4</v>
      </c>
      <c r="Q2594">
        <v>36.549999999999997</v>
      </c>
      <c r="R2594">
        <v>37.19</v>
      </c>
      <c r="S2594">
        <v>37.44</v>
      </c>
      <c r="T2594">
        <v>2.27</v>
      </c>
      <c r="U2594">
        <v>0.47</v>
      </c>
      <c r="V2594">
        <v>59.58</v>
      </c>
      <c r="W2594">
        <v>401</v>
      </c>
      <c r="X2594">
        <v>37.01</v>
      </c>
      <c r="Y2594" t="s">
        <v>713</v>
      </c>
      <c r="Z2594" t="s">
        <v>1579</v>
      </c>
      <c r="AA2594">
        <v>1.24</v>
      </c>
      <c r="AB2594">
        <v>286</v>
      </c>
      <c r="AC2594">
        <v>37</v>
      </c>
      <c r="AD2594">
        <v>4.5199999999999996</v>
      </c>
      <c r="AE2594" t="s">
        <v>2442</v>
      </c>
      <c r="AF2594" t="s">
        <v>4804</v>
      </c>
      <c r="AG2594" t="s">
        <v>7884</v>
      </c>
      <c r="AH2594" t="s">
        <v>2756</v>
      </c>
      <c r="AI2594">
        <v>-5.99</v>
      </c>
      <c r="AJ2594">
        <v>-2.38</v>
      </c>
      <c r="AK2594">
        <v>38.89</v>
      </c>
      <c r="AL2594">
        <v>116.06</v>
      </c>
    </row>
    <row r="2595" spans="1:38" x14ac:dyDescent="0.25">
      <c r="A2595">
        <v>2594</v>
      </c>
      <c r="B2595" t="str">
        <f xml:space="preserve"> "600697"</f>
        <v>600697</v>
      </c>
      <c r="C2595" t="s">
        <v>7885</v>
      </c>
      <c r="D2595">
        <v>28.42</v>
      </c>
      <c r="E2595">
        <v>0.14000000000000001</v>
      </c>
      <c r="F2595">
        <v>0.04</v>
      </c>
      <c r="G2595" t="s">
        <v>2551</v>
      </c>
      <c r="H2595">
        <v>5</v>
      </c>
      <c r="I2595">
        <v>28.41</v>
      </c>
      <c r="J2595">
        <v>28.42</v>
      </c>
      <c r="K2595">
        <v>0</v>
      </c>
      <c r="L2595">
        <v>0.89</v>
      </c>
      <c r="M2595" t="s">
        <v>7886</v>
      </c>
      <c r="N2595">
        <v>17.010000000000002</v>
      </c>
      <c r="O2595" t="s">
        <v>532</v>
      </c>
      <c r="P2595">
        <v>28.48</v>
      </c>
      <c r="Q2595">
        <v>28.19</v>
      </c>
      <c r="R2595">
        <v>28.36</v>
      </c>
      <c r="S2595">
        <v>28.38</v>
      </c>
      <c r="T2595">
        <v>1.02</v>
      </c>
      <c r="U2595">
        <v>1.21</v>
      </c>
      <c r="V2595">
        <v>4.6100000000000003</v>
      </c>
      <c r="W2595">
        <v>21</v>
      </c>
      <c r="X2595">
        <v>28.36</v>
      </c>
      <c r="Y2595">
        <v>7088</v>
      </c>
      <c r="Z2595">
        <v>6690</v>
      </c>
      <c r="AA2595">
        <v>1.06</v>
      </c>
      <c r="AB2595">
        <v>30</v>
      </c>
      <c r="AC2595">
        <v>31</v>
      </c>
      <c r="AD2595">
        <v>2.0699999999999998</v>
      </c>
      <c r="AE2595" t="s">
        <v>1820</v>
      </c>
      <c r="AF2595" t="s">
        <v>4804</v>
      </c>
      <c r="AG2595" t="s">
        <v>2049</v>
      </c>
      <c r="AH2595" t="s">
        <v>276</v>
      </c>
      <c r="AI2595">
        <v>0.67</v>
      </c>
      <c r="AJ2595">
        <v>2.71</v>
      </c>
      <c r="AK2595">
        <v>2.58</v>
      </c>
      <c r="AL2595">
        <v>4.54</v>
      </c>
    </row>
    <row r="2596" spans="1:38" x14ac:dyDescent="0.25">
      <c r="A2596">
        <v>2595</v>
      </c>
      <c r="B2596" t="str">
        <f xml:space="preserve"> "002017"</f>
        <v>002017</v>
      </c>
      <c r="C2596" t="s">
        <v>7887</v>
      </c>
      <c r="D2596">
        <v>13.05</v>
      </c>
      <c r="E2596">
        <v>4.07</v>
      </c>
      <c r="F2596">
        <v>0.51</v>
      </c>
      <c r="G2596" t="s">
        <v>6993</v>
      </c>
      <c r="H2596">
        <v>7637</v>
      </c>
      <c r="I2596">
        <v>13.04</v>
      </c>
      <c r="J2596">
        <v>13.05</v>
      </c>
      <c r="K2596">
        <v>0.15</v>
      </c>
      <c r="L2596">
        <v>11.73</v>
      </c>
      <c r="M2596" t="s">
        <v>2985</v>
      </c>
      <c r="N2596">
        <v>96.68</v>
      </c>
      <c r="O2596" t="s">
        <v>580</v>
      </c>
      <c r="P2596">
        <v>13.38</v>
      </c>
      <c r="Q2596">
        <v>12.66</v>
      </c>
      <c r="R2596">
        <v>12.87</v>
      </c>
      <c r="S2596">
        <v>12.54</v>
      </c>
      <c r="T2596">
        <v>5.74</v>
      </c>
      <c r="U2596">
        <v>2.92</v>
      </c>
      <c r="V2596">
        <v>49.19</v>
      </c>
      <c r="W2596">
        <v>4135</v>
      </c>
      <c r="X2596">
        <v>12.99</v>
      </c>
      <c r="Y2596" t="s">
        <v>1852</v>
      </c>
      <c r="Z2596" t="s">
        <v>7888</v>
      </c>
      <c r="AA2596">
        <v>0.98</v>
      </c>
      <c r="AB2596">
        <v>598</v>
      </c>
      <c r="AC2596">
        <v>423</v>
      </c>
      <c r="AD2596">
        <v>4.9000000000000004</v>
      </c>
      <c r="AE2596" t="s">
        <v>5176</v>
      </c>
      <c r="AF2596" t="s">
        <v>4804</v>
      </c>
      <c r="AG2596" t="s">
        <v>5326</v>
      </c>
      <c r="AH2596" t="s">
        <v>6687</v>
      </c>
      <c r="AI2596">
        <v>9.94</v>
      </c>
      <c r="AJ2596">
        <v>16.829999999999998</v>
      </c>
      <c r="AK2596">
        <v>19</v>
      </c>
      <c r="AL2596">
        <v>31.78</v>
      </c>
    </row>
    <row r="2597" spans="1:38" x14ac:dyDescent="0.25">
      <c r="A2597">
        <v>2596</v>
      </c>
      <c r="B2597" t="str">
        <f xml:space="preserve"> "002787"</f>
        <v>002787</v>
      </c>
      <c r="C2597" t="s">
        <v>7889</v>
      </c>
      <c r="D2597">
        <v>15.68</v>
      </c>
      <c r="E2597">
        <v>0.32</v>
      </c>
      <c r="F2597">
        <v>0.05</v>
      </c>
      <c r="G2597" t="s">
        <v>2226</v>
      </c>
      <c r="H2597">
        <v>970</v>
      </c>
      <c r="I2597">
        <v>15.67</v>
      </c>
      <c r="J2597">
        <v>15.68</v>
      </c>
      <c r="K2597">
        <v>0</v>
      </c>
      <c r="L2597">
        <v>3.95</v>
      </c>
      <c r="M2597" t="s">
        <v>7890</v>
      </c>
      <c r="N2597">
        <v>46.71</v>
      </c>
      <c r="O2597" t="s">
        <v>3873</v>
      </c>
      <c r="P2597">
        <v>15.81</v>
      </c>
      <c r="Q2597">
        <v>15.34</v>
      </c>
      <c r="R2597">
        <v>15.4</v>
      </c>
      <c r="S2597">
        <v>15.63</v>
      </c>
      <c r="T2597">
        <v>3.01</v>
      </c>
      <c r="U2597">
        <v>1.1599999999999999</v>
      </c>
      <c r="V2597">
        <v>-59.13</v>
      </c>
      <c r="W2597">
        <v>-544</v>
      </c>
      <c r="X2597">
        <v>15.59</v>
      </c>
      <c r="Y2597" t="s">
        <v>1961</v>
      </c>
      <c r="Z2597" t="s">
        <v>3590</v>
      </c>
      <c r="AA2597">
        <v>1.45</v>
      </c>
      <c r="AB2597">
        <v>102</v>
      </c>
      <c r="AC2597">
        <v>235</v>
      </c>
      <c r="AD2597">
        <v>4.8499999999999996</v>
      </c>
      <c r="AE2597" t="s">
        <v>2668</v>
      </c>
      <c r="AF2597" t="s">
        <v>4804</v>
      </c>
      <c r="AG2597" t="s">
        <v>2179</v>
      </c>
      <c r="AH2597" t="s">
        <v>1147</v>
      </c>
      <c r="AI2597">
        <v>0.71</v>
      </c>
      <c r="AJ2597">
        <v>3.16</v>
      </c>
      <c r="AK2597">
        <v>12.39</v>
      </c>
      <c r="AL2597">
        <v>21.01</v>
      </c>
    </row>
    <row r="2598" spans="1:38" x14ac:dyDescent="0.25">
      <c r="A2598">
        <v>2597</v>
      </c>
      <c r="B2598" t="str">
        <f xml:space="preserve"> "002884"</f>
        <v>002884</v>
      </c>
      <c r="C2598" t="s">
        <v>7891</v>
      </c>
      <c r="D2598">
        <v>58.31</v>
      </c>
      <c r="E2598">
        <v>3.2</v>
      </c>
      <c r="F2598">
        <v>1.81</v>
      </c>
      <c r="G2598" t="s">
        <v>658</v>
      </c>
      <c r="H2598">
        <v>404</v>
      </c>
      <c r="I2598">
        <v>58.3</v>
      </c>
      <c r="J2598">
        <v>58.31</v>
      </c>
      <c r="K2598">
        <v>-7.0000000000000007E-2</v>
      </c>
      <c r="L2598">
        <v>10.17</v>
      </c>
      <c r="M2598" t="s">
        <v>2706</v>
      </c>
      <c r="N2598">
        <v>29.56</v>
      </c>
      <c r="O2598" t="s">
        <v>648</v>
      </c>
      <c r="P2598">
        <v>58.38</v>
      </c>
      <c r="Q2598">
        <v>56.2</v>
      </c>
      <c r="R2598">
        <v>56.5</v>
      </c>
      <c r="S2598">
        <v>56.5</v>
      </c>
      <c r="T2598">
        <v>3.86</v>
      </c>
      <c r="U2598">
        <v>2.1</v>
      </c>
      <c r="V2598">
        <v>-49.17</v>
      </c>
      <c r="W2598">
        <v>-195</v>
      </c>
      <c r="X2598">
        <v>57.66</v>
      </c>
      <c r="Y2598">
        <v>8100</v>
      </c>
      <c r="Z2598" t="s">
        <v>3095</v>
      </c>
      <c r="AA2598">
        <v>0.7</v>
      </c>
      <c r="AB2598">
        <v>45</v>
      </c>
      <c r="AC2598">
        <v>147</v>
      </c>
      <c r="AD2598">
        <v>4.13</v>
      </c>
      <c r="AE2598" t="s">
        <v>7892</v>
      </c>
      <c r="AF2598" t="s">
        <v>4804</v>
      </c>
      <c r="AG2598" t="s">
        <v>7893</v>
      </c>
      <c r="AH2598" t="s">
        <v>2756</v>
      </c>
      <c r="AI2598">
        <v>2.12</v>
      </c>
      <c r="AJ2598">
        <v>4.57</v>
      </c>
      <c r="AK2598">
        <v>20.22</v>
      </c>
      <c r="AL2598">
        <v>34.380000000000003</v>
      </c>
    </row>
    <row r="2599" spans="1:38" x14ac:dyDescent="0.25">
      <c r="A2599">
        <v>2598</v>
      </c>
      <c r="B2599" t="str">
        <f xml:space="preserve"> "002645"</f>
        <v>002645</v>
      </c>
      <c r="C2599" t="s">
        <v>7894</v>
      </c>
      <c r="D2599">
        <v>21.56</v>
      </c>
      <c r="E2599">
        <v>10</v>
      </c>
      <c r="F2599">
        <v>1.96</v>
      </c>
      <c r="G2599" t="s">
        <v>1712</v>
      </c>
      <c r="H2599">
        <v>182</v>
      </c>
      <c r="I2599">
        <v>21.56</v>
      </c>
      <c r="J2599" t="s">
        <v>616</v>
      </c>
      <c r="K2599">
        <v>0</v>
      </c>
      <c r="L2599">
        <v>2.4500000000000002</v>
      </c>
      <c r="M2599" t="s">
        <v>7895</v>
      </c>
      <c r="N2599">
        <v>57.1</v>
      </c>
      <c r="O2599" t="s">
        <v>648</v>
      </c>
      <c r="P2599">
        <v>21.56</v>
      </c>
      <c r="Q2599">
        <v>20.13</v>
      </c>
      <c r="R2599">
        <v>20.5</v>
      </c>
      <c r="S2599">
        <v>19.600000000000001</v>
      </c>
      <c r="T2599">
        <v>7.3</v>
      </c>
      <c r="U2599">
        <v>2.2599999999999998</v>
      </c>
      <c r="V2599">
        <v>100</v>
      </c>
      <c r="W2599" t="s">
        <v>4791</v>
      </c>
      <c r="X2599">
        <v>21.1</v>
      </c>
      <c r="Y2599" t="s">
        <v>1650</v>
      </c>
      <c r="Z2599" t="s">
        <v>1095</v>
      </c>
      <c r="AA2599">
        <v>1.91</v>
      </c>
      <c r="AB2599">
        <v>10000</v>
      </c>
      <c r="AC2599">
        <v>0</v>
      </c>
      <c r="AD2599">
        <v>2.84</v>
      </c>
      <c r="AE2599" t="s">
        <v>2519</v>
      </c>
      <c r="AF2599" t="s">
        <v>4804</v>
      </c>
      <c r="AG2599" t="s">
        <v>1306</v>
      </c>
      <c r="AH2599" t="s">
        <v>4298</v>
      </c>
      <c r="AI2599">
        <v>13.29</v>
      </c>
      <c r="AJ2599">
        <v>18.07</v>
      </c>
      <c r="AK2599">
        <v>5.8</v>
      </c>
      <c r="AL2599">
        <v>7.85</v>
      </c>
    </row>
    <row r="2600" spans="1:38" x14ac:dyDescent="0.25">
      <c r="A2600">
        <v>2599</v>
      </c>
      <c r="B2600" t="str">
        <f xml:space="preserve"> "603030"</f>
        <v>603030</v>
      </c>
      <c r="C2600" t="s">
        <v>7896</v>
      </c>
      <c r="D2600">
        <v>8.3800000000000008</v>
      </c>
      <c r="E2600">
        <v>1.21</v>
      </c>
      <c r="F2600">
        <v>0.1</v>
      </c>
      <c r="G2600" t="s">
        <v>952</v>
      </c>
      <c r="H2600">
        <v>48</v>
      </c>
      <c r="I2600">
        <v>8.36</v>
      </c>
      <c r="J2600">
        <v>8.3800000000000008</v>
      </c>
      <c r="K2600">
        <v>-0.12</v>
      </c>
      <c r="L2600">
        <v>1.46</v>
      </c>
      <c r="M2600" t="s">
        <v>6214</v>
      </c>
      <c r="N2600">
        <v>87.65</v>
      </c>
      <c r="O2600" t="s">
        <v>2309</v>
      </c>
      <c r="P2600">
        <v>8.48</v>
      </c>
      <c r="Q2600">
        <v>8.31</v>
      </c>
      <c r="R2600">
        <v>8.31</v>
      </c>
      <c r="S2600">
        <v>8.2799999999999994</v>
      </c>
      <c r="T2600">
        <v>2.0499999999999998</v>
      </c>
      <c r="U2600">
        <v>1.45</v>
      </c>
      <c r="V2600">
        <v>-32.49</v>
      </c>
      <c r="W2600">
        <v>-1109</v>
      </c>
      <c r="X2600">
        <v>8.4</v>
      </c>
      <c r="Y2600" t="s">
        <v>2126</v>
      </c>
      <c r="Z2600" t="s">
        <v>1113</v>
      </c>
      <c r="AA2600">
        <v>1.02</v>
      </c>
      <c r="AB2600">
        <v>19</v>
      </c>
      <c r="AC2600">
        <v>10</v>
      </c>
      <c r="AD2600">
        <v>3.05</v>
      </c>
      <c r="AE2600" t="s">
        <v>2718</v>
      </c>
      <c r="AF2600" t="s">
        <v>1316</v>
      </c>
      <c r="AG2600" t="s">
        <v>233</v>
      </c>
      <c r="AH2600" t="s">
        <v>3214</v>
      </c>
      <c r="AI2600">
        <v>0.48</v>
      </c>
      <c r="AJ2600">
        <v>3.71</v>
      </c>
      <c r="AK2600">
        <v>3.39</v>
      </c>
      <c r="AL2600">
        <v>6.49</v>
      </c>
    </row>
    <row r="2601" spans="1:38" x14ac:dyDescent="0.25">
      <c r="A2601">
        <v>2600</v>
      </c>
      <c r="B2601" t="str">
        <f xml:space="preserve"> "002761"</f>
        <v>002761</v>
      </c>
      <c r="C2601" t="s">
        <v>7897</v>
      </c>
      <c r="D2601">
        <v>37.58</v>
      </c>
      <c r="E2601">
        <v>-0.28999999999999998</v>
      </c>
      <c r="F2601">
        <v>-0.11</v>
      </c>
      <c r="G2601" t="s">
        <v>2968</v>
      </c>
      <c r="H2601">
        <v>163</v>
      </c>
      <c r="I2601">
        <v>37.58</v>
      </c>
      <c r="J2601">
        <v>37.590000000000003</v>
      </c>
      <c r="K2601">
        <v>-0.03</v>
      </c>
      <c r="L2601">
        <v>2.92</v>
      </c>
      <c r="M2601" t="s">
        <v>7898</v>
      </c>
      <c r="N2601">
        <v>328.94</v>
      </c>
      <c r="O2601" t="s">
        <v>1443</v>
      </c>
      <c r="P2601">
        <v>37.950000000000003</v>
      </c>
      <c r="Q2601">
        <v>37.24</v>
      </c>
      <c r="R2601">
        <v>37.92</v>
      </c>
      <c r="S2601">
        <v>37.69</v>
      </c>
      <c r="T2601">
        <v>1.88</v>
      </c>
      <c r="U2601">
        <v>0.56000000000000005</v>
      </c>
      <c r="V2601">
        <v>-15.6</v>
      </c>
      <c r="W2601">
        <v>-62</v>
      </c>
      <c r="X2601">
        <v>37.54</v>
      </c>
      <c r="Y2601" t="s">
        <v>3041</v>
      </c>
      <c r="Z2601">
        <v>5505</v>
      </c>
      <c r="AA2601">
        <v>1.97</v>
      </c>
      <c r="AB2601">
        <v>73</v>
      </c>
      <c r="AC2601">
        <v>57</v>
      </c>
      <c r="AD2601">
        <v>6.91</v>
      </c>
      <c r="AE2601" t="s">
        <v>918</v>
      </c>
      <c r="AF2601" t="s">
        <v>1316</v>
      </c>
      <c r="AG2601" t="s">
        <v>7899</v>
      </c>
      <c r="AH2601" t="s">
        <v>1734</v>
      </c>
      <c r="AI2601">
        <v>0.99</v>
      </c>
      <c r="AJ2601">
        <v>5.98</v>
      </c>
      <c r="AK2601">
        <v>9.85</v>
      </c>
      <c r="AL2601">
        <v>29.11</v>
      </c>
    </row>
    <row r="2602" spans="1:38" x14ac:dyDescent="0.25">
      <c r="A2602">
        <v>2601</v>
      </c>
      <c r="B2602" t="str">
        <f xml:space="preserve"> "300189"</f>
        <v>300189</v>
      </c>
      <c r="C2602" t="s">
        <v>7900</v>
      </c>
      <c r="D2602">
        <v>4.4000000000000004</v>
      </c>
      <c r="E2602">
        <v>-0.45</v>
      </c>
      <c r="F2602">
        <v>-0.02</v>
      </c>
      <c r="G2602" t="s">
        <v>747</v>
      </c>
      <c r="H2602">
        <v>4997</v>
      </c>
      <c r="I2602">
        <v>4.3899999999999997</v>
      </c>
      <c r="J2602">
        <v>4.4000000000000004</v>
      </c>
      <c r="K2602">
        <v>0.23</v>
      </c>
      <c r="L2602">
        <v>0.96</v>
      </c>
      <c r="M2602" t="s">
        <v>7901</v>
      </c>
      <c r="N2602">
        <v>331.06</v>
      </c>
      <c r="O2602" t="s">
        <v>622</v>
      </c>
      <c r="P2602">
        <v>4.45</v>
      </c>
      <c r="Q2602">
        <v>4.38</v>
      </c>
      <c r="R2602">
        <v>4.43</v>
      </c>
      <c r="S2602">
        <v>4.42</v>
      </c>
      <c r="T2602">
        <v>1.58</v>
      </c>
      <c r="U2602">
        <v>0.59</v>
      </c>
      <c r="V2602">
        <v>10.79</v>
      </c>
      <c r="W2602">
        <v>1661</v>
      </c>
      <c r="X2602">
        <v>4.41</v>
      </c>
      <c r="Y2602" t="s">
        <v>882</v>
      </c>
      <c r="Z2602" t="s">
        <v>1532</v>
      </c>
      <c r="AA2602">
        <v>1.55</v>
      </c>
      <c r="AB2602">
        <v>1136</v>
      </c>
      <c r="AC2602">
        <v>621</v>
      </c>
      <c r="AD2602">
        <v>3.14</v>
      </c>
      <c r="AE2602" t="s">
        <v>1766</v>
      </c>
      <c r="AF2602" t="s">
        <v>1316</v>
      </c>
      <c r="AG2602" t="s">
        <v>1987</v>
      </c>
      <c r="AH2602" t="s">
        <v>1662</v>
      </c>
      <c r="AI2602">
        <v>0.92</v>
      </c>
      <c r="AJ2602">
        <v>6.28</v>
      </c>
      <c r="AK2602">
        <v>5.84</v>
      </c>
      <c r="AL2602">
        <v>9.0500000000000007</v>
      </c>
    </row>
    <row r="2603" spans="1:38" x14ac:dyDescent="0.25">
      <c r="A2603">
        <v>2602</v>
      </c>
      <c r="B2603" t="str">
        <f xml:space="preserve"> "603158"</f>
        <v>603158</v>
      </c>
      <c r="C2603" t="s">
        <v>7902</v>
      </c>
      <c r="D2603">
        <v>20.59</v>
      </c>
      <c r="E2603">
        <v>-1.1000000000000001</v>
      </c>
      <c r="F2603">
        <v>-0.23</v>
      </c>
      <c r="G2603" t="s">
        <v>691</v>
      </c>
      <c r="H2603">
        <v>7</v>
      </c>
      <c r="I2603">
        <v>20.58</v>
      </c>
      <c r="J2603">
        <v>20.6</v>
      </c>
      <c r="K2603">
        <v>0.15</v>
      </c>
      <c r="L2603">
        <v>1.1499999999999999</v>
      </c>
      <c r="M2603" t="s">
        <v>7415</v>
      </c>
      <c r="N2603">
        <v>34.11</v>
      </c>
      <c r="O2603" t="s">
        <v>169</v>
      </c>
      <c r="P2603">
        <v>20.87</v>
      </c>
      <c r="Q2603">
        <v>20.45</v>
      </c>
      <c r="R2603">
        <v>20.87</v>
      </c>
      <c r="S2603">
        <v>20.82</v>
      </c>
      <c r="T2603">
        <v>2.02</v>
      </c>
      <c r="U2603">
        <v>1.3</v>
      </c>
      <c r="V2603">
        <v>42.56</v>
      </c>
      <c r="W2603">
        <v>256</v>
      </c>
      <c r="X2603">
        <v>20.57</v>
      </c>
      <c r="Y2603">
        <v>8134</v>
      </c>
      <c r="Z2603">
        <v>3787</v>
      </c>
      <c r="AA2603">
        <v>2.15</v>
      </c>
      <c r="AB2603">
        <v>32</v>
      </c>
      <c r="AC2603">
        <v>46</v>
      </c>
      <c r="AD2603">
        <v>4.8499999999999996</v>
      </c>
      <c r="AE2603" t="s">
        <v>1666</v>
      </c>
      <c r="AF2603" t="s">
        <v>1316</v>
      </c>
      <c r="AG2603" t="s">
        <v>2611</v>
      </c>
      <c r="AH2603" t="s">
        <v>3046</v>
      </c>
      <c r="AI2603">
        <v>-0.82</v>
      </c>
      <c r="AJ2603">
        <v>-0.72</v>
      </c>
      <c r="AK2603">
        <v>3.18</v>
      </c>
      <c r="AL2603">
        <v>5.59</v>
      </c>
    </row>
    <row r="2604" spans="1:38" x14ac:dyDescent="0.25">
      <c r="A2604">
        <v>2603</v>
      </c>
      <c r="B2604" t="str">
        <f xml:space="preserve"> "300312"</f>
        <v>300312</v>
      </c>
      <c r="C2604" t="s">
        <v>7903</v>
      </c>
      <c r="D2604">
        <v>14.07</v>
      </c>
      <c r="E2604">
        <v>-0.85</v>
      </c>
      <c r="F2604">
        <v>-0.12</v>
      </c>
      <c r="G2604" t="s">
        <v>4153</v>
      </c>
      <c r="H2604">
        <v>974</v>
      </c>
      <c r="I2604">
        <v>14.06</v>
      </c>
      <c r="J2604">
        <v>14.07</v>
      </c>
      <c r="K2604">
        <v>0.14000000000000001</v>
      </c>
      <c r="L2604">
        <v>4.2300000000000004</v>
      </c>
      <c r="M2604" t="s">
        <v>4443</v>
      </c>
      <c r="N2604">
        <v>-160.08000000000001</v>
      </c>
      <c r="O2604" t="s">
        <v>580</v>
      </c>
      <c r="P2604">
        <v>14.28</v>
      </c>
      <c r="Q2604">
        <v>13.88</v>
      </c>
      <c r="R2604">
        <v>14.18</v>
      </c>
      <c r="S2604">
        <v>14.19</v>
      </c>
      <c r="T2604">
        <v>2.82</v>
      </c>
      <c r="U2604">
        <v>0.39</v>
      </c>
      <c r="V2604">
        <v>21.23</v>
      </c>
      <c r="W2604">
        <v>482</v>
      </c>
      <c r="X2604">
        <v>14.03</v>
      </c>
      <c r="Y2604" t="s">
        <v>3606</v>
      </c>
      <c r="Z2604" t="s">
        <v>4003</v>
      </c>
      <c r="AA2604">
        <v>1.26</v>
      </c>
      <c r="AB2604">
        <v>343</v>
      </c>
      <c r="AC2604">
        <v>187</v>
      </c>
      <c r="AD2604">
        <v>5.66</v>
      </c>
      <c r="AE2604" t="s">
        <v>2738</v>
      </c>
      <c r="AF2604" t="s">
        <v>849</v>
      </c>
      <c r="AG2604" t="s">
        <v>2267</v>
      </c>
      <c r="AH2604" t="s">
        <v>705</v>
      </c>
      <c r="AI2604">
        <v>-4.93</v>
      </c>
      <c r="AJ2604">
        <v>-5.82</v>
      </c>
      <c r="AK2604">
        <v>19.989999999999998</v>
      </c>
      <c r="AL2604">
        <v>57.96</v>
      </c>
    </row>
    <row r="2605" spans="1:38" x14ac:dyDescent="0.25">
      <c r="A2605">
        <v>2604</v>
      </c>
      <c r="B2605" t="str">
        <f xml:space="preserve"> "603040"</f>
        <v>603040</v>
      </c>
      <c r="C2605" t="s">
        <v>7904</v>
      </c>
      <c r="D2605">
        <v>73.599999999999994</v>
      </c>
      <c r="E2605">
        <v>5.0199999999999996</v>
      </c>
      <c r="F2605">
        <v>3.52</v>
      </c>
      <c r="G2605" t="s">
        <v>2252</v>
      </c>
      <c r="H2605">
        <v>1</v>
      </c>
      <c r="I2605">
        <v>73.599999999999994</v>
      </c>
      <c r="J2605">
        <v>73.62</v>
      </c>
      <c r="K2605">
        <v>0.67</v>
      </c>
      <c r="L2605">
        <v>11.98</v>
      </c>
      <c r="M2605" t="s">
        <v>2065</v>
      </c>
      <c r="N2605">
        <v>51.3</v>
      </c>
      <c r="O2605" t="s">
        <v>1229</v>
      </c>
      <c r="P2605">
        <v>73.97</v>
      </c>
      <c r="Q2605">
        <v>71.2</v>
      </c>
      <c r="R2605">
        <v>71.86</v>
      </c>
      <c r="S2605">
        <v>70.08</v>
      </c>
      <c r="T2605">
        <v>3.95</v>
      </c>
      <c r="U2605">
        <v>3.31</v>
      </c>
      <c r="V2605">
        <v>-43.53</v>
      </c>
      <c r="W2605">
        <v>-37</v>
      </c>
      <c r="X2605">
        <v>72.75</v>
      </c>
      <c r="Y2605">
        <v>7373</v>
      </c>
      <c r="Z2605" t="s">
        <v>5181</v>
      </c>
      <c r="AA2605">
        <v>0.7</v>
      </c>
      <c r="AB2605">
        <v>3</v>
      </c>
      <c r="AC2605">
        <v>27</v>
      </c>
      <c r="AD2605">
        <v>8.07</v>
      </c>
      <c r="AE2605" t="s">
        <v>7905</v>
      </c>
      <c r="AF2605" t="s">
        <v>849</v>
      </c>
      <c r="AG2605" t="s">
        <v>7030</v>
      </c>
      <c r="AH2605" t="s">
        <v>2501</v>
      </c>
      <c r="AI2605">
        <v>3.74</v>
      </c>
      <c r="AJ2605">
        <v>8.6999999999999993</v>
      </c>
      <c r="AK2605">
        <v>19.670000000000002</v>
      </c>
      <c r="AL2605">
        <v>30.07</v>
      </c>
    </row>
    <row r="2606" spans="1:38" x14ac:dyDescent="0.25">
      <c r="A2606">
        <v>2605</v>
      </c>
      <c r="B2606" t="str">
        <f xml:space="preserve"> "603690"</f>
        <v>603690</v>
      </c>
      <c r="C2606" t="s">
        <v>7906</v>
      </c>
      <c r="D2606">
        <v>21.35</v>
      </c>
      <c r="E2606">
        <v>1.86</v>
      </c>
      <c r="F2606">
        <v>0.39</v>
      </c>
      <c r="G2606" t="s">
        <v>1960</v>
      </c>
      <c r="H2606">
        <v>3</v>
      </c>
      <c r="I2606">
        <v>21.34</v>
      </c>
      <c r="J2606">
        <v>21.35</v>
      </c>
      <c r="K2606">
        <v>0.05</v>
      </c>
      <c r="L2606">
        <v>7.38</v>
      </c>
      <c r="M2606" t="s">
        <v>7907</v>
      </c>
      <c r="N2606">
        <v>89.82</v>
      </c>
      <c r="O2606" t="s">
        <v>2647</v>
      </c>
      <c r="P2606">
        <v>21.48</v>
      </c>
      <c r="Q2606">
        <v>20.5</v>
      </c>
      <c r="R2606">
        <v>20.81</v>
      </c>
      <c r="S2606">
        <v>20.96</v>
      </c>
      <c r="T2606">
        <v>4.68</v>
      </c>
      <c r="U2606">
        <v>0.63</v>
      </c>
      <c r="V2606">
        <v>-49.44</v>
      </c>
      <c r="W2606">
        <v>-751</v>
      </c>
      <c r="X2606">
        <v>21.08</v>
      </c>
      <c r="Y2606" t="s">
        <v>1493</v>
      </c>
      <c r="Z2606" t="s">
        <v>3696</v>
      </c>
      <c r="AA2606">
        <v>0.87</v>
      </c>
      <c r="AB2606">
        <v>23</v>
      </c>
      <c r="AC2606">
        <v>315</v>
      </c>
      <c r="AD2606">
        <v>10.87</v>
      </c>
      <c r="AE2606" t="s">
        <v>1538</v>
      </c>
      <c r="AF2606" t="s">
        <v>1446</v>
      </c>
      <c r="AG2606" t="s">
        <v>5727</v>
      </c>
      <c r="AH2606" t="s">
        <v>204</v>
      </c>
      <c r="AI2606">
        <v>-2.82</v>
      </c>
      <c r="AJ2606">
        <v>3.54</v>
      </c>
      <c r="AK2606">
        <v>24.55</v>
      </c>
      <c r="AL2606">
        <v>65.75</v>
      </c>
    </row>
    <row r="2607" spans="1:38" x14ac:dyDescent="0.25">
      <c r="A2607">
        <v>2606</v>
      </c>
      <c r="B2607" t="str">
        <f xml:space="preserve"> "002037"</f>
        <v>002037</v>
      </c>
      <c r="C2607" t="s">
        <v>7908</v>
      </c>
      <c r="D2607">
        <v>13.71</v>
      </c>
      <c r="E2607">
        <v>0.81</v>
      </c>
      <c r="F2607">
        <v>0.11</v>
      </c>
      <c r="G2607" t="s">
        <v>1349</v>
      </c>
      <c r="H2607">
        <v>215</v>
      </c>
      <c r="I2607">
        <v>13.71</v>
      </c>
      <c r="J2607">
        <v>13.72</v>
      </c>
      <c r="K2607">
        <v>0</v>
      </c>
      <c r="L2607">
        <v>0.53</v>
      </c>
      <c r="M2607" t="s">
        <v>7909</v>
      </c>
      <c r="N2607">
        <v>59.56</v>
      </c>
      <c r="O2607" t="s">
        <v>667</v>
      </c>
      <c r="P2607">
        <v>13.71</v>
      </c>
      <c r="Q2607">
        <v>13.56</v>
      </c>
      <c r="R2607">
        <v>13.6</v>
      </c>
      <c r="S2607">
        <v>13.6</v>
      </c>
      <c r="T2607">
        <v>1.1000000000000001</v>
      </c>
      <c r="U2607">
        <v>0.75</v>
      </c>
      <c r="V2607">
        <v>-8.35</v>
      </c>
      <c r="W2607">
        <v>-212</v>
      </c>
      <c r="X2607">
        <v>13.67</v>
      </c>
      <c r="Y2607">
        <v>7742</v>
      </c>
      <c r="Z2607">
        <v>9461</v>
      </c>
      <c r="AA2607">
        <v>0.82</v>
      </c>
      <c r="AB2607">
        <v>83</v>
      </c>
      <c r="AC2607">
        <v>159</v>
      </c>
      <c r="AD2607">
        <v>2.19</v>
      </c>
      <c r="AE2607" t="s">
        <v>3853</v>
      </c>
      <c r="AF2607" t="s">
        <v>1446</v>
      </c>
      <c r="AG2607" t="s">
        <v>3853</v>
      </c>
      <c r="AH2607" t="s">
        <v>1446</v>
      </c>
      <c r="AI2607">
        <v>-0.22</v>
      </c>
      <c r="AJ2607">
        <v>2.4700000000000002</v>
      </c>
      <c r="AK2607">
        <v>2.12</v>
      </c>
      <c r="AL2607">
        <v>4.01</v>
      </c>
    </row>
    <row r="2608" spans="1:38" x14ac:dyDescent="0.25">
      <c r="A2608">
        <v>2607</v>
      </c>
      <c r="B2608" t="str">
        <f xml:space="preserve"> "600836"</f>
        <v>600836</v>
      </c>
      <c r="C2608" t="s">
        <v>7910</v>
      </c>
      <c r="D2608">
        <v>6.77</v>
      </c>
      <c r="E2608">
        <v>1.5</v>
      </c>
      <c r="F2608">
        <v>0.1</v>
      </c>
      <c r="G2608" t="s">
        <v>1390</v>
      </c>
      <c r="H2608">
        <v>38</v>
      </c>
      <c r="I2608">
        <v>6.77</v>
      </c>
      <c r="J2608">
        <v>6.78</v>
      </c>
      <c r="K2608">
        <v>-0.15</v>
      </c>
      <c r="L2608">
        <v>2.64</v>
      </c>
      <c r="M2608" t="s">
        <v>2827</v>
      </c>
      <c r="N2608">
        <v>-175.88</v>
      </c>
      <c r="O2608" t="s">
        <v>3873</v>
      </c>
      <c r="P2608">
        <v>6.85</v>
      </c>
      <c r="Q2608">
        <v>6.64</v>
      </c>
      <c r="R2608">
        <v>6.73</v>
      </c>
      <c r="S2608">
        <v>6.67</v>
      </c>
      <c r="T2608">
        <v>3.15</v>
      </c>
      <c r="U2608">
        <v>1.34</v>
      </c>
      <c r="V2608">
        <v>-36.83</v>
      </c>
      <c r="W2608">
        <v>-4022</v>
      </c>
      <c r="X2608">
        <v>6.76</v>
      </c>
      <c r="Y2608" t="s">
        <v>914</v>
      </c>
      <c r="Z2608" t="s">
        <v>1448</v>
      </c>
      <c r="AA2608">
        <v>0.67</v>
      </c>
      <c r="AB2608">
        <v>761</v>
      </c>
      <c r="AC2608">
        <v>1401</v>
      </c>
      <c r="AD2608">
        <v>5.3</v>
      </c>
      <c r="AE2608" t="s">
        <v>561</v>
      </c>
      <c r="AF2608" t="s">
        <v>1446</v>
      </c>
      <c r="AG2608" t="s">
        <v>858</v>
      </c>
      <c r="AH2608" t="s">
        <v>2449</v>
      </c>
      <c r="AI2608">
        <v>5.45</v>
      </c>
      <c r="AJ2608">
        <v>9.7200000000000006</v>
      </c>
      <c r="AK2608">
        <v>9.23</v>
      </c>
      <c r="AL2608">
        <v>12.49</v>
      </c>
    </row>
    <row r="2609" spans="1:38" x14ac:dyDescent="0.25">
      <c r="A2609">
        <v>2608</v>
      </c>
      <c r="B2609" t="str">
        <f xml:space="preserve"> "600262"</f>
        <v>600262</v>
      </c>
      <c r="C2609" t="s">
        <v>7911</v>
      </c>
      <c r="D2609">
        <v>26.39</v>
      </c>
      <c r="E2609">
        <v>0.15</v>
      </c>
      <c r="F2609">
        <v>0.04</v>
      </c>
      <c r="G2609" t="s">
        <v>5181</v>
      </c>
      <c r="H2609">
        <v>3</v>
      </c>
      <c r="I2609">
        <v>26.37</v>
      </c>
      <c r="J2609">
        <v>26.39</v>
      </c>
      <c r="K2609">
        <v>-0.19</v>
      </c>
      <c r="L2609">
        <v>0.63</v>
      </c>
      <c r="M2609" t="s">
        <v>7912</v>
      </c>
      <c r="N2609">
        <v>105.25</v>
      </c>
      <c r="O2609" t="s">
        <v>648</v>
      </c>
      <c r="P2609">
        <v>26.5</v>
      </c>
      <c r="Q2609">
        <v>26.21</v>
      </c>
      <c r="R2609">
        <v>26.38</v>
      </c>
      <c r="S2609">
        <v>26.35</v>
      </c>
      <c r="T2609">
        <v>1.1000000000000001</v>
      </c>
      <c r="U2609">
        <v>0.89</v>
      </c>
      <c r="V2609">
        <v>-51.25</v>
      </c>
      <c r="W2609">
        <v>-185</v>
      </c>
      <c r="X2609">
        <v>26.36</v>
      </c>
      <c r="Y2609">
        <v>6970</v>
      </c>
      <c r="Z2609">
        <v>3658</v>
      </c>
      <c r="AA2609">
        <v>1.91</v>
      </c>
      <c r="AB2609">
        <v>14</v>
      </c>
      <c r="AC2609">
        <v>4</v>
      </c>
      <c r="AD2609">
        <v>4.33</v>
      </c>
      <c r="AE2609" t="s">
        <v>2345</v>
      </c>
      <c r="AF2609" t="s">
        <v>1446</v>
      </c>
      <c r="AG2609" t="s">
        <v>2345</v>
      </c>
      <c r="AH2609" t="s">
        <v>1446</v>
      </c>
      <c r="AI2609">
        <v>-0.34</v>
      </c>
      <c r="AJ2609">
        <v>0.23</v>
      </c>
      <c r="AK2609">
        <v>2.2400000000000002</v>
      </c>
      <c r="AL2609">
        <v>4.1399999999999997</v>
      </c>
    </row>
    <row r="2610" spans="1:38" x14ac:dyDescent="0.25">
      <c r="A2610">
        <v>2609</v>
      </c>
      <c r="B2610" t="str">
        <f xml:space="preserve"> "603527"</f>
        <v>603527</v>
      </c>
      <c r="C2610" t="s">
        <v>7913</v>
      </c>
      <c r="D2610">
        <v>36.06</v>
      </c>
      <c r="E2610">
        <v>3.15</v>
      </c>
      <c r="F2610">
        <v>1.1000000000000001</v>
      </c>
      <c r="G2610" t="s">
        <v>853</v>
      </c>
      <c r="H2610">
        <v>3</v>
      </c>
      <c r="I2610">
        <v>36.090000000000003</v>
      </c>
      <c r="J2610">
        <v>36.1</v>
      </c>
      <c r="K2610">
        <v>0.03</v>
      </c>
      <c r="L2610">
        <v>17.05</v>
      </c>
      <c r="M2610" t="s">
        <v>2146</v>
      </c>
      <c r="N2610">
        <v>59.79</v>
      </c>
      <c r="O2610" t="s">
        <v>449</v>
      </c>
      <c r="P2610">
        <v>36.49</v>
      </c>
      <c r="Q2610">
        <v>34.799999999999997</v>
      </c>
      <c r="R2610">
        <v>34.799999999999997</v>
      </c>
      <c r="S2610">
        <v>34.96</v>
      </c>
      <c r="T2610">
        <v>4.83</v>
      </c>
      <c r="U2610">
        <v>0.77</v>
      </c>
      <c r="V2610">
        <v>-2.29</v>
      </c>
      <c r="W2610">
        <v>-3</v>
      </c>
      <c r="X2610">
        <v>35.93</v>
      </c>
      <c r="Y2610" t="s">
        <v>2696</v>
      </c>
      <c r="Z2610" t="s">
        <v>997</v>
      </c>
      <c r="AA2610">
        <v>0.91</v>
      </c>
      <c r="AB2610">
        <v>2</v>
      </c>
      <c r="AC2610">
        <v>21</v>
      </c>
      <c r="AD2610">
        <v>5.92</v>
      </c>
      <c r="AE2610" t="s">
        <v>734</v>
      </c>
      <c r="AF2610" t="s">
        <v>1446</v>
      </c>
      <c r="AG2610" t="s">
        <v>7914</v>
      </c>
      <c r="AH2610" t="s">
        <v>2328</v>
      </c>
      <c r="AI2610">
        <v>-5.45</v>
      </c>
      <c r="AJ2610">
        <v>-6.7</v>
      </c>
      <c r="AK2610">
        <v>56.39</v>
      </c>
      <c r="AL2610">
        <v>127.75</v>
      </c>
    </row>
    <row r="2611" spans="1:38" x14ac:dyDescent="0.25">
      <c r="A2611">
        <v>2610</v>
      </c>
      <c r="B2611" t="str">
        <f xml:space="preserve"> "002728"</f>
        <v>002728</v>
      </c>
      <c r="C2611" t="s">
        <v>7915</v>
      </c>
      <c r="D2611">
        <v>22.42</v>
      </c>
      <c r="E2611">
        <v>10.01</v>
      </c>
      <c r="F2611">
        <v>2.04</v>
      </c>
      <c r="G2611" t="s">
        <v>1319</v>
      </c>
      <c r="H2611">
        <v>1101</v>
      </c>
      <c r="I2611">
        <v>22.42</v>
      </c>
      <c r="J2611" t="s">
        <v>616</v>
      </c>
      <c r="K2611">
        <v>0</v>
      </c>
      <c r="L2611">
        <v>4.5</v>
      </c>
      <c r="M2611" t="s">
        <v>1606</v>
      </c>
      <c r="N2611">
        <v>41.33</v>
      </c>
      <c r="O2611" t="s">
        <v>392</v>
      </c>
      <c r="P2611">
        <v>22.42</v>
      </c>
      <c r="Q2611">
        <v>20.309999999999999</v>
      </c>
      <c r="R2611">
        <v>20.38</v>
      </c>
      <c r="S2611">
        <v>20.38</v>
      </c>
      <c r="T2611">
        <v>10.35</v>
      </c>
      <c r="U2611">
        <v>2.68</v>
      </c>
      <c r="V2611">
        <v>100</v>
      </c>
      <c r="W2611" t="s">
        <v>2240</v>
      </c>
      <c r="X2611">
        <v>22.06</v>
      </c>
      <c r="Y2611" t="s">
        <v>3477</v>
      </c>
      <c r="Z2611" t="s">
        <v>5181</v>
      </c>
      <c r="AA2611">
        <v>4.0199999999999996</v>
      </c>
      <c r="AB2611" t="s">
        <v>3896</v>
      </c>
      <c r="AC2611">
        <v>0</v>
      </c>
      <c r="AD2611">
        <v>4.92</v>
      </c>
      <c r="AE2611" t="s">
        <v>1485</v>
      </c>
      <c r="AF2611" t="s">
        <v>6687</v>
      </c>
      <c r="AG2611" t="s">
        <v>60</v>
      </c>
      <c r="AH2611" t="s">
        <v>3224</v>
      </c>
      <c r="AI2611">
        <v>8.1</v>
      </c>
      <c r="AJ2611">
        <v>13.52</v>
      </c>
      <c r="AK2611">
        <v>8.39</v>
      </c>
      <c r="AL2611">
        <v>12.9</v>
      </c>
    </row>
    <row r="2612" spans="1:38" x14ac:dyDescent="0.25">
      <c r="A2612">
        <v>2611</v>
      </c>
      <c r="B2612" t="str">
        <f xml:space="preserve"> "300491"</f>
        <v>300491</v>
      </c>
      <c r="C2612" t="s">
        <v>7916</v>
      </c>
      <c r="D2612">
        <v>30.74</v>
      </c>
      <c r="E2612">
        <v>0.99</v>
      </c>
      <c r="F2612">
        <v>0.3</v>
      </c>
      <c r="G2612" t="s">
        <v>433</v>
      </c>
      <c r="H2612">
        <v>416</v>
      </c>
      <c r="I2612">
        <v>30.74</v>
      </c>
      <c r="J2612">
        <v>30.75</v>
      </c>
      <c r="K2612">
        <v>0</v>
      </c>
      <c r="L2612">
        <v>2.98</v>
      </c>
      <c r="M2612" t="s">
        <v>7917</v>
      </c>
      <c r="N2612">
        <v>-356.46</v>
      </c>
      <c r="O2612" t="s">
        <v>680</v>
      </c>
      <c r="P2612">
        <v>30.86</v>
      </c>
      <c r="Q2612">
        <v>30.3</v>
      </c>
      <c r="R2612">
        <v>30.59</v>
      </c>
      <c r="S2612">
        <v>30.44</v>
      </c>
      <c r="T2612">
        <v>1.84</v>
      </c>
      <c r="U2612">
        <v>0.96</v>
      </c>
      <c r="V2612">
        <v>-37.31</v>
      </c>
      <c r="W2612">
        <v>-277</v>
      </c>
      <c r="X2612">
        <v>30.59</v>
      </c>
      <c r="Y2612">
        <v>7392</v>
      </c>
      <c r="Z2612">
        <v>7782</v>
      </c>
      <c r="AA2612">
        <v>0.95</v>
      </c>
      <c r="AB2612">
        <v>138</v>
      </c>
      <c r="AC2612">
        <v>158</v>
      </c>
      <c r="AD2612">
        <v>11.3</v>
      </c>
      <c r="AE2612" t="s">
        <v>1862</v>
      </c>
      <c r="AF2612" t="s">
        <v>6687</v>
      </c>
      <c r="AG2612" t="s">
        <v>7918</v>
      </c>
      <c r="AH2612" t="s">
        <v>2760</v>
      </c>
      <c r="AI2612">
        <v>-0.77</v>
      </c>
      <c r="AJ2612">
        <v>2.23</v>
      </c>
      <c r="AK2612">
        <v>8.3699999999999992</v>
      </c>
      <c r="AL2612">
        <v>18.55</v>
      </c>
    </row>
    <row r="2613" spans="1:38" x14ac:dyDescent="0.25">
      <c r="A2613">
        <v>2612</v>
      </c>
      <c r="B2613" t="str">
        <f xml:space="preserve"> "300619"</f>
        <v>300619</v>
      </c>
      <c r="C2613" t="s">
        <v>7919</v>
      </c>
      <c r="D2613">
        <v>60.01</v>
      </c>
      <c r="E2613">
        <v>-2.0699999999999998</v>
      </c>
      <c r="F2613">
        <v>-1.27</v>
      </c>
      <c r="G2613" t="s">
        <v>5412</v>
      </c>
      <c r="H2613">
        <v>1100</v>
      </c>
      <c r="I2613">
        <v>60</v>
      </c>
      <c r="J2613">
        <v>60.01</v>
      </c>
      <c r="K2613">
        <v>-0.12</v>
      </c>
      <c r="L2613">
        <v>26.89</v>
      </c>
      <c r="M2613" t="s">
        <v>4731</v>
      </c>
      <c r="N2613">
        <v>104.32</v>
      </c>
      <c r="O2613" t="s">
        <v>2647</v>
      </c>
      <c r="P2613">
        <v>63.84</v>
      </c>
      <c r="Q2613">
        <v>60</v>
      </c>
      <c r="R2613">
        <v>61.5</v>
      </c>
      <c r="S2613">
        <v>61.28</v>
      </c>
      <c r="T2613">
        <v>6.27</v>
      </c>
      <c r="U2613">
        <v>1.1100000000000001</v>
      </c>
      <c r="V2613">
        <v>-14.09</v>
      </c>
      <c r="W2613">
        <v>-124</v>
      </c>
      <c r="X2613">
        <v>61.98</v>
      </c>
      <c r="Y2613" t="s">
        <v>2485</v>
      </c>
      <c r="Z2613" t="s">
        <v>3090</v>
      </c>
      <c r="AA2613">
        <v>1.1100000000000001</v>
      </c>
      <c r="AB2613">
        <v>345</v>
      </c>
      <c r="AC2613">
        <v>54</v>
      </c>
      <c r="AD2613">
        <v>11.77</v>
      </c>
      <c r="AE2613" t="s">
        <v>7920</v>
      </c>
      <c r="AF2613" t="s">
        <v>6687</v>
      </c>
      <c r="AG2613" t="s">
        <v>7921</v>
      </c>
      <c r="AH2613" t="s">
        <v>2328</v>
      </c>
      <c r="AI2613">
        <v>-0.5</v>
      </c>
      <c r="AJ2613">
        <v>1.1100000000000001</v>
      </c>
      <c r="AK2613">
        <v>75.739999999999995</v>
      </c>
      <c r="AL2613">
        <v>148.35</v>
      </c>
    </row>
    <row r="2614" spans="1:38" x14ac:dyDescent="0.25">
      <c r="A2614">
        <v>2613</v>
      </c>
      <c r="B2614" t="str">
        <f xml:space="preserve"> "600083"</f>
        <v>600083</v>
      </c>
      <c r="C2614" t="s">
        <v>7922</v>
      </c>
      <c r="D2614">
        <v>19.48</v>
      </c>
      <c r="E2614">
        <v>-0.76</v>
      </c>
      <c r="F2614">
        <v>-0.15</v>
      </c>
      <c r="G2614" t="s">
        <v>2089</v>
      </c>
      <c r="H2614">
        <v>3</v>
      </c>
      <c r="I2614">
        <v>19.48</v>
      </c>
      <c r="J2614">
        <v>19.59</v>
      </c>
      <c r="K2614">
        <v>-0.66</v>
      </c>
      <c r="L2614">
        <v>0.53</v>
      </c>
      <c r="M2614" t="s">
        <v>7725</v>
      </c>
      <c r="N2614">
        <v>-1614.9</v>
      </c>
      <c r="O2614" t="s">
        <v>263</v>
      </c>
      <c r="P2614">
        <v>19.97</v>
      </c>
      <c r="Q2614">
        <v>19.399999999999999</v>
      </c>
      <c r="R2614">
        <v>19.600000000000001</v>
      </c>
      <c r="S2614">
        <v>19.63</v>
      </c>
      <c r="T2614">
        <v>2.9</v>
      </c>
      <c r="U2614">
        <v>0.71</v>
      </c>
      <c r="V2614">
        <v>-23.03</v>
      </c>
      <c r="W2614">
        <v>-179</v>
      </c>
      <c r="X2614">
        <v>19.68</v>
      </c>
      <c r="Y2614">
        <v>4963</v>
      </c>
      <c r="Z2614">
        <v>7014</v>
      </c>
      <c r="AA2614">
        <v>0.71</v>
      </c>
      <c r="AB2614">
        <v>2</v>
      </c>
      <c r="AC2614">
        <v>27</v>
      </c>
      <c r="AD2614">
        <v>82.93</v>
      </c>
      <c r="AE2614" t="s">
        <v>2845</v>
      </c>
      <c r="AF2614" t="s">
        <v>6687</v>
      </c>
      <c r="AG2614" t="s">
        <v>764</v>
      </c>
      <c r="AH2614" t="s">
        <v>6819</v>
      </c>
      <c r="AI2614">
        <v>-2.79</v>
      </c>
      <c r="AJ2614">
        <v>-3.71</v>
      </c>
      <c r="AK2614">
        <v>1.67</v>
      </c>
      <c r="AL2614">
        <v>4.24</v>
      </c>
    </row>
    <row r="2615" spans="1:38" x14ac:dyDescent="0.25">
      <c r="A2615">
        <v>2614</v>
      </c>
      <c r="B2615" t="str">
        <f xml:space="preserve"> "300167"</f>
        <v>300167</v>
      </c>
      <c r="C2615" t="s">
        <v>7923</v>
      </c>
      <c r="D2615">
        <v>14.91</v>
      </c>
      <c r="E2615">
        <v>1.64</v>
      </c>
      <c r="F2615">
        <v>0.24</v>
      </c>
      <c r="G2615" t="s">
        <v>2032</v>
      </c>
      <c r="H2615">
        <v>127</v>
      </c>
      <c r="I2615">
        <v>14.91</v>
      </c>
      <c r="J2615">
        <v>14.92</v>
      </c>
      <c r="K2615">
        <v>0.27</v>
      </c>
      <c r="L2615">
        <v>1.1599999999999999</v>
      </c>
      <c r="M2615" t="s">
        <v>7924</v>
      </c>
      <c r="N2615">
        <v>2015.81</v>
      </c>
      <c r="O2615" t="s">
        <v>205</v>
      </c>
      <c r="P2615">
        <v>15.17</v>
      </c>
      <c r="Q2615">
        <v>14.56</v>
      </c>
      <c r="R2615">
        <v>14.82</v>
      </c>
      <c r="S2615">
        <v>14.67</v>
      </c>
      <c r="T2615">
        <v>4.16</v>
      </c>
      <c r="U2615">
        <v>1.06</v>
      </c>
      <c r="V2615">
        <v>5.01</v>
      </c>
      <c r="W2615">
        <v>65</v>
      </c>
      <c r="X2615">
        <v>14.81</v>
      </c>
      <c r="Y2615" t="s">
        <v>125</v>
      </c>
      <c r="Z2615" t="s">
        <v>3892</v>
      </c>
      <c r="AA2615">
        <v>0.78</v>
      </c>
      <c r="AB2615">
        <v>243</v>
      </c>
      <c r="AC2615">
        <v>25</v>
      </c>
      <c r="AD2615">
        <v>6.7</v>
      </c>
      <c r="AE2615" t="s">
        <v>950</v>
      </c>
      <c r="AF2615" t="s">
        <v>6687</v>
      </c>
      <c r="AG2615" t="s">
        <v>950</v>
      </c>
      <c r="AH2615" t="s">
        <v>6687</v>
      </c>
      <c r="AI2615">
        <v>1.77</v>
      </c>
      <c r="AJ2615">
        <v>-0.47</v>
      </c>
      <c r="AK2615">
        <v>3.23</v>
      </c>
      <c r="AL2615">
        <v>6.67</v>
      </c>
    </row>
    <row r="2616" spans="1:38" x14ac:dyDescent="0.25">
      <c r="A2616">
        <v>2615</v>
      </c>
      <c r="B2616" t="str">
        <f xml:space="preserve"> "603309"</f>
        <v>603309</v>
      </c>
      <c r="C2616" t="s">
        <v>7925</v>
      </c>
      <c r="D2616">
        <v>22.38</v>
      </c>
      <c r="E2616">
        <v>1.08</v>
      </c>
      <c r="F2616">
        <v>0.24</v>
      </c>
      <c r="G2616" t="s">
        <v>997</v>
      </c>
      <c r="H2616">
        <v>16</v>
      </c>
      <c r="I2616">
        <v>22.38</v>
      </c>
      <c r="J2616">
        <v>22.4</v>
      </c>
      <c r="K2616">
        <v>-0.49</v>
      </c>
      <c r="L2616">
        <v>3.59</v>
      </c>
      <c r="M2616" t="s">
        <v>5582</v>
      </c>
      <c r="N2616">
        <v>56.29</v>
      </c>
      <c r="O2616" t="s">
        <v>1552</v>
      </c>
      <c r="P2616">
        <v>22.98</v>
      </c>
      <c r="Q2616">
        <v>22</v>
      </c>
      <c r="R2616">
        <v>22.1</v>
      </c>
      <c r="S2616">
        <v>22.14</v>
      </c>
      <c r="T2616">
        <v>4.43</v>
      </c>
      <c r="U2616">
        <v>0.87</v>
      </c>
      <c r="V2616">
        <v>33.67</v>
      </c>
      <c r="W2616">
        <v>134</v>
      </c>
      <c r="X2616">
        <v>22.58</v>
      </c>
      <c r="Y2616" t="s">
        <v>1153</v>
      </c>
      <c r="Z2616" t="s">
        <v>1579</v>
      </c>
      <c r="AA2616">
        <v>1.02</v>
      </c>
      <c r="AB2616">
        <v>5</v>
      </c>
      <c r="AC2616">
        <v>55</v>
      </c>
      <c r="AD2616">
        <v>5.16</v>
      </c>
      <c r="AE2616" t="s">
        <v>1485</v>
      </c>
      <c r="AF2616" t="s">
        <v>6687</v>
      </c>
      <c r="AG2616" t="s">
        <v>7490</v>
      </c>
      <c r="AH2616" t="s">
        <v>1367</v>
      </c>
      <c r="AI2616">
        <v>-3.95</v>
      </c>
      <c r="AJ2616">
        <v>6.67</v>
      </c>
      <c r="AK2616">
        <v>14.14</v>
      </c>
      <c r="AL2616">
        <v>24.27</v>
      </c>
    </row>
    <row r="2617" spans="1:38" x14ac:dyDescent="0.25">
      <c r="A2617">
        <v>2616</v>
      </c>
      <c r="B2617" t="str">
        <f xml:space="preserve"> "300662"</f>
        <v>300662</v>
      </c>
      <c r="C2617" t="s">
        <v>7926</v>
      </c>
      <c r="D2617">
        <v>24.83</v>
      </c>
      <c r="E2617">
        <v>2.9</v>
      </c>
      <c r="F2617">
        <v>0.7</v>
      </c>
      <c r="G2617" t="s">
        <v>1661</v>
      </c>
      <c r="H2617">
        <v>639</v>
      </c>
      <c r="I2617">
        <v>24.83</v>
      </c>
      <c r="J2617">
        <v>24.84</v>
      </c>
      <c r="K2617">
        <v>0.2</v>
      </c>
      <c r="L2617">
        <v>8.66</v>
      </c>
      <c r="M2617" t="s">
        <v>7927</v>
      </c>
      <c r="N2617">
        <v>69.540000000000006</v>
      </c>
      <c r="O2617" t="s">
        <v>807</v>
      </c>
      <c r="P2617">
        <v>25.1</v>
      </c>
      <c r="Q2617">
        <v>23.9</v>
      </c>
      <c r="R2617">
        <v>24</v>
      </c>
      <c r="S2617">
        <v>24.13</v>
      </c>
      <c r="T2617">
        <v>4.97</v>
      </c>
      <c r="U2617">
        <v>1.35</v>
      </c>
      <c r="V2617">
        <v>13.79</v>
      </c>
      <c r="W2617">
        <v>181</v>
      </c>
      <c r="X2617">
        <v>24.54</v>
      </c>
      <c r="Y2617" t="s">
        <v>4303</v>
      </c>
      <c r="Z2617" t="s">
        <v>1745</v>
      </c>
      <c r="AA2617">
        <v>0.75</v>
      </c>
      <c r="AB2617">
        <v>430</v>
      </c>
      <c r="AC2617">
        <v>114</v>
      </c>
      <c r="AD2617">
        <v>7.67</v>
      </c>
      <c r="AE2617" t="s">
        <v>3119</v>
      </c>
      <c r="AF2617" t="s">
        <v>5998</v>
      </c>
      <c r="AG2617" t="s">
        <v>1609</v>
      </c>
      <c r="AH2617" t="s">
        <v>2328</v>
      </c>
      <c r="AI2617">
        <v>2.73</v>
      </c>
      <c r="AJ2617">
        <v>6.29</v>
      </c>
      <c r="AK2617">
        <v>19.79</v>
      </c>
      <c r="AL2617">
        <v>40.770000000000003</v>
      </c>
    </row>
    <row r="2618" spans="1:38" x14ac:dyDescent="0.25">
      <c r="A2618">
        <v>2617</v>
      </c>
      <c r="B2618" t="str">
        <f xml:space="preserve"> "603069"</f>
        <v>603069</v>
      </c>
      <c r="C2618" t="s">
        <v>7928</v>
      </c>
      <c r="D2618">
        <v>14.14</v>
      </c>
      <c r="E2618">
        <v>3.59</v>
      </c>
      <c r="F2618">
        <v>0.49</v>
      </c>
      <c r="G2618" t="s">
        <v>1705</v>
      </c>
      <c r="H2618">
        <v>3</v>
      </c>
      <c r="I2618">
        <v>14.13</v>
      </c>
      <c r="J2618">
        <v>14.15</v>
      </c>
      <c r="K2618">
        <v>0.35</v>
      </c>
      <c r="L2618">
        <v>1.56</v>
      </c>
      <c r="M2618" t="s">
        <v>7929</v>
      </c>
      <c r="N2618">
        <v>65.14</v>
      </c>
      <c r="O2618" t="s">
        <v>274</v>
      </c>
      <c r="P2618">
        <v>14.17</v>
      </c>
      <c r="Q2618">
        <v>13.7</v>
      </c>
      <c r="R2618">
        <v>13.82</v>
      </c>
      <c r="S2618">
        <v>13.65</v>
      </c>
      <c r="T2618">
        <v>3.44</v>
      </c>
      <c r="U2618">
        <v>0.66</v>
      </c>
      <c r="V2618">
        <v>-28.09</v>
      </c>
      <c r="W2618">
        <v>-157</v>
      </c>
      <c r="X2618">
        <v>13.97</v>
      </c>
      <c r="Y2618" t="s">
        <v>1869</v>
      </c>
      <c r="Z2618" t="s">
        <v>2313</v>
      </c>
      <c r="AA2618">
        <v>0.73</v>
      </c>
      <c r="AB2618">
        <v>3</v>
      </c>
      <c r="AC2618">
        <v>36</v>
      </c>
      <c r="AD2618">
        <v>4.2300000000000004</v>
      </c>
      <c r="AE2618" t="s">
        <v>2471</v>
      </c>
      <c r="AF2618" t="s">
        <v>5998</v>
      </c>
      <c r="AG2618" t="s">
        <v>1067</v>
      </c>
      <c r="AH2618" t="s">
        <v>3438</v>
      </c>
      <c r="AI2618">
        <v>7.0000000000000007E-2</v>
      </c>
      <c r="AJ2618">
        <v>8.35</v>
      </c>
      <c r="AK2618">
        <v>7.5</v>
      </c>
      <c r="AL2618">
        <v>13.34</v>
      </c>
    </row>
    <row r="2619" spans="1:38" x14ac:dyDescent="0.25">
      <c r="A2619">
        <v>2618</v>
      </c>
      <c r="B2619" t="str">
        <f xml:space="preserve"> "300123"</f>
        <v>300123</v>
      </c>
      <c r="C2619" t="s">
        <v>7930</v>
      </c>
      <c r="D2619">
        <v>14.8</v>
      </c>
      <c r="E2619">
        <v>-1.92</v>
      </c>
      <c r="F2619">
        <v>-0.28999999999999998</v>
      </c>
      <c r="G2619" t="s">
        <v>2159</v>
      </c>
      <c r="H2619">
        <v>818</v>
      </c>
      <c r="I2619">
        <v>14.79</v>
      </c>
      <c r="J2619">
        <v>14.8</v>
      </c>
      <c r="K2619">
        <v>0.14000000000000001</v>
      </c>
      <c r="L2619">
        <v>1.32</v>
      </c>
      <c r="M2619" t="s">
        <v>7931</v>
      </c>
      <c r="N2619">
        <v>247.15</v>
      </c>
      <c r="O2619" t="s">
        <v>635</v>
      </c>
      <c r="P2619">
        <v>15.09</v>
      </c>
      <c r="Q2619">
        <v>14.71</v>
      </c>
      <c r="R2619">
        <v>15.05</v>
      </c>
      <c r="S2619">
        <v>15.09</v>
      </c>
      <c r="T2619">
        <v>2.52</v>
      </c>
      <c r="U2619">
        <v>0.5</v>
      </c>
      <c r="V2619">
        <v>73.069999999999993</v>
      </c>
      <c r="W2619">
        <v>3028</v>
      </c>
      <c r="X2619">
        <v>14.82</v>
      </c>
      <c r="Y2619" t="s">
        <v>275</v>
      </c>
      <c r="Z2619" t="s">
        <v>2991</v>
      </c>
      <c r="AA2619">
        <v>2.08</v>
      </c>
      <c r="AB2619">
        <v>101</v>
      </c>
      <c r="AC2619">
        <v>25</v>
      </c>
      <c r="AD2619">
        <v>3.85</v>
      </c>
      <c r="AE2619" t="s">
        <v>1857</v>
      </c>
      <c r="AF2619" t="s">
        <v>5998</v>
      </c>
      <c r="AG2619" t="s">
        <v>1948</v>
      </c>
      <c r="AH2619" t="s">
        <v>1265</v>
      </c>
      <c r="AI2619">
        <v>-0.54</v>
      </c>
      <c r="AJ2619">
        <v>-2.63</v>
      </c>
      <c r="AK2619">
        <v>5.88</v>
      </c>
      <c r="AL2619">
        <v>14.52</v>
      </c>
    </row>
    <row r="2620" spans="1:38" x14ac:dyDescent="0.25">
      <c r="A2620">
        <v>2619</v>
      </c>
      <c r="B2620" t="str">
        <f xml:space="preserve"> "002483"</f>
        <v>002483</v>
      </c>
      <c r="C2620" t="s">
        <v>7932</v>
      </c>
      <c r="D2620">
        <v>6.64</v>
      </c>
      <c r="E2620">
        <v>1.22</v>
      </c>
      <c r="F2620">
        <v>0.08</v>
      </c>
      <c r="G2620" t="s">
        <v>1445</v>
      </c>
      <c r="H2620">
        <v>732</v>
      </c>
      <c r="I2620">
        <v>6.64</v>
      </c>
      <c r="J2620">
        <v>6.65</v>
      </c>
      <c r="K2620">
        <v>0</v>
      </c>
      <c r="L2620">
        <v>0.7</v>
      </c>
      <c r="M2620" t="s">
        <v>7933</v>
      </c>
      <c r="N2620">
        <v>42.42</v>
      </c>
      <c r="O2620" t="s">
        <v>648</v>
      </c>
      <c r="P2620">
        <v>6.65</v>
      </c>
      <c r="Q2620">
        <v>6.55</v>
      </c>
      <c r="R2620">
        <v>6.57</v>
      </c>
      <c r="S2620">
        <v>6.56</v>
      </c>
      <c r="T2620">
        <v>1.52</v>
      </c>
      <c r="U2620">
        <v>1.42</v>
      </c>
      <c r="V2620">
        <v>-33.590000000000003</v>
      </c>
      <c r="W2620">
        <v>-2137</v>
      </c>
      <c r="X2620">
        <v>6.6</v>
      </c>
      <c r="Y2620" t="s">
        <v>3590</v>
      </c>
      <c r="Z2620" t="s">
        <v>1650</v>
      </c>
      <c r="AA2620">
        <v>0.69</v>
      </c>
      <c r="AB2620">
        <v>296</v>
      </c>
      <c r="AC2620">
        <v>1115</v>
      </c>
      <c r="AD2620">
        <v>1.83</v>
      </c>
      <c r="AE2620" t="s">
        <v>1490</v>
      </c>
      <c r="AF2620" t="s">
        <v>5998</v>
      </c>
      <c r="AG2620" t="s">
        <v>2236</v>
      </c>
      <c r="AH2620" t="s">
        <v>1800</v>
      </c>
      <c r="AI2620">
        <v>0.91</v>
      </c>
      <c r="AJ2620">
        <v>3.91</v>
      </c>
      <c r="AK2620">
        <v>1.78</v>
      </c>
      <c r="AL2620">
        <v>3.18</v>
      </c>
    </row>
    <row r="2621" spans="1:38" x14ac:dyDescent="0.25">
      <c r="A2621">
        <v>2620</v>
      </c>
      <c r="B2621" t="str">
        <f xml:space="preserve"> "002762"</f>
        <v>002762</v>
      </c>
      <c r="C2621" t="s">
        <v>7934</v>
      </c>
      <c r="D2621">
        <v>22.05</v>
      </c>
      <c r="E2621">
        <v>0.92</v>
      </c>
      <c r="F2621">
        <v>0.2</v>
      </c>
      <c r="G2621" t="s">
        <v>2968</v>
      </c>
      <c r="H2621">
        <v>290</v>
      </c>
      <c r="I2621">
        <v>22.04</v>
      </c>
      <c r="J2621">
        <v>22.05</v>
      </c>
      <c r="K2621">
        <v>0</v>
      </c>
      <c r="L2621">
        <v>2.35</v>
      </c>
      <c r="M2621" t="s">
        <v>7935</v>
      </c>
      <c r="N2621">
        <v>72.98</v>
      </c>
      <c r="O2621" t="s">
        <v>1443</v>
      </c>
      <c r="P2621">
        <v>22.11</v>
      </c>
      <c r="Q2621">
        <v>21.76</v>
      </c>
      <c r="R2621">
        <v>21.91</v>
      </c>
      <c r="S2621">
        <v>21.85</v>
      </c>
      <c r="T2621">
        <v>1.6</v>
      </c>
      <c r="U2621">
        <v>0.8</v>
      </c>
      <c r="V2621">
        <v>40.96</v>
      </c>
      <c r="W2621">
        <v>469</v>
      </c>
      <c r="X2621">
        <v>21.98</v>
      </c>
      <c r="Y2621">
        <v>7102</v>
      </c>
      <c r="Z2621">
        <v>9267</v>
      </c>
      <c r="AA2621">
        <v>0.77</v>
      </c>
      <c r="AB2621">
        <v>363</v>
      </c>
      <c r="AC2621">
        <v>135</v>
      </c>
      <c r="AD2621">
        <v>4.97</v>
      </c>
      <c r="AE2621" t="s">
        <v>1404</v>
      </c>
      <c r="AF2621" t="s">
        <v>7936</v>
      </c>
      <c r="AG2621" t="s">
        <v>7937</v>
      </c>
      <c r="AH2621" t="s">
        <v>122</v>
      </c>
      <c r="AI2621">
        <v>0.05</v>
      </c>
      <c r="AJ2621">
        <v>4.5</v>
      </c>
      <c r="AK2621">
        <v>7.22</v>
      </c>
      <c r="AL2621">
        <v>17.05</v>
      </c>
    </row>
    <row r="2622" spans="1:38" x14ac:dyDescent="0.25">
      <c r="A2622">
        <v>2621</v>
      </c>
      <c r="B2622" t="str">
        <f xml:space="preserve"> "600313"</f>
        <v>600313</v>
      </c>
      <c r="C2622" t="s">
        <v>7938</v>
      </c>
      <c r="D2622">
        <v>4.12</v>
      </c>
      <c r="E2622">
        <v>-0.24</v>
      </c>
      <c r="F2622">
        <v>-0.01</v>
      </c>
      <c r="G2622" t="s">
        <v>7576</v>
      </c>
      <c r="H2622">
        <v>10</v>
      </c>
      <c r="I2622">
        <v>4.1100000000000003</v>
      </c>
      <c r="J2622">
        <v>4.12</v>
      </c>
      <c r="K2622">
        <v>-0.24</v>
      </c>
      <c r="L2622">
        <v>0.62</v>
      </c>
      <c r="M2622" t="s">
        <v>7939</v>
      </c>
      <c r="N2622">
        <v>-113.02</v>
      </c>
      <c r="O2622" t="s">
        <v>622</v>
      </c>
      <c r="P2622">
        <v>4.1399999999999997</v>
      </c>
      <c r="Q2622">
        <v>4.08</v>
      </c>
      <c r="R2622">
        <v>4.0999999999999996</v>
      </c>
      <c r="S2622">
        <v>4.13</v>
      </c>
      <c r="T2622">
        <v>1.45</v>
      </c>
      <c r="U2622">
        <v>0.77</v>
      </c>
      <c r="V2622">
        <v>-48.87</v>
      </c>
      <c r="W2622" t="s">
        <v>7940</v>
      </c>
      <c r="X2622">
        <v>4.0999999999999996</v>
      </c>
      <c r="Y2622" t="s">
        <v>2273</v>
      </c>
      <c r="Z2622" t="s">
        <v>1199</v>
      </c>
      <c r="AA2622">
        <v>1.07</v>
      </c>
      <c r="AB2622">
        <v>425</v>
      </c>
      <c r="AC2622">
        <v>1734</v>
      </c>
      <c r="AD2622">
        <v>2.69</v>
      </c>
      <c r="AE2622" t="s">
        <v>352</v>
      </c>
      <c r="AF2622" t="s">
        <v>7936</v>
      </c>
      <c r="AG2622" t="s">
        <v>1014</v>
      </c>
      <c r="AH2622" t="s">
        <v>1265</v>
      </c>
      <c r="AI2622">
        <v>-0.48</v>
      </c>
      <c r="AJ2622">
        <v>3.78</v>
      </c>
      <c r="AK2622">
        <v>2.25</v>
      </c>
      <c r="AL2622">
        <v>4.62</v>
      </c>
    </row>
    <row r="2623" spans="1:38" x14ac:dyDescent="0.25">
      <c r="A2623">
        <v>2622</v>
      </c>
      <c r="B2623" t="str">
        <f xml:space="preserve"> "000716"</f>
        <v>000716</v>
      </c>
      <c r="C2623" t="s">
        <v>7941</v>
      </c>
      <c r="D2623">
        <v>7.04</v>
      </c>
      <c r="E2623">
        <v>10</v>
      </c>
      <c r="F2623">
        <v>0.64</v>
      </c>
      <c r="G2623" t="s">
        <v>7942</v>
      </c>
      <c r="H2623">
        <v>2514</v>
      </c>
      <c r="I2623">
        <v>7.04</v>
      </c>
      <c r="J2623" t="s">
        <v>616</v>
      </c>
      <c r="K2623">
        <v>0</v>
      </c>
      <c r="L2623">
        <v>10.93</v>
      </c>
      <c r="M2623" t="s">
        <v>2215</v>
      </c>
      <c r="N2623">
        <v>80.760000000000005</v>
      </c>
      <c r="O2623" t="s">
        <v>406</v>
      </c>
      <c r="P2623">
        <v>7.04</v>
      </c>
      <c r="Q2623">
        <v>6.47</v>
      </c>
      <c r="R2623">
        <v>6.47</v>
      </c>
      <c r="S2623">
        <v>6.4</v>
      </c>
      <c r="T2623">
        <v>8.91</v>
      </c>
      <c r="U2623">
        <v>7.86</v>
      </c>
      <c r="V2623">
        <v>100</v>
      </c>
      <c r="W2623" t="s">
        <v>2444</v>
      </c>
      <c r="X2623">
        <v>6.87</v>
      </c>
      <c r="Y2623" t="s">
        <v>2197</v>
      </c>
      <c r="Z2623" t="s">
        <v>7943</v>
      </c>
      <c r="AA2623">
        <v>0.65</v>
      </c>
      <c r="AB2623" t="s">
        <v>2360</v>
      </c>
      <c r="AC2623">
        <v>0</v>
      </c>
      <c r="AD2623">
        <v>2.52</v>
      </c>
      <c r="AE2623" t="s">
        <v>5946</v>
      </c>
      <c r="AF2623" t="s">
        <v>7936</v>
      </c>
      <c r="AG2623" t="s">
        <v>2293</v>
      </c>
      <c r="AH2623" t="s">
        <v>5928</v>
      </c>
      <c r="AI2623">
        <v>8.98</v>
      </c>
      <c r="AJ2623">
        <v>12.28</v>
      </c>
      <c r="AK2623">
        <v>14.3</v>
      </c>
      <c r="AL2623">
        <v>17.89</v>
      </c>
    </row>
    <row r="2624" spans="1:38" x14ac:dyDescent="0.25">
      <c r="A2624">
        <v>2623</v>
      </c>
      <c r="B2624" t="str">
        <f xml:space="preserve"> "002193"</f>
        <v>002193</v>
      </c>
      <c r="C2624" t="s">
        <v>7944</v>
      </c>
      <c r="D2624">
        <v>17.010000000000002</v>
      </c>
      <c r="E2624">
        <v>-0.64</v>
      </c>
      <c r="F2624">
        <v>-0.11</v>
      </c>
      <c r="G2624" t="s">
        <v>2800</v>
      </c>
      <c r="H2624">
        <v>238</v>
      </c>
      <c r="I2624">
        <v>17.010000000000002</v>
      </c>
      <c r="J2624">
        <v>17.02</v>
      </c>
      <c r="K2624">
        <v>0</v>
      </c>
      <c r="L2624">
        <v>0.45</v>
      </c>
      <c r="M2624" t="s">
        <v>7945</v>
      </c>
      <c r="N2624">
        <v>115</v>
      </c>
      <c r="O2624" t="s">
        <v>1443</v>
      </c>
      <c r="P2624">
        <v>17.2</v>
      </c>
      <c r="Q2624">
        <v>16.88</v>
      </c>
      <c r="R2624">
        <v>17.13</v>
      </c>
      <c r="S2624">
        <v>17.12</v>
      </c>
      <c r="T2624">
        <v>1.87</v>
      </c>
      <c r="U2624">
        <v>0.55000000000000004</v>
      </c>
      <c r="V2624">
        <v>32.869999999999997</v>
      </c>
      <c r="W2624">
        <v>320</v>
      </c>
      <c r="X2624">
        <v>16.989999999999998</v>
      </c>
      <c r="Y2624">
        <v>6164</v>
      </c>
      <c r="Z2624">
        <v>4335</v>
      </c>
      <c r="AA2624">
        <v>1.42</v>
      </c>
      <c r="AB2624">
        <v>46</v>
      </c>
      <c r="AC2624">
        <v>1</v>
      </c>
      <c r="AD2624">
        <v>1.8</v>
      </c>
      <c r="AE2624" t="s">
        <v>488</v>
      </c>
      <c r="AF2624" t="s">
        <v>4953</v>
      </c>
      <c r="AG2624" t="s">
        <v>281</v>
      </c>
      <c r="AH2624" t="s">
        <v>2569</v>
      </c>
      <c r="AI2624">
        <v>0.12</v>
      </c>
      <c r="AJ2624">
        <v>2.9</v>
      </c>
      <c r="AK2624">
        <v>2.4</v>
      </c>
      <c r="AL2624">
        <v>4.62</v>
      </c>
    </row>
    <row r="2625" spans="1:38" x14ac:dyDescent="0.25">
      <c r="A2625">
        <v>2624</v>
      </c>
      <c r="B2625" t="str">
        <f xml:space="preserve"> "600249"</f>
        <v>600249</v>
      </c>
      <c r="C2625" t="s">
        <v>7946</v>
      </c>
      <c r="D2625">
        <v>8.09</v>
      </c>
      <c r="E2625">
        <v>2.5299999999999998</v>
      </c>
      <c r="F2625">
        <v>0.2</v>
      </c>
      <c r="G2625" t="s">
        <v>282</v>
      </c>
      <c r="H2625">
        <v>125</v>
      </c>
      <c r="I2625">
        <v>8.08</v>
      </c>
      <c r="J2625">
        <v>8.09</v>
      </c>
      <c r="K2625">
        <v>0.12</v>
      </c>
      <c r="L2625">
        <v>1.9</v>
      </c>
      <c r="M2625" t="s">
        <v>7947</v>
      </c>
      <c r="N2625">
        <v>-37.700000000000003</v>
      </c>
      <c r="O2625" t="s">
        <v>667</v>
      </c>
      <c r="P2625">
        <v>8.1300000000000008</v>
      </c>
      <c r="Q2625">
        <v>7.86</v>
      </c>
      <c r="R2625">
        <v>7.91</v>
      </c>
      <c r="S2625">
        <v>7.89</v>
      </c>
      <c r="T2625">
        <v>3.42</v>
      </c>
      <c r="U2625">
        <v>1.58</v>
      </c>
      <c r="V2625">
        <v>-48.6</v>
      </c>
      <c r="W2625">
        <v>-2614</v>
      </c>
      <c r="X2625">
        <v>8.01</v>
      </c>
      <c r="Y2625" t="s">
        <v>506</v>
      </c>
      <c r="Z2625" t="s">
        <v>7948</v>
      </c>
      <c r="AA2625">
        <v>0.6</v>
      </c>
      <c r="AB2625">
        <v>303</v>
      </c>
      <c r="AC2625">
        <v>329</v>
      </c>
      <c r="AD2625">
        <v>2.2999999999999998</v>
      </c>
      <c r="AE2625" t="s">
        <v>4993</v>
      </c>
      <c r="AF2625" t="s">
        <v>4953</v>
      </c>
      <c r="AG2625" t="s">
        <v>3370</v>
      </c>
      <c r="AH2625" t="s">
        <v>2629</v>
      </c>
      <c r="AI2625">
        <v>0</v>
      </c>
      <c r="AJ2625">
        <v>1.51</v>
      </c>
      <c r="AK2625">
        <v>4.45</v>
      </c>
      <c r="AL2625">
        <v>7.9</v>
      </c>
    </row>
    <row r="2626" spans="1:38" x14ac:dyDescent="0.25">
      <c r="A2626">
        <v>2625</v>
      </c>
      <c r="B2626" t="str">
        <f xml:space="preserve"> "300295"</f>
        <v>300295</v>
      </c>
      <c r="C2626" t="s">
        <v>7949</v>
      </c>
      <c r="D2626">
        <v>23.15</v>
      </c>
      <c r="E2626">
        <v>-0.98</v>
      </c>
      <c r="F2626">
        <v>-0.23</v>
      </c>
      <c r="G2626" t="s">
        <v>430</v>
      </c>
      <c r="H2626">
        <v>1335</v>
      </c>
      <c r="I2626">
        <v>23.14</v>
      </c>
      <c r="J2626">
        <v>23.15</v>
      </c>
      <c r="K2626">
        <v>0</v>
      </c>
      <c r="L2626">
        <v>2.0499999999999998</v>
      </c>
      <c r="M2626" t="s">
        <v>7950</v>
      </c>
      <c r="N2626">
        <v>46.21</v>
      </c>
      <c r="O2626" t="s">
        <v>553</v>
      </c>
      <c r="P2626">
        <v>23.83</v>
      </c>
      <c r="Q2626">
        <v>23.15</v>
      </c>
      <c r="R2626">
        <v>23.38</v>
      </c>
      <c r="S2626">
        <v>23.38</v>
      </c>
      <c r="T2626">
        <v>2.91</v>
      </c>
      <c r="U2626">
        <v>0.49</v>
      </c>
      <c r="V2626">
        <v>-42.46</v>
      </c>
      <c r="W2626">
        <v>-428</v>
      </c>
      <c r="X2626">
        <v>23.36</v>
      </c>
      <c r="Y2626" t="s">
        <v>1986</v>
      </c>
      <c r="Z2626" t="s">
        <v>1578</v>
      </c>
      <c r="AA2626">
        <v>1.21</v>
      </c>
      <c r="AB2626">
        <v>23</v>
      </c>
      <c r="AC2626">
        <v>443</v>
      </c>
      <c r="AD2626">
        <v>4.2300000000000004</v>
      </c>
      <c r="AE2626" t="s">
        <v>2662</v>
      </c>
      <c r="AF2626" t="s">
        <v>4953</v>
      </c>
      <c r="AG2626" t="s">
        <v>7355</v>
      </c>
      <c r="AH2626" t="s">
        <v>3686</v>
      </c>
      <c r="AI2626">
        <v>-1.2</v>
      </c>
      <c r="AJ2626">
        <v>8.6300000000000008</v>
      </c>
      <c r="AK2626">
        <v>12.09</v>
      </c>
      <c r="AL2626">
        <v>23</v>
      </c>
    </row>
    <row r="2627" spans="1:38" x14ac:dyDescent="0.25">
      <c r="A2627">
        <v>2626</v>
      </c>
      <c r="B2627" t="str">
        <f xml:space="preserve"> "603668"</f>
        <v>603668</v>
      </c>
      <c r="C2627" t="s">
        <v>7951</v>
      </c>
      <c r="D2627">
        <v>14.97</v>
      </c>
      <c r="E2627">
        <v>2.25</v>
      </c>
      <c r="F2627">
        <v>0.33</v>
      </c>
      <c r="G2627" t="s">
        <v>3524</v>
      </c>
      <c r="H2627">
        <v>4</v>
      </c>
      <c r="I2627">
        <v>14.96</v>
      </c>
      <c r="J2627">
        <v>14.97</v>
      </c>
      <c r="K2627">
        <v>7.0000000000000007E-2</v>
      </c>
      <c r="L2627">
        <v>5.0999999999999996</v>
      </c>
      <c r="M2627" t="s">
        <v>7899</v>
      </c>
      <c r="N2627">
        <v>47.8</v>
      </c>
      <c r="O2627" t="s">
        <v>622</v>
      </c>
      <c r="P2627">
        <v>14.97</v>
      </c>
      <c r="Q2627">
        <v>14.59</v>
      </c>
      <c r="R2627">
        <v>14.65</v>
      </c>
      <c r="S2627">
        <v>14.64</v>
      </c>
      <c r="T2627">
        <v>2.6</v>
      </c>
      <c r="U2627">
        <v>1.56</v>
      </c>
      <c r="V2627">
        <v>-39.36</v>
      </c>
      <c r="W2627">
        <v>-747</v>
      </c>
      <c r="X2627">
        <v>14.85</v>
      </c>
      <c r="Y2627" t="s">
        <v>1114</v>
      </c>
      <c r="Z2627" t="s">
        <v>3656</v>
      </c>
      <c r="AA2627">
        <v>0.63</v>
      </c>
      <c r="AB2627">
        <v>209</v>
      </c>
      <c r="AC2627">
        <v>271</v>
      </c>
      <c r="AD2627">
        <v>5.75</v>
      </c>
      <c r="AE2627" t="s">
        <v>2923</v>
      </c>
      <c r="AF2627" t="s">
        <v>2940</v>
      </c>
      <c r="AG2627" t="s">
        <v>7952</v>
      </c>
      <c r="AH2627" t="s">
        <v>204</v>
      </c>
      <c r="AI2627">
        <v>0.67</v>
      </c>
      <c r="AJ2627">
        <v>3.74</v>
      </c>
      <c r="AK2627">
        <v>11.9</v>
      </c>
      <c r="AL2627">
        <v>21.41</v>
      </c>
    </row>
    <row r="2628" spans="1:38" x14ac:dyDescent="0.25">
      <c r="A2628">
        <v>2627</v>
      </c>
      <c r="B2628" t="str">
        <f xml:space="preserve"> "300181"</f>
        <v>300181</v>
      </c>
      <c r="C2628" t="s">
        <v>7953</v>
      </c>
      <c r="D2628">
        <v>7.3</v>
      </c>
      <c r="E2628">
        <v>-0.68</v>
      </c>
      <c r="F2628">
        <v>-0.05</v>
      </c>
      <c r="G2628" t="s">
        <v>2749</v>
      </c>
      <c r="H2628">
        <v>510</v>
      </c>
      <c r="I2628">
        <v>7.3</v>
      </c>
      <c r="J2628">
        <v>7.31</v>
      </c>
      <c r="K2628">
        <v>0</v>
      </c>
      <c r="L2628">
        <v>1.61</v>
      </c>
      <c r="M2628" t="s">
        <v>7954</v>
      </c>
      <c r="N2628">
        <v>46.09</v>
      </c>
      <c r="O2628" t="s">
        <v>392</v>
      </c>
      <c r="P2628">
        <v>7.38</v>
      </c>
      <c r="Q2628">
        <v>7.2</v>
      </c>
      <c r="R2628">
        <v>7.25</v>
      </c>
      <c r="S2628">
        <v>7.35</v>
      </c>
      <c r="T2628">
        <v>2.4500000000000002</v>
      </c>
      <c r="U2628">
        <v>0.88</v>
      </c>
      <c r="V2628">
        <v>11.9</v>
      </c>
      <c r="W2628">
        <v>353</v>
      </c>
      <c r="X2628">
        <v>7.28</v>
      </c>
      <c r="Y2628" t="s">
        <v>1533</v>
      </c>
      <c r="Z2628" t="s">
        <v>1190</v>
      </c>
      <c r="AA2628">
        <v>0.94</v>
      </c>
      <c r="AB2628">
        <v>115</v>
      </c>
      <c r="AC2628">
        <v>224</v>
      </c>
      <c r="AD2628">
        <v>3.27</v>
      </c>
      <c r="AE2628" t="s">
        <v>3208</v>
      </c>
      <c r="AF2628" t="s">
        <v>2940</v>
      </c>
      <c r="AG2628" t="s">
        <v>4458</v>
      </c>
      <c r="AH2628" t="s">
        <v>705</v>
      </c>
      <c r="AI2628">
        <v>-3.57</v>
      </c>
      <c r="AJ2628">
        <v>0.55000000000000004</v>
      </c>
      <c r="AK2628">
        <v>5.3</v>
      </c>
      <c r="AL2628">
        <v>10.78</v>
      </c>
    </row>
    <row r="2629" spans="1:38" x14ac:dyDescent="0.25">
      <c r="A2629">
        <v>2628</v>
      </c>
      <c r="B2629" t="str">
        <f xml:space="preserve"> "000567"</f>
        <v>000567</v>
      </c>
      <c r="C2629" t="s">
        <v>7955</v>
      </c>
      <c r="D2629">
        <v>29.37</v>
      </c>
      <c r="E2629">
        <v>1.24</v>
      </c>
      <c r="F2629">
        <v>0.36</v>
      </c>
      <c r="G2629" t="s">
        <v>623</v>
      </c>
      <c r="H2629">
        <v>451</v>
      </c>
      <c r="I2629">
        <v>29.37</v>
      </c>
      <c r="J2629">
        <v>29.38</v>
      </c>
      <c r="K2629">
        <v>0.03</v>
      </c>
      <c r="L2629">
        <v>1.79</v>
      </c>
      <c r="M2629" t="s">
        <v>7956</v>
      </c>
      <c r="N2629">
        <v>59.3</v>
      </c>
      <c r="O2629" t="s">
        <v>244</v>
      </c>
      <c r="P2629">
        <v>29.51</v>
      </c>
      <c r="Q2629">
        <v>28.9</v>
      </c>
      <c r="R2629">
        <v>29.1</v>
      </c>
      <c r="S2629">
        <v>29.01</v>
      </c>
      <c r="T2629">
        <v>2.1</v>
      </c>
      <c r="U2629">
        <v>0.65</v>
      </c>
      <c r="V2629">
        <v>-10.66</v>
      </c>
      <c r="W2629">
        <v>-47</v>
      </c>
      <c r="X2629">
        <v>29.13</v>
      </c>
      <c r="Y2629" t="s">
        <v>545</v>
      </c>
      <c r="Z2629" t="s">
        <v>1153</v>
      </c>
      <c r="AA2629">
        <v>0.92</v>
      </c>
      <c r="AB2629">
        <v>38</v>
      </c>
      <c r="AC2629">
        <v>25</v>
      </c>
      <c r="AD2629">
        <v>17.54</v>
      </c>
      <c r="AE2629" t="s">
        <v>2878</v>
      </c>
      <c r="AF2629" t="s">
        <v>2940</v>
      </c>
      <c r="AG2629" t="s">
        <v>598</v>
      </c>
      <c r="AH2629" t="s">
        <v>2449</v>
      </c>
      <c r="AI2629">
        <v>-2.1</v>
      </c>
      <c r="AJ2629">
        <v>-3.93</v>
      </c>
      <c r="AK2629">
        <v>7.64</v>
      </c>
      <c r="AL2629">
        <v>15.58</v>
      </c>
    </row>
    <row r="2630" spans="1:38" x14ac:dyDescent="0.25">
      <c r="A2630">
        <v>2629</v>
      </c>
      <c r="B2630" t="str">
        <f xml:space="preserve"> "002847"</f>
        <v>002847</v>
      </c>
      <c r="C2630" t="s">
        <v>7957</v>
      </c>
      <c r="D2630">
        <v>35.81</v>
      </c>
      <c r="E2630">
        <v>1.96</v>
      </c>
      <c r="F2630">
        <v>0.69</v>
      </c>
      <c r="G2630" t="s">
        <v>1533</v>
      </c>
      <c r="H2630">
        <v>732</v>
      </c>
      <c r="I2630">
        <v>35.81</v>
      </c>
      <c r="J2630">
        <v>35.82</v>
      </c>
      <c r="K2630">
        <v>0</v>
      </c>
      <c r="L2630">
        <v>8.91</v>
      </c>
      <c r="M2630" t="s">
        <v>7958</v>
      </c>
      <c r="N2630">
        <v>53.34</v>
      </c>
      <c r="O2630" t="s">
        <v>406</v>
      </c>
      <c r="P2630">
        <v>36</v>
      </c>
      <c r="Q2630">
        <v>34.799999999999997</v>
      </c>
      <c r="R2630">
        <v>35.6</v>
      </c>
      <c r="S2630">
        <v>35.119999999999997</v>
      </c>
      <c r="T2630">
        <v>3.42</v>
      </c>
      <c r="U2630">
        <v>0.61</v>
      </c>
      <c r="V2630">
        <v>66.290000000000006</v>
      </c>
      <c r="W2630">
        <v>409</v>
      </c>
      <c r="X2630">
        <v>35.450000000000003</v>
      </c>
      <c r="Y2630" t="s">
        <v>1799</v>
      </c>
      <c r="Z2630" t="s">
        <v>530</v>
      </c>
      <c r="AA2630">
        <v>0.86</v>
      </c>
      <c r="AB2630">
        <v>274</v>
      </c>
      <c r="AC2630">
        <v>54</v>
      </c>
      <c r="AD2630">
        <v>7.78</v>
      </c>
      <c r="AE2630" t="s">
        <v>734</v>
      </c>
      <c r="AF2630" t="s">
        <v>2940</v>
      </c>
      <c r="AG2630" t="s">
        <v>7959</v>
      </c>
      <c r="AH2630" t="s">
        <v>204</v>
      </c>
      <c r="AI2630">
        <v>-2.0499999999999998</v>
      </c>
      <c r="AJ2630">
        <v>-17.87</v>
      </c>
      <c r="AK2630">
        <v>28.86</v>
      </c>
      <c r="AL2630">
        <v>81.67</v>
      </c>
    </row>
    <row r="2631" spans="1:38" x14ac:dyDescent="0.25">
      <c r="A2631">
        <v>2630</v>
      </c>
      <c r="B2631" t="str">
        <f xml:space="preserve"> "603767"</f>
        <v>603767</v>
      </c>
      <c r="C2631" t="s">
        <v>7960</v>
      </c>
      <c r="D2631">
        <v>20.81</v>
      </c>
      <c r="E2631">
        <v>1.51</v>
      </c>
      <c r="F2631">
        <v>0.31</v>
      </c>
      <c r="G2631" t="s">
        <v>2481</v>
      </c>
      <c r="H2631">
        <v>31</v>
      </c>
      <c r="I2631">
        <v>20.8</v>
      </c>
      <c r="J2631">
        <v>20.81</v>
      </c>
      <c r="K2631">
        <v>-0.1</v>
      </c>
      <c r="L2631">
        <v>7.88</v>
      </c>
      <c r="M2631" t="s">
        <v>7961</v>
      </c>
      <c r="N2631">
        <v>50.85</v>
      </c>
      <c r="O2631" t="s">
        <v>169</v>
      </c>
      <c r="P2631">
        <v>20.89</v>
      </c>
      <c r="Q2631">
        <v>20.22</v>
      </c>
      <c r="R2631">
        <v>20.47</v>
      </c>
      <c r="S2631">
        <v>20.5</v>
      </c>
      <c r="T2631">
        <v>3.27</v>
      </c>
      <c r="U2631">
        <v>0.68</v>
      </c>
      <c r="V2631">
        <v>20.54</v>
      </c>
      <c r="W2631">
        <v>446</v>
      </c>
      <c r="X2631">
        <v>20.61</v>
      </c>
      <c r="Y2631" t="s">
        <v>507</v>
      </c>
      <c r="Z2631" t="s">
        <v>3825</v>
      </c>
      <c r="AA2631">
        <v>0.87</v>
      </c>
      <c r="AB2631">
        <v>122</v>
      </c>
      <c r="AC2631">
        <v>21</v>
      </c>
      <c r="AD2631">
        <v>3.2</v>
      </c>
      <c r="AE2631" t="s">
        <v>4728</v>
      </c>
      <c r="AF2631" t="s">
        <v>2940</v>
      </c>
      <c r="AG2631" t="s">
        <v>7962</v>
      </c>
      <c r="AH2631" t="s">
        <v>204</v>
      </c>
      <c r="AI2631">
        <v>-2.71</v>
      </c>
      <c r="AJ2631">
        <v>1.71</v>
      </c>
      <c r="AK2631">
        <v>26.95</v>
      </c>
      <c r="AL2631">
        <v>65.52</v>
      </c>
    </row>
    <row r="2632" spans="1:38" x14ac:dyDescent="0.25">
      <c r="A2632">
        <v>2631</v>
      </c>
      <c r="B2632" t="str">
        <f xml:space="preserve"> "000909"</f>
        <v>000909</v>
      </c>
      <c r="C2632" t="s">
        <v>7963</v>
      </c>
      <c r="D2632">
        <v>14.21</v>
      </c>
      <c r="E2632">
        <v>-2.67</v>
      </c>
      <c r="F2632">
        <v>-0.39</v>
      </c>
      <c r="G2632" t="s">
        <v>1583</v>
      </c>
      <c r="H2632">
        <v>1245</v>
      </c>
      <c r="I2632">
        <v>14.2</v>
      </c>
      <c r="J2632">
        <v>14.21</v>
      </c>
      <c r="K2632">
        <v>7.0000000000000007E-2</v>
      </c>
      <c r="L2632">
        <v>4.9400000000000004</v>
      </c>
      <c r="M2632" t="s">
        <v>883</v>
      </c>
      <c r="N2632">
        <v>113.4</v>
      </c>
      <c r="O2632" t="s">
        <v>3277</v>
      </c>
      <c r="P2632">
        <v>14.7</v>
      </c>
      <c r="Q2632">
        <v>13.98</v>
      </c>
      <c r="R2632">
        <v>14.7</v>
      </c>
      <c r="S2632">
        <v>14.6</v>
      </c>
      <c r="T2632">
        <v>4.93</v>
      </c>
      <c r="U2632">
        <v>1.4</v>
      </c>
      <c r="V2632">
        <v>25.5</v>
      </c>
      <c r="W2632">
        <v>534</v>
      </c>
      <c r="X2632">
        <v>14.22</v>
      </c>
      <c r="Y2632" t="s">
        <v>4333</v>
      </c>
      <c r="Z2632" t="s">
        <v>4012</v>
      </c>
      <c r="AA2632">
        <v>1.44</v>
      </c>
      <c r="AB2632">
        <v>538</v>
      </c>
      <c r="AC2632">
        <v>89</v>
      </c>
      <c r="AD2632">
        <v>4.3099999999999996</v>
      </c>
      <c r="AE2632" t="s">
        <v>5539</v>
      </c>
      <c r="AF2632" t="s">
        <v>2940</v>
      </c>
      <c r="AG2632" t="s">
        <v>2268</v>
      </c>
      <c r="AH2632" t="s">
        <v>6544</v>
      </c>
      <c r="AI2632">
        <v>0.56999999999999995</v>
      </c>
      <c r="AJ2632">
        <v>4.18</v>
      </c>
      <c r="AK2632">
        <v>16.260000000000002</v>
      </c>
      <c r="AL2632">
        <v>22.62</v>
      </c>
    </row>
    <row r="2633" spans="1:38" x14ac:dyDescent="0.25">
      <c r="A2633">
        <v>2632</v>
      </c>
      <c r="B2633" t="str">
        <f xml:space="preserve"> "600353"</f>
        <v>600353</v>
      </c>
      <c r="C2633" t="s">
        <v>7964</v>
      </c>
      <c r="D2633">
        <v>8.15</v>
      </c>
      <c r="E2633">
        <v>-1.33</v>
      </c>
      <c r="F2633">
        <v>-0.11</v>
      </c>
      <c r="G2633" t="s">
        <v>7818</v>
      </c>
      <c r="H2633">
        <v>82</v>
      </c>
      <c r="I2633">
        <v>8.14</v>
      </c>
      <c r="J2633">
        <v>8.15</v>
      </c>
      <c r="K2633">
        <v>0.25</v>
      </c>
      <c r="L2633">
        <v>1.72</v>
      </c>
      <c r="M2633" t="s">
        <v>7965</v>
      </c>
      <c r="N2633">
        <v>103.99</v>
      </c>
      <c r="O2633" t="s">
        <v>380</v>
      </c>
      <c r="P2633">
        <v>8.25</v>
      </c>
      <c r="Q2633">
        <v>8.08</v>
      </c>
      <c r="R2633">
        <v>8.25</v>
      </c>
      <c r="S2633">
        <v>8.26</v>
      </c>
      <c r="T2633">
        <v>2.06</v>
      </c>
      <c r="U2633">
        <v>0.37</v>
      </c>
      <c r="V2633">
        <v>50.87</v>
      </c>
      <c r="W2633">
        <v>4098</v>
      </c>
      <c r="X2633">
        <v>8.14</v>
      </c>
      <c r="Y2633" t="s">
        <v>3050</v>
      </c>
      <c r="Z2633" t="s">
        <v>2658</v>
      </c>
      <c r="AA2633">
        <v>1.47</v>
      </c>
      <c r="AB2633">
        <v>167</v>
      </c>
      <c r="AC2633">
        <v>163</v>
      </c>
      <c r="AD2633">
        <v>4.13</v>
      </c>
      <c r="AE2633" t="s">
        <v>2211</v>
      </c>
      <c r="AF2633" t="s">
        <v>6819</v>
      </c>
      <c r="AG2633" t="s">
        <v>2211</v>
      </c>
      <c r="AH2633" t="s">
        <v>6819</v>
      </c>
      <c r="AI2633">
        <v>-4.79</v>
      </c>
      <c r="AJ2633">
        <v>7.8</v>
      </c>
      <c r="AK2633">
        <v>7.93</v>
      </c>
      <c r="AL2633">
        <v>25</v>
      </c>
    </row>
    <row r="2634" spans="1:38" x14ac:dyDescent="0.25">
      <c r="A2634">
        <v>2633</v>
      </c>
      <c r="B2634" t="str">
        <f xml:space="preserve"> "002846"</f>
        <v>002846</v>
      </c>
      <c r="C2634" t="s">
        <v>7966</v>
      </c>
      <c r="D2634">
        <v>36.92</v>
      </c>
      <c r="E2634">
        <v>10.01</v>
      </c>
      <c r="F2634">
        <v>3.36</v>
      </c>
      <c r="G2634" t="s">
        <v>362</v>
      </c>
      <c r="H2634">
        <v>71</v>
      </c>
      <c r="I2634">
        <v>36.92</v>
      </c>
      <c r="J2634" t="s">
        <v>616</v>
      </c>
      <c r="K2634">
        <v>0</v>
      </c>
      <c r="L2634">
        <v>34.65</v>
      </c>
      <c r="M2634" t="s">
        <v>1546</v>
      </c>
      <c r="N2634">
        <v>91.59</v>
      </c>
      <c r="O2634" t="s">
        <v>3873</v>
      </c>
      <c r="P2634">
        <v>36.92</v>
      </c>
      <c r="Q2634">
        <v>33.22</v>
      </c>
      <c r="R2634">
        <v>33.22</v>
      </c>
      <c r="S2634">
        <v>33.56</v>
      </c>
      <c r="T2634">
        <v>11.03</v>
      </c>
      <c r="U2634">
        <v>3.53</v>
      </c>
      <c r="V2634">
        <v>100</v>
      </c>
      <c r="W2634" t="s">
        <v>1420</v>
      </c>
      <c r="X2634">
        <v>35.79</v>
      </c>
      <c r="Y2634" t="s">
        <v>656</v>
      </c>
      <c r="Z2634" t="s">
        <v>3819</v>
      </c>
      <c r="AA2634">
        <v>0.92</v>
      </c>
      <c r="AB2634" t="s">
        <v>468</v>
      </c>
      <c r="AC2634">
        <v>0</v>
      </c>
      <c r="AD2634">
        <v>8.3800000000000008</v>
      </c>
      <c r="AE2634" t="s">
        <v>918</v>
      </c>
      <c r="AF2634" t="s">
        <v>6819</v>
      </c>
      <c r="AG2634" t="s">
        <v>3067</v>
      </c>
      <c r="AH2634" t="s">
        <v>204</v>
      </c>
      <c r="AI2634">
        <v>12.29</v>
      </c>
      <c r="AJ2634">
        <v>19.829999999999998</v>
      </c>
      <c r="AK2634">
        <v>57.27</v>
      </c>
      <c r="AL2634">
        <v>83.73</v>
      </c>
    </row>
    <row r="2635" spans="1:38" x14ac:dyDescent="0.25">
      <c r="A2635">
        <v>2634</v>
      </c>
      <c r="B2635" t="str">
        <f xml:space="preserve"> "300690"</f>
        <v>300690</v>
      </c>
      <c r="C2635" t="s">
        <v>7967</v>
      </c>
      <c r="D2635">
        <v>63.89</v>
      </c>
      <c r="E2635">
        <v>2.4500000000000002</v>
      </c>
      <c r="F2635">
        <v>1.53</v>
      </c>
      <c r="G2635" t="s">
        <v>1411</v>
      </c>
      <c r="H2635">
        <v>269</v>
      </c>
      <c r="I2635">
        <v>63.85</v>
      </c>
      <c r="J2635">
        <v>63.89</v>
      </c>
      <c r="K2635">
        <v>-0.02</v>
      </c>
      <c r="L2635">
        <v>6.35</v>
      </c>
      <c r="M2635" t="s">
        <v>7968</v>
      </c>
      <c r="N2635">
        <v>43.06</v>
      </c>
      <c r="O2635" t="s">
        <v>648</v>
      </c>
      <c r="P2635">
        <v>63.9</v>
      </c>
      <c r="Q2635">
        <v>62.37</v>
      </c>
      <c r="R2635">
        <v>62.37</v>
      </c>
      <c r="S2635">
        <v>62.36</v>
      </c>
      <c r="T2635">
        <v>2.4500000000000002</v>
      </c>
      <c r="U2635">
        <v>0.9</v>
      </c>
      <c r="V2635">
        <v>-85.81</v>
      </c>
      <c r="W2635">
        <v>-266</v>
      </c>
      <c r="X2635">
        <v>63.4</v>
      </c>
      <c r="Y2635">
        <v>4515</v>
      </c>
      <c r="Z2635">
        <v>6500</v>
      </c>
      <c r="AA2635">
        <v>0.69</v>
      </c>
      <c r="AB2635">
        <v>3</v>
      </c>
      <c r="AC2635">
        <v>12</v>
      </c>
      <c r="AD2635">
        <v>5.0999999999999996</v>
      </c>
      <c r="AE2635" t="s">
        <v>4846</v>
      </c>
      <c r="AF2635" t="s">
        <v>6819</v>
      </c>
      <c r="AG2635" t="s">
        <v>7969</v>
      </c>
      <c r="AH2635" t="s">
        <v>204</v>
      </c>
      <c r="AI2635">
        <v>-0.95</v>
      </c>
      <c r="AJ2635">
        <v>1.98</v>
      </c>
      <c r="AK2635">
        <v>17.82</v>
      </c>
      <c r="AL2635">
        <v>41.54</v>
      </c>
    </row>
    <row r="2636" spans="1:38" x14ac:dyDescent="0.25">
      <c r="A2636">
        <v>2635</v>
      </c>
      <c r="B2636" t="str">
        <f xml:space="preserve"> "300419"</f>
        <v>300419</v>
      </c>
      <c r="C2636" t="s">
        <v>7970</v>
      </c>
      <c r="D2636">
        <v>12.04</v>
      </c>
      <c r="E2636">
        <v>-0.5</v>
      </c>
      <c r="F2636">
        <v>-0.06</v>
      </c>
      <c r="G2636" t="s">
        <v>5376</v>
      </c>
      <c r="H2636">
        <v>1397</v>
      </c>
      <c r="I2636">
        <v>12.04</v>
      </c>
      <c r="J2636">
        <v>12.05</v>
      </c>
      <c r="K2636">
        <v>0</v>
      </c>
      <c r="L2636">
        <v>2.35</v>
      </c>
      <c r="M2636" t="s">
        <v>7971</v>
      </c>
      <c r="N2636">
        <v>72.09</v>
      </c>
      <c r="O2636" t="s">
        <v>553</v>
      </c>
      <c r="P2636">
        <v>12.1</v>
      </c>
      <c r="Q2636">
        <v>11.93</v>
      </c>
      <c r="R2636">
        <v>12.01</v>
      </c>
      <c r="S2636">
        <v>12.1</v>
      </c>
      <c r="T2636">
        <v>1.4</v>
      </c>
      <c r="U2636">
        <v>0.74</v>
      </c>
      <c r="V2636">
        <v>16.7</v>
      </c>
      <c r="W2636">
        <v>774</v>
      </c>
      <c r="X2636">
        <v>12.01</v>
      </c>
      <c r="Y2636" t="s">
        <v>3948</v>
      </c>
      <c r="Z2636" t="s">
        <v>1653</v>
      </c>
      <c r="AA2636">
        <v>1.44</v>
      </c>
      <c r="AB2636">
        <v>804</v>
      </c>
      <c r="AC2636">
        <v>516</v>
      </c>
      <c r="AD2636">
        <v>3.01</v>
      </c>
      <c r="AE2636" t="s">
        <v>2591</v>
      </c>
      <c r="AF2636" t="s">
        <v>6819</v>
      </c>
      <c r="AG2636" t="s">
        <v>2526</v>
      </c>
      <c r="AH2636" t="s">
        <v>2716</v>
      </c>
      <c r="AI2636">
        <v>-1.47</v>
      </c>
      <c r="AJ2636">
        <v>3.79</v>
      </c>
      <c r="AK2636">
        <v>9.81</v>
      </c>
      <c r="AL2636">
        <v>18.27</v>
      </c>
    </row>
    <row r="2637" spans="1:38" x14ac:dyDescent="0.25">
      <c r="A2637">
        <v>2636</v>
      </c>
      <c r="B2637" t="str">
        <f xml:space="preserve"> "603789"</f>
        <v>603789</v>
      </c>
      <c r="C2637" t="s">
        <v>7972</v>
      </c>
      <c r="D2637">
        <v>16.899999999999999</v>
      </c>
      <c r="E2637">
        <v>3.05</v>
      </c>
      <c r="F2637">
        <v>0.5</v>
      </c>
      <c r="G2637" t="s">
        <v>5376</v>
      </c>
      <c r="H2637">
        <v>5</v>
      </c>
      <c r="I2637">
        <v>16.89</v>
      </c>
      <c r="J2637">
        <v>16.899999999999999</v>
      </c>
      <c r="K2637">
        <v>0</v>
      </c>
      <c r="L2637">
        <v>4.63</v>
      </c>
      <c r="M2637" t="s">
        <v>7546</v>
      </c>
      <c r="N2637">
        <v>56.45</v>
      </c>
      <c r="O2637" t="s">
        <v>648</v>
      </c>
      <c r="P2637">
        <v>17.07</v>
      </c>
      <c r="Q2637">
        <v>16.55</v>
      </c>
      <c r="R2637">
        <v>16.55</v>
      </c>
      <c r="S2637">
        <v>16.399999999999999</v>
      </c>
      <c r="T2637">
        <v>3.17</v>
      </c>
      <c r="U2637">
        <v>2.04</v>
      </c>
      <c r="V2637">
        <v>-57.95</v>
      </c>
      <c r="W2637">
        <v>-740</v>
      </c>
      <c r="X2637">
        <v>16.86</v>
      </c>
      <c r="Y2637" t="s">
        <v>1986</v>
      </c>
      <c r="Z2637" t="s">
        <v>121</v>
      </c>
      <c r="AA2637">
        <v>0.73</v>
      </c>
      <c r="AB2637">
        <v>31</v>
      </c>
      <c r="AC2637">
        <v>29</v>
      </c>
      <c r="AD2637">
        <v>4.03</v>
      </c>
      <c r="AE2637" t="s">
        <v>488</v>
      </c>
      <c r="AF2637" t="s">
        <v>6819</v>
      </c>
      <c r="AG2637" t="s">
        <v>1718</v>
      </c>
      <c r="AH2637" t="s">
        <v>2050</v>
      </c>
      <c r="AI2637">
        <v>1.5</v>
      </c>
      <c r="AJ2637">
        <v>4.9000000000000004</v>
      </c>
      <c r="AK2637">
        <v>8.9</v>
      </c>
      <c r="AL2637">
        <v>15.95</v>
      </c>
    </row>
    <row r="2638" spans="1:38" x14ac:dyDescent="0.25">
      <c r="A2638">
        <v>2637</v>
      </c>
      <c r="B2638" t="str">
        <f xml:space="preserve"> "600397"</f>
        <v>600397</v>
      </c>
      <c r="C2638" t="s">
        <v>7973</v>
      </c>
      <c r="D2638">
        <v>4.47</v>
      </c>
      <c r="E2638">
        <v>-0.22</v>
      </c>
      <c r="F2638">
        <v>-0.01</v>
      </c>
      <c r="G2638" t="s">
        <v>6551</v>
      </c>
      <c r="H2638">
        <v>48</v>
      </c>
      <c r="I2638">
        <v>4.47</v>
      </c>
      <c r="J2638">
        <v>4.4800000000000004</v>
      </c>
      <c r="K2638">
        <v>-0.22</v>
      </c>
      <c r="L2638">
        <v>0.44</v>
      </c>
      <c r="M2638" t="s">
        <v>7974</v>
      </c>
      <c r="N2638">
        <v>-110.59</v>
      </c>
      <c r="O2638" t="s">
        <v>150</v>
      </c>
      <c r="P2638">
        <v>4.5</v>
      </c>
      <c r="Q2638">
        <v>4.4400000000000004</v>
      </c>
      <c r="R2638">
        <v>4.47</v>
      </c>
      <c r="S2638">
        <v>4.4800000000000004</v>
      </c>
      <c r="T2638">
        <v>1.34</v>
      </c>
      <c r="U2638">
        <v>0.71</v>
      </c>
      <c r="V2638">
        <v>-41.95</v>
      </c>
      <c r="W2638">
        <v>-5367</v>
      </c>
      <c r="X2638">
        <v>4.47</v>
      </c>
      <c r="Y2638" t="s">
        <v>1476</v>
      </c>
      <c r="Z2638" t="s">
        <v>6292</v>
      </c>
      <c r="AA2638">
        <v>1.46</v>
      </c>
      <c r="AB2638">
        <v>200</v>
      </c>
      <c r="AC2638">
        <v>1164</v>
      </c>
      <c r="AD2638">
        <v>3.03</v>
      </c>
      <c r="AE2638" t="s">
        <v>7315</v>
      </c>
      <c r="AF2638" t="s">
        <v>6819</v>
      </c>
      <c r="AG2638" t="s">
        <v>7315</v>
      </c>
      <c r="AH2638" t="s">
        <v>6819</v>
      </c>
      <c r="AI2638">
        <v>-1.1100000000000001</v>
      </c>
      <c r="AJ2638">
        <v>0.22</v>
      </c>
      <c r="AK2638">
        <v>1.91</v>
      </c>
      <c r="AL2638">
        <v>3.51</v>
      </c>
    </row>
    <row r="2639" spans="1:38" x14ac:dyDescent="0.25">
      <c r="A2639">
        <v>2638</v>
      </c>
      <c r="B2639" t="str">
        <f xml:space="preserve"> "603015"</f>
        <v>603015</v>
      </c>
      <c r="C2639" t="s">
        <v>7975</v>
      </c>
      <c r="D2639">
        <v>10.89</v>
      </c>
      <c r="E2639">
        <v>-0.27</v>
      </c>
      <c r="F2639">
        <v>-0.03</v>
      </c>
      <c r="G2639" t="s">
        <v>2966</v>
      </c>
      <c r="H2639">
        <v>50</v>
      </c>
      <c r="I2639">
        <v>10.88</v>
      </c>
      <c r="J2639">
        <v>10.89</v>
      </c>
      <c r="K2639">
        <v>0.09</v>
      </c>
      <c r="L2639">
        <v>1.57</v>
      </c>
      <c r="M2639" t="s">
        <v>6374</v>
      </c>
      <c r="N2639">
        <v>52.11</v>
      </c>
      <c r="O2639" t="s">
        <v>1372</v>
      </c>
      <c r="P2639">
        <v>10.98</v>
      </c>
      <c r="Q2639">
        <v>10.81</v>
      </c>
      <c r="R2639">
        <v>10.91</v>
      </c>
      <c r="S2639">
        <v>10.92</v>
      </c>
      <c r="T2639">
        <v>1.56</v>
      </c>
      <c r="U2639">
        <v>1</v>
      </c>
      <c r="V2639">
        <v>0.68</v>
      </c>
      <c r="W2639">
        <v>15</v>
      </c>
      <c r="X2639">
        <v>10.9</v>
      </c>
      <c r="Y2639" t="s">
        <v>1821</v>
      </c>
      <c r="Z2639" t="s">
        <v>3095</v>
      </c>
      <c r="AA2639">
        <v>1.17</v>
      </c>
      <c r="AB2639">
        <v>313</v>
      </c>
      <c r="AC2639">
        <v>46</v>
      </c>
      <c r="AD2639">
        <v>3.76</v>
      </c>
      <c r="AE2639" t="s">
        <v>2215</v>
      </c>
      <c r="AF2639" t="s">
        <v>2449</v>
      </c>
      <c r="AG2639" t="s">
        <v>4326</v>
      </c>
      <c r="AH2639" t="s">
        <v>1540</v>
      </c>
      <c r="AI2639">
        <v>-0.09</v>
      </c>
      <c r="AJ2639">
        <v>4.3099999999999996</v>
      </c>
      <c r="AK2639">
        <v>4.79</v>
      </c>
      <c r="AL2639">
        <v>9.42</v>
      </c>
    </row>
    <row r="2640" spans="1:38" x14ac:dyDescent="0.25">
      <c r="A2640">
        <v>2639</v>
      </c>
      <c r="B2640" t="str">
        <f xml:space="preserve"> "603136"</f>
        <v>603136</v>
      </c>
      <c r="C2640" t="s">
        <v>7976</v>
      </c>
      <c r="D2640">
        <v>55.22</v>
      </c>
      <c r="E2640">
        <v>10</v>
      </c>
      <c r="F2640">
        <v>5.0199999999999996</v>
      </c>
      <c r="G2640" t="s">
        <v>6201</v>
      </c>
      <c r="H2640">
        <v>2</v>
      </c>
      <c r="I2640">
        <v>55.22</v>
      </c>
      <c r="J2640" t="s">
        <v>616</v>
      </c>
      <c r="K2640">
        <v>0</v>
      </c>
      <c r="L2640">
        <v>35.47</v>
      </c>
      <c r="M2640" t="s">
        <v>6069</v>
      </c>
      <c r="N2640">
        <v>50.03</v>
      </c>
      <c r="O2640" t="s">
        <v>951</v>
      </c>
      <c r="P2640">
        <v>55.22</v>
      </c>
      <c r="Q2640">
        <v>51.53</v>
      </c>
      <c r="R2640">
        <v>51.8</v>
      </c>
      <c r="S2640">
        <v>50.2</v>
      </c>
      <c r="T2640">
        <v>7.35</v>
      </c>
      <c r="U2640">
        <v>4</v>
      </c>
      <c r="V2640">
        <v>100</v>
      </c>
      <c r="W2640">
        <v>4349</v>
      </c>
      <c r="X2640">
        <v>53.87</v>
      </c>
      <c r="Y2640" t="s">
        <v>833</v>
      </c>
      <c r="Z2640" t="s">
        <v>2515</v>
      </c>
      <c r="AA2640">
        <v>1.28</v>
      </c>
      <c r="AB2640">
        <v>4242</v>
      </c>
      <c r="AC2640">
        <v>0</v>
      </c>
      <c r="AD2640">
        <v>6.17</v>
      </c>
      <c r="AE2640" t="s">
        <v>5802</v>
      </c>
      <c r="AF2640" t="s">
        <v>2449</v>
      </c>
      <c r="AG2640" t="s">
        <v>5562</v>
      </c>
      <c r="AH2640" t="s">
        <v>2501</v>
      </c>
      <c r="AI2640">
        <v>33.090000000000003</v>
      </c>
      <c r="AJ2640">
        <v>77.16</v>
      </c>
      <c r="AK2640">
        <v>79.180000000000007</v>
      </c>
      <c r="AL2640">
        <v>79.87</v>
      </c>
    </row>
    <row r="2641" spans="1:38" x14ac:dyDescent="0.25">
      <c r="A2641">
        <v>2640</v>
      </c>
      <c r="B2641" t="str">
        <f xml:space="preserve"> "603797"</f>
        <v>603797</v>
      </c>
      <c r="C2641" t="s">
        <v>7977</v>
      </c>
      <c r="D2641">
        <v>20.69</v>
      </c>
      <c r="E2641">
        <v>9.99</v>
      </c>
      <c r="F2641">
        <v>1.88</v>
      </c>
      <c r="G2641" t="s">
        <v>4239</v>
      </c>
      <c r="H2641">
        <v>12</v>
      </c>
      <c r="I2641">
        <v>20.69</v>
      </c>
      <c r="J2641" t="s">
        <v>616</v>
      </c>
      <c r="K2641">
        <v>0</v>
      </c>
      <c r="L2641">
        <v>15.77</v>
      </c>
      <c r="M2641" t="s">
        <v>5701</v>
      </c>
      <c r="N2641">
        <v>77.760000000000005</v>
      </c>
      <c r="O2641" t="s">
        <v>1155</v>
      </c>
      <c r="P2641">
        <v>20.69</v>
      </c>
      <c r="Q2641">
        <v>18.73</v>
      </c>
      <c r="R2641">
        <v>18.89</v>
      </c>
      <c r="S2641">
        <v>18.809999999999999</v>
      </c>
      <c r="T2641">
        <v>10.42</v>
      </c>
      <c r="U2641">
        <v>3.54</v>
      </c>
      <c r="V2641">
        <v>100</v>
      </c>
      <c r="W2641" t="s">
        <v>468</v>
      </c>
      <c r="X2641">
        <v>19.88</v>
      </c>
      <c r="Y2641" t="s">
        <v>3477</v>
      </c>
      <c r="Z2641" t="s">
        <v>1507</v>
      </c>
      <c r="AA2641">
        <v>1.04</v>
      </c>
      <c r="AB2641" t="s">
        <v>1724</v>
      </c>
      <c r="AC2641">
        <v>0</v>
      </c>
      <c r="AD2641">
        <v>4.58</v>
      </c>
      <c r="AE2641" t="s">
        <v>4728</v>
      </c>
      <c r="AF2641" t="s">
        <v>276</v>
      </c>
      <c r="AG2641" t="s">
        <v>7978</v>
      </c>
      <c r="AH2641" t="s">
        <v>2501</v>
      </c>
      <c r="AI2641">
        <v>11.78</v>
      </c>
      <c r="AJ2641">
        <v>16.760000000000002</v>
      </c>
      <c r="AK2641">
        <v>27.58</v>
      </c>
      <c r="AL2641">
        <v>38.07</v>
      </c>
    </row>
    <row r="2642" spans="1:38" x14ac:dyDescent="0.25">
      <c r="A2642">
        <v>2641</v>
      </c>
      <c r="B2642" t="str">
        <f xml:space="preserve"> "002234"</f>
        <v>002234</v>
      </c>
      <c r="C2642" t="s">
        <v>7979</v>
      </c>
      <c r="D2642">
        <v>14.61</v>
      </c>
      <c r="E2642">
        <v>-0.54</v>
      </c>
      <c r="F2642">
        <v>-0.08</v>
      </c>
      <c r="G2642" t="s">
        <v>3190</v>
      </c>
      <c r="H2642">
        <v>732</v>
      </c>
      <c r="I2642">
        <v>14.61</v>
      </c>
      <c r="J2642">
        <v>14.62</v>
      </c>
      <c r="K2642">
        <v>-0.48</v>
      </c>
      <c r="L2642">
        <v>1.46</v>
      </c>
      <c r="M2642" t="s">
        <v>7980</v>
      </c>
      <c r="N2642">
        <v>-12.09</v>
      </c>
      <c r="O2642" t="s">
        <v>622</v>
      </c>
      <c r="P2642">
        <v>14.72</v>
      </c>
      <c r="Q2642">
        <v>14.46</v>
      </c>
      <c r="R2642">
        <v>14.59</v>
      </c>
      <c r="S2642">
        <v>14.69</v>
      </c>
      <c r="T2642">
        <v>1.77</v>
      </c>
      <c r="U2642">
        <v>0.43</v>
      </c>
      <c r="V2642">
        <v>-29.61</v>
      </c>
      <c r="W2642">
        <v>-360</v>
      </c>
      <c r="X2642">
        <v>14.6</v>
      </c>
      <c r="Y2642" t="s">
        <v>713</v>
      </c>
      <c r="Z2642" t="s">
        <v>1726</v>
      </c>
      <c r="AA2642">
        <v>1.31</v>
      </c>
      <c r="AB2642">
        <v>27</v>
      </c>
      <c r="AC2642">
        <v>105</v>
      </c>
      <c r="AD2642">
        <v>5.2</v>
      </c>
      <c r="AE2642" t="s">
        <v>1857</v>
      </c>
      <c r="AF2642" t="s">
        <v>276</v>
      </c>
      <c r="AG2642" t="s">
        <v>1079</v>
      </c>
      <c r="AH2642" t="s">
        <v>3355</v>
      </c>
      <c r="AI2642">
        <v>0.48</v>
      </c>
      <c r="AJ2642">
        <v>6.41</v>
      </c>
      <c r="AK2642">
        <v>8.5500000000000007</v>
      </c>
      <c r="AL2642">
        <v>18.34</v>
      </c>
    </row>
    <row r="2643" spans="1:38" x14ac:dyDescent="0.25">
      <c r="A2643">
        <v>2642</v>
      </c>
      <c r="B2643" t="str">
        <f xml:space="preserve"> "002774"</f>
        <v>002774</v>
      </c>
      <c r="C2643" t="s">
        <v>7981</v>
      </c>
      <c r="D2643">
        <v>13.18</v>
      </c>
      <c r="E2643">
        <v>1.07</v>
      </c>
      <c r="F2643">
        <v>0.14000000000000001</v>
      </c>
      <c r="G2643" t="s">
        <v>3086</v>
      </c>
      <c r="H2643">
        <v>565</v>
      </c>
      <c r="I2643">
        <v>13.18</v>
      </c>
      <c r="J2643">
        <v>13.19</v>
      </c>
      <c r="K2643">
        <v>0</v>
      </c>
      <c r="L2643">
        <v>3.26</v>
      </c>
      <c r="M2643" t="s">
        <v>7982</v>
      </c>
      <c r="N2643">
        <v>65.62</v>
      </c>
      <c r="O2643" t="s">
        <v>648</v>
      </c>
      <c r="P2643">
        <v>13.2</v>
      </c>
      <c r="Q2643">
        <v>12.93</v>
      </c>
      <c r="R2643">
        <v>13.04</v>
      </c>
      <c r="S2643">
        <v>13.04</v>
      </c>
      <c r="T2643">
        <v>2.0699999999999998</v>
      </c>
      <c r="U2643">
        <v>0.83</v>
      </c>
      <c r="V2643">
        <v>-39.450000000000003</v>
      </c>
      <c r="W2643">
        <v>-993</v>
      </c>
      <c r="X2643">
        <v>13.11</v>
      </c>
      <c r="Y2643" t="s">
        <v>691</v>
      </c>
      <c r="Z2643" t="s">
        <v>3950</v>
      </c>
      <c r="AA2643">
        <v>0.77</v>
      </c>
      <c r="AB2643">
        <v>324</v>
      </c>
      <c r="AC2643">
        <v>220</v>
      </c>
      <c r="AD2643">
        <v>4.6100000000000003</v>
      </c>
      <c r="AE2643" t="s">
        <v>4783</v>
      </c>
      <c r="AF2643" t="s">
        <v>276</v>
      </c>
      <c r="AG2643" t="s">
        <v>7983</v>
      </c>
      <c r="AH2643" t="s">
        <v>2501</v>
      </c>
      <c r="AI2643">
        <v>-0.08</v>
      </c>
      <c r="AJ2643">
        <v>3.7</v>
      </c>
      <c r="AK2643">
        <v>10.6</v>
      </c>
      <c r="AL2643">
        <v>22.9</v>
      </c>
    </row>
    <row r="2644" spans="1:38" x14ac:dyDescent="0.25">
      <c r="A2644">
        <v>2643</v>
      </c>
      <c r="B2644" t="str">
        <f xml:space="preserve"> "002330"</f>
        <v>002330</v>
      </c>
      <c r="C2644" t="s">
        <v>7984</v>
      </c>
      <c r="D2644">
        <v>8.7899999999999991</v>
      </c>
      <c r="E2644">
        <v>0.23</v>
      </c>
      <c r="F2644">
        <v>0.02</v>
      </c>
      <c r="G2644" t="s">
        <v>4374</v>
      </c>
      <c r="H2644">
        <v>617</v>
      </c>
      <c r="I2644">
        <v>8.7799999999999994</v>
      </c>
      <c r="J2644">
        <v>8.7899999999999991</v>
      </c>
      <c r="K2644">
        <v>0.11</v>
      </c>
      <c r="L2644">
        <v>0.38</v>
      </c>
      <c r="M2644" t="s">
        <v>7985</v>
      </c>
      <c r="N2644">
        <v>1970.59</v>
      </c>
      <c r="O2644" t="s">
        <v>406</v>
      </c>
      <c r="P2644">
        <v>8.82</v>
      </c>
      <c r="Q2644">
        <v>8.73</v>
      </c>
      <c r="R2644">
        <v>8.8000000000000007</v>
      </c>
      <c r="S2644">
        <v>8.77</v>
      </c>
      <c r="T2644">
        <v>1.03</v>
      </c>
      <c r="U2644">
        <v>0.53</v>
      </c>
      <c r="V2644">
        <v>-48.58</v>
      </c>
      <c r="W2644">
        <v>-1638</v>
      </c>
      <c r="X2644">
        <v>8.77</v>
      </c>
      <c r="Y2644">
        <v>9098</v>
      </c>
      <c r="Z2644" t="s">
        <v>4791</v>
      </c>
      <c r="AA2644">
        <v>0.91</v>
      </c>
      <c r="AB2644">
        <v>374</v>
      </c>
      <c r="AC2644">
        <v>788</v>
      </c>
      <c r="AD2644">
        <v>3.35</v>
      </c>
      <c r="AE2644" t="s">
        <v>2472</v>
      </c>
      <c r="AF2644" t="s">
        <v>276</v>
      </c>
      <c r="AG2644" t="s">
        <v>2472</v>
      </c>
      <c r="AH2644" t="s">
        <v>276</v>
      </c>
      <c r="AI2644">
        <v>0.69</v>
      </c>
      <c r="AJ2644">
        <v>3.05</v>
      </c>
      <c r="AK2644">
        <v>2.0699999999999998</v>
      </c>
      <c r="AL2644">
        <v>3.97</v>
      </c>
    </row>
    <row r="2645" spans="1:38" x14ac:dyDescent="0.25">
      <c r="A2645">
        <v>2644</v>
      </c>
      <c r="B2645" t="str">
        <f xml:space="preserve"> "002213"</f>
        <v>002213</v>
      </c>
      <c r="C2645" t="s">
        <v>7986</v>
      </c>
      <c r="D2645">
        <v>21.42</v>
      </c>
      <c r="E2645">
        <v>0.09</v>
      </c>
      <c r="F2645">
        <v>0.02</v>
      </c>
      <c r="G2645">
        <v>5140</v>
      </c>
      <c r="H2645">
        <v>4</v>
      </c>
      <c r="I2645">
        <v>21.42</v>
      </c>
      <c r="J2645">
        <v>21.5</v>
      </c>
      <c r="K2645">
        <v>0</v>
      </c>
      <c r="L2645">
        <v>0.27</v>
      </c>
      <c r="M2645" t="s">
        <v>7987</v>
      </c>
      <c r="N2645">
        <v>1581.47</v>
      </c>
      <c r="O2645" t="s">
        <v>169</v>
      </c>
      <c r="P2645">
        <v>21.65</v>
      </c>
      <c r="Q2645">
        <v>21.34</v>
      </c>
      <c r="R2645">
        <v>21.34</v>
      </c>
      <c r="S2645">
        <v>21.4</v>
      </c>
      <c r="T2645">
        <v>1.45</v>
      </c>
      <c r="U2645">
        <v>1.24</v>
      </c>
      <c r="V2645">
        <v>-19.170000000000002</v>
      </c>
      <c r="W2645">
        <v>-139</v>
      </c>
      <c r="X2645">
        <v>21.48</v>
      </c>
      <c r="Y2645">
        <v>1482</v>
      </c>
      <c r="Z2645">
        <v>3659</v>
      </c>
      <c r="AA2645">
        <v>0.4</v>
      </c>
      <c r="AB2645">
        <v>115</v>
      </c>
      <c r="AC2645">
        <v>88</v>
      </c>
      <c r="AD2645">
        <v>12.42</v>
      </c>
      <c r="AE2645" t="s">
        <v>1079</v>
      </c>
      <c r="AF2645" t="s">
        <v>276</v>
      </c>
      <c r="AG2645" t="s">
        <v>1371</v>
      </c>
      <c r="AH2645" t="s">
        <v>2833</v>
      </c>
      <c r="AI2645">
        <v>0.37</v>
      </c>
      <c r="AJ2645">
        <v>1.32</v>
      </c>
      <c r="AK2645">
        <v>0.69</v>
      </c>
      <c r="AL2645">
        <v>1.38</v>
      </c>
    </row>
    <row r="2646" spans="1:38" x14ac:dyDescent="0.25">
      <c r="A2646">
        <v>2645</v>
      </c>
      <c r="B2646" t="str">
        <f xml:space="preserve"> "300513"</f>
        <v>300513</v>
      </c>
      <c r="C2646" t="s">
        <v>7988</v>
      </c>
      <c r="D2646">
        <v>36.200000000000003</v>
      </c>
      <c r="E2646">
        <v>-1.63</v>
      </c>
      <c r="F2646">
        <v>-0.6</v>
      </c>
      <c r="G2646">
        <v>9375</v>
      </c>
      <c r="H2646">
        <v>556</v>
      </c>
      <c r="I2646">
        <v>36.19</v>
      </c>
      <c r="J2646">
        <v>36.200000000000003</v>
      </c>
      <c r="K2646">
        <v>-0.08</v>
      </c>
      <c r="L2646">
        <v>1.54</v>
      </c>
      <c r="M2646" t="s">
        <v>7989</v>
      </c>
      <c r="N2646">
        <v>227.28</v>
      </c>
      <c r="O2646" t="s">
        <v>893</v>
      </c>
      <c r="P2646">
        <v>37</v>
      </c>
      <c r="Q2646">
        <v>36.200000000000003</v>
      </c>
      <c r="R2646">
        <v>36.9</v>
      </c>
      <c r="S2646">
        <v>36.799999999999997</v>
      </c>
      <c r="T2646">
        <v>2.17</v>
      </c>
      <c r="U2646">
        <v>0.49</v>
      </c>
      <c r="V2646">
        <v>-76.16</v>
      </c>
      <c r="W2646">
        <v>-339</v>
      </c>
      <c r="X2646">
        <v>36.520000000000003</v>
      </c>
      <c r="Y2646">
        <v>6522</v>
      </c>
      <c r="Z2646">
        <v>2854</v>
      </c>
      <c r="AA2646">
        <v>2.29</v>
      </c>
      <c r="AB2646">
        <v>1</v>
      </c>
      <c r="AC2646">
        <v>321</v>
      </c>
      <c r="AD2646">
        <v>8.27</v>
      </c>
      <c r="AE2646" t="s">
        <v>943</v>
      </c>
      <c r="AF2646" t="s">
        <v>276</v>
      </c>
      <c r="AG2646" t="s">
        <v>7990</v>
      </c>
      <c r="AH2646" t="s">
        <v>1254</v>
      </c>
      <c r="AI2646">
        <v>-2.35</v>
      </c>
      <c r="AJ2646">
        <v>0.86</v>
      </c>
      <c r="AK2646">
        <v>4.5999999999999996</v>
      </c>
      <c r="AL2646">
        <v>17.39</v>
      </c>
    </row>
    <row r="2647" spans="1:38" x14ac:dyDescent="0.25">
      <c r="A2647">
        <v>2646</v>
      </c>
      <c r="B2647" t="str">
        <f xml:space="preserve"> "603009"</f>
        <v>603009</v>
      </c>
      <c r="C2647" t="s">
        <v>7991</v>
      </c>
      <c r="D2647" t="s">
        <v>616</v>
      </c>
      <c r="E2647" t="s">
        <v>616</v>
      </c>
      <c r="F2647" t="s">
        <v>616</v>
      </c>
      <c r="G2647" t="s">
        <v>616</v>
      </c>
      <c r="H2647" t="s">
        <v>616</v>
      </c>
      <c r="I2647" t="s">
        <v>616</v>
      </c>
      <c r="J2647" t="s">
        <v>616</v>
      </c>
      <c r="K2647" t="s">
        <v>616</v>
      </c>
      <c r="L2647" t="s">
        <v>616</v>
      </c>
      <c r="M2647" t="s">
        <v>616</v>
      </c>
      <c r="N2647">
        <v>66.75</v>
      </c>
      <c r="O2647" t="s">
        <v>169</v>
      </c>
      <c r="P2647" t="s">
        <v>616</v>
      </c>
      <c r="Q2647" t="s">
        <v>616</v>
      </c>
      <c r="R2647" t="s">
        <v>616</v>
      </c>
      <c r="S2647">
        <v>13.43</v>
      </c>
      <c r="T2647" t="s">
        <v>616</v>
      </c>
      <c r="U2647" t="s">
        <v>616</v>
      </c>
      <c r="V2647" t="s">
        <v>616</v>
      </c>
      <c r="W2647" t="s">
        <v>616</v>
      </c>
      <c r="X2647" t="s">
        <v>616</v>
      </c>
      <c r="Y2647" t="s">
        <v>616</v>
      </c>
      <c r="Z2647" t="s">
        <v>616</v>
      </c>
      <c r="AA2647" t="s">
        <v>616</v>
      </c>
      <c r="AB2647" t="s">
        <v>616</v>
      </c>
      <c r="AC2647" t="s">
        <v>616</v>
      </c>
      <c r="AD2647">
        <v>3.35</v>
      </c>
      <c r="AE2647" t="s">
        <v>3728</v>
      </c>
      <c r="AF2647" t="s">
        <v>276</v>
      </c>
      <c r="AG2647" t="s">
        <v>2471</v>
      </c>
      <c r="AH2647" t="s">
        <v>7407</v>
      </c>
      <c r="AI2647">
        <v>0</v>
      </c>
      <c r="AJ2647">
        <v>0</v>
      </c>
      <c r="AK2647">
        <v>0</v>
      </c>
      <c r="AL2647">
        <v>0</v>
      </c>
    </row>
    <row r="2648" spans="1:38" x14ac:dyDescent="0.25">
      <c r="A2648">
        <v>2647</v>
      </c>
      <c r="B2648" t="str">
        <f xml:space="preserve"> "300051"</f>
        <v>300051</v>
      </c>
      <c r="C2648" t="s">
        <v>7992</v>
      </c>
      <c r="D2648">
        <v>11.98</v>
      </c>
      <c r="E2648">
        <v>0.25</v>
      </c>
      <c r="F2648">
        <v>0.03</v>
      </c>
      <c r="G2648" t="s">
        <v>3331</v>
      </c>
      <c r="H2648">
        <v>1185</v>
      </c>
      <c r="I2648">
        <v>11.97</v>
      </c>
      <c r="J2648">
        <v>11.98</v>
      </c>
      <c r="K2648">
        <v>0.08</v>
      </c>
      <c r="L2648">
        <v>1.71</v>
      </c>
      <c r="M2648" t="s">
        <v>7993</v>
      </c>
      <c r="N2648">
        <v>75.58</v>
      </c>
      <c r="O2648" t="s">
        <v>553</v>
      </c>
      <c r="P2648">
        <v>12.06</v>
      </c>
      <c r="Q2648">
        <v>11.8</v>
      </c>
      <c r="R2648">
        <v>11.98</v>
      </c>
      <c r="S2648">
        <v>11.95</v>
      </c>
      <c r="T2648">
        <v>2.1800000000000002</v>
      </c>
      <c r="U2648">
        <v>0.54</v>
      </c>
      <c r="V2648">
        <v>-3.78</v>
      </c>
      <c r="W2648">
        <v>-94</v>
      </c>
      <c r="X2648">
        <v>11.91</v>
      </c>
      <c r="Y2648" t="s">
        <v>3090</v>
      </c>
      <c r="Z2648" t="s">
        <v>2126</v>
      </c>
      <c r="AA2648">
        <v>1.31</v>
      </c>
      <c r="AB2648">
        <v>282</v>
      </c>
      <c r="AC2648">
        <v>59</v>
      </c>
      <c r="AD2648">
        <v>4.6500000000000004</v>
      </c>
      <c r="AE2648" t="s">
        <v>2591</v>
      </c>
      <c r="AF2648" t="s">
        <v>276</v>
      </c>
      <c r="AG2648" t="s">
        <v>233</v>
      </c>
      <c r="AH2648" t="s">
        <v>2588</v>
      </c>
      <c r="AI2648">
        <v>-1.72</v>
      </c>
      <c r="AJ2648">
        <v>3.81</v>
      </c>
      <c r="AK2648">
        <v>7.71</v>
      </c>
      <c r="AL2648">
        <v>17.41</v>
      </c>
    </row>
    <row r="2649" spans="1:38" x14ac:dyDescent="0.25">
      <c r="A2649">
        <v>2648</v>
      </c>
      <c r="B2649" t="str">
        <f xml:space="preserve"> "300532"</f>
        <v>300532</v>
      </c>
      <c r="C2649" t="s">
        <v>7994</v>
      </c>
      <c r="D2649">
        <v>28.6</v>
      </c>
      <c r="E2649">
        <v>-1.38</v>
      </c>
      <c r="F2649">
        <v>-0.4</v>
      </c>
      <c r="G2649" t="s">
        <v>2966</v>
      </c>
      <c r="H2649">
        <v>370</v>
      </c>
      <c r="I2649">
        <v>28.6</v>
      </c>
      <c r="J2649">
        <v>28.61</v>
      </c>
      <c r="K2649">
        <v>0.11</v>
      </c>
      <c r="L2649">
        <v>4.0199999999999996</v>
      </c>
      <c r="M2649" t="s">
        <v>7995</v>
      </c>
      <c r="N2649">
        <v>101.46</v>
      </c>
      <c r="O2649" t="s">
        <v>274</v>
      </c>
      <c r="P2649">
        <v>28.79</v>
      </c>
      <c r="Q2649">
        <v>27.81</v>
      </c>
      <c r="R2649">
        <v>28.78</v>
      </c>
      <c r="S2649">
        <v>29</v>
      </c>
      <c r="T2649">
        <v>3.38</v>
      </c>
      <c r="U2649">
        <v>0.87</v>
      </c>
      <c r="V2649">
        <v>55.39</v>
      </c>
      <c r="W2649">
        <v>328</v>
      </c>
      <c r="X2649">
        <v>28.35</v>
      </c>
      <c r="Y2649" t="s">
        <v>2365</v>
      </c>
      <c r="Z2649" t="s">
        <v>1685</v>
      </c>
      <c r="AA2649">
        <v>1.48</v>
      </c>
      <c r="AB2649">
        <v>84</v>
      </c>
      <c r="AC2649">
        <v>29</v>
      </c>
      <c r="AD2649">
        <v>6.26</v>
      </c>
      <c r="AE2649" t="s">
        <v>621</v>
      </c>
      <c r="AF2649" t="s">
        <v>276</v>
      </c>
      <c r="AG2649" t="s">
        <v>6854</v>
      </c>
      <c r="AH2649" t="s">
        <v>1713</v>
      </c>
      <c r="AI2649">
        <v>0.42</v>
      </c>
      <c r="AJ2649">
        <v>5.81</v>
      </c>
      <c r="AK2649">
        <v>17.84</v>
      </c>
      <c r="AL2649">
        <v>27.09</v>
      </c>
    </row>
    <row r="2650" spans="1:38" x14ac:dyDescent="0.25">
      <c r="A2650">
        <v>2649</v>
      </c>
      <c r="B2650" t="str">
        <f xml:space="preserve"> "600333"</f>
        <v>600333</v>
      </c>
      <c r="C2650" t="s">
        <v>7996</v>
      </c>
      <c r="D2650">
        <v>7.23</v>
      </c>
      <c r="E2650">
        <v>0</v>
      </c>
      <c r="F2650">
        <v>0</v>
      </c>
      <c r="G2650" t="s">
        <v>4198</v>
      </c>
      <c r="H2650">
        <v>5</v>
      </c>
      <c r="I2650">
        <v>7.23</v>
      </c>
      <c r="J2650">
        <v>7.24</v>
      </c>
      <c r="K2650">
        <v>-0.14000000000000001</v>
      </c>
      <c r="L2650">
        <v>0.93</v>
      </c>
      <c r="M2650" t="s">
        <v>7997</v>
      </c>
      <c r="N2650">
        <v>169.89</v>
      </c>
      <c r="O2650" t="s">
        <v>2085</v>
      </c>
      <c r="P2650">
        <v>7.28</v>
      </c>
      <c r="Q2650">
        <v>7.15</v>
      </c>
      <c r="R2650">
        <v>7.24</v>
      </c>
      <c r="S2650">
        <v>7.23</v>
      </c>
      <c r="T2650">
        <v>1.8</v>
      </c>
      <c r="U2650">
        <v>1.1499999999999999</v>
      </c>
      <c r="V2650">
        <v>-59.27</v>
      </c>
      <c r="W2650">
        <v>-6514</v>
      </c>
      <c r="X2650">
        <v>7.23</v>
      </c>
      <c r="Y2650" t="s">
        <v>3090</v>
      </c>
      <c r="Z2650" t="s">
        <v>1509</v>
      </c>
      <c r="AA2650">
        <v>0.93</v>
      </c>
      <c r="AB2650">
        <v>185</v>
      </c>
      <c r="AC2650">
        <v>927</v>
      </c>
      <c r="AD2650">
        <v>2.06</v>
      </c>
      <c r="AE2650" t="s">
        <v>3208</v>
      </c>
      <c r="AF2650" t="s">
        <v>716</v>
      </c>
      <c r="AG2650" t="s">
        <v>1212</v>
      </c>
      <c r="AH2650" t="s">
        <v>6267</v>
      </c>
      <c r="AI2650">
        <v>0.42</v>
      </c>
      <c r="AJ2650">
        <v>4.33</v>
      </c>
      <c r="AK2650">
        <v>2.89</v>
      </c>
      <c r="AL2650">
        <v>5.01</v>
      </c>
    </row>
    <row r="2651" spans="1:38" x14ac:dyDescent="0.25">
      <c r="A2651">
        <v>2650</v>
      </c>
      <c r="B2651" t="str">
        <f xml:space="preserve"> "002533"</f>
        <v>002533</v>
      </c>
      <c r="C2651" t="s">
        <v>7998</v>
      </c>
      <c r="D2651">
        <v>7.96</v>
      </c>
      <c r="E2651">
        <v>0.13</v>
      </c>
      <c r="F2651">
        <v>0.01</v>
      </c>
      <c r="G2651" t="s">
        <v>3881</v>
      </c>
      <c r="H2651">
        <v>723</v>
      </c>
      <c r="I2651">
        <v>7.96</v>
      </c>
      <c r="J2651">
        <v>7.97</v>
      </c>
      <c r="K2651">
        <v>0.13</v>
      </c>
      <c r="L2651">
        <v>0.69</v>
      </c>
      <c r="M2651" t="s">
        <v>3773</v>
      </c>
      <c r="N2651">
        <v>34.43</v>
      </c>
      <c r="O2651" t="s">
        <v>680</v>
      </c>
      <c r="P2651">
        <v>8</v>
      </c>
      <c r="Q2651">
        <v>7.91</v>
      </c>
      <c r="R2651">
        <v>7.93</v>
      </c>
      <c r="S2651">
        <v>7.95</v>
      </c>
      <c r="T2651">
        <v>1.1299999999999999</v>
      </c>
      <c r="U2651">
        <v>0.67</v>
      </c>
      <c r="V2651">
        <v>24</v>
      </c>
      <c r="W2651">
        <v>1355</v>
      </c>
      <c r="X2651">
        <v>7.94</v>
      </c>
      <c r="Y2651" t="s">
        <v>2240</v>
      </c>
      <c r="Z2651" t="s">
        <v>999</v>
      </c>
      <c r="AA2651">
        <v>1.48</v>
      </c>
      <c r="AB2651">
        <v>263</v>
      </c>
      <c r="AC2651">
        <v>463</v>
      </c>
      <c r="AD2651">
        <v>1.99</v>
      </c>
      <c r="AE2651" t="s">
        <v>2174</v>
      </c>
      <c r="AF2651" t="s">
        <v>716</v>
      </c>
      <c r="AG2651" t="s">
        <v>5642</v>
      </c>
      <c r="AH2651" t="s">
        <v>2633</v>
      </c>
      <c r="AI2651">
        <v>-2.57</v>
      </c>
      <c r="AJ2651">
        <v>0</v>
      </c>
      <c r="AK2651">
        <v>2.77</v>
      </c>
      <c r="AL2651">
        <v>5.86</v>
      </c>
    </row>
    <row r="2652" spans="1:38" x14ac:dyDescent="0.25">
      <c r="A2652">
        <v>2651</v>
      </c>
      <c r="B2652" t="str">
        <f xml:space="preserve"> "000017"</f>
        <v>000017</v>
      </c>
      <c r="C2652" t="s">
        <v>7999</v>
      </c>
      <c r="D2652">
        <v>7.98</v>
      </c>
      <c r="E2652">
        <v>-0.13</v>
      </c>
      <c r="F2652">
        <v>-0.01</v>
      </c>
      <c r="G2652" t="s">
        <v>4399</v>
      </c>
      <c r="H2652">
        <v>327</v>
      </c>
      <c r="I2652">
        <v>7.98</v>
      </c>
      <c r="J2652">
        <v>7.99</v>
      </c>
      <c r="K2652">
        <v>0</v>
      </c>
      <c r="L2652">
        <v>0.47</v>
      </c>
      <c r="M2652" t="s">
        <v>7186</v>
      </c>
      <c r="N2652">
        <v>-1300.6400000000001</v>
      </c>
      <c r="O2652" t="s">
        <v>807</v>
      </c>
      <c r="P2652">
        <v>8</v>
      </c>
      <c r="Q2652">
        <v>7.91</v>
      </c>
      <c r="R2652">
        <v>7.99</v>
      </c>
      <c r="S2652">
        <v>7.99</v>
      </c>
      <c r="T2652">
        <v>1.1299999999999999</v>
      </c>
      <c r="U2652">
        <v>0.7</v>
      </c>
      <c r="V2652">
        <v>-9.99</v>
      </c>
      <c r="W2652">
        <v>-235</v>
      </c>
      <c r="X2652">
        <v>7.95</v>
      </c>
      <c r="Y2652">
        <v>9177</v>
      </c>
      <c r="Z2652">
        <v>5161</v>
      </c>
      <c r="AA2652">
        <v>1.78</v>
      </c>
      <c r="AB2652">
        <v>467</v>
      </c>
      <c r="AC2652">
        <v>77</v>
      </c>
      <c r="AD2652">
        <v>347.06</v>
      </c>
      <c r="AE2652" t="s">
        <v>3494</v>
      </c>
      <c r="AF2652" t="s">
        <v>716</v>
      </c>
      <c r="AG2652" t="s">
        <v>7152</v>
      </c>
      <c r="AH2652" t="s">
        <v>1104</v>
      </c>
      <c r="AI2652">
        <v>-0.25</v>
      </c>
      <c r="AJ2652">
        <v>3.5</v>
      </c>
      <c r="AK2652">
        <v>1.81</v>
      </c>
      <c r="AL2652">
        <v>3.85</v>
      </c>
    </row>
    <row r="2653" spans="1:38" x14ac:dyDescent="0.25">
      <c r="A2653">
        <v>2652</v>
      </c>
      <c r="B2653" t="str">
        <f xml:space="preserve"> "300250"</f>
        <v>300250</v>
      </c>
      <c r="C2653" t="s">
        <v>8000</v>
      </c>
      <c r="D2653">
        <v>18.93</v>
      </c>
      <c r="E2653">
        <v>-3.02</v>
      </c>
      <c r="F2653">
        <v>-0.59</v>
      </c>
      <c r="G2653" t="s">
        <v>2334</v>
      </c>
      <c r="H2653">
        <v>446</v>
      </c>
      <c r="I2653">
        <v>18.93</v>
      </c>
      <c r="J2653">
        <v>18.940000000000001</v>
      </c>
      <c r="K2653">
        <v>0</v>
      </c>
      <c r="L2653">
        <v>4.2300000000000004</v>
      </c>
      <c r="M2653" t="s">
        <v>1442</v>
      </c>
      <c r="N2653">
        <v>162.63999999999999</v>
      </c>
      <c r="O2653" t="s">
        <v>553</v>
      </c>
      <c r="P2653">
        <v>19.489999999999998</v>
      </c>
      <c r="Q2653">
        <v>18.579999999999998</v>
      </c>
      <c r="R2653">
        <v>19.489999999999998</v>
      </c>
      <c r="S2653">
        <v>19.52</v>
      </c>
      <c r="T2653">
        <v>4.66</v>
      </c>
      <c r="U2653">
        <v>0.81</v>
      </c>
      <c r="V2653">
        <v>-14.04</v>
      </c>
      <c r="W2653">
        <v>-179</v>
      </c>
      <c r="X2653">
        <v>18.96</v>
      </c>
      <c r="Y2653" t="s">
        <v>3385</v>
      </c>
      <c r="Z2653" t="s">
        <v>658</v>
      </c>
      <c r="AA2653">
        <v>1.69</v>
      </c>
      <c r="AB2653">
        <v>103</v>
      </c>
      <c r="AC2653">
        <v>89</v>
      </c>
      <c r="AD2653">
        <v>2.7</v>
      </c>
      <c r="AE2653" t="s">
        <v>1640</v>
      </c>
      <c r="AF2653" t="s">
        <v>716</v>
      </c>
      <c r="AG2653" t="s">
        <v>3361</v>
      </c>
      <c r="AH2653" t="s">
        <v>2395</v>
      </c>
      <c r="AI2653">
        <v>-3.52</v>
      </c>
      <c r="AJ2653">
        <v>-4.2</v>
      </c>
      <c r="AK2653">
        <v>12</v>
      </c>
      <c r="AL2653">
        <v>30.18</v>
      </c>
    </row>
    <row r="2654" spans="1:38" x14ac:dyDescent="0.25">
      <c r="A2654">
        <v>2653</v>
      </c>
      <c r="B2654" t="str">
        <f xml:space="preserve"> "601218"</f>
        <v>601218</v>
      </c>
      <c r="C2654" t="s">
        <v>8001</v>
      </c>
      <c r="D2654">
        <v>4.43</v>
      </c>
      <c r="E2654">
        <v>0.68</v>
      </c>
      <c r="F2654">
        <v>0.03</v>
      </c>
      <c r="G2654" t="s">
        <v>650</v>
      </c>
      <c r="H2654">
        <v>30</v>
      </c>
      <c r="I2654">
        <v>4.42</v>
      </c>
      <c r="J2654">
        <v>4.43</v>
      </c>
      <c r="K2654">
        <v>0</v>
      </c>
      <c r="L2654">
        <v>0.44</v>
      </c>
      <c r="M2654" t="s">
        <v>8002</v>
      </c>
      <c r="N2654">
        <v>66.81</v>
      </c>
      <c r="O2654" t="s">
        <v>680</v>
      </c>
      <c r="P2654">
        <v>4.4400000000000004</v>
      </c>
      <c r="Q2654">
        <v>4.3899999999999997</v>
      </c>
      <c r="R2654">
        <v>4.3899999999999997</v>
      </c>
      <c r="S2654">
        <v>4.4000000000000004</v>
      </c>
      <c r="T2654">
        <v>1.1399999999999999</v>
      </c>
      <c r="U2654">
        <v>0.81</v>
      </c>
      <c r="V2654">
        <v>-21.21</v>
      </c>
      <c r="W2654">
        <v>-2809</v>
      </c>
      <c r="X2654">
        <v>4.42</v>
      </c>
      <c r="Y2654" t="s">
        <v>3387</v>
      </c>
      <c r="Z2654" t="s">
        <v>2786</v>
      </c>
      <c r="AA2654">
        <v>0.8</v>
      </c>
      <c r="AB2654">
        <v>1304</v>
      </c>
      <c r="AC2654">
        <v>214</v>
      </c>
      <c r="AD2654">
        <v>1.7</v>
      </c>
      <c r="AE2654" t="s">
        <v>1430</v>
      </c>
      <c r="AF2654" t="s">
        <v>1828</v>
      </c>
      <c r="AG2654" t="s">
        <v>1430</v>
      </c>
      <c r="AH2654" t="s">
        <v>1828</v>
      </c>
      <c r="AI2654">
        <v>0.68</v>
      </c>
      <c r="AJ2654">
        <v>3.26</v>
      </c>
      <c r="AK2654">
        <v>1.73</v>
      </c>
      <c r="AL2654">
        <v>3.15</v>
      </c>
    </row>
    <row r="2655" spans="1:38" x14ac:dyDescent="0.25">
      <c r="A2655">
        <v>2654</v>
      </c>
      <c r="B2655" t="str">
        <f xml:space="preserve"> "002548"</f>
        <v>002548</v>
      </c>
      <c r="C2655" t="s">
        <v>8003</v>
      </c>
      <c r="D2655">
        <v>11.54</v>
      </c>
      <c r="E2655">
        <v>1.32</v>
      </c>
      <c r="F2655">
        <v>0.15</v>
      </c>
      <c r="G2655" t="s">
        <v>1153</v>
      </c>
      <c r="H2655">
        <v>225</v>
      </c>
      <c r="I2655">
        <v>11.53</v>
      </c>
      <c r="J2655">
        <v>11.54</v>
      </c>
      <c r="K2655">
        <v>0</v>
      </c>
      <c r="L2655">
        <v>0.45</v>
      </c>
      <c r="M2655" t="s">
        <v>8004</v>
      </c>
      <c r="N2655">
        <v>34.6</v>
      </c>
      <c r="O2655" t="s">
        <v>622</v>
      </c>
      <c r="P2655">
        <v>11.57</v>
      </c>
      <c r="Q2655">
        <v>11.33</v>
      </c>
      <c r="R2655">
        <v>11.4</v>
      </c>
      <c r="S2655">
        <v>11.39</v>
      </c>
      <c r="T2655">
        <v>2.11</v>
      </c>
      <c r="U2655">
        <v>0.75</v>
      </c>
      <c r="V2655">
        <v>-50.23</v>
      </c>
      <c r="W2655">
        <v>-1001</v>
      </c>
      <c r="X2655">
        <v>11.45</v>
      </c>
      <c r="Y2655">
        <v>5474</v>
      </c>
      <c r="Z2655">
        <v>8528</v>
      </c>
      <c r="AA2655">
        <v>0.64</v>
      </c>
      <c r="AB2655">
        <v>33</v>
      </c>
      <c r="AC2655">
        <v>193</v>
      </c>
      <c r="AD2655">
        <v>2.65</v>
      </c>
      <c r="AE2655" t="s">
        <v>552</v>
      </c>
      <c r="AF2655" t="s">
        <v>1828</v>
      </c>
      <c r="AG2655" t="s">
        <v>5539</v>
      </c>
      <c r="AH2655" t="s">
        <v>1845</v>
      </c>
      <c r="AI2655">
        <v>-0.35</v>
      </c>
      <c r="AJ2655">
        <v>2.94</v>
      </c>
      <c r="AK2655">
        <v>1.67</v>
      </c>
      <c r="AL2655">
        <v>3.42</v>
      </c>
    </row>
    <row r="2656" spans="1:38" x14ac:dyDescent="0.25">
      <c r="A2656">
        <v>2655</v>
      </c>
      <c r="B2656" t="str">
        <f xml:space="preserve"> "600678"</f>
        <v>600678</v>
      </c>
      <c r="C2656" t="s">
        <v>8005</v>
      </c>
      <c r="D2656">
        <v>12.57</v>
      </c>
      <c r="E2656">
        <v>2.2799999999999998</v>
      </c>
      <c r="F2656">
        <v>0.28000000000000003</v>
      </c>
      <c r="G2656" t="s">
        <v>574</v>
      </c>
      <c r="H2656">
        <v>1</v>
      </c>
      <c r="I2656">
        <v>12.57</v>
      </c>
      <c r="J2656">
        <v>12.58</v>
      </c>
      <c r="K2656">
        <v>-0.08</v>
      </c>
      <c r="L2656">
        <v>1.33</v>
      </c>
      <c r="M2656" t="s">
        <v>8006</v>
      </c>
      <c r="N2656">
        <v>-398.05</v>
      </c>
      <c r="O2656" t="s">
        <v>562</v>
      </c>
      <c r="P2656">
        <v>12.72</v>
      </c>
      <c r="Q2656">
        <v>12.25</v>
      </c>
      <c r="R2656">
        <v>12.29</v>
      </c>
      <c r="S2656">
        <v>12.29</v>
      </c>
      <c r="T2656">
        <v>3.82</v>
      </c>
      <c r="U2656">
        <v>2.82</v>
      </c>
      <c r="V2656">
        <v>-47.74</v>
      </c>
      <c r="W2656">
        <v>-1047</v>
      </c>
      <c r="X2656">
        <v>12.49</v>
      </c>
      <c r="Y2656" t="s">
        <v>2252</v>
      </c>
      <c r="Z2656" t="s">
        <v>3948</v>
      </c>
      <c r="AA2656">
        <v>0.63</v>
      </c>
      <c r="AB2656">
        <v>386</v>
      </c>
      <c r="AC2656">
        <v>9</v>
      </c>
      <c r="AD2656">
        <v>-1162.96</v>
      </c>
      <c r="AE2656" t="s">
        <v>5407</v>
      </c>
      <c r="AF2656" t="s">
        <v>1828</v>
      </c>
      <c r="AG2656" t="s">
        <v>5407</v>
      </c>
      <c r="AH2656" t="s">
        <v>1828</v>
      </c>
      <c r="AI2656">
        <v>2.36</v>
      </c>
      <c r="AJ2656">
        <v>4.32</v>
      </c>
      <c r="AK2656">
        <v>2.41</v>
      </c>
      <c r="AL2656">
        <v>3.68</v>
      </c>
    </row>
    <row r="2657" spans="1:38" x14ac:dyDescent="0.25">
      <c r="A2657">
        <v>2656</v>
      </c>
      <c r="B2657" t="str">
        <f xml:space="preserve"> "300479"</f>
        <v>300479</v>
      </c>
      <c r="C2657" t="s">
        <v>8007</v>
      </c>
      <c r="D2657">
        <v>27.41</v>
      </c>
      <c r="E2657">
        <v>-2.7</v>
      </c>
      <c r="F2657">
        <v>-0.76</v>
      </c>
      <c r="G2657" t="s">
        <v>1399</v>
      </c>
      <c r="H2657">
        <v>1158</v>
      </c>
      <c r="I2657">
        <v>27.4</v>
      </c>
      <c r="J2657">
        <v>27.41</v>
      </c>
      <c r="K2657">
        <v>0</v>
      </c>
      <c r="L2657">
        <v>6.44</v>
      </c>
      <c r="M2657" t="s">
        <v>2049</v>
      </c>
      <c r="N2657">
        <v>251.41</v>
      </c>
      <c r="O2657" t="s">
        <v>553</v>
      </c>
      <c r="P2657">
        <v>28.18</v>
      </c>
      <c r="Q2657">
        <v>26.88</v>
      </c>
      <c r="R2657">
        <v>28</v>
      </c>
      <c r="S2657">
        <v>28.17</v>
      </c>
      <c r="T2657">
        <v>4.6100000000000003</v>
      </c>
      <c r="U2657">
        <v>1.0900000000000001</v>
      </c>
      <c r="V2657">
        <v>-13.74</v>
      </c>
      <c r="W2657">
        <v>-181</v>
      </c>
      <c r="X2657">
        <v>27.36</v>
      </c>
      <c r="Y2657" t="s">
        <v>2865</v>
      </c>
      <c r="Z2657" t="s">
        <v>2731</v>
      </c>
      <c r="AA2657">
        <v>1.39</v>
      </c>
      <c r="AB2657">
        <v>131</v>
      </c>
      <c r="AC2657">
        <v>89</v>
      </c>
      <c r="AD2657">
        <v>10.93</v>
      </c>
      <c r="AE2657" t="s">
        <v>4326</v>
      </c>
      <c r="AF2657" t="s">
        <v>1828</v>
      </c>
      <c r="AG2657" t="s">
        <v>7464</v>
      </c>
      <c r="AH2657" t="s">
        <v>2317</v>
      </c>
      <c r="AI2657">
        <v>-2.94</v>
      </c>
      <c r="AJ2657">
        <v>-6.19</v>
      </c>
      <c r="AK2657">
        <v>14.86</v>
      </c>
      <c r="AL2657">
        <v>36.06</v>
      </c>
    </row>
    <row r="2658" spans="1:38" x14ac:dyDescent="0.25">
      <c r="A2658">
        <v>2657</v>
      </c>
      <c r="B2658" t="str">
        <f xml:space="preserve"> "300661"</f>
        <v>300661</v>
      </c>
      <c r="C2658" t="s">
        <v>8008</v>
      </c>
      <c r="D2658">
        <v>73</v>
      </c>
      <c r="E2658">
        <v>0.63</v>
      </c>
      <c r="F2658">
        <v>0.46</v>
      </c>
      <c r="G2658">
        <v>7998</v>
      </c>
      <c r="H2658">
        <v>97</v>
      </c>
      <c r="I2658">
        <v>73</v>
      </c>
      <c r="J2658">
        <v>73.06</v>
      </c>
      <c r="K2658">
        <v>0</v>
      </c>
      <c r="L2658">
        <v>5.33</v>
      </c>
      <c r="M2658" t="s">
        <v>8009</v>
      </c>
      <c r="N2658">
        <v>67.349999999999994</v>
      </c>
      <c r="O2658" t="s">
        <v>380</v>
      </c>
      <c r="P2658">
        <v>73.849999999999994</v>
      </c>
      <c r="Q2658">
        <v>72.099999999999994</v>
      </c>
      <c r="R2658">
        <v>72.77</v>
      </c>
      <c r="S2658">
        <v>72.540000000000006</v>
      </c>
      <c r="T2658">
        <v>2.41</v>
      </c>
      <c r="U2658">
        <v>0.5</v>
      </c>
      <c r="V2658">
        <v>26.83</v>
      </c>
      <c r="W2658">
        <v>22</v>
      </c>
      <c r="X2658">
        <v>72.98</v>
      </c>
      <c r="Y2658">
        <v>4148</v>
      </c>
      <c r="Z2658">
        <v>3850</v>
      </c>
      <c r="AA2658">
        <v>1.08</v>
      </c>
      <c r="AB2658">
        <v>40</v>
      </c>
      <c r="AC2658">
        <v>13</v>
      </c>
      <c r="AD2658">
        <v>6.26</v>
      </c>
      <c r="AE2658" t="s">
        <v>5162</v>
      </c>
      <c r="AF2658" t="s">
        <v>5247</v>
      </c>
      <c r="AG2658" t="s">
        <v>7030</v>
      </c>
      <c r="AH2658" t="s">
        <v>888</v>
      </c>
      <c r="AI2658">
        <v>-2.8</v>
      </c>
      <c r="AJ2658">
        <v>1.1399999999999999</v>
      </c>
      <c r="AK2658">
        <v>26.99</v>
      </c>
      <c r="AL2658">
        <v>58.6</v>
      </c>
    </row>
    <row r="2659" spans="1:38" x14ac:dyDescent="0.25">
      <c r="A2659">
        <v>2658</v>
      </c>
      <c r="B2659" t="str">
        <f xml:space="preserve"> "002898"</f>
        <v>002898</v>
      </c>
      <c r="C2659" t="s">
        <v>8010</v>
      </c>
      <c r="D2659">
        <v>27.37</v>
      </c>
      <c r="E2659">
        <v>1.18</v>
      </c>
      <c r="F2659">
        <v>0.32</v>
      </c>
      <c r="G2659" t="s">
        <v>4097</v>
      </c>
      <c r="H2659">
        <v>652</v>
      </c>
      <c r="I2659">
        <v>27.37</v>
      </c>
      <c r="J2659">
        <v>27.38</v>
      </c>
      <c r="K2659">
        <v>0</v>
      </c>
      <c r="L2659">
        <v>16.149999999999999</v>
      </c>
      <c r="M2659" t="s">
        <v>7355</v>
      </c>
      <c r="N2659">
        <v>67.3</v>
      </c>
      <c r="O2659" t="s">
        <v>392</v>
      </c>
      <c r="P2659">
        <v>28.22</v>
      </c>
      <c r="Q2659">
        <v>26.78</v>
      </c>
      <c r="R2659">
        <v>27.25</v>
      </c>
      <c r="S2659">
        <v>27.05</v>
      </c>
      <c r="T2659">
        <v>5.32</v>
      </c>
      <c r="U2659">
        <v>0.61</v>
      </c>
      <c r="V2659">
        <v>-0.66</v>
      </c>
      <c r="W2659">
        <v>-8</v>
      </c>
      <c r="X2659">
        <v>27.64</v>
      </c>
      <c r="Y2659" t="s">
        <v>4431</v>
      </c>
      <c r="Z2659" t="s">
        <v>4431</v>
      </c>
      <c r="AA2659">
        <v>1</v>
      </c>
      <c r="AB2659">
        <v>37</v>
      </c>
      <c r="AC2659">
        <v>428</v>
      </c>
      <c r="AD2659">
        <v>7.46</v>
      </c>
      <c r="AE2659" t="s">
        <v>4326</v>
      </c>
      <c r="AF2659" t="s">
        <v>5247</v>
      </c>
      <c r="AG2659" t="s">
        <v>6081</v>
      </c>
      <c r="AH2659" t="s">
        <v>888</v>
      </c>
      <c r="AI2659">
        <v>-4.93</v>
      </c>
      <c r="AJ2659">
        <v>-16.149999999999999</v>
      </c>
      <c r="AK2659">
        <v>63.02</v>
      </c>
      <c r="AL2659">
        <v>147.62</v>
      </c>
    </row>
    <row r="2660" spans="1:38" x14ac:dyDescent="0.25">
      <c r="A2660">
        <v>2659</v>
      </c>
      <c r="B2660" t="str">
        <f xml:space="preserve"> "300074"</f>
        <v>300074</v>
      </c>
      <c r="C2660" t="s">
        <v>8011</v>
      </c>
      <c r="D2660">
        <v>8.06</v>
      </c>
      <c r="E2660">
        <v>0.37</v>
      </c>
      <c r="F2660">
        <v>0.03</v>
      </c>
      <c r="G2660" t="s">
        <v>2409</v>
      </c>
      <c r="H2660">
        <v>399</v>
      </c>
      <c r="I2660">
        <v>8.06</v>
      </c>
      <c r="J2660">
        <v>8.07</v>
      </c>
      <c r="K2660">
        <v>0.12</v>
      </c>
      <c r="L2660">
        <v>0.92</v>
      </c>
      <c r="M2660" t="s">
        <v>8012</v>
      </c>
      <c r="N2660">
        <v>317.37</v>
      </c>
      <c r="O2660" t="s">
        <v>893</v>
      </c>
      <c r="P2660">
        <v>8.09</v>
      </c>
      <c r="Q2660">
        <v>7.92</v>
      </c>
      <c r="R2660">
        <v>8.02</v>
      </c>
      <c r="S2660">
        <v>8.0299999999999994</v>
      </c>
      <c r="T2660">
        <v>2.12</v>
      </c>
      <c r="U2660">
        <v>0.52</v>
      </c>
      <c r="V2660">
        <v>-31.09</v>
      </c>
      <c r="W2660">
        <v>-1301</v>
      </c>
      <c r="X2660">
        <v>8.0299999999999994</v>
      </c>
      <c r="Y2660" t="s">
        <v>1349</v>
      </c>
      <c r="Z2660" t="s">
        <v>3387</v>
      </c>
      <c r="AA2660">
        <v>0.89</v>
      </c>
      <c r="AB2660">
        <v>244</v>
      </c>
      <c r="AC2660">
        <v>422</v>
      </c>
      <c r="AD2660">
        <v>3.85</v>
      </c>
      <c r="AE2660" t="s">
        <v>5788</v>
      </c>
      <c r="AF2660" t="s">
        <v>5247</v>
      </c>
      <c r="AG2660" t="s">
        <v>3924</v>
      </c>
      <c r="AH2660" t="s">
        <v>1172</v>
      </c>
      <c r="AI2660">
        <v>-1.59</v>
      </c>
      <c r="AJ2660">
        <v>3.6</v>
      </c>
      <c r="AK2660">
        <v>4.45</v>
      </c>
      <c r="AL2660">
        <v>9.74</v>
      </c>
    </row>
    <row r="2661" spans="1:38" x14ac:dyDescent="0.25">
      <c r="A2661">
        <v>2660</v>
      </c>
      <c r="B2661" t="str">
        <f xml:space="preserve"> "002856"</f>
        <v>002856</v>
      </c>
      <c r="C2661" t="s">
        <v>8013</v>
      </c>
      <c r="D2661">
        <v>43.16</v>
      </c>
      <c r="E2661">
        <v>9.99</v>
      </c>
      <c r="F2661">
        <v>3.92</v>
      </c>
      <c r="G2661" t="s">
        <v>184</v>
      </c>
      <c r="H2661">
        <v>804</v>
      </c>
      <c r="I2661">
        <v>43.16</v>
      </c>
      <c r="J2661" t="s">
        <v>616</v>
      </c>
      <c r="K2661">
        <v>0</v>
      </c>
      <c r="L2661">
        <v>55.26</v>
      </c>
      <c r="M2661" t="s">
        <v>4705</v>
      </c>
      <c r="N2661">
        <v>92.72</v>
      </c>
      <c r="O2661" t="s">
        <v>2309</v>
      </c>
      <c r="P2661">
        <v>43.16</v>
      </c>
      <c r="Q2661">
        <v>38.74</v>
      </c>
      <c r="R2661">
        <v>39.03</v>
      </c>
      <c r="S2661">
        <v>39.24</v>
      </c>
      <c r="T2661">
        <v>11.26</v>
      </c>
      <c r="U2661">
        <v>2.19</v>
      </c>
      <c r="V2661">
        <v>100</v>
      </c>
      <c r="W2661">
        <v>591</v>
      </c>
      <c r="X2661">
        <v>41.7</v>
      </c>
      <c r="Y2661" t="s">
        <v>4153</v>
      </c>
      <c r="Z2661" t="s">
        <v>4702</v>
      </c>
      <c r="AA2661">
        <v>1.25</v>
      </c>
      <c r="AB2661">
        <v>555</v>
      </c>
      <c r="AC2661">
        <v>0</v>
      </c>
      <c r="AD2661">
        <v>6.9</v>
      </c>
      <c r="AE2661" t="s">
        <v>1442</v>
      </c>
      <c r="AF2661" t="s">
        <v>5616</v>
      </c>
      <c r="AG2661" t="s">
        <v>8014</v>
      </c>
      <c r="AH2661" t="s">
        <v>888</v>
      </c>
      <c r="AI2661">
        <v>22.2</v>
      </c>
      <c r="AJ2661">
        <v>42.25</v>
      </c>
      <c r="AK2661">
        <v>129.34</v>
      </c>
      <c r="AL2661">
        <v>181.62</v>
      </c>
    </row>
    <row r="2662" spans="1:38" x14ac:dyDescent="0.25">
      <c r="A2662">
        <v>2661</v>
      </c>
      <c r="B2662" t="str">
        <f xml:space="preserve"> "002377"</f>
        <v>002377</v>
      </c>
      <c r="C2662" t="s">
        <v>8015</v>
      </c>
      <c r="D2662">
        <v>10.119999999999999</v>
      </c>
      <c r="E2662">
        <v>0.8</v>
      </c>
      <c r="F2662">
        <v>0.08</v>
      </c>
      <c r="G2662" t="s">
        <v>498</v>
      </c>
      <c r="H2662">
        <v>1867</v>
      </c>
      <c r="I2662">
        <v>10.11</v>
      </c>
      <c r="J2662">
        <v>10.119999999999999</v>
      </c>
      <c r="K2662">
        <v>0</v>
      </c>
      <c r="L2662">
        <v>2.54</v>
      </c>
      <c r="M2662" t="s">
        <v>2114</v>
      </c>
      <c r="N2662">
        <v>-447.54</v>
      </c>
      <c r="O2662" t="s">
        <v>61</v>
      </c>
      <c r="P2662">
        <v>10.35</v>
      </c>
      <c r="Q2662">
        <v>10.07</v>
      </c>
      <c r="R2662">
        <v>10.199999999999999</v>
      </c>
      <c r="S2662">
        <v>10.039999999999999</v>
      </c>
      <c r="T2662">
        <v>2.79</v>
      </c>
      <c r="U2662">
        <v>1.21</v>
      </c>
      <c r="V2662">
        <v>2.8</v>
      </c>
      <c r="W2662">
        <v>130</v>
      </c>
      <c r="X2662">
        <v>10.18</v>
      </c>
      <c r="Y2662" t="s">
        <v>3552</v>
      </c>
      <c r="Z2662" t="s">
        <v>1641</v>
      </c>
      <c r="AA2662">
        <v>0.97</v>
      </c>
      <c r="AB2662">
        <v>469</v>
      </c>
      <c r="AC2662">
        <v>966</v>
      </c>
      <c r="AD2662">
        <v>5.81</v>
      </c>
      <c r="AE2662" t="s">
        <v>5565</v>
      </c>
      <c r="AF2662" t="s">
        <v>5616</v>
      </c>
      <c r="AG2662" t="s">
        <v>5565</v>
      </c>
      <c r="AH2662" t="s">
        <v>5616</v>
      </c>
      <c r="AI2662">
        <v>1.5</v>
      </c>
      <c r="AJ2662">
        <v>5.31</v>
      </c>
      <c r="AK2662">
        <v>7.98</v>
      </c>
      <c r="AL2662">
        <v>13.04</v>
      </c>
    </row>
    <row r="2663" spans="1:38" x14ac:dyDescent="0.25">
      <c r="A2663">
        <v>2662</v>
      </c>
      <c r="B2663" t="str">
        <f xml:space="preserve"> "300430"</f>
        <v>300430</v>
      </c>
      <c r="C2663" t="s">
        <v>8016</v>
      </c>
      <c r="D2663">
        <v>38.57</v>
      </c>
      <c r="E2663">
        <v>3.65</v>
      </c>
      <c r="F2663">
        <v>1.36</v>
      </c>
      <c r="G2663" t="s">
        <v>3042</v>
      </c>
      <c r="H2663">
        <v>333</v>
      </c>
      <c r="I2663">
        <v>38.56</v>
      </c>
      <c r="J2663">
        <v>38.58</v>
      </c>
      <c r="K2663">
        <v>-0.08</v>
      </c>
      <c r="L2663">
        <v>4.84</v>
      </c>
      <c r="M2663" t="s">
        <v>8017</v>
      </c>
      <c r="N2663">
        <v>63.09</v>
      </c>
      <c r="O2663" t="s">
        <v>648</v>
      </c>
      <c r="P2663">
        <v>38.9</v>
      </c>
      <c r="Q2663">
        <v>37</v>
      </c>
      <c r="R2663">
        <v>37.21</v>
      </c>
      <c r="S2663">
        <v>37.21</v>
      </c>
      <c r="T2663">
        <v>5.1100000000000003</v>
      </c>
      <c r="U2663">
        <v>2.0699999999999998</v>
      </c>
      <c r="V2663">
        <v>-13.24</v>
      </c>
      <c r="W2663">
        <v>-76</v>
      </c>
      <c r="X2663">
        <v>38.18</v>
      </c>
      <c r="Y2663">
        <v>9185</v>
      </c>
      <c r="Z2663" t="s">
        <v>1836</v>
      </c>
      <c r="AA2663">
        <v>0.85</v>
      </c>
      <c r="AB2663">
        <v>143</v>
      </c>
      <c r="AC2663">
        <v>10</v>
      </c>
      <c r="AD2663">
        <v>2.96</v>
      </c>
      <c r="AE2663" t="s">
        <v>2869</v>
      </c>
      <c r="AF2663" t="s">
        <v>5616</v>
      </c>
      <c r="AG2663" t="s">
        <v>8018</v>
      </c>
      <c r="AH2663" t="s">
        <v>1477</v>
      </c>
      <c r="AI2663">
        <v>3.88</v>
      </c>
      <c r="AJ2663">
        <v>11.15</v>
      </c>
      <c r="AK2663">
        <v>9.5299999999999994</v>
      </c>
      <c r="AL2663">
        <v>16.559999999999999</v>
      </c>
    </row>
    <row r="2664" spans="1:38" x14ac:dyDescent="0.25">
      <c r="A2664">
        <v>2663</v>
      </c>
      <c r="B2664" t="str">
        <f xml:space="preserve"> "600877"</f>
        <v>600877</v>
      </c>
      <c r="C2664" t="s">
        <v>8019</v>
      </c>
      <c r="D2664">
        <v>6.36</v>
      </c>
      <c r="E2664">
        <v>0.63</v>
      </c>
      <c r="F2664">
        <v>0.04</v>
      </c>
      <c r="G2664" t="s">
        <v>2889</v>
      </c>
      <c r="H2664">
        <v>32</v>
      </c>
      <c r="I2664">
        <v>6.35</v>
      </c>
      <c r="J2664">
        <v>6.36</v>
      </c>
      <c r="K2664">
        <v>0.16</v>
      </c>
      <c r="L2664">
        <v>0.84</v>
      </c>
      <c r="M2664" t="s">
        <v>8020</v>
      </c>
      <c r="N2664">
        <v>29.03</v>
      </c>
      <c r="O2664" t="s">
        <v>253</v>
      </c>
      <c r="P2664">
        <v>6.37</v>
      </c>
      <c r="Q2664">
        <v>6.25</v>
      </c>
      <c r="R2664">
        <v>6.3</v>
      </c>
      <c r="S2664">
        <v>6.32</v>
      </c>
      <c r="T2664">
        <v>1.9</v>
      </c>
      <c r="U2664">
        <v>0.89</v>
      </c>
      <c r="V2664">
        <v>-25.59</v>
      </c>
      <c r="W2664">
        <v>-1587</v>
      </c>
      <c r="X2664">
        <v>6.31</v>
      </c>
      <c r="Y2664" t="s">
        <v>1949</v>
      </c>
      <c r="Z2664" t="s">
        <v>393</v>
      </c>
      <c r="AA2664">
        <v>1.02</v>
      </c>
      <c r="AB2664">
        <v>993</v>
      </c>
      <c r="AC2664">
        <v>161</v>
      </c>
      <c r="AD2664">
        <v>-17.87</v>
      </c>
      <c r="AE2664" t="s">
        <v>3672</v>
      </c>
      <c r="AF2664" t="s">
        <v>5616</v>
      </c>
      <c r="AG2664" t="s">
        <v>3672</v>
      </c>
      <c r="AH2664" t="s">
        <v>5616</v>
      </c>
      <c r="AI2664">
        <v>0.32</v>
      </c>
      <c r="AJ2664">
        <v>2.42</v>
      </c>
      <c r="AK2664">
        <v>2.93</v>
      </c>
      <c r="AL2664">
        <v>5.57</v>
      </c>
    </row>
    <row r="2665" spans="1:38" x14ac:dyDescent="0.25">
      <c r="A2665">
        <v>2664</v>
      </c>
      <c r="B2665" t="str">
        <f xml:space="preserve"> "600830"</f>
        <v>600830</v>
      </c>
      <c r="C2665" t="s">
        <v>8021</v>
      </c>
      <c r="D2665">
        <v>9.6199999999999992</v>
      </c>
      <c r="E2665">
        <v>0.31</v>
      </c>
      <c r="F2665">
        <v>0.03</v>
      </c>
      <c r="G2665" t="s">
        <v>1879</v>
      </c>
      <c r="H2665">
        <v>16</v>
      </c>
      <c r="I2665">
        <v>9.6</v>
      </c>
      <c r="J2665">
        <v>9.61</v>
      </c>
      <c r="K2665">
        <v>0</v>
      </c>
      <c r="L2665">
        <v>0.86</v>
      </c>
      <c r="M2665" t="s">
        <v>8022</v>
      </c>
      <c r="N2665">
        <v>72.319999999999993</v>
      </c>
      <c r="O2665" t="s">
        <v>482</v>
      </c>
      <c r="P2665">
        <v>9.64</v>
      </c>
      <c r="Q2665">
        <v>9.56</v>
      </c>
      <c r="R2665">
        <v>9.56</v>
      </c>
      <c r="S2665">
        <v>9.59</v>
      </c>
      <c r="T2665">
        <v>0.83</v>
      </c>
      <c r="U2665">
        <v>0.73</v>
      </c>
      <c r="V2665">
        <v>28.74</v>
      </c>
      <c r="W2665">
        <v>977</v>
      </c>
      <c r="X2665">
        <v>9.6</v>
      </c>
      <c r="Y2665" t="s">
        <v>530</v>
      </c>
      <c r="Z2665" t="s">
        <v>3272</v>
      </c>
      <c r="AA2665">
        <v>0.61</v>
      </c>
      <c r="AB2665">
        <v>1148</v>
      </c>
      <c r="AC2665">
        <v>20</v>
      </c>
      <c r="AD2665">
        <v>2.14</v>
      </c>
      <c r="AE2665" t="s">
        <v>1607</v>
      </c>
      <c r="AF2665" t="s">
        <v>5616</v>
      </c>
      <c r="AG2665" t="s">
        <v>1607</v>
      </c>
      <c r="AH2665" t="s">
        <v>5616</v>
      </c>
      <c r="AI2665">
        <v>-1.43</v>
      </c>
      <c r="AJ2665">
        <v>2.67</v>
      </c>
      <c r="AK2665">
        <v>2.68</v>
      </c>
      <c r="AL2665">
        <v>6.78</v>
      </c>
    </row>
    <row r="2666" spans="1:38" x14ac:dyDescent="0.25">
      <c r="A2666">
        <v>2665</v>
      </c>
      <c r="B2666" t="str">
        <f xml:space="preserve"> "600355"</f>
        <v>600355</v>
      </c>
      <c r="C2666" t="s">
        <v>8023</v>
      </c>
      <c r="D2666">
        <v>8.8699999999999992</v>
      </c>
      <c r="E2666">
        <v>0.11</v>
      </c>
      <c r="F2666">
        <v>0.01</v>
      </c>
      <c r="G2666" t="s">
        <v>121</v>
      </c>
      <c r="H2666">
        <v>2</v>
      </c>
      <c r="I2666">
        <v>8.86</v>
      </c>
      <c r="J2666">
        <v>8.8699999999999992</v>
      </c>
      <c r="K2666">
        <v>-0.11</v>
      </c>
      <c r="L2666">
        <v>0.56999999999999995</v>
      </c>
      <c r="M2666" t="s">
        <v>6724</v>
      </c>
      <c r="N2666">
        <v>-246.64</v>
      </c>
      <c r="O2666" t="s">
        <v>380</v>
      </c>
      <c r="P2666">
        <v>8.91</v>
      </c>
      <c r="Q2666">
        <v>8.84</v>
      </c>
      <c r="R2666">
        <v>8.86</v>
      </c>
      <c r="S2666">
        <v>8.86</v>
      </c>
      <c r="T2666">
        <v>0.79</v>
      </c>
      <c r="U2666">
        <v>0.4</v>
      </c>
      <c r="V2666">
        <v>55.89</v>
      </c>
      <c r="W2666">
        <v>4667</v>
      </c>
      <c r="X2666">
        <v>8.8699999999999992</v>
      </c>
      <c r="Y2666" t="s">
        <v>3950</v>
      </c>
      <c r="Z2666" t="s">
        <v>1095</v>
      </c>
      <c r="AA2666">
        <v>1.24</v>
      </c>
      <c r="AB2666">
        <v>331</v>
      </c>
      <c r="AC2666">
        <v>102</v>
      </c>
      <c r="AD2666">
        <v>10.88</v>
      </c>
      <c r="AE2666" t="s">
        <v>2349</v>
      </c>
      <c r="AF2666" t="s">
        <v>6413</v>
      </c>
      <c r="AG2666" t="s">
        <v>2349</v>
      </c>
      <c r="AH2666" t="s">
        <v>6413</v>
      </c>
      <c r="AI2666">
        <v>-0.34</v>
      </c>
      <c r="AJ2666">
        <v>1.72</v>
      </c>
      <c r="AK2666">
        <v>4.3899999999999997</v>
      </c>
      <c r="AL2666">
        <v>7.6</v>
      </c>
    </row>
    <row r="2667" spans="1:38" x14ac:dyDescent="0.25">
      <c r="A2667">
        <v>2666</v>
      </c>
      <c r="B2667" t="str">
        <f xml:space="preserve"> "002607"</f>
        <v>002607</v>
      </c>
      <c r="C2667" t="s">
        <v>8024</v>
      </c>
      <c r="D2667">
        <v>5.32</v>
      </c>
      <c r="E2667">
        <v>-4.66</v>
      </c>
      <c r="F2667">
        <v>-0.26</v>
      </c>
      <c r="G2667" t="s">
        <v>8025</v>
      </c>
      <c r="H2667" t="s">
        <v>3590</v>
      </c>
      <c r="I2667">
        <v>5.31</v>
      </c>
      <c r="J2667">
        <v>5.32</v>
      </c>
      <c r="K2667">
        <v>-0.19</v>
      </c>
      <c r="L2667">
        <v>7.16</v>
      </c>
      <c r="M2667" t="s">
        <v>2333</v>
      </c>
      <c r="N2667">
        <v>51.23</v>
      </c>
      <c r="O2667" t="s">
        <v>169</v>
      </c>
      <c r="P2667">
        <v>5.5</v>
      </c>
      <c r="Q2667">
        <v>5.3</v>
      </c>
      <c r="R2667">
        <v>5.45</v>
      </c>
      <c r="S2667">
        <v>5.58</v>
      </c>
      <c r="T2667">
        <v>3.58</v>
      </c>
      <c r="U2667">
        <v>0.84</v>
      </c>
      <c r="V2667">
        <v>46.48</v>
      </c>
      <c r="W2667" t="s">
        <v>75</v>
      </c>
      <c r="X2667">
        <v>5.38</v>
      </c>
      <c r="Y2667" t="s">
        <v>203</v>
      </c>
      <c r="Z2667" t="s">
        <v>669</v>
      </c>
      <c r="AA2667">
        <v>1.68</v>
      </c>
      <c r="AB2667">
        <v>2877</v>
      </c>
      <c r="AC2667">
        <v>958</v>
      </c>
      <c r="AD2667">
        <v>2.3199999999999998</v>
      </c>
      <c r="AE2667" t="s">
        <v>5578</v>
      </c>
      <c r="AF2667" t="s">
        <v>6413</v>
      </c>
      <c r="AG2667" t="s">
        <v>1722</v>
      </c>
      <c r="AH2667" t="s">
        <v>1394</v>
      </c>
      <c r="AI2667">
        <v>-7.64</v>
      </c>
      <c r="AJ2667">
        <v>12.71</v>
      </c>
      <c r="AK2667">
        <v>38.21</v>
      </c>
      <c r="AL2667">
        <v>49.78</v>
      </c>
    </row>
    <row r="2668" spans="1:38" x14ac:dyDescent="0.25">
      <c r="A2668">
        <v>2667</v>
      </c>
      <c r="B2668" t="str">
        <f xml:space="preserve"> "600749"</f>
        <v>600749</v>
      </c>
      <c r="C2668" t="s">
        <v>8026</v>
      </c>
      <c r="D2668">
        <v>23.05</v>
      </c>
      <c r="E2668">
        <v>-2.7</v>
      </c>
      <c r="F2668">
        <v>-0.64</v>
      </c>
      <c r="G2668" t="s">
        <v>2518</v>
      </c>
      <c r="H2668">
        <v>17</v>
      </c>
      <c r="I2668">
        <v>23.05</v>
      </c>
      <c r="J2668">
        <v>23.06</v>
      </c>
      <c r="K2668">
        <v>0.13</v>
      </c>
      <c r="L2668">
        <v>0.71</v>
      </c>
      <c r="M2668" t="s">
        <v>8027</v>
      </c>
      <c r="N2668">
        <v>-85.42</v>
      </c>
      <c r="O2668" t="s">
        <v>951</v>
      </c>
      <c r="P2668">
        <v>23.68</v>
      </c>
      <c r="Q2668">
        <v>22.91</v>
      </c>
      <c r="R2668">
        <v>23.57</v>
      </c>
      <c r="S2668">
        <v>23.69</v>
      </c>
      <c r="T2668">
        <v>3.25</v>
      </c>
      <c r="U2668">
        <v>0.7</v>
      </c>
      <c r="V2668">
        <v>25.72</v>
      </c>
      <c r="W2668">
        <v>109</v>
      </c>
      <c r="X2668">
        <v>23.37</v>
      </c>
      <c r="Y2668">
        <v>8024</v>
      </c>
      <c r="Z2668">
        <v>5370</v>
      </c>
      <c r="AA2668">
        <v>1.49</v>
      </c>
      <c r="AB2668">
        <v>107</v>
      </c>
      <c r="AC2668">
        <v>56</v>
      </c>
      <c r="AD2668">
        <v>8.48</v>
      </c>
      <c r="AE2668" t="s">
        <v>957</v>
      </c>
      <c r="AF2668" t="s">
        <v>6413</v>
      </c>
      <c r="AG2668" t="s">
        <v>957</v>
      </c>
      <c r="AH2668" t="s">
        <v>6413</v>
      </c>
      <c r="AI2668">
        <v>0.22</v>
      </c>
      <c r="AJ2668">
        <v>-1.91</v>
      </c>
      <c r="AK2668">
        <v>2.58</v>
      </c>
      <c r="AL2668">
        <v>5.75</v>
      </c>
    </row>
    <row r="2669" spans="1:38" x14ac:dyDescent="0.25">
      <c r="A2669">
        <v>2668</v>
      </c>
      <c r="B2669" t="str">
        <f xml:space="preserve"> "600052"</f>
        <v>600052</v>
      </c>
      <c r="C2669" t="s">
        <v>8028</v>
      </c>
      <c r="D2669">
        <v>5</v>
      </c>
      <c r="E2669">
        <v>0.4</v>
      </c>
      <c r="F2669">
        <v>0.02</v>
      </c>
      <c r="G2669" t="s">
        <v>1712</v>
      </c>
      <c r="H2669">
        <v>20</v>
      </c>
      <c r="I2669">
        <v>5</v>
      </c>
      <c r="J2669">
        <v>5.01</v>
      </c>
      <c r="K2669">
        <v>0</v>
      </c>
      <c r="L2669">
        <v>0.42</v>
      </c>
      <c r="M2669" t="s">
        <v>7339</v>
      </c>
      <c r="N2669">
        <v>67.739999999999995</v>
      </c>
      <c r="O2669" t="s">
        <v>244</v>
      </c>
      <c r="P2669">
        <v>5.01</v>
      </c>
      <c r="Q2669">
        <v>4.96</v>
      </c>
      <c r="R2669">
        <v>4.97</v>
      </c>
      <c r="S2669">
        <v>4.9800000000000004</v>
      </c>
      <c r="T2669">
        <v>1</v>
      </c>
      <c r="U2669">
        <v>0.55000000000000004</v>
      </c>
      <c r="V2669">
        <v>12.95</v>
      </c>
      <c r="W2669">
        <v>1485</v>
      </c>
      <c r="X2669">
        <v>4.99</v>
      </c>
      <c r="Y2669" t="s">
        <v>4374</v>
      </c>
      <c r="Z2669" t="s">
        <v>1349</v>
      </c>
      <c r="AA2669">
        <v>1.1100000000000001</v>
      </c>
      <c r="AB2669">
        <v>56</v>
      </c>
      <c r="AC2669">
        <v>446</v>
      </c>
      <c r="AD2669">
        <v>2.0299999999999998</v>
      </c>
      <c r="AE2669" t="s">
        <v>3193</v>
      </c>
      <c r="AF2669" t="s">
        <v>6413</v>
      </c>
      <c r="AG2669" t="s">
        <v>3193</v>
      </c>
      <c r="AH2669" t="s">
        <v>6413</v>
      </c>
      <c r="AI2669">
        <v>-1.96</v>
      </c>
      <c r="AJ2669">
        <v>-0.99</v>
      </c>
      <c r="AK2669">
        <v>2.08</v>
      </c>
      <c r="AL2669">
        <v>4.2300000000000004</v>
      </c>
    </row>
    <row r="2670" spans="1:38" x14ac:dyDescent="0.25">
      <c r="A2670">
        <v>2669</v>
      </c>
      <c r="B2670" t="str">
        <f xml:space="preserve"> "600186"</f>
        <v>600186</v>
      </c>
      <c r="C2670" t="s">
        <v>8029</v>
      </c>
      <c r="D2670">
        <v>4.0999999999999996</v>
      </c>
      <c r="E2670">
        <v>0.24</v>
      </c>
      <c r="F2670">
        <v>0.01</v>
      </c>
      <c r="G2670" t="s">
        <v>6551</v>
      </c>
      <c r="H2670">
        <v>50</v>
      </c>
      <c r="I2670">
        <v>4.0999999999999996</v>
      </c>
      <c r="J2670">
        <v>4.1100000000000003</v>
      </c>
      <c r="K2670">
        <v>-0.24</v>
      </c>
      <c r="L2670">
        <v>0.41</v>
      </c>
      <c r="M2670" t="s">
        <v>3777</v>
      </c>
      <c r="N2670">
        <v>-36.11</v>
      </c>
      <c r="O2670" t="s">
        <v>406</v>
      </c>
      <c r="P2670">
        <v>4.13</v>
      </c>
      <c r="Q2670">
        <v>4.08</v>
      </c>
      <c r="R2670">
        <v>4.0999999999999996</v>
      </c>
      <c r="S2670">
        <v>4.09</v>
      </c>
      <c r="T2670">
        <v>1.22</v>
      </c>
      <c r="U2670">
        <v>0.51</v>
      </c>
      <c r="V2670">
        <v>-31.07</v>
      </c>
      <c r="W2670">
        <v>-6864</v>
      </c>
      <c r="X2670">
        <v>4.0999999999999996</v>
      </c>
      <c r="Y2670" t="s">
        <v>1207</v>
      </c>
      <c r="Z2670" t="s">
        <v>3130</v>
      </c>
      <c r="AA2670">
        <v>1.57</v>
      </c>
      <c r="AB2670">
        <v>345</v>
      </c>
      <c r="AC2670">
        <v>3214</v>
      </c>
      <c r="AD2670">
        <v>56.35</v>
      </c>
      <c r="AE2670" t="s">
        <v>1554</v>
      </c>
      <c r="AF2670" t="s">
        <v>1669</v>
      </c>
      <c r="AG2670" t="s">
        <v>1554</v>
      </c>
      <c r="AH2670" t="s">
        <v>1669</v>
      </c>
      <c r="AI2670">
        <v>-0.73</v>
      </c>
      <c r="AJ2670">
        <v>0.99</v>
      </c>
      <c r="AK2670">
        <v>1.4</v>
      </c>
      <c r="AL2670">
        <v>4.38</v>
      </c>
    </row>
    <row r="2671" spans="1:38" x14ac:dyDescent="0.25">
      <c r="A2671">
        <v>2670</v>
      </c>
      <c r="B2671" t="str">
        <f xml:space="preserve"> "300049"</f>
        <v>300049</v>
      </c>
      <c r="C2671" t="s">
        <v>8030</v>
      </c>
      <c r="D2671">
        <v>16.55</v>
      </c>
      <c r="E2671">
        <v>-1.84</v>
      </c>
      <c r="F2671">
        <v>-0.31</v>
      </c>
      <c r="G2671" t="s">
        <v>1043</v>
      </c>
      <c r="H2671">
        <v>810</v>
      </c>
      <c r="I2671">
        <v>16.55</v>
      </c>
      <c r="J2671">
        <v>16.559999999999999</v>
      </c>
      <c r="K2671">
        <v>-0.06</v>
      </c>
      <c r="L2671">
        <v>1.23</v>
      </c>
      <c r="M2671" t="s">
        <v>7101</v>
      </c>
      <c r="N2671">
        <v>54.94</v>
      </c>
      <c r="O2671" t="s">
        <v>392</v>
      </c>
      <c r="P2671">
        <v>16.739999999999998</v>
      </c>
      <c r="Q2671">
        <v>16.510000000000002</v>
      </c>
      <c r="R2671">
        <v>16.739999999999998</v>
      </c>
      <c r="S2671">
        <v>16.86</v>
      </c>
      <c r="T2671">
        <v>1.36</v>
      </c>
      <c r="U2671">
        <v>0.62</v>
      </c>
      <c r="V2671">
        <v>-1.56</v>
      </c>
      <c r="W2671">
        <v>-28</v>
      </c>
      <c r="X2671">
        <v>16.59</v>
      </c>
      <c r="Y2671" t="s">
        <v>1578</v>
      </c>
      <c r="Z2671" t="s">
        <v>1869</v>
      </c>
      <c r="AA2671">
        <v>1.46</v>
      </c>
      <c r="AB2671">
        <v>9</v>
      </c>
      <c r="AC2671">
        <v>131</v>
      </c>
      <c r="AD2671">
        <v>2.85</v>
      </c>
      <c r="AE2671" t="s">
        <v>3888</v>
      </c>
      <c r="AF2671" t="s">
        <v>1669</v>
      </c>
      <c r="AG2671" t="s">
        <v>1812</v>
      </c>
      <c r="AH2671" t="s">
        <v>8031</v>
      </c>
      <c r="AI2671">
        <v>-1.55</v>
      </c>
      <c r="AJ2671">
        <v>3.44</v>
      </c>
      <c r="AK2671">
        <v>6.36</v>
      </c>
      <c r="AL2671">
        <v>11.19</v>
      </c>
    </row>
    <row r="2672" spans="1:38" x14ac:dyDescent="0.25">
      <c r="A2672">
        <v>2671</v>
      </c>
      <c r="B2672" t="str">
        <f xml:space="preserve"> "000609"</f>
        <v>000609</v>
      </c>
      <c r="C2672" t="s">
        <v>8032</v>
      </c>
      <c r="D2672">
        <v>14.54</v>
      </c>
      <c r="E2672">
        <v>0.55000000000000004</v>
      </c>
      <c r="F2672">
        <v>0.08</v>
      </c>
      <c r="G2672" t="s">
        <v>3326</v>
      </c>
      <c r="H2672">
        <v>364</v>
      </c>
      <c r="I2672">
        <v>14.54</v>
      </c>
      <c r="J2672">
        <v>14.55</v>
      </c>
      <c r="K2672">
        <v>7.0000000000000007E-2</v>
      </c>
      <c r="L2672">
        <v>0.69</v>
      </c>
      <c r="M2672" t="s">
        <v>8033</v>
      </c>
      <c r="N2672">
        <v>17.579999999999998</v>
      </c>
      <c r="O2672" t="s">
        <v>244</v>
      </c>
      <c r="P2672">
        <v>14.56</v>
      </c>
      <c r="Q2672">
        <v>14.38</v>
      </c>
      <c r="R2672">
        <v>14.44</v>
      </c>
      <c r="S2672">
        <v>14.46</v>
      </c>
      <c r="T2672">
        <v>1.24</v>
      </c>
      <c r="U2672">
        <v>0.56000000000000005</v>
      </c>
      <c r="V2672">
        <v>-23.56</v>
      </c>
      <c r="W2672">
        <v>-275</v>
      </c>
      <c r="X2672">
        <v>14.49</v>
      </c>
      <c r="Y2672">
        <v>6293</v>
      </c>
      <c r="Z2672" t="s">
        <v>2280</v>
      </c>
      <c r="AA2672">
        <v>0.51</v>
      </c>
      <c r="AB2672">
        <v>26</v>
      </c>
      <c r="AC2672">
        <v>180</v>
      </c>
      <c r="AD2672">
        <v>2.8</v>
      </c>
      <c r="AE2672" t="s">
        <v>4522</v>
      </c>
      <c r="AF2672" t="s">
        <v>1669</v>
      </c>
      <c r="AG2672" t="s">
        <v>6725</v>
      </c>
      <c r="AH2672" t="s">
        <v>1616</v>
      </c>
      <c r="AI2672">
        <v>7.0000000000000007E-2</v>
      </c>
      <c r="AJ2672">
        <v>3.41</v>
      </c>
      <c r="AK2672">
        <v>2.82</v>
      </c>
      <c r="AL2672">
        <v>6.83</v>
      </c>
    </row>
    <row r="2673" spans="1:38" x14ac:dyDescent="0.25">
      <c r="A2673">
        <v>2672</v>
      </c>
      <c r="B2673" t="str">
        <f xml:space="preserve"> "300580"</f>
        <v>300580</v>
      </c>
      <c r="C2673" t="s">
        <v>8034</v>
      </c>
      <c r="D2673" t="s">
        <v>616</v>
      </c>
      <c r="E2673" t="s">
        <v>616</v>
      </c>
      <c r="F2673" t="s">
        <v>616</v>
      </c>
      <c r="G2673" t="s">
        <v>616</v>
      </c>
      <c r="H2673" t="s">
        <v>616</v>
      </c>
      <c r="I2673" t="s">
        <v>616</v>
      </c>
      <c r="J2673" t="s">
        <v>616</v>
      </c>
      <c r="K2673" t="s">
        <v>616</v>
      </c>
      <c r="L2673" t="s">
        <v>616</v>
      </c>
      <c r="M2673" t="s">
        <v>616</v>
      </c>
      <c r="N2673">
        <v>37.119999999999997</v>
      </c>
      <c r="O2673" t="s">
        <v>169</v>
      </c>
      <c r="P2673" t="s">
        <v>616</v>
      </c>
      <c r="Q2673" t="s">
        <v>616</v>
      </c>
      <c r="R2673" t="s">
        <v>616</v>
      </c>
      <c r="S2673">
        <v>21.74</v>
      </c>
      <c r="T2673" t="s">
        <v>616</v>
      </c>
      <c r="U2673" t="s">
        <v>616</v>
      </c>
      <c r="V2673" t="s">
        <v>616</v>
      </c>
      <c r="W2673" t="s">
        <v>616</v>
      </c>
      <c r="X2673" t="s">
        <v>616</v>
      </c>
      <c r="Y2673" t="s">
        <v>616</v>
      </c>
      <c r="Z2673" t="s">
        <v>616</v>
      </c>
      <c r="AA2673" t="s">
        <v>616</v>
      </c>
      <c r="AB2673" t="s">
        <v>616</v>
      </c>
      <c r="AC2673" t="s">
        <v>616</v>
      </c>
      <c r="AD2673">
        <v>3.71</v>
      </c>
      <c r="AE2673" t="s">
        <v>1485</v>
      </c>
      <c r="AF2673" t="s">
        <v>1669</v>
      </c>
      <c r="AG2673" t="s">
        <v>3869</v>
      </c>
      <c r="AH2673" t="s">
        <v>888</v>
      </c>
      <c r="AI2673">
        <v>0</v>
      </c>
      <c r="AJ2673">
        <v>0</v>
      </c>
      <c r="AK2673">
        <v>0</v>
      </c>
      <c r="AL2673">
        <v>0</v>
      </c>
    </row>
    <row r="2674" spans="1:38" x14ac:dyDescent="0.25">
      <c r="A2674">
        <v>2673</v>
      </c>
      <c r="B2674" t="str">
        <f xml:space="preserve"> "603386"</f>
        <v>603386</v>
      </c>
      <c r="C2674" t="s">
        <v>8035</v>
      </c>
      <c r="D2674">
        <v>21.52</v>
      </c>
      <c r="E2674">
        <v>0.05</v>
      </c>
      <c r="F2674">
        <v>0.01</v>
      </c>
      <c r="G2674" t="s">
        <v>2535</v>
      </c>
      <c r="H2674">
        <v>38</v>
      </c>
      <c r="I2674">
        <v>21.51</v>
      </c>
      <c r="J2674">
        <v>21.52</v>
      </c>
      <c r="K2674">
        <v>0.05</v>
      </c>
      <c r="L2674">
        <v>16.62</v>
      </c>
      <c r="M2674" t="s">
        <v>2715</v>
      </c>
      <c r="N2674">
        <v>77.67</v>
      </c>
      <c r="O2674" t="s">
        <v>380</v>
      </c>
      <c r="P2674">
        <v>21.84</v>
      </c>
      <c r="Q2674">
        <v>21.18</v>
      </c>
      <c r="R2674">
        <v>21.46</v>
      </c>
      <c r="S2674">
        <v>21.51</v>
      </c>
      <c r="T2674">
        <v>3.07</v>
      </c>
      <c r="U2674">
        <v>0.41</v>
      </c>
      <c r="V2674">
        <v>-9.5399999999999991</v>
      </c>
      <c r="W2674">
        <v>-96</v>
      </c>
      <c r="X2674">
        <v>21.55</v>
      </c>
      <c r="Y2674" t="s">
        <v>1524</v>
      </c>
      <c r="Z2674" t="s">
        <v>1879</v>
      </c>
      <c r="AA2674">
        <v>1.1399999999999999</v>
      </c>
      <c r="AB2674">
        <v>177</v>
      </c>
      <c r="AC2674">
        <v>76</v>
      </c>
      <c r="AD2674">
        <v>7.51</v>
      </c>
      <c r="AE2674" t="s">
        <v>1404</v>
      </c>
      <c r="AF2674" t="s">
        <v>2901</v>
      </c>
      <c r="AG2674" t="s">
        <v>7574</v>
      </c>
      <c r="AH2674" t="s">
        <v>888</v>
      </c>
      <c r="AI2674">
        <v>-10.3</v>
      </c>
      <c r="AJ2674">
        <v>-23.69</v>
      </c>
      <c r="AK2674">
        <v>73.209999999999994</v>
      </c>
      <c r="AL2674">
        <v>220.17</v>
      </c>
    </row>
    <row r="2675" spans="1:38" x14ac:dyDescent="0.25">
      <c r="A2675">
        <v>2674</v>
      </c>
      <c r="B2675" t="str">
        <f xml:space="preserve"> "601616"</f>
        <v>601616</v>
      </c>
      <c r="C2675" t="s">
        <v>8036</v>
      </c>
      <c r="D2675">
        <v>4.6399999999999997</v>
      </c>
      <c r="E2675">
        <v>-0.22</v>
      </c>
      <c r="F2675">
        <v>-0.01</v>
      </c>
      <c r="G2675" t="s">
        <v>2069</v>
      </c>
      <c r="H2675">
        <v>2</v>
      </c>
      <c r="I2675">
        <v>4.63</v>
      </c>
      <c r="J2675">
        <v>4.6399999999999997</v>
      </c>
      <c r="K2675">
        <v>-0.22</v>
      </c>
      <c r="L2675">
        <v>0.75</v>
      </c>
      <c r="M2675" t="s">
        <v>8037</v>
      </c>
      <c r="N2675">
        <v>233.62</v>
      </c>
      <c r="O2675" t="s">
        <v>680</v>
      </c>
      <c r="P2675">
        <v>4.66</v>
      </c>
      <c r="Q2675">
        <v>4.6100000000000003</v>
      </c>
      <c r="R2675">
        <v>4.63</v>
      </c>
      <c r="S2675">
        <v>4.6500000000000004</v>
      </c>
      <c r="T2675">
        <v>1.08</v>
      </c>
      <c r="U2675">
        <v>0.64</v>
      </c>
      <c r="V2675">
        <v>25.37</v>
      </c>
      <c r="W2675">
        <v>3327</v>
      </c>
      <c r="X2675">
        <v>4.63</v>
      </c>
      <c r="Y2675" t="s">
        <v>2481</v>
      </c>
      <c r="Z2675" t="s">
        <v>121</v>
      </c>
      <c r="AA2675">
        <v>1.51</v>
      </c>
      <c r="AB2675">
        <v>1053</v>
      </c>
      <c r="AC2675">
        <v>74</v>
      </c>
      <c r="AD2675">
        <v>1.85</v>
      </c>
      <c r="AE2675" t="s">
        <v>4943</v>
      </c>
      <c r="AF2675" t="s">
        <v>2901</v>
      </c>
      <c r="AG2675" t="s">
        <v>4943</v>
      </c>
      <c r="AH2675" t="s">
        <v>2901</v>
      </c>
      <c r="AI2675">
        <v>1.53</v>
      </c>
      <c r="AJ2675">
        <v>3.8</v>
      </c>
      <c r="AK2675">
        <v>5.44</v>
      </c>
      <c r="AL2675">
        <v>6.59</v>
      </c>
    </row>
    <row r="2676" spans="1:38" x14ac:dyDescent="0.25">
      <c r="A2676">
        <v>2675</v>
      </c>
      <c r="B2676" t="str">
        <f xml:space="preserve"> "002021"</f>
        <v>002021</v>
      </c>
      <c r="C2676" t="s">
        <v>8038</v>
      </c>
      <c r="D2676">
        <v>6.31</v>
      </c>
      <c r="E2676">
        <v>-0.32</v>
      </c>
      <c r="F2676">
        <v>-0.02</v>
      </c>
      <c r="G2676" t="s">
        <v>2360</v>
      </c>
      <c r="H2676">
        <v>514</v>
      </c>
      <c r="I2676">
        <v>6.3</v>
      </c>
      <c r="J2676">
        <v>6.31</v>
      </c>
      <c r="K2676">
        <v>0</v>
      </c>
      <c r="L2676">
        <v>0.32</v>
      </c>
      <c r="M2676" t="s">
        <v>8039</v>
      </c>
      <c r="N2676">
        <v>-49.55</v>
      </c>
      <c r="O2676" t="s">
        <v>648</v>
      </c>
      <c r="P2676">
        <v>6.34</v>
      </c>
      <c r="Q2676">
        <v>6.26</v>
      </c>
      <c r="R2676">
        <v>6.33</v>
      </c>
      <c r="S2676">
        <v>6.33</v>
      </c>
      <c r="T2676">
        <v>1.26</v>
      </c>
      <c r="U2676">
        <v>0.47</v>
      </c>
      <c r="V2676">
        <v>33.03</v>
      </c>
      <c r="W2676">
        <v>1944</v>
      </c>
      <c r="X2676">
        <v>6.29</v>
      </c>
      <c r="Y2676" t="s">
        <v>1726</v>
      </c>
      <c r="Z2676">
        <v>9118</v>
      </c>
      <c r="AA2676">
        <v>1.42</v>
      </c>
      <c r="AB2676">
        <v>331</v>
      </c>
      <c r="AC2676">
        <v>128</v>
      </c>
      <c r="AD2676">
        <v>4.4000000000000004</v>
      </c>
      <c r="AE2676" t="s">
        <v>5968</v>
      </c>
      <c r="AF2676" t="s">
        <v>2901</v>
      </c>
      <c r="AG2676" t="s">
        <v>5968</v>
      </c>
      <c r="AH2676" t="s">
        <v>2901</v>
      </c>
      <c r="AI2676">
        <v>1.1200000000000001</v>
      </c>
      <c r="AJ2676">
        <v>2.6</v>
      </c>
      <c r="AK2676">
        <v>2.5299999999999998</v>
      </c>
      <c r="AL2676">
        <v>3.73</v>
      </c>
    </row>
    <row r="2677" spans="1:38" x14ac:dyDescent="0.25">
      <c r="A2677">
        <v>2676</v>
      </c>
      <c r="B2677" t="str">
        <f xml:space="preserve"> "000589"</f>
        <v>000589</v>
      </c>
      <c r="C2677" t="s">
        <v>8040</v>
      </c>
      <c r="D2677">
        <v>5.59</v>
      </c>
      <c r="E2677">
        <v>0.18</v>
      </c>
      <c r="F2677">
        <v>0.01</v>
      </c>
      <c r="G2677" t="s">
        <v>3161</v>
      </c>
      <c r="H2677">
        <v>370</v>
      </c>
      <c r="I2677">
        <v>5.59</v>
      </c>
      <c r="J2677">
        <v>5.6</v>
      </c>
      <c r="K2677">
        <v>0</v>
      </c>
      <c r="L2677">
        <v>0.57999999999999996</v>
      </c>
      <c r="M2677" t="s">
        <v>5272</v>
      </c>
      <c r="N2677">
        <v>259.54000000000002</v>
      </c>
      <c r="O2677" t="s">
        <v>169</v>
      </c>
      <c r="P2677">
        <v>5.61</v>
      </c>
      <c r="Q2677">
        <v>5.55</v>
      </c>
      <c r="R2677">
        <v>5.6</v>
      </c>
      <c r="S2677">
        <v>5.58</v>
      </c>
      <c r="T2677">
        <v>1.08</v>
      </c>
      <c r="U2677">
        <v>0.98</v>
      </c>
      <c r="V2677">
        <v>28.27</v>
      </c>
      <c r="W2677">
        <v>2306</v>
      </c>
      <c r="X2677">
        <v>5.57</v>
      </c>
      <c r="Y2677" t="s">
        <v>507</v>
      </c>
      <c r="Z2677" t="s">
        <v>1341</v>
      </c>
      <c r="AA2677">
        <v>0.77</v>
      </c>
      <c r="AB2677">
        <v>1684</v>
      </c>
      <c r="AC2677">
        <v>358</v>
      </c>
      <c r="AD2677">
        <v>1.21</v>
      </c>
      <c r="AE2677" t="s">
        <v>8041</v>
      </c>
      <c r="AF2677" t="s">
        <v>6640</v>
      </c>
      <c r="AG2677" t="s">
        <v>8041</v>
      </c>
      <c r="AH2677" t="s">
        <v>6640</v>
      </c>
      <c r="AI2677">
        <v>-1.24</v>
      </c>
      <c r="AJ2677">
        <v>1.45</v>
      </c>
      <c r="AK2677">
        <v>1.48</v>
      </c>
      <c r="AL2677">
        <v>3.53</v>
      </c>
    </row>
    <row r="2678" spans="1:38" x14ac:dyDescent="0.25">
      <c r="A2678">
        <v>2677</v>
      </c>
      <c r="B2678" t="str">
        <f xml:space="preserve"> "300370"</f>
        <v>300370</v>
      </c>
      <c r="C2678" t="s">
        <v>8042</v>
      </c>
      <c r="D2678">
        <v>4.5199999999999996</v>
      </c>
      <c r="E2678">
        <v>0</v>
      </c>
      <c r="F2678">
        <v>0</v>
      </c>
      <c r="G2678" t="s">
        <v>3077</v>
      </c>
      <c r="H2678">
        <v>1097</v>
      </c>
      <c r="I2678">
        <v>4.5199999999999996</v>
      </c>
      <c r="J2678">
        <v>4.53</v>
      </c>
      <c r="K2678">
        <v>-0.22</v>
      </c>
      <c r="L2678">
        <v>0.54</v>
      </c>
      <c r="M2678" t="s">
        <v>8043</v>
      </c>
      <c r="N2678">
        <v>-214.29</v>
      </c>
      <c r="O2678" t="s">
        <v>1372</v>
      </c>
      <c r="P2678">
        <v>4.54</v>
      </c>
      <c r="Q2678">
        <v>4.46</v>
      </c>
      <c r="R2678">
        <v>4.5199999999999996</v>
      </c>
      <c r="S2678">
        <v>4.5199999999999996</v>
      </c>
      <c r="T2678">
        <v>1.77</v>
      </c>
      <c r="U2678">
        <v>0.71</v>
      </c>
      <c r="V2678">
        <v>-17.670000000000002</v>
      </c>
      <c r="W2678">
        <v>-1901</v>
      </c>
      <c r="X2678">
        <v>4.51</v>
      </c>
      <c r="Y2678" t="s">
        <v>125</v>
      </c>
      <c r="Z2678" t="s">
        <v>1381</v>
      </c>
      <c r="AA2678">
        <v>0.76</v>
      </c>
      <c r="AB2678">
        <v>780</v>
      </c>
      <c r="AC2678">
        <v>232</v>
      </c>
      <c r="AD2678">
        <v>3.46</v>
      </c>
      <c r="AE2678" t="s">
        <v>4738</v>
      </c>
      <c r="AF2678" t="s">
        <v>6640</v>
      </c>
      <c r="AG2678" t="s">
        <v>5166</v>
      </c>
      <c r="AH2678" t="s">
        <v>2588</v>
      </c>
      <c r="AI2678">
        <v>0.44</v>
      </c>
      <c r="AJ2678">
        <v>4.3899999999999997</v>
      </c>
      <c r="AK2678">
        <v>2.42</v>
      </c>
      <c r="AL2678">
        <v>4.38</v>
      </c>
    </row>
    <row r="2679" spans="1:38" x14ac:dyDescent="0.25">
      <c r="A2679">
        <v>2678</v>
      </c>
      <c r="B2679" t="str">
        <f xml:space="preserve"> "002453"</f>
        <v>002453</v>
      </c>
      <c r="C2679" t="s">
        <v>8044</v>
      </c>
      <c r="D2679">
        <v>7.58</v>
      </c>
      <c r="E2679">
        <v>-1.81</v>
      </c>
      <c r="F2679">
        <v>-0.14000000000000001</v>
      </c>
      <c r="G2679" t="s">
        <v>2340</v>
      </c>
      <c r="H2679">
        <v>2535</v>
      </c>
      <c r="I2679">
        <v>7.57</v>
      </c>
      <c r="J2679">
        <v>7.58</v>
      </c>
      <c r="K2679">
        <v>-0.26</v>
      </c>
      <c r="L2679">
        <v>1.51</v>
      </c>
      <c r="M2679" t="s">
        <v>8045</v>
      </c>
      <c r="N2679">
        <v>803.11</v>
      </c>
      <c r="O2679" t="s">
        <v>667</v>
      </c>
      <c r="P2679">
        <v>7.68</v>
      </c>
      <c r="Q2679">
        <v>7.56</v>
      </c>
      <c r="R2679">
        <v>7.68</v>
      </c>
      <c r="S2679">
        <v>7.72</v>
      </c>
      <c r="T2679">
        <v>1.55</v>
      </c>
      <c r="U2679">
        <v>1.35</v>
      </c>
      <c r="V2679">
        <v>-4.87</v>
      </c>
      <c r="W2679">
        <v>-319</v>
      </c>
      <c r="X2679">
        <v>7.61</v>
      </c>
      <c r="Y2679" t="s">
        <v>1630</v>
      </c>
      <c r="Z2679" t="s">
        <v>2126</v>
      </c>
      <c r="AA2679">
        <v>3.49</v>
      </c>
      <c r="AB2679">
        <v>287</v>
      </c>
      <c r="AC2679">
        <v>1327</v>
      </c>
      <c r="AD2679">
        <v>4.8499999999999996</v>
      </c>
      <c r="AE2679" t="s">
        <v>4653</v>
      </c>
      <c r="AF2679" t="s">
        <v>6640</v>
      </c>
      <c r="AG2679" t="s">
        <v>2718</v>
      </c>
      <c r="AH2679" t="s">
        <v>1265</v>
      </c>
      <c r="AI2679">
        <v>-1.69</v>
      </c>
      <c r="AJ2679">
        <v>-3.19</v>
      </c>
      <c r="AK2679">
        <v>4.22</v>
      </c>
      <c r="AL2679">
        <v>7.09</v>
      </c>
    </row>
    <row r="2680" spans="1:38" x14ac:dyDescent="0.25">
      <c r="A2680">
        <v>2679</v>
      </c>
      <c r="B2680" t="str">
        <f xml:space="preserve"> "603677"</f>
        <v>603677</v>
      </c>
      <c r="C2680" t="s">
        <v>8046</v>
      </c>
      <c r="D2680">
        <v>30.89</v>
      </c>
      <c r="E2680">
        <v>0.49</v>
      </c>
      <c r="F2680">
        <v>0.15</v>
      </c>
      <c r="G2680">
        <v>3072</v>
      </c>
      <c r="H2680">
        <v>6</v>
      </c>
      <c r="I2680">
        <v>30.85</v>
      </c>
      <c r="J2680">
        <v>30.88</v>
      </c>
      <c r="K2680">
        <v>0.13</v>
      </c>
      <c r="L2680">
        <v>0.9</v>
      </c>
      <c r="M2680" t="s">
        <v>3536</v>
      </c>
      <c r="N2680">
        <v>46.14</v>
      </c>
      <c r="O2680" t="s">
        <v>215</v>
      </c>
      <c r="P2680">
        <v>30.9</v>
      </c>
      <c r="Q2680">
        <v>30.49</v>
      </c>
      <c r="R2680">
        <v>30.66</v>
      </c>
      <c r="S2680">
        <v>30.74</v>
      </c>
      <c r="T2680">
        <v>1.33</v>
      </c>
      <c r="U2680">
        <v>0.67</v>
      </c>
      <c r="V2680">
        <v>-41.76</v>
      </c>
      <c r="W2680">
        <v>-88</v>
      </c>
      <c r="X2680">
        <v>30.68</v>
      </c>
      <c r="Y2680">
        <v>1774</v>
      </c>
      <c r="Z2680">
        <v>1298</v>
      </c>
      <c r="AA2680">
        <v>1.37</v>
      </c>
      <c r="AB2680">
        <v>1</v>
      </c>
      <c r="AC2680">
        <v>27</v>
      </c>
      <c r="AD2680">
        <v>4.88</v>
      </c>
      <c r="AE2680" t="s">
        <v>3110</v>
      </c>
      <c r="AF2680" t="s">
        <v>6640</v>
      </c>
      <c r="AG2680" t="s">
        <v>6902</v>
      </c>
      <c r="AH2680" t="s">
        <v>2066</v>
      </c>
      <c r="AI2680">
        <v>-0.39</v>
      </c>
      <c r="AJ2680">
        <v>1.58</v>
      </c>
      <c r="AK2680">
        <v>2.67</v>
      </c>
      <c r="AL2680">
        <v>7.68</v>
      </c>
    </row>
    <row r="2681" spans="1:38" x14ac:dyDescent="0.25">
      <c r="A2681">
        <v>2680</v>
      </c>
      <c r="B2681" t="str">
        <f xml:space="preserve"> "600791"</f>
        <v>600791</v>
      </c>
      <c r="C2681" t="s">
        <v>8047</v>
      </c>
      <c r="D2681">
        <v>9.56</v>
      </c>
      <c r="E2681">
        <v>0.84</v>
      </c>
      <c r="F2681">
        <v>0.08</v>
      </c>
      <c r="G2681" t="s">
        <v>1641</v>
      </c>
      <c r="H2681">
        <v>109</v>
      </c>
      <c r="I2681">
        <v>9.56</v>
      </c>
      <c r="J2681">
        <v>9.57</v>
      </c>
      <c r="K2681">
        <v>0</v>
      </c>
      <c r="L2681">
        <v>1.24</v>
      </c>
      <c r="M2681" t="s">
        <v>4005</v>
      </c>
      <c r="N2681">
        <v>671.93</v>
      </c>
      <c r="O2681" t="s">
        <v>244</v>
      </c>
      <c r="P2681">
        <v>9.64</v>
      </c>
      <c r="Q2681">
        <v>9.51</v>
      </c>
      <c r="R2681">
        <v>9.5299999999999994</v>
      </c>
      <c r="S2681">
        <v>9.48</v>
      </c>
      <c r="T2681">
        <v>1.37</v>
      </c>
      <c r="U2681">
        <v>0.5</v>
      </c>
      <c r="V2681">
        <v>-15.02</v>
      </c>
      <c r="W2681">
        <v>-584</v>
      </c>
      <c r="X2681">
        <v>9.59</v>
      </c>
      <c r="Y2681" t="s">
        <v>712</v>
      </c>
      <c r="Z2681" t="s">
        <v>997</v>
      </c>
      <c r="AA2681">
        <v>1.02</v>
      </c>
      <c r="AB2681">
        <v>149</v>
      </c>
      <c r="AC2681">
        <v>88</v>
      </c>
      <c r="AD2681">
        <v>2.82</v>
      </c>
      <c r="AE2681" t="s">
        <v>112</v>
      </c>
      <c r="AF2681" t="s">
        <v>6640</v>
      </c>
      <c r="AG2681" t="s">
        <v>3242</v>
      </c>
      <c r="AH2681" t="s">
        <v>1100</v>
      </c>
      <c r="AI2681">
        <v>-2.65</v>
      </c>
      <c r="AJ2681">
        <v>-4.1100000000000003</v>
      </c>
      <c r="AK2681">
        <v>4.7699999999999996</v>
      </c>
      <c r="AL2681">
        <v>13.63</v>
      </c>
    </row>
    <row r="2682" spans="1:38" x14ac:dyDescent="0.25">
      <c r="A2682">
        <v>2681</v>
      </c>
      <c r="B2682" t="str">
        <f xml:space="preserve"> "002613"</f>
        <v>002613</v>
      </c>
      <c r="C2682" t="s">
        <v>8048</v>
      </c>
      <c r="D2682">
        <v>4.6100000000000003</v>
      </c>
      <c r="E2682">
        <v>0.66</v>
      </c>
      <c r="F2682">
        <v>0.03</v>
      </c>
      <c r="G2682" t="s">
        <v>1602</v>
      </c>
      <c r="H2682">
        <v>841</v>
      </c>
      <c r="I2682">
        <v>4.6100000000000003</v>
      </c>
      <c r="J2682">
        <v>4.62</v>
      </c>
      <c r="K2682">
        <v>0</v>
      </c>
      <c r="L2682">
        <v>0.56999999999999995</v>
      </c>
      <c r="M2682" t="s">
        <v>8049</v>
      </c>
      <c r="N2682">
        <v>-83.19</v>
      </c>
      <c r="O2682" t="s">
        <v>2647</v>
      </c>
      <c r="P2682">
        <v>4.62</v>
      </c>
      <c r="Q2682">
        <v>4.5599999999999996</v>
      </c>
      <c r="R2682">
        <v>4.58</v>
      </c>
      <c r="S2682">
        <v>4.58</v>
      </c>
      <c r="T2682">
        <v>1.31</v>
      </c>
      <c r="U2682">
        <v>0.7</v>
      </c>
      <c r="V2682">
        <v>-26.1</v>
      </c>
      <c r="W2682">
        <v>-2555</v>
      </c>
      <c r="X2682">
        <v>4.59</v>
      </c>
      <c r="Y2682" t="s">
        <v>3234</v>
      </c>
      <c r="Z2682" t="s">
        <v>4303</v>
      </c>
      <c r="AA2682">
        <v>0.85</v>
      </c>
      <c r="AB2682">
        <v>30</v>
      </c>
      <c r="AC2682">
        <v>1270</v>
      </c>
      <c r="AD2682">
        <v>2.93</v>
      </c>
      <c r="AE2682" t="s">
        <v>4264</v>
      </c>
      <c r="AF2682" t="s">
        <v>1100</v>
      </c>
      <c r="AG2682" t="s">
        <v>2024</v>
      </c>
      <c r="AH2682" t="s">
        <v>3293</v>
      </c>
      <c r="AI2682">
        <v>0.66</v>
      </c>
      <c r="AJ2682">
        <v>1.99</v>
      </c>
      <c r="AK2682">
        <v>2.3199999999999998</v>
      </c>
      <c r="AL2682">
        <v>4.66</v>
      </c>
    </row>
    <row r="2683" spans="1:38" x14ac:dyDescent="0.25">
      <c r="A2683">
        <v>2682</v>
      </c>
      <c r="B2683" t="str">
        <f xml:space="preserve"> "002824"</f>
        <v>002824</v>
      </c>
      <c r="C2683" t="s">
        <v>8050</v>
      </c>
      <c r="D2683">
        <v>23.99</v>
      </c>
      <c r="E2683">
        <v>1.18</v>
      </c>
      <c r="F2683">
        <v>0.28000000000000003</v>
      </c>
      <c r="G2683" t="s">
        <v>1653</v>
      </c>
      <c r="H2683">
        <v>551</v>
      </c>
      <c r="I2683">
        <v>23.99</v>
      </c>
      <c r="J2683">
        <v>24</v>
      </c>
      <c r="K2683">
        <v>0.04</v>
      </c>
      <c r="L2683">
        <v>4.41</v>
      </c>
      <c r="M2683" t="s">
        <v>3703</v>
      </c>
      <c r="N2683">
        <v>59.66</v>
      </c>
      <c r="O2683" t="s">
        <v>449</v>
      </c>
      <c r="P2683">
        <v>24.07</v>
      </c>
      <c r="Q2683">
        <v>23.51</v>
      </c>
      <c r="R2683">
        <v>23.6</v>
      </c>
      <c r="S2683">
        <v>23.71</v>
      </c>
      <c r="T2683">
        <v>2.36</v>
      </c>
      <c r="U2683">
        <v>1.26</v>
      </c>
      <c r="V2683">
        <v>-58.68</v>
      </c>
      <c r="W2683">
        <v>-703</v>
      </c>
      <c r="X2683">
        <v>23.91</v>
      </c>
      <c r="Y2683">
        <v>8528</v>
      </c>
      <c r="Z2683" t="s">
        <v>2241</v>
      </c>
      <c r="AA2683">
        <v>0.75</v>
      </c>
      <c r="AB2683">
        <v>129</v>
      </c>
      <c r="AC2683">
        <v>405</v>
      </c>
      <c r="AD2683">
        <v>6.1</v>
      </c>
      <c r="AE2683" t="s">
        <v>3119</v>
      </c>
      <c r="AF2683" t="s">
        <v>1100</v>
      </c>
      <c r="AG2683" t="s">
        <v>1609</v>
      </c>
      <c r="AH2683" t="s">
        <v>352</v>
      </c>
      <c r="AI2683">
        <v>0.17</v>
      </c>
      <c r="AJ2683">
        <v>4.08</v>
      </c>
      <c r="AK2683">
        <v>11.42</v>
      </c>
      <c r="AL2683">
        <v>21.91</v>
      </c>
    </row>
    <row r="2684" spans="1:38" x14ac:dyDescent="0.25">
      <c r="A2684">
        <v>2683</v>
      </c>
      <c r="B2684" t="str">
        <f xml:space="preserve"> "603716"</f>
        <v>603716</v>
      </c>
      <c r="C2684" t="s">
        <v>8051</v>
      </c>
      <c r="D2684">
        <v>84.75</v>
      </c>
      <c r="E2684">
        <v>0.67</v>
      </c>
      <c r="F2684">
        <v>0.56000000000000005</v>
      </c>
      <c r="G2684">
        <v>3841</v>
      </c>
      <c r="H2684">
        <v>13</v>
      </c>
      <c r="I2684">
        <v>84.64</v>
      </c>
      <c r="J2684">
        <v>84.73</v>
      </c>
      <c r="K2684">
        <v>0.11</v>
      </c>
      <c r="L2684">
        <v>3.01</v>
      </c>
      <c r="M2684" t="s">
        <v>8052</v>
      </c>
      <c r="N2684">
        <v>58.14</v>
      </c>
      <c r="O2684" t="s">
        <v>1552</v>
      </c>
      <c r="P2684">
        <v>84.99</v>
      </c>
      <c r="Q2684">
        <v>83.71</v>
      </c>
      <c r="R2684">
        <v>84.02</v>
      </c>
      <c r="S2684">
        <v>84.19</v>
      </c>
      <c r="T2684">
        <v>1.52</v>
      </c>
      <c r="U2684">
        <v>0.64</v>
      </c>
      <c r="V2684">
        <v>73.680000000000007</v>
      </c>
      <c r="W2684">
        <v>56</v>
      </c>
      <c r="X2684">
        <v>84.39</v>
      </c>
      <c r="Y2684">
        <v>1783</v>
      </c>
      <c r="Z2684">
        <v>2057</v>
      </c>
      <c r="AA2684">
        <v>0.87</v>
      </c>
      <c r="AB2684">
        <v>1</v>
      </c>
      <c r="AC2684">
        <v>5</v>
      </c>
      <c r="AD2684">
        <v>4.92</v>
      </c>
      <c r="AE2684" t="s">
        <v>8053</v>
      </c>
      <c r="AF2684" t="s">
        <v>1100</v>
      </c>
      <c r="AG2684" t="s">
        <v>8054</v>
      </c>
      <c r="AH2684" t="s">
        <v>352</v>
      </c>
      <c r="AI2684">
        <v>-3.24</v>
      </c>
      <c r="AJ2684">
        <v>2.84</v>
      </c>
      <c r="AK2684">
        <v>12.66</v>
      </c>
      <c r="AL2684">
        <v>26.45</v>
      </c>
    </row>
    <row r="2685" spans="1:38" x14ac:dyDescent="0.25">
      <c r="A2685">
        <v>2684</v>
      </c>
      <c r="B2685" t="str">
        <f xml:space="preserve"> "002820"</f>
        <v>002820</v>
      </c>
      <c r="C2685" t="s">
        <v>8055</v>
      </c>
      <c r="D2685">
        <v>33.71</v>
      </c>
      <c r="E2685">
        <v>3.28</v>
      </c>
      <c r="F2685">
        <v>1.07</v>
      </c>
      <c r="G2685" t="s">
        <v>4583</v>
      </c>
      <c r="H2685">
        <v>839</v>
      </c>
      <c r="I2685">
        <v>33.700000000000003</v>
      </c>
      <c r="J2685">
        <v>33.71</v>
      </c>
      <c r="K2685">
        <v>0</v>
      </c>
      <c r="L2685">
        <v>14.09</v>
      </c>
      <c r="M2685" t="s">
        <v>4271</v>
      </c>
      <c r="N2685">
        <v>42.75</v>
      </c>
      <c r="O2685" t="s">
        <v>406</v>
      </c>
      <c r="P2685">
        <v>35.86</v>
      </c>
      <c r="Q2685">
        <v>32.44</v>
      </c>
      <c r="R2685">
        <v>32.6</v>
      </c>
      <c r="S2685">
        <v>32.64</v>
      </c>
      <c r="T2685">
        <v>10.48</v>
      </c>
      <c r="U2685">
        <v>3.52</v>
      </c>
      <c r="V2685">
        <v>-13.96</v>
      </c>
      <c r="W2685">
        <v>-59</v>
      </c>
      <c r="X2685">
        <v>33.880000000000003</v>
      </c>
      <c r="Y2685" t="s">
        <v>2614</v>
      </c>
      <c r="Z2685" t="s">
        <v>1076</v>
      </c>
      <c r="AA2685">
        <v>1.35</v>
      </c>
      <c r="AB2685">
        <v>113</v>
      </c>
      <c r="AC2685">
        <v>2</v>
      </c>
      <c r="AD2685">
        <v>4.33</v>
      </c>
      <c r="AE2685" t="s">
        <v>2239</v>
      </c>
      <c r="AF2685" t="s">
        <v>2004</v>
      </c>
      <c r="AG2685" t="s">
        <v>6354</v>
      </c>
      <c r="AH2685" t="s">
        <v>352</v>
      </c>
      <c r="AI2685">
        <v>3.56</v>
      </c>
      <c r="AJ2685">
        <v>7.53</v>
      </c>
      <c r="AK2685">
        <v>20.59</v>
      </c>
      <c r="AL2685">
        <v>34.090000000000003</v>
      </c>
    </row>
    <row r="2686" spans="1:38" x14ac:dyDescent="0.25">
      <c r="A2686">
        <v>2685</v>
      </c>
      <c r="B2686" t="str">
        <f xml:space="preserve"> "603039"</f>
        <v>603039</v>
      </c>
      <c r="C2686" t="s">
        <v>8056</v>
      </c>
      <c r="D2686" t="s">
        <v>616</v>
      </c>
      <c r="E2686" t="s">
        <v>616</v>
      </c>
      <c r="F2686" t="s">
        <v>616</v>
      </c>
      <c r="G2686" t="s">
        <v>616</v>
      </c>
      <c r="H2686" t="s">
        <v>616</v>
      </c>
      <c r="I2686" t="s">
        <v>616</v>
      </c>
      <c r="J2686" t="s">
        <v>616</v>
      </c>
      <c r="K2686" t="s">
        <v>616</v>
      </c>
      <c r="L2686" t="s">
        <v>616</v>
      </c>
      <c r="M2686" t="s">
        <v>616</v>
      </c>
      <c r="N2686">
        <v>77.23</v>
      </c>
      <c r="O2686" t="s">
        <v>893</v>
      </c>
      <c r="P2686" t="s">
        <v>616</v>
      </c>
      <c r="Q2686" t="s">
        <v>616</v>
      </c>
      <c r="R2686" t="s">
        <v>616</v>
      </c>
      <c r="S2686">
        <v>64.7</v>
      </c>
      <c r="T2686" t="s">
        <v>616</v>
      </c>
      <c r="U2686" t="s">
        <v>616</v>
      </c>
      <c r="V2686" t="s">
        <v>616</v>
      </c>
      <c r="W2686" t="s">
        <v>616</v>
      </c>
      <c r="X2686" t="s">
        <v>616</v>
      </c>
      <c r="Y2686" t="s">
        <v>616</v>
      </c>
      <c r="Z2686" t="s">
        <v>616</v>
      </c>
      <c r="AA2686" t="s">
        <v>616</v>
      </c>
      <c r="AB2686" t="s">
        <v>616</v>
      </c>
      <c r="AC2686" t="s">
        <v>616</v>
      </c>
      <c r="AD2686">
        <v>8.2200000000000006</v>
      </c>
      <c r="AE2686" t="s">
        <v>7395</v>
      </c>
      <c r="AF2686" t="s">
        <v>2004</v>
      </c>
      <c r="AG2686" t="s">
        <v>6785</v>
      </c>
      <c r="AH2686" t="s">
        <v>352</v>
      </c>
      <c r="AI2686">
        <v>0</v>
      </c>
      <c r="AJ2686">
        <v>0</v>
      </c>
      <c r="AK2686">
        <v>0</v>
      </c>
      <c r="AL2686">
        <v>0</v>
      </c>
    </row>
    <row r="2687" spans="1:38" x14ac:dyDescent="0.25">
      <c r="A2687">
        <v>2686</v>
      </c>
      <c r="B2687" t="str">
        <f xml:space="preserve"> "002381"</f>
        <v>002381</v>
      </c>
      <c r="C2687" t="s">
        <v>8057</v>
      </c>
      <c r="D2687">
        <v>10.050000000000001</v>
      </c>
      <c r="E2687">
        <v>-3.18</v>
      </c>
      <c r="F2687">
        <v>-0.33</v>
      </c>
      <c r="G2687" t="s">
        <v>4317</v>
      </c>
      <c r="H2687">
        <v>2038</v>
      </c>
      <c r="I2687">
        <v>10.050000000000001</v>
      </c>
      <c r="J2687">
        <v>10.06</v>
      </c>
      <c r="K2687">
        <v>-0.2</v>
      </c>
      <c r="L2687">
        <v>3.41</v>
      </c>
      <c r="M2687" t="s">
        <v>8058</v>
      </c>
      <c r="N2687">
        <v>34.25</v>
      </c>
      <c r="O2687" t="s">
        <v>2128</v>
      </c>
      <c r="P2687">
        <v>10.49</v>
      </c>
      <c r="Q2687">
        <v>10.050000000000001</v>
      </c>
      <c r="R2687">
        <v>10.4</v>
      </c>
      <c r="S2687">
        <v>10.38</v>
      </c>
      <c r="T2687">
        <v>4.24</v>
      </c>
      <c r="U2687">
        <v>0.95</v>
      </c>
      <c r="V2687">
        <v>-49.6</v>
      </c>
      <c r="W2687">
        <v>-1490</v>
      </c>
      <c r="X2687">
        <v>10.19</v>
      </c>
      <c r="Y2687" t="s">
        <v>2272</v>
      </c>
      <c r="Z2687" t="s">
        <v>2126</v>
      </c>
      <c r="AA2687">
        <v>2.95</v>
      </c>
      <c r="AB2687">
        <v>70</v>
      </c>
      <c r="AC2687">
        <v>1230</v>
      </c>
      <c r="AD2687">
        <v>2.62</v>
      </c>
      <c r="AE2687" t="s">
        <v>5136</v>
      </c>
      <c r="AF2687" t="s">
        <v>2004</v>
      </c>
      <c r="AG2687" t="s">
        <v>2519</v>
      </c>
      <c r="AH2687" t="s">
        <v>2380</v>
      </c>
      <c r="AI2687">
        <v>-2.9</v>
      </c>
      <c r="AJ2687">
        <v>-0.1</v>
      </c>
      <c r="AK2687">
        <v>13.54</v>
      </c>
      <c r="AL2687">
        <v>21.38</v>
      </c>
    </row>
    <row r="2688" spans="1:38" x14ac:dyDescent="0.25">
      <c r="A2688">
        <v>2687</v>
      </c>
      <c r="B2688" t="str">
        <f xml:space="preserve"> "300407"</f>
        <v>300407</v>
      </c>
      <c r="C2688" t="s">
        <v>8059</v>
      </c>
      <c r="D2688">
        <v>15.6</v>
      </c>
      <c r="E2688">
        <v>1.17</v>
      </c>
      <c r="F2688">
        <v>0.18</v>
      </c>
      <c r="G2688" t="s">
        <v>3230</v>
      </c>
      <c r="H2688">
        <v>878</v>
      </c>
      <c r="I2688">
        <v>15.6</v>
      </c>
      <c r="J2688">
        <v>15.61</v>
      </c>
      <c r="K2688">
        <v>0</v>
      </c>
      <c r="L2688">
        <v>1.71</v>
      </c>
      <c r="M2688" t="s">
        <v>8060</v>
      </c>
      <c r="N2688">
        <v>-105.91</v>
      </c>
      <c r="O2688" t="s">
        <v>1372</v>
      </c>
      <c r="P2688">
        <v>15.63</v>
      </c>
      <c r="Q2688">
        <v>15.3</v>
      </c>
      <c r="R2688">
        <v>15.44</v>
      </c>
      <c r="S2688">
        <v>15.42</v>
      </c>
      <c r="T2688">
        <v>2.14</v>
      </c>
      <c r="U2688">
        <v>1.02</v>
      </c>
      <c r="V2688">
        <v>-31.18</v>
      </c>
      <c r="W2688">
        <v>-318</v>
      </c>
      <c r="X2688">
        <v>15.49</v>
      </c>
      <c r="Y2688">
        <v>9877</v>
      </c>
      <c r="Z2688" t="s">
        <v>480</v>
      </c>
      <c r="AA2688">
        <v>0.74</v>
      </c>
      <c r="AB2688">
        <v>30</v>
      </c>
      <c r="AC2688">
        <v>83</v>
      </c>
      <c r="AD2688">
        <v>4.87</v>
      </c>
      <c r="AE2688" t="s">
        <v>4222</v>
      </c>
      <c r="AF2688" t="s">
        <v>7124</v>
      </c>
      <c r="AG2688" t="s">
        <v>1757</v>
      </c>
      <c r="AH2688" t="s">
        <v>1734</v>
      </c>
      <c r="AI2688">
        <v>-1.52</v>
      </c>
      <c r="AJ2688">
        <v>2.83</v>
      </c>
      <c r="AK2688">
        <v>5.27</v>
      </c>
      <c r="AL2688">
        <v>10.08</v>
      </c>
    </row>
    <row r="2689" spans="1:38" x14ac:dyDescent="0.25">
      <c r="A2689">
        <v>2688</v>
      </c>
      <c r="B2689" t="str">
        <f xml:space="preserve"> "603615"</f>
        <v>603615</v>
      </c>
      <c r="C2689" t="s">
        <v>8061</v>
      </c>
      <c r="D2689">
        <v>17.899999999999999</v>
      </c>
      <c r="E2689">
        <v>1.53</v>
      </c>
      <c r="F2689">
        <v>0.27</v>
      </c>
      <c r="G2689" t="s">
        <v>2373</v>
      </c>
      <c r="H2689">
        <v>20</v>
      </c>
      <c r="I2689">
        <v>17.899999999999999</v>
      </c>
      <c r="J2689">
        <v>17.91</v>
      </c>
      <c r="K2689">
        <v>0</v>
      </c>
      <c r="L2689">
        <v>4.3899999999999997</v>
      </c>
      <c r="M2689" t="s">
        <v>7881</v>
      </c>
      <c r="N2689">
        <v>47.98</v>
      </c>
      <c r="O2689" t="s">
        <v>2128</v>
      </c>
      <c r="P2689">
        <v>18.07</v>
      </c>
      <c r="Q2689">
        <v>17.47</v>
      </c>
      <c r="R2689">
        <v>17.63</v>
      </c>
      <c r="S2689">
        <v>17.63</v>
      </c>
      <c r="T2689">
        <v>3.4</v>
      </c>
      <c r="U2689">
        <v>1.78</v>
      </c>
      <c r="V2689">
        <v>-21.28</v>
      </c>
      <c r="W2689">
        <v>-173</v>
      </c>
      <c r="X2689">
        <v>17.88</v>
      </c>
      <c r="Y2689" t="s">
        <v>2002</v>
      </c>
      <c r="Z2689" t="s">
        <v>433</v>
      </c>
      <c r="AA2689">
        <v>0.73</v>
      </c>
      <c r="AB2689">
        <v>67</v>
      </c>
      <c r="AC2689">
        <v>88</v>
      </c>
      <c r="AD2689">
        <v>3.33</v>
      </c>
      <c r="AE2689" t="s">
        <v>2521</v>
      </c>
      <c r="AF2689" t="s">
        <v>7124</v>
      </c>
      <c r="AG2689" t="s">
        <v>5162</v>
      </c>
      <c r="AH2689" t="s">
        <v>1429</v>
      </c>
      <c r="AI2689">
        <v>1.1299999999999999</v>
      </c>
      <c r="AJ2689">
        <v>4.8600000000000003</v>
      </c>
      <c r="AK2689">
        <v>9.6300000000000008</v>
      </c>
      <c r="AL2689">
        <v>16.739999999999998</v>
      </c>
    </row>
    <row r="2690" spans="1:38" x14ac:dyDescent="0.25">
      <c r="A2690">
        <v>2689</v>
      </c>
      <c r="B2690" t="str">
        <f xml:space="preserve"> "300121"</f>
        <v>300121</v>
      </c>
      <c r="C2690" t="s">
        <v>8062</v>
      </c>
      <c r="D2690">
        <v>14.85</v>
      </c>
      <c r="E2690">
        <v>0.68</v>
      </c>
      <c r="F2690">
        <v>0.1</v>
      </c>
      <c r="G2690" t="s">
        <v>5033</v>
      </c>
      <c r="H2690">
        <v>491</v>
      </c>
      <c r="I2690">
        <v>14.84</v>
      </c>
      <c r="J2690">
        <v>14.85</v>
      </c>
      <c r="K2690">
        <v>7.0000000000000007E-2</v>
      </c>
      <c r="L2690">
        <v>0.94</v>
      </c>
      <c r="M2690" t="s">
        <v>8063</v>
      </c>
      <c r="N2690">
        <v>26.55</v>
      </c>
      <c r="O2690" t="s">
        <v>667</v>
      </c>
      <c r="P2690">
        <v>14.93</v>
      </c>
      <c r="Q2690">
        <v>14.69</v>
      </c>
      <c r="R2690">
        <v>14.75</v>
      </c>
      <c r="S2690">
        <v>14.75</v>
      </c>
      <c r="T2690">
        <v>1.63</v>
      </c>
      <c r="U2690">
        <v>0.82</v>
      </c>
      <c r="V2690">
        <v>-45.36</v>
      </c>
      <c r="W2690">
        <v>-585</v>
      </c>
      <c r="X2690">
        <v>14.8</v>
      </c>
      <c r="Y2690" t="s">
        <v>480</v>
      </c>
      <c r="Z2690" t="s">
        <v>1259</v>
      </c>
      <c r="AA2690">
        <v>1.0900000000000001</v>
      </c>
      <c r="AB2690">
        <v>154</v>
      </c>
      <c r="AC2690">
        <v>176</v>
      </c>
      <c r="AD2690">
        <v>5.89</v>
      </c>
      <c r="AE2690" t="s">
        <v>4989</v>
      </c>
      <c r="AF2690" t="s">
        <v>374</v>
      </c>
      <c r="AG2690" t="s">
        <v>1463</v>
      </c>
      <c r="AH2690" t="s">
        <v>2468</v>
      </c>
      <c r="AI2690">
        <v>-3.82</v>
      </c>
      <c r="AJ2690">
        <v>-2.62</v>
      </c>
      <c r="AK2690">
        <v>3.85</v>
      </c>
      <c r="AL2690">
        <v>6.64</v>
      </c>
    </row>
    <row r="2691" spans="1:38" x14ac:dyDescent="0.25">
      <c r="A2691">
        <v>2690</v>
      </c>
      <c r="B2691" t="str">
        <f xml:space="preserve"> "002526"</f>
        <v>002526</v>
      </c>
      <c r="C2691" t="s">
        <v>8064</v>
      </c>
      <c r="D2691">
        <v>8.0399999999999991</v>
      </c>
      <c r="E2691">
        <v>1.77</v>
      </c>
      <c r="F2691">
        <v>0.14000000000000001</v>
      </c>
      <c r="G2691" t="s">
        <v>3700</v>
      </c>
      <c r="H2691">
        <v>481</v>
      </c>
      <c r="I2691">
        <v>8.0299999999999994</v>
      </c>
      <c r="J2691">
        <v>8.0399999999999991</v>
      </c>
      <c r="K2691">
        <v>0</v>
      </c>
      <c r="L2691">
        <v>1.64</v>
      </c>
      <c r="M2691" t="s">
        <v>8065</v>
      </c>
      <c r="N2691">
        <v>143.38</v>
      </c>
      <c r="O2691" t="s">
        <v>648</v>
      </c>
      <c r="P2691">
        <v>8.26</v>
      </c>
      <c r="Q2691">
        <v>7.86</v>
      </c>
      <c r="R2691">
        <v>7.87</v>
      </c>
      <c r="S2691">
        <v>7.9</v>
      </c>
      <c r="T2691">
        <v>5.0599999999999996</v>
      </c>
      <c r="U2691">
        <v>2.69</v>
      </c>
      <c r="V2691">
        <v>42.01</v>
      </c>
      <c r="W2691">
        <v>1622</v>
      </c>
      <c r="X2691">
        <v>8.07</v>
      </c>
      <c r="Y2691" t="s">
        <v>2559</v>
      </c>
      <c r="Z2691" t="s">
        <v>1507</v>
      </c>
      <c r="AA2691">
        <v>0.82</v>
      </c>
      <c r="AB2691">
        <v>1341</v>
      </c>
      <c r="AC2691">
        <v>313</v>
      </c>
      <c r="AD2691">
        <v>2.5099999999999998</v>
      </c>
      <c r="AE2691" t="s">
        <v>1900</v>
      </c>
      <c r="AF2691" t="s">
        <v>374</v>
      </c>
      <c r="AG2691" t="s">
        <v>5798</v>
      </c>
      <c r="AH2691" t="s">
        <v>1191</v>
      </c>
      <c r="AI2691">
        <v>3.34</v>
      </c>
      <c r="AJ2691">
        <v>5.65</v>
      </c>
      <c r="AK2691">
        <v>3.22</v>
      </c>
      <c r="AL2691">
        <v>4.68</v>
      </c>
    </row>
    <row r="2692" spans="1:38" x14ac:dyDescent="0.25">
      <c r="A2692">
        <v>2691</v>
      </c>
      <c r="B2692" t="str">
        <f xml:space="preserve"> "000593"</f>
        <v>000593</v>
      </c>
      <c r="C2692" t="s">
        <v>8066</v>
      </c>
      <c r="D2692">
        <v>11.97</v>
      </c>
      <c r="E2692">
        <v>-1.24</v>
      </c>
      <c r="F2692">
        <v>-0.15</v>
      </c>
      <c r="G2692" t="s">
        <v>1507</v>
      </c>
      <c r="H2692">
        <v>845</v>
      </c>
      <c r="I2692">
        <v>11.95</v>
      </c>
      <c r="J2692">
        <v>11.97</v>
      </c>
      <c r="K2692">
        <v>0</v>
      </c>
      <c r="L2692">
        <v>1.47</v>
      </c>
      <c r="M2692" t="s">
        <v>5972</v>
      </c>
      <c r="N2692">
        <v>229.94</v>
      </c>
      <c r="O2692" t="s">
        <v>2085</v>
      </c>
      <c r="P2692">
        <v>12.2</v>
      </c>
      <c r="Q2692">
        <v>11.86</v>
      </c>
      <c r="R2692">
        <v>12.2</v>
      </c>
      <c r="S2692">
        <v>12.12</v>
      </c>
      <c r="T2692">
        <v>2.81</v>
      </c>
      <c r="U2692">
        <v>0.96</v>
      </c>
      <c r="V2692">
        <v>-76.03</v>
      </c>
      <c r="W2692">
        <v>-3597</v>
      </c>
      <c r="X2692">
        <v>12.04</v>
      </c>
      <c r="Y2692" t="s">
        <v>1341</v>
      </c>
      <c r="Z2692" t="s">
        <v>2255</v>
      </c>
      <c r="AA2692">
        <v>1.61</v>
      </c>
      <c r="AB2692">
        <v>11</v>
      </c>
      <c r="AC2692">
        <v>2274</v>
      </c>
      <c r="AD2692">
        <v>3.84</v>
      </c>
      <c r="AE2692" t="s">
        <v>839</v>
      </c>
      <c r="AF2692" t="s">
        <v>374</v>
      </c>
      <c r="AG2692" t="s">
        <v>3227</v>
      </c>
      <c r="AH2692" t="s">
        <v>6804</v>
      </c>
      <c r="AI2692">
        <v>-0.75</v>
      </c>
      <c r="AJ2692">
        <v>1.35</v>
      </c>
      <c r="AK2692">
        <v>4.12</v>
      </c>
      <c r="AL2692">
        <v>9.16</v>
      </c>
    </row>
    <row r="2693" spans="1:38" x14ac:dyDescent="0.25">
      <c r="A2693">
        <v>2692</v>
      </c>
      <c r="B2693" t="str">
        <f xml:space="preserve"> "300519"</f>
        <v>300519</v>
      </c>
      <c r="C2693" t="s">
        <v>8067</v>
      </c>
      <c r="D2693">
        <v>26.81</v>
      </c>
      <c r="E2693">
        <v>1.0900000000000001</v>
      </c>
      <c r="F2693">
        <v>0.28999999999999998</v>
      </c>
      <c r="G2693" t="s">
        <v>2443</v>
      </c>
      <c r="H2693">
        <v>570</v>
      </c>
      <c r="I2693">
        <v>26.81</v>
      </c>
      <c r="J2693">
        <v>26.82</v>
      </c>
      <c r="K2693">
        <v>-0.04</v>
      </c>
      <c r="L2693">
        <v>4.4800000000000004</v>
      </c>
      <c r="M2693" t="s">
        <v>3574</v>
      </c>
      <c r="N2693">
        <v>41.74</v>
      </c>
      <c r="O2693" t="s">
        <v>392</v>
      </c>
      <c r="P2693">
        <v>27.99</v>
      </c>
      <c r="Q2693">
        <v>26.25</v>
      </c>
      <c r="R2693">
        <v>26.64</v>
      </c>
      <c r="S2693">
        <v>26.52</v>
      </c>
      <c r="T2693">
        <v>6.56</v>
      </c>
      <c r="U2693">
        <v>2.99</v>
      </c>
      <c r="V2693">
        <v>-18.43</v>
      </c>
      <c r="W2693">
        <v>-225</v>
      </c>
      <c r="X2693">
        <v>27.37</v>
      </c>
      <c r="Y2693" t="s">
        <v>3579</v>
      </c>
      <c r="Z2693" t="s">
        <v>3025</v>
      </c>
      <c r="AA2693">
        <v>0.95</v>
      </c>
      <c r="AB2693">
        <v>139</v>
      </c>
      <c r="AC2693">
        <v>530</v>
      </c>
      <c r="AD2693">
        <v>7.02</v>
      </c>
      <c r="AE2693" t="s">
        <v>4326</v>
      </c>
      <c r="AF2693" t="s">
        <v>374</v>
      </c>
      <c r="AG2693" t="s">
        <v>8068</v>
      </c>
      <c r="AH2693" t="s">
        <v>3442</v>
      </c>
      <c r="AI2693">
        <v>5.43</v>
      </c>
      <c r="AJ2693">
        <v>13.07</v>
      </c>
      <c r="AK2693">
        <v>9.6199999999999992</v>
      </c>
      <c r="AL2693">
        <v>11.97</v>
      </c>
    </row>
    <row r="2694" spans="1:38" x14ac:dyDescent="0.25">
      <c r="A2694">
        <v>2693</v>
      </c>
      <c r="B2694" t="str">
        <f xml:space="preserve"> "002623"</f>
        <v>002623</v>
      </c>
      <c r="C2694" t="s">
        <v>8069</v>
      </c>
      <c r="D2694">
        <v>26.8</v>
      </c>
      <c r="E2694">
        <v>-1</v>
      </c>
      <c r="F2694">
        <v>-0.27</v>
      </c>
      <c r="G2694" t="s">
        <v>2232</v>
      </c>
      <c r="H2694">
        <v>164</v>
      </c>
      <c r="I2694">
        <v>26.8</v>
      </c>
      <c r="J2694">
        <v>26.81</v>
      </c>
      <c r="K2694">
        <v>-0.04</v>
      </c>
      <c r="L2694">
        <v>0.76</v>
      </c>
      <c r="M2694" t="s">
        <v>8070</v>
      </c>
      <c r="N2694">
        <v>281.58999999999997</v>
      </c>
      <c r="O2694" t="s">
        <v>1058</v>
      </c>
      <c r="P2694">
        <v>27.27</v>
      </c>
      <c r="Q2694">
        <v>26.72</v>
      </c>
      <c r="R2694">
        <v>27.07</v>
      </c>
      <c r="S2694">
        <v>27.07</v>
      </c>
      <c r="T2694">
        <v>2.0299999999999998</v>
      </c>
      <c r="U2694">
        <v>0.67</v>
      </c>
      <c r="V2694">
        <v>24.22</v>
      </c>
      <c r="W2694">
        <v>78</v>
      </c>
      <c r="X2694">
        <v>26.94</v>
      </c>
      <c r="Y2694">
        <v>7077</v>
      </c>
      <c r="Z2694">
        <v>5058</v>
      </c>
      <c r="AA2694">
        <v>1.4</v>
      </c>
      <c r="AB2694">
        <v>93</v>
      </c>
      <c r="AC2694">
        <v>63</v>
      </c>
      <c r="AD2694">
        <v>1.98</v>
      </c>
      <c r="AE2694" t="s">
        <v>4326</v>
      </c>
      <c r="AF2694" t="s">
        <v>374</v>
      </c>
      <c r="AG2694" t="s">
        <v>4326</v>
      </c>
      <c r="AH2694" t="s">
        <v>2903</v>
      </c>
      <c r="AI2694">
        <v>-2.12</v>
      </c>
      <c r="AJ2694">
        <v>4.6900000000000004</v>
      </c>
      <c r="AK2694">
        <v>2.5299999999999998</v>
      </c>
      <c r="AL2694">
        <v>6.43</v>
      </c>
    </row>
    <row r="2695" spans="1:38" x14ac:dyDescent="0.25">
      <c r="A2695">
        <v>2694</v>
      </c>
      <c r="B2695" t="str">
        <f xml:space="preserve"> "300245"</f>
        <v>300245</v>
      </c>
      <c r="C2695" t="s">
        <v>8071</v>
      </c>
      <c r="D2695">
        <v>15.82</v>
      </c>
      <c r="E2695">
        <v>-0.25</v>
      </c>
      <c r="F2695">
        <v>-0.04</v>
      </c>
      <c r="G2695" t="s">
        <v>2003</v>
      </c>
      <c r="H2695">
        <v>1711</v>
      </c>
      <c r="I2695">
        <v>15.82</v>
      </c>
      <c r="J2695">
        <v>15.83</v>
      </c>
      <c r="K2695">
        <v>-0.06</v>
      </c>
      <c r="L2695">
        <v>5.4</v>
      </c>
      <c r="M2695" t="s">
        <v>3336</v>
      </c>
      <c r="N2695">
        <v>49.9</v>
      </c>
      <c r="O2695" t="s">
        <v>893</v>
      </c>
      <c r="P2695">
        <v>15.97</v>
      </c>
      <c r="Q2695">
        <v>15.41</v>
      </c>
      <c r="R2695">
        <v>15.91</v>
      </c>
      <c r="S2695">
        <v>15.86</v>
      </c>
      <c r="T2695">
        <v>3.53</v>
      </c>
      <c r="U2695">
        <v>0.4</v>
      </c>
      <c r="V2695">
        <v>6.95</v>
      </c>
      <c r="W2695">
        <v>122</v>
      </c>
      <c r="X2695">
        <v>15.72</v>
      </c>
      <c r="Y2695" t="s">
        <v>781</v>
      </c>
      <c r="Z2695" t="s">
        <v>927</v>
      </c>
      <c r="AA2695">
        <v>1.3</v>
      </c>
      <c r="AB2695">
        <v>221</v>
      </c>
      <c r="AC2695">
        <v>288</v>
      </c>
      <c r="AD2695">
        <v>5.61</v>
      </c>
      <c r="AE2695" t="s">
        <v>159</v>
      </c>
      <c r="AF2695" t="s">
        <v>374</v>
      </c>
      <c r="AG2695" t="s">
        <v>1079</v>
      </c>
      <c r="AH2695" t="s">
        <v>1309</v>
      </c>
      <c r="AI2695">
        <v>-5.5</v>
      </c>
      <c r="AJ2695">
        <v>11.17</v>
      </c>
      <c r="AK2695">
        <v>26.6</v>
      </c>
      <c r="AL2695">
        <v>72.84</v>
      </c>
    </row>
    <row r="2696" spans="1:38" x14ac:dyDescent="0.25">
      <c r="A2696">
        <v>2695</v>
      </c>
      <c r="B2696" t="str">
        <f xml:space="preserve"> "603383"</f>
        <v>603383</v>
      </c>
      <c r="C2696" t="s">
        <v>8072</v>
      </c>
      <c r="D2696">
        <v>49.92</v>
      </c>
      <c r="E2696">
        <v>-0.57999999999999996</v>
      </c>
      <c r="F2696">
        <v>-0.28999999999999998</v>
      </c>
      <c r="G2696" t="s">
        <v>316</v>
      </c>
      <c r="H2696">
        <v>3</v>
      </c>
      <c r="I2696">
        <v>49.83</v>
      </c>
      <c r="J2696">
        <v>49.85</v>
      </c>
      <c r="K2696">
        <v>0.26</v>
      </c>
      <c r="L2696">
        <v>5.55</v>
      </c>
      <c r="M2696" t="s">
        <v>8073</v>
      </c>
      <c r="N2696">
        <v>81.59</v>
      </c>
      <c r="O2696" t="s">
        <v>893</v>
      </c>
      <c r="P2696">
        <v>50.46</v>
      </c>
      <c r="Q2696">
        <v>49.45</v>
      </c>
      <c r="R2696">
        <v>49.71</v>
      </c>
      <c r="S2696">
        <v>50.21</v>
      </c>
      <c r="T2696">
        <v>2.0099999999999998</v>
      </c>
      <c r="U2696">
        <v>0.68</v>
      </c>
      <c r="V2696">
        <v>-16.3</v>
      </c>
      <c r="W2696">
        <v>-30</v>
      </c>
      <c r="X2696">
        <v>49.78</v>
      </c>
      <c r="Y2696">
        <v>7532</v>
      </c>
      <c r="Z2696">
        <v>4141</v>
      </c>
      <c r="AA2696">
        <v>1.82</v>
      </c>
      <c r="AB2696">
        <v>14</v>
      </c>
      <c r="AC2696">
        <v>2</v>
      </c>
      <c r="AD2696">
        <v>4.7699999999999996</v>
      </c>
      <c r="AE2696" t="s">
        <v>8074</v>
      </c>
      <c r="AF2696" t="s">
        <v>374</v>
      </c>
      <c r="AG2696" t="s">
        <v>8075</v>
      </c>
      <c r="AH2696" t="s">
        <v>2066</v>
      </c>
      <c r="AI2696">
        <v>-3.29</v>
      </c>
      <c r="AJ2696">
        <v>-0.06</v>
      </c>
      <c r="AK2696">
        <v>21.13</v>
      </c>
      <c r="AL2696">
        <v>46.17</v>
      </c>
    </row>
    <row r="2697" spans="1:38" x14ac:dyDescent="0.25">
      <c r="A2697">
        <v>2696</v>
      </c>
      <c r="B2697" t="str">
        <f xml:space="preserve"> "002771"</f>
        <v>002771</v>
      </c>
      <c r="C2697" t="s">
        <v>8076</v>
      </c>
      <c r="D2697">
        <v>26.48</v>
      </c>
      <c r="E2697">
        <v>0.56999999999999995</v>
      </c>
      <c r="F2697">
        <v>0.15</v>
      </c>
      <c r="G2697" t="s">
        <v>1799</v>
      </c>
      <c r="H2697">
        <v>159</v>
      </c>
      <c r="I2697">
        <v>26.48</v>
      </c>
      <c r="J2697">
        <v>26.5</v>
      </c>
      <c r="K2697">
        <v>0.08</v>
      </c>
      <c r="L2697">
        <v>1.78</v>
      </c>
      <c r="M2697" t="s">
        <v>8077</v>
      </c>
      <c r="N2697">
        <v>72.13</v>
      </c>
      <c r="O2697" t="s">
        <v>893</v>
      </c>
      <c r="P2697">
        <v>26.58</v>
      </c>
      <c r="Q2697">
        <v>26.04</v>
      </c>
      <c r="R2697">
        <v>26.21</v>
      </c>
      <c r="S2697">
        <v>26.33</v>
      </c>
      <c r="T2697">
        <v>2.0499999999999998</v>
      </c>
      <c r="U2697">
        <v>0.82</v>
      </c>
      <c r="V2697">
        <v>-0.56999999999999995</v>
      </c>
      <c r="W2697">
        <v>-2</v>
      </c>
      <c r="X2697">
        <v>26.31</v>
      </c>
      <c r="Y2697">
        <v>6502</v>
      </c>
      <c r="Z2697">
        <v>6194</v>
      </c>
      <c r="AA2697">
        <v>1.05</v>
      </c>
      <c r="AB2697">
        <v>34</v>
      </c>
      <c r="AC2697">
        <v>11</v>
      </c>
      <c r="AD2697">
        <v>7.09</v>
      </c>
      <c r="AE2697" t="s">
        <v>514</v>
      </c>
      <c r="AF2697" t="s">
        <v>2903</v>
      </c>
      <c r="AG2697" t="s">
        <v>8078</v>
      </c>
      <c r="AH2697" t="s">
        <v>1981</v>
      </c>
      <c r="AI2697">
        <v>-1.56</v>
      </c>
      <c r="AJ2697">
        <v>4.01</v>
      </c>
      <c r="AK2697">
        <v>6.24</v>
      </c>
      <c r="AL2697">
        <v>12.61</v>
      </c>
    </row>
    <row r="2698" spans="1:38" x14ac:dyDescent="0.25">
      <c r="A2698">
        <v>2697</v>
      </c>
      <c r="B2698" t="str">
        <f xml:space="preserve"> "300629"</f>
        <v>300629</v>
      </c>
      <c r="C2698" t="s">
        <v>8079</v>
      </c>
      <c r="D2698" t="s">
        <v>616</v>
      </c>
      <c r="E2698" t="s">
        <v>616</v>
      </c>
      <c r="F2698" t="s">
        <v>616</v>
      </c>
      <c r="G2698" t="s">
        <v>616</v>
      </c>
      <c r="H2698" t="s">
        <v>616</v>
      </c>
      <c r="I2698" t="s">
        <v>616</v>
      </c>
      <c r="J2698" t="s">
        <v>616</v>
      </c>
      <c r="K2698" t="s">
        <v>616</v>
      </c>
      <c r="L2698" t="s">
        <v>616</v>
      </c>
      <c r="M2698" t="s">
        <v>616</v>
      </c>
      <c r="N2698">
        <v>290.24</v>
      </c>
      <c r="O2698" t="s">
        <v>1229</v>
      </c>
      <c r="P2698" t="s">
        <v>616</v>
      </c>
      <c r="Q2698" t="s">
        <v>616</v>
      </c>
      <c r="R2698" t="s">
        <v>616</v>
      </c>
      <c r="S2698">
        <v>64.150000000000006</v>
      </c>
      <c r="T2698" t="s">
        <v>616</v>
      </c>
      <c r="U2698" t="s">
        <v>616</v>
      </c>
      <c r="V2698" t="s">
        <v>616</v>
      </c>
      <c r="W2698" t="s">
        <v>616</v>
      </c>
      <c r="X2698" t="s">
        <v>616</v>
      </c>
      <c r="Y2698" t="s">
        <v>616</v>
      </c>
      <c r="Z2698" t="s">
        <v>616</v>
      </c>
      <c r="AA2698" t="s">
        <v>616</v>
      </c>
      <c r="AB2698" t="s">
        <v>616</v>
      </c>
      <c r="AC2698" t="s">
        <v>616</v>
      </c>
      <c r="AD2698">
        <v>12.87</v>
      </c>
      <c r="AE2698" t="s">
        <v>7395</v>
      </c>
      <c r="AF2698" t="s">
        <v>2903</v>
      </c>
      <c r="AG2698" t="s">
        <v>6785</v>
      </c>
      <c r="AH2698" t="s">
        <v>1429</v>
      </c>
      <c r="AI2698">
        <v>0</v>
      </c>
      <c r="AJ2698">
        <v>0</v>
      </c>
      <c r="AK2698">
        <v>0</v>
      </c>
      <c r="AL2698">
        <v>51.04</v>
      </c>
    </row>
    <row r="2699" spans="1:38" x14ac:dyDescent="0.25">
      <c r="A2699">
        <v>2698</v>
      </c>
      <c r="B2699" t="str">
        <f xml:space="preserve"> "002133"</f>
        <v>002133</v>
      </c>
      <c r="C2699" t="s">
        <v>8080</v>
      </c>
      <c r="D2699">
        <v>5.52</v>
      </c>
      <c r="E2699">
        <v>0</v>
      </c>
      <c r="F2699">
        <v>0</v>
      </c>
      <c r="G2699" t="s">
        <v>2511</v>
      </c>
      <c r="H2699">
        <v>421</v>
      </c>
      <c r="I2699">
        <v>5.51</v>
      </c>
      <c r="J2699">
        <v>5.52</v>
      </c>
      <c r="K2699">
        <v>0</v>
      </c>
      <c r="L2699">
        <v>1.05</v>
      </c>
      <c r="M2699" t="s">
        <v>8081</v>
      </c>
      <c r="N2699">
        <v>34.92</v>
      </c>
      <c r="O2699" t="s">
        <v>244</v>
      </c>
      <c r="P2699">
        <v>5.53</v>
      </c>
      <c r="Q2699">
        <v>5.49</v>
      </c>
      <c r="R2699">
        <v>5.52</v>
      </c>
      <c r="S2699">
        <v>5.52</v>
      </c>
      <c r="T2699">
        <v>0.72</v>
      </c>
      <c r="U2699">
        <v>0.77</v>
      </c>
      <c r="V2699">
        <v>35.4</v>
      </c>
      <c r="W2699">
        <v>6897</v>
      </c>
      <c r="X2699">
        <v>5.51</v>
      </c>
      <c r="Y2699" t="s">
        <v>2124</v>
      </c>
      <c r="Z2699" t="s">
        <v>1961</v>
      </c>
      <c r="AA2699">
        <v>1.65</v>
      </c>
      <c r="AB2699">
        <v>872</v>
      </c>
      <c r="AC2699">
        <v>557</v>
      </c>
      <c r="AD2699">
        <v>1.52</v>
      </c>
      <c r="AE2699" t="s">
        <v>4201</v>
      </c>
      <c r="AF2699" t="s">
        <v>4889</v>
      </c>
      <c r="AG2699" t="s">
        <v>1573</v>
      </c>
      <c r="AH2699" t="s">
        <v>7437</v>
      </c>
      <c r="AI2699">
        <v>-0.72</v>
      </c>
      <c r="AJ2699">
        <v>1.1000000000000001</v>
      </c>
      <c r="AK2699">
        <v>3.67</v>
      </c>
      <c r="AL2699">
        <v>7.92</v>
      </c>
    </row>
    <row r="2700" spans="1:38" x14ac:dyDescent="0.25">
      <c r="A2700">
        <v>2699</v>
      </c>
      <c r="B2700" t="str">
        <f xml:space="preserve"> "603729"</f>
        <v>603729</v>
      </c>
      <c r="C2700" t="s">
        <v>8082</v>
      </c>
      <c r="D2700" t="s">
        <v>616</v>
      </c>
      <c r="E2700" t="s">
        <v>616</v>
      </c>
      <c r="F2700" t="s">
        <v>616</v>
      </c>
      <c r="G2700" t="s">
        <v>616</v>
      </c>
      <c r="H2700" t="s">
        <v>616</v>
      </c>
      <c r="I2700" t="s">
        <v>616</v>
      </c>
      <c r="J2700" t="s">
        <v>616</v>
      </c>
      <c r="K2700" t="s">
        <v>616</v>
      </c>
      <c r="L2700" t="s">
        <v>616</v>
      </c>
      <c r="M2700" t="s">
        <v>616</v>
      </c>
      <c r="N2700">
        <v>611.58000000000004</v>
      </c>
      <c r="O2700" t="s">
        <v>1126</v>
      </c>
      <c r="P2700" t="s">
        <v>616</v>
      </c>
      <c r="Q2700" t="s">
        <v>616</v>
      </c>
      <c r="R2700" t="s">
        <v>616</v>
      </c>
      <c r="S2700">
        <v>64.069999999999993</v>
      </c>
      <c r="T2700" t="s">
        <v>616</v>
      </c>
      <c r="U2700" t="s">
        <v>616</v>
      </c>
      <c r="V2700" t="s">
        <v>616</v>
      </c>
      <c r="W2700" t="s">
        <v>616</v>
      </c>
      <c r="X2700" t="s">
        <v>616</v>
      </c>
      <c r="Y2700" t="s">
        <v>616</v>
      </c>
      <c r="Z2700" t="s">
        <v>616</v>
      </c>
      <c r="AA2700" t="s">
        <v>616</v>
      </c>
      <c r="AB2700" t="s">
        <v>616</v>
      </c>
      <c r="AC2700" t="s">
        <v>616</v>
      </c>
      <c r="AD2700">
        <v>5.23</v>
      </c>
      <c r="AE2700" t="s">
        <v>7395</v>
      </c>
      <c r="AF2700" t="s">
        <v>4889</v>
      </c>
      <c r="AG2700" t="s">
        <v>8083</v>
      </c>
      <c r="AH2700" t="s">
        <v>2528</v>
      </c>
      <c r="AI2700">
        <v>0</v>
      </c>
      <c r="AJ2700">
        <v>0</v>
      </c>
      <c r="AK2700">
        <v>0</v>
      </c>
      <c r="AL2700">
        <v>0</v>
      </c>
    </row>
    <row r="2701" spans="1:38" x14ac:dyDescent="0.25">
      <c r="A2701">
        <v>2700</v>
      </c>
      <c r="B2701" t="str">
        <f xml:space="preserve"> "603976"</f>
        <v>603976</v>
      </c>
      <c r="C2701" t="s">
        <v>8084</v>
      </c>
      <c r="D2701">
        <v>39.53</v>
      </c>
      <c r="E2701">
        <v>2.33</v>
      </c>
      <c r="F2701">
        <v>0.9</v>
      </c>
      <c r="G2701" t="s">
        <v>362</v>
      </c>
      <c r="H2701">
        <v>10</v>
      </c>
      <c r="I2701">
        <v>39.61</v>
      </c>
      <c r="J2701">
        <v>39.700000000000003</v>
      </c>
      <c r="K2701">
        <v>0.1</v>
      </c>
      <c r="L2701">
        <v>38.68</v>
      </c>
      <c r="M2701" t="s">
        <v>3932</v>
      </c>
      <c r="N2701">
        <v>50.29</v>
      </c>
      <c r="O2701" t="s">
        <v>1552</v>
      </c>
      <c r="P2701">
        <v>41.65</v>
      </c>
      <c r="Q2701">
        <v>37.409999999999997</v>
      </c>
      <c r="R2701">
        <v>37.6</v>
      </c>
      <c r="S2701">
        <v>38.630000000000003</v>
      </c>
      <c r="T2701">
        <v>10.98</v>
      </c>
      <c r="U2701">
        <v>2.0499999999999998</v>
      </c>
      <c r="V2701">
        <v>23.71</v>
      </c>
      <c r="W2701">
        <v>69</v>
      </c>
      <c r="X2701">
        <v>39.96</v>
      </c>
      <c r="Y2701" t="s">
        <v>3401</v>
      </c>
      <c r="Z2701" t="s">
        <v>1187</v>
      </c>
      <c r="AA2701">
        <v>0.8</v>
      </c>
      <c r="AB2701">
        <v>9</v>
      </c>
      <c r="AC2701">
        <v>5</v>
      </c>
      <c r="AD2701">
        <v>4.8099999999999996</v>
      </c>
      <c r="AE2701" t="s">
        <v>1120</v>
      </c>
      <c r="AF2701" t="s">
        <v>4889</v>
      </c>
      <c r="AG2701" t="s">
        <v>3501</v>
      </c>
      <c r="AH2701" t="s">
        <v>1429</v>
      </c>
      <c r="AI2701">
        <v>7.3</v>
      </c>
      <c r="AJ2701">
        <v>18.18</v>
      </c>
      <c r="AK2701">
        <v>98.81</v>
      </c>
      <c r="AL2701">
        <v>132.88</v>
      </c>
    </row>
    <row r="2702" spans="1:38" x14ac:dyDescent="0.25">
      <c r="A2702">
        <v>2701</v>
      </c>
      <c r="B2702" t="str">
        <f xml:space="preserve"> "600665"</f>
        <v>600665</v>
      </c>
      <c r="C2702" t="s">
        <v>8085</v>
      </c>
      <c r="D2702">
        <v>4.9400000000000004</v>
      </c>
      <c r="E2702">
        <v>0</v>
      </c>
      <c r="F2702">
        <v>0</v>
      </c>
      <c r="G2702" t="s">
        <v>3822</v>
      </c>
      <c r="H2702">
        <v>20</v>
      </c>
      <c r="I2702">
        <v>4.9400000000000004</v>
      </c>
      <c r="J2702">
        <v>4.95</v>
      </c>
      <c r="K2702">
        <v>0</v>
      </c>
      <c r="L2702">
        <v>0.39</v>
      </c>
      <c r="M2702" t="s">
        <v>8086</v>
      </c>
      <c r="N2702">
        <v>20.350000000000001</v>
      </c>
      <c r="O2702" t="s">
        <v>244</v>
      </c>
      <c r="P2702">
        <v>4.97</v>
      </c>
      <c r="Q2702">
        <v>4.9000000000000004</v>
      </c>
      <c r="R2702">
        <v>4.9400000000000004</v>
      </c>
      <c r="S2702">
        <v>4.9400000000000004</v>
      </c>
      <c r="T2702">
        <v>1.42</v>
      </c>
      <c r="U2702">
        <v>0.56000000000000005</v>
      </c>
      <c r="V2702">
        <v>31.75</v>
      </c>
      <c r="W2702">
        <v>2630</v>
      </c>
      <c r="X2702">
        <v>4.93</v>
      </c>
      <c r="Y2702" t="s">
        <v>2696</v>
      </c>
      <c r="Z2702">
        <v>8484</v>
      </c>
      <c r="AA2702">
        <v>2.98</v>
      </c>
      <c r="AB2702">
        <v>428</v>
      </c>
      <c r="AC2702">
        <v>190</v>
      </c>
      <c r="AD2702">
        <v>1.47</v>
      </c>
      <c r="AE2702" t="s">
        <v>4327</v>
      </c>
      <c r="AF2702" t="s">
        <v>4889</v>
      </c>
      <c r="AG2702" t="s">
        <v>4327</v>
      </c>
      <c r="AH2702" t="s">
        <v>4889</v>
      </c>
      <c r="AI2702">
        <v>-0.6</v>
      </c>
      <c r="AJ2702">
        <v>1.44</v>
      </c>
      <c r="AK2702">
        <v>1.35</v>
      </c>
      <c r="AL2702">
        <v>3.89</v>
      </c>
    </row>
    <row r="2703" spans="1:38" x14ac:dyDescent="0.25">
      <c r="A2703">
        <v>2702</v>
      </c>
      <c r="B2703" t="str">
        <f xml:space="preserve"> "002495"</f>
        <v>002495</v>
      </c>
      <c r="C2703" t="s">
        <v>8087</v>
      </c>
      <c r="D2703">
        <v>4.5599999999999996</v>
      </c>
      <c r="E2703">
        <v>0.44</v>
      </c>
      <c r="F2703">
        <v>0.02</v>
      </c>
      <c r="G2703" t="s">
        <v>2621</v>
      </c>
      <c r="H2703">
        <v>889</v>
      </c>
      <c r="I2703">
        <v>4.5599999999999996</v>
      </c>
      <c r="J2703">
        <v>4.57</v>
      </c>
      <c r="K2703">
        <v>0</v>
      </c>
      <c r="L2703">
        <v>0.53</v>
      </c>
      <c r="M2703" t="s">
        <v>8088</v>
      </c>
      <c r="N2703">
        <v>118.31</v>
      </c>
      <c r="O2703" t="s">
        <v>406</v>
      </c>
      <c r="P2703">
        <v>4.57</v>
      </c>
      <c r="Q2703">
        <v>4.5199999999999996</v>
      </c>
      <c r="R2703">
        <v>4.55</v>
      </c>
      <c r="S2703">
        <v>4.54</v>
      </c>
      <c r="T2703">
        <v>1.1000000000000001</v>
      </c>
      <c r="U2703">
        <v>0.56999999999999995</v>
      </c>
      <c r="V2703">
        <v>-10.99</v>
      </c>
      <c r="W2703">
        <v>-2673</v>
      </c>
      <c r="X2703">
        <v>4.55</v>
      </c>
      <c r="Y2703" t="s">
        <v>1578</v>
      </c>
      <c r="Z2703" t="s">
        <v>6292</v>
      </c>
      <c r="AA2703">
        <v>0.94</v>
      </c>
      <c r="AB2703">
        <v>857</v>
      </c>
      <c r="AC2703">
        <v>2494</v>
      </c>
      <c r="AD2703">
        <v>3.77</v>
      </c>
      <c r="AE2703" t="s">
        <v>4943</v>
      </c>
      <c r="AF2703" t="s">
        <v>4889</v>
      </c>
      <c r="AG2703" t="s">
        <v>4584</v>
      </c>
      <c r="AH2703" t="s">
        <v>1123</v>
      </c>
      <c r="AI2703">
        <v>-0.22</v>
      </c>
      <c r="AJ2703">
        <v>3.4</v>
      </c>
      <c r="AK2703">
        <v>2.59</v>
      </c>
      <c r="AL2703">
        <v>5.14</v>
      </c>
    </row>
    <row r="2704" spans="1:38" x14ac:dyDescent="0.25">
      <c r="A2704">
        <v>2703</v>
      </c>
      <c r="B2704" t="str">
        <f xml:space="preserve"> "600113"</f>
        <v>600113</v>
      </c>
      <c r="C2704" t="s">
        <v>8089</v>
      </c>
      <c r="D2704">
        <v>13.38</v>
      </c>
      <c r="E2704">
        <v>-0.59</v>
      </c>
      <c r="F2704">
        <v>-0.08</v>
      </c>
      <c r="G2704" t="s">
        <v>3877</v>
      </c>
      <c r="H2704">
        <v>10</v>
      </c>
      <c r="I2704">
        <v>13.38</v>
      </c>
      <c r="J2704">
        <v>13.39</v>
      </c>
      <c r="K2704">
        <v>-0.15</v>
      </c>
      <c r="L2704">
        <v>0.95</v>
      </c>
      <c r="M2704" t="s">
        <v>5584</v>
      </c>
      <c r="N2704">
        <v>51.14</v>
      </c>
      <c r="O2704" t="s">
        <v>244</v>
      </c>
      <c r="P2704">
        <v>13.52</v>
      </c>
      <c r="Q2704">
        <v>13.3</v>
      </c>
      <c r="R2704">
        <v>13.43</v>
      </c>
      <c r="S2704">
        <v>13.46</v>
      </c>
      <c r="T2704">
        <v>1.63</v>
      </c>
      <c r="U2704">
        <v>0.76</v>
      </c>
      <c r="V2704">
        <v>45.25</v>
      </c>
      <c r="W2704">
        <v>866</v>
      </c>
      <c r="X2704">
        <v>13.4</v>
      </c>
      <c r="Y2704" t="s">
        <v>1653</v>
      </c>
      <c r="Z2704" t="s">
        <v>2284</v>
      </c>
      <c r="AA2704">
        <v>1.91</v>
      </c>
      <c r="AB2704">
        <v>354</v>
      </c>
      <c r="AC2704">
        <v>197</v>
      </c>
      <c r="AD2704">
        <v>7</v>
      </c>
      <c r="AE2704" t="s">
        <v>2264</v>
      </c>
      <c r="AF2704" t="s">
        <v>1610</v>
      </c>
      <c r="AG2704" t="s">
        <v>2264</v>
      </c>
      <c r="AH2704" t="s">
        <v>1610</v>
      </c>
      <c r="AI2704">
        <v>0.22</v>
      </c>
      <c r="AJ2704">
        <v>2.92</v>
      </c>
      <c r="AK2704">
        <v>3.79</v>
      </c>
      <c r="AL2704">
        <v>7.18</v>
      </c>
    </row>
    <row r="2705" spans="1:38" x14ac:dyDescent="0.25">
      <c r="A2705">
        <v>2704</v>
      </c>
      <c r="B2705" t="str">
        <f xml:space="preserve"> "600975"</f>
        <v>600975</v>
      </c>
      <c r="C2705" t="s">
        <v>8090</v>
      </c>
      <c r="D2705" t="s">
        <v>616</v>
      </c>
      <c r="E2705" t="s">
        <v>616</v>
      </c>
      <c r="F2705" t="s">
        <v>616</v>
      </c>
      <c r="G2705" t="s">
        <v>616</v>
      </c>
      <c r="H2705" t="s">
        <v>616</v>
      </c>
      <c r="I2705" t="s">
        <v>616</v>
      </c>
      <c r="J2705" t="s">
        <v>616</v>
      </c>
      <c r="K2705" t="s">
        <v>616</v>
      </c>
      <c r="L2705" t="s">
        <v>616</v>
      </c>
      <c r="M2705" t="s">
        <v>616</v>
      </c>
      <c r="N2705">
        <v>51.81</v>
      </c>
      <c r="O2705" t="s">
        <v>622</v>
      </c>
      <c r="P2705" t="s">
        <v>616</v>
      </c>
      <c r="Q2705" t="s">
        <v>616</v>
      </c>
      <c r="R2705" t="s">
        <v>616</v>
      </c>
      <c r="S2705">
        <v>6.53</v>
      </c>
      <c r="T2705" t="s">
        <v>616</v>
      </c>
      <c r="U2705" t="s">
        <v>616</v>
      </c>
      <c r="V2705" t="s">
        <v>616</v>
      </c>
      <c r="W2705" t="s">
        <v>616</v>
      </c>
      <c r="X2705" t="s">
        <v>616</v>
      </c>
      <c r="Y2705" t="s">
        <v>616</v>
      </c>
      <c r="Z2705" t="s">
        <v>616</v>
      </c>
      <c r="AA2705" t="s">
        <v>616</v>
      </c>
      <c r="AB2705" t="s">
        <v>616</v>
      </c>
      <c r="AC2705" t="s">
        <v>616</v>
      </c>
      <c r="AD2705">
        <v>3.55</v>
      </c>
      <c r="AE2705" t="s">
        <v>858</v>
      </c>
      <c r="AF2705" t="s">
        <v>1610</v>
      </c>
      <c r="AG2705" t="s">
        <v>3421</v>
      </c>
      <c r="AH2705" t="s">
        <v>2108</v>
      </c>
      <c r="AI2705">
        <v>0</v>
      </c>
      <c r="AJ2705">
        <v>0</v>
      </c>
      <c r="AK2705">
        <v>0</v>
      </c>
      <c r="AL2705">
        <v>0</v>
      </c>
    </row>
    <row r="2706" spans="1:38" x14ac:dyDescent="0.25">
      <c r="A2706">
        <v>2705</v>
      </c>
      <c r="B2706" t="str">
        <f xml:space="preserve"> "002826"</f>
        <v>002826</v>
      </c>
      <c r="C2706" t="s">
        <v>8091</v>
      </c>
      <c r="D2706">
        <v>22.45</v>
      </c>
      <c r="E2706">
        <v>5</v>
      </c>
      <c r="F2706">
        <v>1.07</v>
      </c>
      <c r="G2706" t="s">
        <v>1699</v>
      </c>
      <c r="H2706">
        <v>649</v>
      </c>
      <c r="I2706">
        <v>22.44</v>
      </c>
      <c r="J2706">
        <v>22.45</v>
      </c>
      <c r="K2706">
        <v>0</v>
      </c>
      <c r="L2706">
        <v>11.35</v>
      </c>
      <c r="M2706" t="s">
        <v>3574</v>
      </c>
      <c r="N2706">
        <v>99.83</v>
      </c>
      <c r="O2706" t="s">
        <v>392</v>
      </c>
      <c r="P2706">
        <v>23.2</v>
      </c>
      <c r="Q2706">
        <v>21.22</v>
      </c>
      <c r="R2706">
        <v>21.36</v>
      </c>
      <c r="S2706">
        <v>21.38</v>
      </c>
      <c r="T2706">
        <v>9.26</v>
      </c>
      <c r="U2706">
        <v>1.9</v>
      </c>
      <c r="V2706">
        <v>-14.16</v>
      </c>
      <c r="W2706">
        <v>-165</v>
      </c>
      <c r="X2706">
        <v>22.45</v>
      </c>
      <c r="Y2706" t="s">
        <v>1285</v>
      </c>
      <c r="Z2706" t="s">
        <v>2115</v>
      </c>
      <c r="AA2706">
        <v>0.86</v>
      </c>
      <c r="AB2706">
        <v>50</v>
      </c>
      <c r="AC2706">
        <v>457</v>
      </c>
      <c r="AD2706">
        <v>7.53</v>
      </c>
      <c r="AE2706" t="s">
        <v>2146</v>
      </c>
      <c r="AF2706" t="s">
        <v>1610</v>
      </c>
      <c r="AG2706" t="s">
        <v>8092</v>
      </c>
      <c r="AH2706" t="s">
        <v>1554</v>
      </c>
      <c r="AI2706">
        <v>0.67</v>
      </c>
      <c r="AJ2706">
        <v>6.5</v>
      </c>
      <c r="AK2706">
        <v>24.94</v>
      </c>
      <c r="AL2706">
        <v>41.14</v>
      </c>
    </row>
    <row r="2707" spans="1:38" x14ac:dyDescent="0.25">
      <c r="A2707">
        <v>2706</v>
      </c>
      <c r="B2707" t="str">
        <f xml:space="preserve"> "002708"</f>
        <v>002708</v>
      </c>
      <c r="C2707" t="s">
        <v>8093</v>
      </c>
      <c r="D2707">
        <v>9.07</v>
      </c>
      <c r="E2707">
        <v>1.68</v>
      </c>
      <c r="F2707">
        <v>0.15</v>
      </c>
      <c r="G2707" t="s">
        <v>2193</v>
      </c>
      <c r="H2707">
        <v>319</v>
      </c>
      <c r="I2707">
        <v>9.06</v>
      </c>
      <c r="J2707">
        <v>9.07</v>
      </c>
      <c r="K2707">
        <v>0</v>
      </c>
      <c r="L2707">
        <v>1.27</v>
      </c>
      <c r="M2707" t="s">
        <v>8094</v>
      </c>
      <c r="N2707">
        <v>172.48</v>
      </c>
      <c r="O2707" t="s">
        <v>169</v>
      </c>
      <c r="P2707">
        <v>9.14</v>
      </c>
      <c r="Q2707">
        <v>8.85</v>
      </c>
      <c r="R2707">
        <v>8.85</v>
      </c>
      <c r="S2707">
        <v>8.92</v>
      </c>
      <c r="T2707">
        <v>3.25</v>
      </c>
      <c r="U2707">
        <v>0.97</v>
      </c>
      <c r="V2707">
        <v>-65.760000000000005</v>
      </c>
      <c r="W2707">
        <v>-1836</v>
      </c>
      <c r="X2707">
        <v>9.02</v>
      </c>
      <c r="Y2707" t="s">
        <v>3095</v>
      </c>
      <c r="Z2707" t="s">
        <v>2580</v>
      </c>
      <c r="AA2707">
        <v>0.67</v>
      </c>
      <c r="AB2707">
        <v>75</v>
      </c>
      <c r="AC2707">
        <v>109</v>
      </c>
      <c r="AD2707">
        <v>2.81</v>
      </c>
      <c r="AE2707" t="s">
        <v>3421</v>
      </c>
      <c r="AF2707" t="s">
        <v>1610</v>
      </c>
      <c r="AG2707" t="s">
        <v>3884</v>
      </c>
      <c r="AH2707" t="s">
        <v>1085</v>
      </c>
      <c r="AI2707">
        <v>-0.55000000000000004</v>
      </c>
      <c r="AJ2707">
        <v>4.25</v>
      </c>
      <c r="AK2707">
        <v>3.65</v>
      </c>
      <c r="AL2707">
        <v>7.83</v>
      </c>
    </row>
    <row r="2708" spans="1:38" x14ac:dyDescent="0.25">
      <c r="A2708">
        <v>2707</v>
      </c>
      <c r="B2708" t="str">
        <f xml:space="preserve"> "300470"</f>
        <v>300470</v>
      </c>
      <c r="C2708" t="s">
        <v>8095</v>
      </c>
      <c r="D2708">
        <v>39.78</v>
      </c>
      <c r="E2708">
        <v>0.61</v>
      </c>
      <c r="F2708">
        <v>0.24</v>
      </c>
      <c r="G2708">
        <v>6435</v>
      </c>
      <c r="H2708">
        <v>29</v>
      </c>
      <c r="I2708">
        <v>39.78</v>
      </c>
      <c r="J2708">
        <v>39.880000000000003</v>
      </c>
      <c r="K2708">
        <v>0.05</v>
      </c>
      <c r="L2708">
        <v>1.02</v>
      </c>
      <c r="M2708" t="s">
        <v>8096</v>
      </c>
      <c r="N2708">
        <v>48.55</v>
      </c>
      <c r="O2708" t="s">
        <v>648</v>
      </c>
      <c r="P2708">
        <v>40.01</v>
      </c>
      <c r="Q2708">
        <v>39.5</v>
      </c>
      <c r="R2708">
        <v>39.840000000000003</v>
      </c>
      <c r="S2708">
        <v>39.54</v>
      </c>
      <c r="T2708">
        <v>1.29</v>
      </c>
      <c r="U2708">
        <v>0.86</v>
      </c>
      <c r="V2708">
        <v>-57.94</v>
      </c>
      <c r="W2708">
        <v>-135</v>
      </c>
      <c r="X2708">
        <v>39.83</v>
      </c>
      <c r="Y2708">
        <v>2713</v>
      </c>
      <c r="Z2708">
        <v>3722</v>
      </c>
      <c r="AA2708">
        <v>0.73</v>
      </c>
      <c r="AB2708">
        <v>6</v>
      </c>
      <c r="AC2708">
        <v>44</v>
      </c>
      <c r="AD2708">
        <v>4.7699999999999996</v>
      </c>
      <c r="AE2708" t="s">
        <v>1314</v>
      </c>
      <c r="AF2708" t="s">
        <v>4866</v>
      </c>
      <c r="AG2708" t="s">
        <v>7890</v>
      </c>
      <c r="AH2708" t="s">
        <v>1061</v>
      </c>
      <c r="AI2708">
        <v>1.45</v>
      </c>
      <c r="AJ2708">
        <v>4.55</v>
      </c>
      <c r="AK2708">
        <v>2.93</v>
      </c>
      <c r="AL2708">
        <v>6.94</v>
      </c>
    </row>
    <row r="2709" spans="1:38" x14ac:dyDescent="0.25">
      <c r="A2709">
        <v>2708</v>
      </c>
      <c r="B2709" t="str">
        <f xml:space="preserve"> "300581"</f>
        <v>300581</v>
      </c>
      <c r="C2709" t="s">
        <v>8097</v>
      </c>
      <c r="D2709">
        <v>46.94</v>
      </c>
      <c r="E2709">
        <v>-0.45</v>
      </c>
      <c r="F2709">
        <v>-0.21</v>
      </c>
      <c r="G2709" t="s">
        <v>3861</v>
      </c>
      <c r="H2709">
        <v>524</v>
      </c>
      <c r="I2709">
        <v>46.93</v>
      </c>
      <c r="J2709">
        <v>46.94</v>
      </c>
      <c r="K2709">
        <v>0.02</v>
      </c>
      <c r="L2709">
        <v>14.02</v>
      </c>
      <c r="M2709" t="s">
        <v>2523</v>
      </c>
      <c r="N2709">
        <v>128.09</v>
      </c>
      <c r="O2709" t="s">
        <v>926</v>
      </c>
      <c r="P2709">
        <v>47.3</v>
      </c>
      <c r="Q2709">
        <v>45.26</v>
      </c>
      <c r="R2709">
        <v>46.65</v>
      </c>
      <c r="S2709">
        <v>47.15</v>
      </c>
      <c r="T2709">
        <v>4.33</v>
      </c>
      <c r="U2709">
        <v>0.94</v>
      </c>
      <c r="V2709">
        <v>-10.55</v>
      </c>
      <c r="W2709">
        <v>-79</v>
      </c>
      <c r="X2709">
        <v>46.35</v>
      </c>
      <c r="Y2709" t="s">
        <v>433</v>
      </c>
      <c r="Z2709" t="s">
        <v>3590</v>
      </c>
      <c r="AA2709">
        <v>0.92</v>
      </c>
      <c r="AB2709">
        <v>226</v>
      </c>
      <c r="AC2709">
        <v>306</v>
      </c>
      <c r="AD2709">
        <v>8.07</v>
      </c>
      <c r="AE2709" t="s">
        <v>8098</v>
      </c>
      <c r="AF2709" t="s">
        <v>4866</v>
      </c>
      <c r="AG2709" t="s">
        <v>8099</v>
      </c>
      <c r="AH2709" t="s">
        <v>1554</v>
      </c>
      <c r="AI2709">
        <v>0.95</v>
      </c>
      <c r="AJ2709">
        <v>1.82</v>
      </c>
      <c r="AK2709">
        <v>44.86</v>
      </c>
      <c r="AL2709">
        <v>88.91</v>
      </c>
    </row>
    <row r="2710" spans="1:38" x14ac:dyDescent="0.25">
      <c r="A2710">
        <v>2709</v>
      </c>
      <c r="B2710" t="str">
        <f xml:space="preserve"> "002671"</f>
        <v>002671</v>
      </c>
      <c r="C2710" t="s">
        <v>8100</v>
      </c>
      <c r="D2710">
        <v>8.9</v>
      </c>
      <c r="E2710">
        <v>-0.45</v>
      </c>
      <c r="F2710">
        <v>-0.04</v>
      </c>
      <c r="G2710" t="s">
        <v>623</v>
      </c>
      <c r="H2710">
        <v>938</v>
      </c>
      <c r="I2710">
        <v>8.9</v>
      </c>
      <c r="J2710">
        <v>8.91</v>
      </c>
      <c r="K2710">
        <v>-0.11</v>
      </c>
      <c r="L2710">
        <v>0.83</v>
      </c>
      <c r="M2710" t="s">
        <v>8101</v>
      </c>
      <c r="N2710">
        <v>-54.08</v>
      </c>
      <c r="O2710" t="s">
        <v>562</v>
      </c>
      <c r="P2710">
        <v>9</v>
      </c>
      <c r="Q2710">
        <v>8.8800000000000008</v>
      </c>
      <c r="R2710">
        <v>8.93</v>
      </c>
      <c r="S2710">
        <v>8.94</v>
      </c>
      <c r="T2710">
        <v>1.34</v>
      </c>
      <c r="U2710">
        <v>0.96</v>
      </c>
      <c r="V2710">
        <v>53.34</v>
      </c>
      <c r="W2710">
        <v>2078</v>
      </c>
      <c r="X2710">
        <v>8.91</v>
      </c>
      <c r="Y2710" t="s">
        <v>999</v>
      </c>
      <c r="Z2710" t="s">
        <v>1095</v>
      </c>
      <c r="AA2710">
        <v>1.1499999999999999</v>
      </c>
      <c r="AB2710">
        <v>3</v>
      </c>
      <c r="AC2710">
        <v>561</v>
      </c>
      <c r="AD2710">
        <v>2.1</v>
      </c>
      <c r="AE2710" t="s">
        <v>1994</v>
      </c>
      <c r="AF2710" t="s">
        <v>4866</v>
      </c>
      <c r="AG2710" t="s">
        <v>981</v>
      </c>
      <c r="AH2710" t="s">
        <v>93</v>
      </c>
      <c r="AI2710">
        <v>0.11</v>
      </c>
      <c r="AJ2710">
        <v>3.85</v>
      </c>
      <c r="AK2710">
        <v>2.64</v>
      </c>
      <c r="AL2710">
        <v>5.12</v>
      </c>
    </row>
    <row r="2711" spans="1:38" x14ac:dyDescent="0.25">
      <c r="A2711">
        <v>2710</v>
      </c>
      <c r="B2711" t="str">
        <f xml:space="preserve"> "002652"</f>
        <v>002652</v>
      </c>
      <c r="C2711" t="s">
        <v>8102</v>
      </c>
      <c r="D2711" t="s">
        <v>616</v>
      </c>
      <c r="E2711" t="s">
        <v>616</v>
      </c>
      <c r="F2711" t="s">
        <v>616</v>
      </c>
      <c r="G2711" t="s">
        <v>616</v>
      </c>
      <c r="H2711" t="s">
        <v>616</v>
      </c>
      <c r="I2711" t="s">
        <v>616</v>
      </c>
      <c r="J2711" t="s">
        <v>616</v>
      </c>
      <c r="K2711" t="s">
        <v>616</v>
      </c>
      <c r="L2711" t="s">
        <v>616</v>
      </c>
      <c r="M2711" t="s">
        <v>616</v>
      </c>
      <c r="N2711">
        <v>42.58</v>
      </c>
      <c r="O2711" t="s">
        <v>1229</v>
      </c>
      <c r="P2711" t="s">
        <v>616</v>
      </c>
      <c r="Q2711" t="s">
        <v>616</v>
      </c>
      <c r="R2711" t="s">
        <v>616</v>
      </c>
      <c r="S2711">
        <v>8.2799999999999994</v>
      </c>
      <c r="T2711" t="s">
        <v>616</v>
      </c>
      <c r="U2711" t="s">
        <v>616</v>
      </c>
      <c r="V2711" t="s">
        <v>616</v>
      </c>
      <c r="W2711" t="s">
        <v>616</v>
      </c>
      <c r="X2711" t="s">
        <v>616</v>
      </c>
      <c r="Y2711" t="s">
        <v>616</v>
      </c>
      <c r="Z2711" t="s">
        <v>616</v>
      </c>
      <c r="AA2711" t="s">
        <v>616</v>
      </c>
      <c r="AB2711" t="s">
        <v>616</v>
      </c>
      <c r="AC2711" t="s">
        <v>616</v>
      </c>
      <c r="AD2711">
        <v>5.96</v>
      </c>
      <c r="AE2711" t="s">
        <v>4649</v>
      </c>
      <c r="AF2711" t="s">
        <v>4866</v>
      </c>
      <c r="AG2711" t="s">
        <v>5565</v>
      </c>
      <c r="AH2711" t="s">
        <v>1975</v>
      </c>
      <c r="AI2711">
        <v>0</v>
      </c>
      <c r="AJ2711">
        <v>0</v>
      </c>
      <c r="AK2711">
        <v>0</v>
      </c>
      <c r="AL2711">
        <v>0</v>
      </c>
    </row>
    <row r="2712" spans="1:38" x14ac:dyDescent="0.25">
      <c r="A2712">
        <v>2711</v>
      </c>
      <c r="B2712" t="str">
        <f xml:space="preserve"> "603955"</f>
        <v>603955</v>
      </c>
      <c r="C2712" t="s">
        <v>8103</v>
      </c>
      <c r="D2712">
        <v>48.71</v>
      </c>
      <c r="E2712">
        <v>10</v>
      </c>
      <c r="F2712">
        <v>4.43</v>
      </c>
      <c r="G2712" t="s">
        <v>2124</v>
      </c>
      <c r="H2712">
        <v>80</v>
      </c>
      <c r="I2712">
        <v>48.71</v>
      </c>
      <c r="J2712" t="s">
        <v>616</v>
      </c>
      <c r="K2712">
        <v>0</v>
      </c>
      <c r="L2712">
        <v>18.14</v>
      </c>
      <c r="M2712" t="s">
        <v>3201</v>
      </c>
      <c r="N2712">
        <v>62.32</v>
      </c>
      <c r="O2712" t="s">
        <v>1221</v>
      </c>
      <c r="P2712">
        <v>48.71</v>
      </c>
      <c r="Q2712">
        <v>45.01</v>
      </c>
      <c r="R2712">
        <v>45.97</v>
      </c>
      <c r="S2712">
        <v>44.28</v>
      </c>
      <c r="T2712">
        <v>8.36</v>
      </c>
      <c r="U2712">
        <v>3.4</v>
      </c>
      <c r="V2712">
        <v>100</v>
      </c>
      <c r="W2712" t="s">
        <v>1732</v>
      </c>
      <c r="X2712">
        <v>46.92</v>
      </c>
      <c r="Y2712" t="s">
        <v>2509</v>
      </c>
      <c r="Z2712" t="s">
        <v>1076</v>
      </c>
      <c r="AA2712">
        <v>1.05</v>
      </c>
      <c r="AB2712" t="s">
        <v>999</v>
      </c>
      <c r="AC2712">
        <v>0</v>
      </c>
      <c r="AD2712">
        <v>4.17</v>
      </c>
      <c r="AE2712" t="s">
        <v>6675</v>
      </c>
      <c r="AF2712" t="s">
        <v>4866</v>
      </c>
      <c r="AG2712" t="s">
        <v>8104</v>
      </c>
      <c r="AH2712" t="s">
        <v>1554</v>
      </c>
      <c r="AI2712">
        <v>11.16</v>
      </c>
      <c r="AJ2712">
        <v>17.29</v>
      </c>
      <c r="AK2712">
        <v>33.380000000000003</v>
      </c>
      <c r="AL2712">
        <v>44.83</v>
      </c>
    </row>
    <row r="2713" spans="1:38" x14ac:dyDescent="0.25">
      <c r="A2713">
        <v>2712</v>
      </c>
      <c r="B2713" t="str">
        <f xml:space="preserve"> "002125"</f>
        <v>002125</v>
      </c>
      <c r="C2713" t="s">
        <v>8105</v>
      </c>
      <c r="D2713">
        <v>12.26</v>
      </c>
      <c r="E2713">
        <v>1.1599999999999999</v>
      </c>
      <c r="F2713">
        <v>0.14000000000000001</v>
      </c>
      <c r="G2713" t="s">
        <v>1334</v>
      </c>
      <c r="H2713">
        <v>1044</v>
      </c>
      <c r="I2713">
        <v>12.25</v>
      </c>
      <c r="J2713">
        <v>12.26</v>
      </c>
      <c r="K2713">
        <v>0.08</v>
      </c>
      <c r="L2713">
        <v>1.67</v>
      </c>
      <c r="M2713" t="s">
        <v>8106</v>
      </c>
      <c r="N2713">
        <v>96.23</v>
      </c>
      <c r="O2713" t="s">
        <v>667</v>
      </c>
      <c r="P2713">
        <v>12.29</v>
      </c>
      <c r="Q2713">
        <v>12.06</v>
      </c>
      <c r="R2713">
        <v>12.1</v>
      </c>
      <c r="S2713">
        <v>12.12</v>
      </c>
      <c r="T2713">
        <v>1.9</v>
      </c>
      <c r="U2713">
        <v>0.81</v>
      </c>
      <c r="V2713">
        <v>-70.52</v>
      </c>
      <c r="W2713">
        <v>-2368</v>
      </c>
      <c r="X2713">
        <v>12.19</v>
      </c>
      <c r="Y2713" t="s">
        <v>6292</v>
      </c>
      <c r="Z2713" t="s">
        <v>507</v>
      </c>
      <c r="AA2713">
        <v>0.9</v>
      </c>
      <c r="AB2713">
        <v>300</v>
      </c>
      <c r="AC2713">
        <v>600</v>
      </c>
      <c r="AD2713">
        <v>3.94</v>
      </c>
      <c r="AE2713" t="s">
        <v>5176</v>
      </c>
      <c r="AF2713" t="s">
        <v>4866</v>
      </c>
      <c r="AG2713" t="s">
        <v>5840</v>
      </c>
      <c r="AH2713" t="s">
        <v>355</v>
      </c>
      <c r="AI2713">
        <v>-2</v>
      </c>
      <c r="AJ2713">
        <v>0.25</v>
      </c>
      <c r="AK2713">
        <v>6.09</v>
      </c>
      <c r="AL2713">
        <v>12.01</v>
      </c>
    </row>
    <row r="2714" spans="1:38" x14ac:dyDescent="0.25">
      <c r="A2714">
        <v>2713</v>
      </c>
      <c r="B2714" t="str">
        <f xml:space="preserve"> "300414"</f>
        <v>300414</v>
      </c>
      <c r="C2714" t="s">
        <v>8107</v>
      </c>
      <c r="D2714" t="s">
        <v>616</v>
      </c>
      <c r="E2714" t="s">
        <v>616</v>
      </c>
      <c r="F2714" t="s">
        <v>616</v>
      </c>
      <c r="G2714" t="s">
        <v>616</v>
      </c>
      <c r="H2714" t="s">
        <v>616</v>
      </c>
      <c r="I2714" t="s">
        <v>616</v>
      </c>
      <c r="J2714" t="s">
        <v>616</v>
      </c>
      <c r="K2714" t="s">
        <v>616</v>
      </c>
      <c r="L2714" t="s">
        <v>616</v>
      </c>
      <c r="M2714" t="s">
        <v>616</v>
      </c>
      <c r="N2714">
        <v>107.42</v>
      </c>
      <c r="O2714" t="s">
        <v>380</v>
      </c>
      <c r="P2714" t="s">
        <v>616</v>
      </c>
      <c r="Q2714" t="s">
        <v>616</v>
      </c>
      <c r="R2714" t="s">
        <v>616</v>
      </c>
      <c r="S2714">
        <v>24.78</v>
      </c>
      <c r="T2714" t="s">
        <v>616</v>
      </c>
      <c r="U2714" t="s">
        <v>616</v>
      </c>
      <c r="V2714" t="s">
        <v>616</v>
      </c>
      <c r="W2714" t="s">
        <v>616</v>
      </c>
      <c r="X2714" t="s">
        <v>616</v>
      </c>
      <c r="Y2714" t="s">
        <v>616</v>
      </c>
      <c r="Z2714" t="s">
        <v>616</v>
      </c>
      <c r="AA2714" t="s">
        <v>616</v>
      </c>
      <c r="AB2714" t="s">
        <v>616</v>
      </c>
      <c r="AC2714" t="s">
        <v>616</v>
      </c>
      <c r="AD2714">
        <v>5.39</v>
      </c>
      <c r="AE2714" t="s">
        <v>1228</v>
      </c>
      <c r="AF2714" t="s">
        <v>4866</v>
      </c>
      <c r="AG2714" t="s">
        <v>8108</v>
      </c>
      <c r="AH2714" t="s">
        <v>666</v>
      </c>
      <c r="AI2714">
        <v>0</v>
      </c>
      <c r="AJ2714">
        <v>0</v>
      </c>
      <c r="AK2714">
        <v>0</v>
      </c>
      <c r="AL2714">
        <v>0</v>
      </c>
    </row>
    <row r="2715" spans="1:38" x14ac:dyDescent="0.25">
      <c r="A2715">
        <v>2714</v>
      </c>
      <c r="B2715" t="str">
        <f xml:space="preserve"> "300268"</f>
        <v>300268</v>
      </c>
      <c r="C2715" t="s">
        <v>8109</v>
      </c>
      <c r="D2715">
        <v>31.58</v>
      </c>
      <c r="E2715">
        <v>0.89</v>
      </c>
      <c r="F2715">
        <v>0.28000000000000003</v>
      </c>
      <c r="G2715" t="s">
        <v>3656</v>
      </c>
      <c r="H2715">
        <v>41</v>
      </c>
      <c r="I2715">
        <v>31.57</v>
      </c>
      <c r="J2715">
        <v>31.58</v>
      </c>
      <c r="K2715">
        <v>-0.03</v>
      </c>
      <c r="L2715">
        <v>2.34</v>
      </c>
      <c r="M2715" t="s">
        <v>8110</v>
      </c>
      <c r="N2715">
        <v>-353.66</v>
      </c>
      <c r="O2715" t="s">
        <v>622</v>
      </c>
      <c r="P2715">
        <v>31.88</v>
      </c>
      <c r="Q2715">
        <v>30.98</v>
      </c>
      <c r="R2715">
        <v>31.51</v>
      </c>
      <c r="S2715">
        <v>31.3</v>
      </c>
      <c r="T2715">
        <v>2.88</v>
      </c>
      <c r="U2715">
        <v>1.54</v>
      </c>
      <c r="V2715">
        <v>26.9</v>
      </c>
      <c r="W2715">
        <v>156</v>
      </c>
      <c r="X2715">
        <v>31.29</v>
      </c>
      <c r="Y2715" t="s">
        <v>603</v>
      </c>
      <c r="Z2715">
        <v>8840</v>
      </c>
      <c r="AA2715">
        <v>1.61</v>
      </c>
      <c r="AB2715">
        <v>120</v>
      </c>
      <c r="AC2715">
        <v>110</v>
      </c>
      <c r="AD2715">
        <v>20.65</v>
      </c>
      <c r="AE2715" t="s">
        <v>2973</v>
      </c>
      <c r="AF2715" t="s">
        <v>653</v>
      </c>
      <c r="AG2715" t="s">
        <v>8111</v>
      </c>
      <c r="AH2715" t="s">
        <v>2205</v>
      </c>
      <c r="AI2715">
        <v>0.38</v>
      </c>
      <c r="AJ2715">
        <v>-0.63</v>
      </c>
      <c r="AK2715">
        <v>5.24</v>
      </c>
      <c r="AL2715">
        <v>9.9499999999999993</v>
      </c>
    </row>
    <row r="2716" spans="1:38" x14ac:dyDescent="0.25">
      <c r="A2716">
        <v>2715</v>
      </c>
      <c r="B2716" t="str">
        <f xml:space="preserve"> "300281"</f>
        <v>300281</v>
      </c>
      <c r="C2716" t="s">
        <v>8112</v>
      </c>
      <c r="D2716">
        <v>15.15</v>
      </c>
      <c r="E2716">
        <v>2.92</v>
      </c>
      <c r="F2716">
        <v>0.43</v>
      </c>
      <c r="G2716" t="s">
        <v>1726</v>
      </c>
      <c r="H2716">
        <v>2578</v>
      </c>
      <c r="I2716">
        <v>15.15</v>
      </c>
      <c r="J2716">
        <v>15.16</v>
      </c>
      <c r="K2716">
        <v>0</v>
      </c>
      <c r="L2716">
        <v>0.88</v>
      </c>
      <c r="M2716" t="s">
        <v>8113</v>
      </c>
      <c r="N2716">
        <v>70.59</v>
      </c>
      <c r="O2716" t="s">
        <v>648</v>
      </c>
      <c r="P2716">
        <v>15.2</v>
      </c>
      <c r="Q2716">
        <v>14.68</v>
      </c>
      <c r="R2716">
        <v>14.8</v>
      </c>
      <c r="S2716">
        <v>14.72</v>
      </c>
      <c r="T2716">
        <v>3.53</v>
      </c>
      <c r="U2716">
        <v>1.45</v>
      </c>
      <c r="V2716">
        <v>2.0099999999999998</v>
      </c>
      <c r="W2716">
        <v>46</v>
      </c>
      <c r="X2716">
        <v>14.96</v>
      </c>
      <c r="Y2716">
        <v>6142</v>
      </c>
      <c r="Z2716">
        <v>6867</v>
      </c>
      <c r="AA2716">
        <v>0.89</v>
      </c>
      <c r="AB2716">
        <v>1079</v>
      </c>
      <c r="AC2716">
        <v>327</v>
      </c>
      <c r="AD2716">
        <v>3.56</v>
      </c>
      <c r="AE2716" t="s">
        <v>4858</v>
      </c>
      <c r="AF2716" t="s">
        <v>653</v>
      </c>
      <c r="AG2716" t="s">
        <v>2523</v>
      </c>
      <c r="AH2716" t="s">
        <v>4084</v>
      </c>
      <c r="AI2716">
        <v>0.46</v>
      </c>
      <c r="AJ2716">
        <v>1.1299999999999999</v>
      </c>
      <c r="AK2716">
        <v>2.6</v>
      </c>
      <c r="AL2716">
        <v>3.93</v>
      </c>
    </row>
    <row r="2717" spans="1:38" x14ac:dyDescent="0.25">
      <c r="A2717">
        <v>2716</v>
      </c>
      <c r="B2717" t="str">
        <f xml:space="preserve"> "300052"</f>
        <v>300052</v>
      </c>
      <c r="C2717" t="s">
        <v>8114</v>
      </c>
      <c r="D2717">
        <v>16.2</v>
      </c>
      <c r="E2717">
        <v>0.12</v>
      </c>
      <c r="F2717">
        <v>0.02</v>
      </c>
      <c r="G2717" t="s">
        <v>2754</v>
      </c>
      <c r="H2717">
        <v>547</v>
      </c>
      <c r="I2717">
        <v>16.190000000000001</v>
      </c>
      <c r="J2717">
        <v>16.2</v>
      </c>
      <c r="K2717">
        <v>0</v>
      </c>
      <c r="L2717">
        <v>1.06</v>
      </c>
      <c r="M2717" t="s">
        <v>8115</v>
      </c>
      <c r="N2717">
        <v>175.61</v>
      </c>
      <c r="O2717" t="s">
        <v>553</v>
      </c>
      <c r="P2717">
        <v>16.25</v>
      </c>
      <c r="Q2717">
        <v>16.059999999999999</v>
      </c>
      <c r="R2717">
        <v>16.25</v>
      </c>
      <c r="S2717">
        <v>16.18</v>
      </c>
      <c r="T2717">
        <v>1.17</v>
      </c>
      <c r="U2717">
        <v>0.63</v>
      </c>
      <c r="V2717">
        <v>0.78</v>
      </c>
      <c r="W2717">
        <v>12</v>
      </c>
      <c r="X2717">
        <v>16.16</v>
      </c>
      <c r="Y2717" t="s">
        <v>2551</v>
      </c>
      <c r="Z2717" t="s">
        <v>1579</v>
      </c>
      <c r="AA2717">
        <v>1</v>
      </c>
      <c r="AB2717">
        <v>85</v>
      </c>
      <c r="AC2717">
        <v>19</v>
      </c>
      <c r="AD2717">
        <v>6.53</v>
      </c>
      <c r="AE2717" t="s">
        <v>1770</v>
      </c>
      <c r="AF2717" t="s">
        <v>653</v>
      </c>
      <c r="AG2717" t="s">
        <v>2807</v>
      </c>
      <c r="AH2717" t="s">
        <v>2227</v>
      </c>
      <c r="AI2717">
        <v>-1.34</v>
      </c>
      <c r="AJ2717">
        <v>5.47</v>
      </c>
      <c r="AK2717">
        <v>4.2</v>
      </c>
      <c r="AL2717">
        <v>9.48</v>
      </c>
    </row>
    <row r="2718" spans="1:38" x14ac:dyDescent="0.25">
      <c r="A2718">
        <v>2717</v>
      </c>
      <c r="B2718" t="str">
        <f xml:space="preserve"> "300135"</f>
        <v>300135</v>
      </c>
      <c r="C2718" t="s">
        <v>8116</v>
      </c>
      <c r="D2718">
        <v>4.58</v>
      </c>
      <c r="E2718">
        <v>0.88</v>
      </c>
      <c r="F2718">
        <v>0.04</v>
      </c>
      <c r="G2718" t="s">
        <v>5061</v>
      </c>
      <c r="H2718">
        <v>361</v>
      </c>
      <c r="I2718">
        <v>4.57</v>
      </c>
      <c r="J2718">
        <v>4.58</v>
      </c>
      <c r="K2718">
        <v>0</v>
      </c>
      <c r="L2718">
        <v>0.89</v>
      </c>
      <c r="M2718" t="s">
        <v>3037</v>
      </c>
      <c r="N2718">
        <v>102.66</v>
      </c>
      <c r="O2718" t="s">
        <v>667</v>
      </c>
      <c r="P2718">
        <v>4.62</v>
      </c>
      <c r="Q2718">
        <v>4.5199999999999996</v>
      </c>
      <c r="R2718">
        <v>4.54</v>
      </c>
      <c r="S2718">
        <v>4.54</v>
      </c>
      <c r="T2718">
        <v>2.2000000000000002</v>
      </c>
      <c r="U2718">
        <v>1.18</v>
      </c>
      <c r="V2718">
        <v>-22.35</v>
      </c>
      <c r="W2718">
        <v>-5977</v>
      </c>
      <c r="X2718">
        <v>4.5599999999999996</v>
      </c>
      <c r="Y2718" t="s">
        <v>2180</v>
      </c>
      <c r="Z2718" t="s">
        <v>753</v>
      </c>
      <c r="AA2718">
        <v>0.93</v>
      </c>
      <c r="AB2718">
        <v>1760</v>
      </c>
      <c r="AC2718">
        <v>4393</v>
      </c>
      <c r="AD2718">
        <v>3.63</v>
      </c>
      <c r="AE2718" t="s">
        <v>8117</v>
      </c>
      <c r="AF2718" t="s">
        <v>2227</v>
      </c>
      <c r="AG2718" t="s">
        <v>8117</v>
      </c>
      <c r="AH2718" t="s">
        <v>2227</v>
      </c>
      <c r="AI2718">
        <v>-0.22</v>
      </c>
      <c r="AJ2718">
        <v>2.92</v>
      </c>
      <c r="AK2718">
        <v>2.44</v>
      </c>
      <c r="AL2718">
        <v>4.66</v>
      </c>
    </row>
    <row r="2719" spans="1:38" x14ac:dyDescent="0.25">
      <c r="A2719">
        <v>2718</v>
      </c>
      <c r="B2719" t="str">
        <f xml:space="preserve"> "002014"</f>
        <v>002014</v>
      </c>
      <c r="C2719" t="s">
        <v>8118</v>
      </c>
      <c r="D2719">
        <v>12.57</v>
      </c>
      <c r="E2719">
        <v>0.88</v>
      </c>
      <c r="F2719">
        <v>0.11</v>
      </c>
      <c r="G2719">
        <v>9036</v>
      </c>
      <c r="H2719">
        <v>102</v>
      </c>
      <c r="I2719">
        <v>12.56</v>
      </c>
      <c r="J2719">
        <v>12.57</v>
      </c>
      <c r="K2719">
        <v>0</v>
      </c>
      <c r="L2719">
        <v>0.39</v>
      </c>
      <c r="M2719" t="s">
        <v>5149</v>
      </c>
      <c r="N2719">
        <v>25.33</v>
      </c>
      <c r="O2719" t="s">
        <v>3873</v>
      </c>
      <c r="P2719">
        <v>12.64</v>
      </c>
      <c r="Q2719">
        <v>12.4</v>
      </c>
      <c r="R2719">
        <v>12.4</v>
      </c>
      <c r="S2719">
        <v>12.46</v>
      </c>
      <c r="T2719">
        <v>1.93</v>
      </c>
      <c r="U2719">
        <v>0.7</v>
      </c>
      <c r="V2719">
        <v>-47.46</v>
      </c>
      <c r="W2719">
        <v>-691</v>
      </c>
      <c r="X2719">
        <v>12.52</v>
      </c>
      <c r="Y2719">
        <v>4234</v>
      </c>
      <c r="Z2719">
        <v>4801</v>
      </c>
      <c r="AA2719">
        <v>0.88</v>
      </c>
      <c r="AB2719">
        <v>93</v>
      </c>
      <c r="AC2719">
        <v>840</v>
      </c>
      <c r="AD2719">
        <v>2.57</v>
      </c>
      <c r="AE2719" t="s">
        <v>1512</v>
      </c>
      <c r="AF2719" t="s">
        <v>2227</v>
      </c>
      <c r="AG2719" t="s">
        <v>281</v>
      </c>
      <c r="AH2719" t="s">
        <v>93</v>
      </c>
      <c r="AI2719">
        <v>-0.63</v>
      </c>
      <c r="AJ2719">
        <v>2.2000000000000002</v>
      </c>
      <c r="AK2719">
        <v>1.75</v>
      </c>
      <c r="AL2719">
        <v>3.2</v>
      </c>
    </row>
    <row r="2720" spans="1:38" x14ac:dyDescent="0.25">
      <c r="A2720">
        <v>2719</v>
      </c>
      <c r="B2720" t="str">
        <f xml:space="preserve"> "002532"</f>
        <v>002532</v>
      </c>
      <c r="C2720" t="s">
        <v>8119</v>
      </c>
      <c r="D2720">
        <v>8.18</v>
      </c>
      <c r="E2720">
        <v>1.1100000000000001</v>
      </c>
      <c r="F2720">
        <v>0.09</v>
      </c>
      <c r="G2720" t="s">
        <v>1974</v>
      </c>
      <c r="H2720">
        <v>650</v>
      </c>
      <c r="I2720">
        <v>8.18</v>
      </c>
      <c r="J2720">
        <v>8.19</v>
      </c>
      <c r="K2720">
        <v>0</v>
      </c>
      <c r="L2720">
        <v>1.1599999999999999</v>
      </c>
      <c r="M2720" t="s">
        <v>8120</v>
      </c>
      <c r="N2720">
        <v>21.38</v>
      </c>
      <c r="O2720" t="s">
        <v>648</v>
      </c>
      <c r="P2720">
        <v>8.1999999999999993</v>
      </c>
      <c r="Q2720">
        <v>8.0399999999999991</v>
      </c>
      <c r="R2720">
        <v>8.09</v>
      </c>
      <c r="S2720">
        <v>8.09</v>
      </c>
      <c r="T2720">
        <v>1.98</v>
      </c>
      <c r="U2720">
        <v>1.64</v>
      </c>
      <c r="V2720">
        <v>-14.69</v>
      </c>
      <c r="W2720">
        <v>-880</v>
      </c>
      <c r="X2720">
        <v>8.1300000000000008</v>
      </c>
      <c r="Y2720" t="s">
        <v>1113</v>
      </c>
      <c r="Z2720" t="s">
        <v>3914</v>
      </c>
      <c r="AA2720">
        <v>0.66</v>
      </c>
      <c r="AB2720">
        <v>1468</v>
      </c>
      <c r="AC2720">
        <v>1400</v>
      </c>
      <c r="AD2720">
        <v>3.04</v>
      </c>
      <c r="AE2720" t="s">
        <v>4648</v>
      </c>
      <c r="AF2720" t="s">
        <v>2227</v>
      </c>
      <c r="AG2720" t="s">
        <v>6537</v>
      </c>
      <c r="AH2720" t="s">
        <v>1944</v>
      </c>
      <c r="AI2720">
        <v>0.99</v>
      </c>
      <c r="AJ2720">
        <v>3.81</v>
      </c>
      <c r="AK2720">
        <v>2.76</v>
      </c>
      <c r="AL2720">
        <v>4.7</v>
      </c>
    </row>
    <row r="2721" spans="1:38" x14ac:dyDescent="0.25">
      <c r="A2721">
        <v>2720</v>
      </c>
      <c r="B2721" t="str">
        <f xml:space="preserve"> "600081"</f>
        <v>600081</v>
      </c>
      <c r="C2721" t="s">
        <v>8121</v>
      </c>
      <c r="D2721">
        <v>13.45</v>
      </c>
      <c r="E2721">
        <v>-1.18</v>
      </c>
      <c r="F2721">
        <v>-0.16</v>
      </c>
      <c r="G2721" t="s">
        <v>2115</v>
      </c>
      <c r="H2721">
        <v>50</v>
      </c>
      <c r="I2721">
        <v>13.45</v>
      </c>
      <c r="J2721">
        <v>13.46</v>
      </c>
      <c r="K2721">
        <v>7.0000000000000007E-2</v>
      </c>
      <c r="L2721">
        <v>0.93</v>
      </c>
      <c r="M2721" t="s">
        <v>8122</v>
      </c>
      <c r="N2721">
        <v>25.57</v>
      </c>
      <c r="O2721" t="s">
        <v>169</v>
      </c>
      <c r="P2721">
        <v>13.63</v>
      </c>
      <c r="Q2721">
        <v>13.34</v>
      </c>
      <c r="R2721">
        <v>13.6</v>
      </c>
      <c r="S2721">
        <v>13.61</v>
      </c>
      <c r="T2721">
        <v>2.13</v>
      </c>
      <c r="U2721">
        <v>0.82</v>
      </c>
      <c r="V2721">
        <v>-13.25</v>
      </c>
      <c r="W2721">
        <v>-160</v>
      </c>
      <c r="X2721">
        <v>13.42</v>
      </c>
      <c r="Y2721" t="s">
        <v>899</v>
      </c>
      <c r="Z2721" t="s">
        <v>2800</v>
      </c>
      <c r="AA2721">
        <v>1.78</v>
      </c>
      <c r="AB2721">
        <v>67</v>
      </c>
      <c r="AC2721">
        <v>139</v>
      </c>
      <c r="AD2721">
        <v>3.53</v>
      </c>
      <c r="AE2721" t="s">
        <v>6101</v>
      </c>
      <c r="AF2721" t="s">
        <v>2227</v>
      </c>
      <c r="AG2721" t="s">
        <v>6101</v>
      </c>
      <c r="AH2721" t="s">
        <v>2227</v>
      </c>
      <c r="AI2721">
        <v>-1.75</v>
      </c>
      <c r="AJ2721">
        <v>0.67</v>
      </c>
      <c r="AK2721">
        <v>2.62</v>
      </c>
      <c r="AL2721">
        <v>6.59</v>
      </c>
    </row>
    <row r="2722" spans="1:38" x14ac:dyDescent="0.25">
      <c r="A2722">
        <v>2721</v>
      </c>
      <c r="B2722" t="str">
        <f xml:space="preserve"> "603779"</f>
        <v>603779</v>
      </c>
      <c r="C2722" t="s">
        <v>8123</v>
      </c>
      <c r="D2722">
        <v>21.06</v>
      </c>
      <c r="E2722">
        <v>0.67</v>
      </c>
      <c r="F2722">
        <v>0.14000000000000001</v>
      </c>
      <c r="G2722" t="s">
        <v>2126</v>
      </c>
      <c r="H2722">
        <v>5</v>
      </c>
      <c r="I2722">
        <v>21.05</v>
      </c>
      <c r="J2722">
        <v>21.06</v>
      </c>
      <c r="K2722">
        <v>0.19</v>
      </c>
      <c r="L2722">
        <v>1.96</v>
      </c>
      <c r="M2722" t="s">
        <v>8124</v>
      </c>
      <c r="N2722">
        <v>80.25</v>
      </c>
      <c r="O2722" t="s">
        <v>123</v>
      </c>
      <c r="P2722">
        <v>21.1</v>
      </c>
      <c r="Q2722">
        <v>20.76</v>
      </c>
      <c r="R2722">
        <v>20.85</v>
      </c>
      <c r="S2722">
        <v>20.92</v>
      </c>
      <c r="T2722">
        <v>1.63</v>
      </c>
      <c r="U2722">
        <v>0.66</v>
      </c>
      <c r="V2722">
        <v>-37.5</v>
      </c>
      <c r="W2722">
        <v>-162</v>
      </c>
      <c r="X2722">
        <v>20.93</v>
      </c>
      <c r="Y2722">
        <v>9460</v>
      </c>
      <c r="Z2722">
        <v>8687</v>
      </c>
      <c r="AA2722">
        <v>1.0900000000000001</v>
      </c>
      <c r="AB2722">
        <v>13</v>
      </c>
      <c r="AC2722">
        <v>10</v>
      </c>
      <c r="AD2722">
        <v>5.32</v>
      </c>
      <c r="AE2722" t="s">
        <v>1485</v>
      </c>
      <c r="AF2722" t="s">
        <v>2227</v>
      </c>
      <c r="AG2722" t="s">
        <v>8125</v>
      </c>
      <c r="AH2722" t="s">
        <v>931</v>
      </c>
      <c r="AI2722">
        <v>1.3</v>
      </c>
      <c r="AJ2722">
        <v>4.3600000000000003</v>
      </c>
      <c r="AK2722">
        <v>11.71</v>
      </c>
      <c r="AL2722">
        <v>16.72</v>
      </c>
    </row>
    <row r="2723" spans="1:38" x14ac:dyDescent="0.25">
      <c r="A2723">
        <v>2722</v>
      </c>
      <c r="B2723" t="str">
        <f xml:space="preserve"> "000416"</f>
        <v>000416</v>
      </c>
      <c r="C2723" t="s">
        <v>8126</v>
      </c>
      <c r="D2723">
        <v>7.92</v>
      </c>
      <c r="E2723">
        <v>0.25</v>
      </c>
      <c r="F2723">
        <v>0.02</v>
      </c>
      <c r="G2723" t="s">
        <v>2509</v>
      </c>
      <c r="H2723">
        <v>281</v>
      </c>
      <c r="I2723">
        <v>7.91</v>
      </c>
      <c r="J2723">
        <v>7.92</v>
      </c>
      <c r="K2723">
        <v>0</v>
      </c>
      <c r="L2723">
        <v>0.38</v>
      </c>
      <c r="M2723" t="s">
        <v>8043</v>
      </c>
      <c r="N2723">
        <v>146.69999999999999</v>
      </c>
      <c r="O2723" t="s">
        <v>482</v>
      </c>
      <c r="P2723">
        <v>7.94</v>
      </c>
      <c r="Q2723">
        <v>7.84</v>
      </c>
      <c r="R2723">
        <v>7.94</v>
      </c>
      <c r="S2723">
        <v>7.9</v>
      </c>
      <c r="T2723">
        <v>1.27</v>
      </c>
      <c r="U2723">
        <v>0.7</v>
      </c>
      <c r="V2723">
        <v>-6.28</v>
      </c>
      <c r="W2723">
        <v>-167</v>
      </c>
      <c r="X2723">
        <v>7.88</v>
      </c>
      <c r="Y2723" t="s">
        <v>691</v>
      </c>
      <c r="Z2723">
        <v>8315</v>
      </c>
      <c r="AA2723">
        <v>1.44</v>
      </c>
      <c r="AB2723">
        <v>31</v>
      </c>
      <c r="AC2723">
        <v>330</v>
      </c>
      <c r="AD2723">
        <v>4.88</v>
      </c>
      <c r="AE2723" t="s">
        <v>2774</v>
      </c>
      <c r="AF2723" t="s">
        <v>7155</v>
      </c>
      <c r="AG2723" t="s">
        <v>2774</v>
      </c>
      <c r="AH2723" t="s">
        <v>7155</v>
      </c>
      <c r="AI2723">
        <v>-0.38</v>
      </c>
      <c r="AJ2723">
        <v>2.06</v>
      </c>
      <c r="AK2723">
        <v>1.66</v>
      </c>
      <c r="AL2723">
        <v>3.1</v>
      </c>
    </row>
    <row r="2724" spans="1:38" x14ac:dyDescent="0.25">
      <c r="A2724">
        <v>2723</v>
      </c>
      <c r="B2724" t="str">
        <f xml:space="preserve"> "002559"</f>
        <v>002559</v>
      </c>
      <c r="C2724" t="s">
        <v>8127</v>
      </c>
      <c r="D2724">
        <v>11.29</v>
      </c>
      <c r="E2724">
        <v>0.62</v>
      </c>
      <c r="F2724">
        <v>7.0000000000000007E-2</v>
      </c>
      <c r="G2724" t="s">
        <v>5621</v>
      </c>
      <c r="H2724">
        <v>215</v>
      </c>
      <c r="I2724">
        <v>11.28</v>
      </c>
      <c r="J2724">
        <v>11.29</v>
      </c>
      <c r="K2724">
        <v>0</v>
      </c>
      <c r="L2724">
        <v>0.45</v>
      </c>
      <c r="M2724" t="s">
        <v>8128</v>
      </c>
      <c r="N2724">
        <v>43.18</v>
      </c>
      <c r="O2724" t="s">
        <v>648</v>
      </c>
      <c r="P2724">
        <v>11.3</v>
      </c>
      <c r="Q2724">
        <v>11.2</v>
      </c>
      <c r="R2724">
        <v>11.25</v>
      </c>
      <c r="S2724">
        <v>11.22</v>
      </c>
      <c r="T2724">
        <v>0.89</v>
      </c>
      <c r="U2724">
        <v>0.69</v>
      </c>
      <c r="V2724">
        <v>-46.42</v>
      </c>
      <c r="W2724">
        <v>-1450</v>
      </c>
      <c r="X2724">
        <v>11.27</v>
      </c>
      <c r="Y2724">
        <v>6743</v>
      </c>
      <c r="Z2724">
        <v>6871</v>
      </c>
      <c r="AA2724">
        <v>0.98</v>
      </c>
      <c r="AB2724">
        <v>275</v>
      </c>
      <c r="AC2724">
        <v>176</v>
      </c>
      <c r="AD2724">
        <v>2.71</v>
      </c>
      <c r="AE2724" t="s">
        <v>4181</v>
      </c>
      <c r="AF2724" t="s">
        <v>7155</v>
      </c>
      <c r="AG2724" t="s">
        <v>7152</v>
      </c>
      <c r="AH2724" t="s">
        <v>1802</v>
      </c>
      <c r="AI2724">
        <v>0.8</v>
      </c>
      <c r="AJ2724">
        <v>3.48</v>
      </c>
      <c r="AK2724">
        <v>1.93</v>
      </c>
      <c r="AL2724">
        <v>3.7</v>
      </c>
    </row>
    <row r="2725" spans="1:38" x14ac:dyDescent="0.25">
      <c r="A2725">
        <v>2724</v>
      </c>
      <c r="B2725" t="str">
        <f xml:space="preserve"> "300155"</f>
        <v>300155</v>
      </c>
      <c r="C2725" t="s">
        <v>8129</v>
      </c>
      <c r="D2725">
        <v>7.74</v>
      </c>
      <c r="E2725">
        <v>-0.64</v>
      </c>
      <c r="F2725">
        <v>-0.05</v>
      </c>
      <c r="G2725" t="s">
        <v>3639</v>
      </c>
      <c r="H2725">
        <v>2308</v>
      </c>
      <c r="I2725">
        <v>7.73</v>
      </c>
      <c r="J2725">
        <v>7.74</v>
      </c>
      <c r="K2725">
        <v>-0.64</v>
      </c>
      <c r="L2725">
        <v>1.61</v>
      </c>
      <c r="M2725" t="s">
        <v>8130</v>
      </c>
      <c r="N2725">
        <v>-253.78</v>
      </c>
      <c r="O2725" t="s">
        <v>205</v>
      </c>
      <c r="P2725">
        <v>7.82</v>
      </c>
      <c r="Q2725">
        <v>7.67</v>
      </c>
      <c r="R2725">
        <v>7.77</v>
      </c>
      <c r="S2725">
        <v>7.79</v>
      </c>
      <c r="T2725">
        <v>1.93</v>
      </c>
      <c r="U2725">
        <v>0.62</v>
      </c>
      <c r="V2725">
        <v>6.49</v>
      </c>
      <c r="W2725">
        <v>100</v>
      </c>
      <c r="X2725">
        <v>7.76</v>
      </c>
      <c r="Y2725" t="s">
        <v>1805</v>
      </c>
      <c r="Z2725" t="s">
        <v>3656</v>
      </c>
      <c r="AA2725">
        <v>0.94</v>
      </c>
      <c r="AB2725">
        <v>184</v>
      </c>
      <c r="AC2725">
        <v>6</v>
      </c>
      <c r="AD2725">
        <v>3.74</v>
      </c>
      <c r="AE2725" t="s">
        <v>5788</v>
      </c>
      <c r="AF2725" t="s">
        <v>7155</v>
      </c>
      <c r="AG2725" t="s">
        <v>273</v>
      </c>
      <c r="AH2725" t="s">
        <v>1335</v>
      </c>
      <c r="AI2725">
        <v>-2.27</v>
      </c>
      <c r="AJ2725">
        <v>4.59</v>
      </c>
      <c r="AK2725">
        <v>6.5</v>
      </c>
      <c r="AL2725">
        <v>14.55</v>
      </c>
    </row>
    <row r="2726" spans="1:38" x14ac:dyDescent="0.25">
      <c r="A2726">
        <v>2725</v>
      </c>
      <c r="B2726" t="str">
        <f xml:space="preserve"> "603322"</f>
        <v>603322</v>
      </c>
      <c r="C2726" t="s">
        <v>8131</v>
      </c>
      <c r="D2726">
        <v>52.57</v>
      </c>
      <c r="E2726">
        <v>-1.1299999999999999</v>
      </c>
      <c r="F2726">
        <v>-0.6</v>
      </c>
      <c r="G2726" t="s">
        <v>1724</v>
      </c>
      <c r="H2726">
        <v>1</v>
      </c>
      <c r="I2726">
        <v>52.56</v>
      </c>
      <c r="J2726">
        <v>52.57</v>
      </c>
      <c r="K2726">
        <v>-0.04</v>
      </c>
      <c r="L2726">
        <v>6.44</v>
      </c>
      <c r="M2726" t="s">
        <v>4443</v>
      </c>
      <c r="N2726">
        <v>-676.65</v>
      </c>
      <c r="O2726" t="s">
        <v>580</v>
      </c>
      <c r="P2726">
        <v>53.69</v>
      </c>
      <c r="Q2726">
        <v>51.8</v>
      </c>
      <c r="R2726">
        <v>53.48</v>
      </c>
      <c r="S2726">
        <v>53.17</v>
      </c>
      <c r="T2726">
        <v>3.55</v>
      </c>
      <c r="U2726">
        <v>0.41</v>
      </c>
      <c r="V2726">
        <v>-32.369999999999997</v>
      </c>
      <c r="W2726">
        <v>-45</v>
      </c>
      <c r="X2726">
        <v>52.49</v>
      </c>
      <c r="Y2726" t="s">
        <v>2089</v>
      </c>
      <c r="Z2726">
        <v>8817</v>
      </c>
      <c r="AA2726">
        <v>1.37</v>
      </c>
      <c r="AB2726">
        <v>3</v>
      </c>
      <c r="AC2726">
        <v>18</v>
      </c>
      <c r="AD2726">
        <v>9.02</v>
      </c>
      <c r="AE2726" t="s">
        <v>5802</v>
      </c>
      <c r="AF2726" t="s">
        <v>7155</v>
      </c>
      <c r="AG2726" t="s">
        <v>8132</v>
      </c>
      <c r="AH2726" t="s">
        <v>909</v>
      </c>
      <c r="AI2726">
        <v>-7.19</v>
      </c>
      <c r="AJ2726">
        <v>-2.5</v>
      </c>
      <c r="AK2726">
        <v>29.18</v>
      </c>
      <c r="AL2726">
        <v>85.19</v>
      </c>
    </row>
    <row r="2727" spans="1:38" x14ac:dyDescent="0.25">
      <c r="A2727">
        <v>2726</v>
      </c>
      <c r="B2727" t="str">
        <f xml:space="preserve"> "002729"</f>
        <v>002729</v>
      </c>
      <c r="C2727" t="s">
        <v>8133</v>
      </c>
      <c r="D2727">
        <v>63.05</v>
      </c>
      <c r="E2727">
        <v>-0.08</v>
      </c>
      <c r="F2727">
        <v>-0.05</v>
      </c>
      <c r="G2727">
        <v>1476</v>
      </c>
      <c r="H2727">
        <v>10</v>
      </c>
      <c r="I2727">
        <v>63.05</v>
      </c>
      <c r="J2727">
        <v>63.08</v>
      </c>
      <c r="K2727">
        <v>0</v>
      </c>
      <c r="L2727">
        <v>0.65</v>
      </c>
      <c r="M2727" t="s">
        <v>8134</v>
      </c>
      <c r="N2727">
        <v>142.56</v>
      </c>
      <c r="O2727" t="s">
        <v>380</v>
      </c>
      <c r="P2727">
        <v>63.59</v>
      </c>
      <c r="Q2727">
        <v>62.58</v>
      </c>
      <c r="R2727">
        <v>63.08</v>
      </c>
      <c r="S2727">
        <v>63.1</v>
      </c>
      <c r="T2727">
        <v>1.6</v>
      </c>
      <c r="U2727">
        <v>0.65</v>
      </c>
      <c r="V2727">
        <v>-15.15</v>
      </c>
      <c r="W2727">
        <v>-10</v>
      </c>
      <c r="X2727">
        <v>62.99</v>
      </c>
      <c r="Y2727">
        <v>885</v>
      </c>
      <c r="Z2727">
        <v>591</v>
      </c>
      <c r="AA2727">
        <v>1.5</v>
      </c>
      <c r="AB2727">
        <v>14</v>
      </c>
      <c r="AC2727">
        <v>5</v>
      </c>
      <c r="AD2727">
        <v>10.39</v>
      </c>
      <c r="AE2727" t="s">
        <v>6060</v>
      </c>
      <c r="AF2727" t="s">
        <v>6490</v>
      </c>
      <c r="AG2727" t="s">
        <v>8135</v>
      </c>
      <c r="AH2727" t="s">
        <v>1202</v>
      </c>
      <c r="AI2727">
        <v>-0.08</v>
      </c>
      <c r="AJ2727">
        <v>1.37</v>
      </c>
      <c r="AK2727">
        <v>2.67</v>
      </c>
      <c r="AL2727">
        <v>5.64</v>
      </c>
    </row>
    <row r="2728" spans="1:38" x14ac:dyDescent="0.25">
      <c r="A2728">
        <v>2727</v>
      </c>
      <c r="B2728" t="str">
        <f xml:space="preserve"> "002513"</f>
        <v>002513</v>
      </c>
      <c r="C2728" t="s">
        <v>8136</v>
      </c>
      <c r="D2728">
        <v>12.35</v>
      </c>
      <c r="E2728">
        <v>0.16</v>
      </c>
      <c r="F2728">
        <v>0.02</v>
      </c>
      <c r="G2728" t="s">
        <v>3130</v>
      </c>
      <c r="H2728">
        <v>479</v>
      </c>
      <c r="I2728">
        <v>12.35</v>
      </c>
      <c r="J2728">
        <v>12.36</v>
      </c>
      <c r="K2728">
        <v>-0.16</v>
      </c>
      <c r="L2728">
        <v>0.69</v>
      </c>
      <c r="M2728" t="s">
        <v>7369</v>
      </c>
      <c r="N2728">
        <v>34.57</v>
      </c>
      <c r="O2728" t="s">
        <v>2060</v>
      </c>
      <c r="P2728">
        <v>12.37</v>
      </c>
      <c r="Q2728">
        <v>12.23</v>
      </c>
      <c r="R2728">
        <v>12.34</v>
      </c>
      <c r="S2728">
        <v>12.33</v>
      </c>
      <c r="T2728">
        <v>1.1399999999999999</v>
      </c>
      <c r="U2728">
        <v>0.73</v>
      </c>
      <c r="V2728">
        <v>25.8</v>
      </c>
      <c r="W2728">
        <v>378</v>
      </c>
      <c r="X2728">
        <v>12.29</v>
      </c>
      <c r="Y2728" t="s">
        <v>2800</v>
      </c>
      <c r="Z2728">
        <v>6391</v>
      </c>
      <c r="AA2728">
        <v>1.64</v>
      </c>
      <c r="AB2728">
        <v>29</v>
      </c>
      <c r="AC2728">
        <v>249</v>
      </c>
      <c r="AD2728">
        <v>1.64</v>
      </c>
      <c r="AE2728" t="s">
        <v>2603</v>
      </c>
      <c r="AF2728" t="s">
        <v>6490</v>
      </c>
      <c r="AG2728" t="s">
        <v>1928</v>
      </c>
      <c r="AH2728" t="s">
        <v>3355</v>
      </c>
      <c r="AI2728">
        <v>0.24</v>
      </c>
      <c r="AJ2728">
        <v>4.13</v>
      </c>
      <c r="AK2728">
        <v>3.03</v>
      </c>
      <c r="AL2728">
        <v>5.45</v>
      </c>
    </row>
    <row r="2729" spans="1:38" x14ac:dyDescent="0.25">
      <c r="A2729">
        <v>2728</v>
      </c>
      <c r="B2729" t="str">
        <f xml:space="preserve"> "300103"</f>
        <v>300103</v>
      </c>
      <c r="C2729" t="s">
        <v>8137</v>
      </c>
      <c r="D2729">
        <v>19.82</v>
      </c>
      <c r="E2729">
        <v>0.66</v>
      </c>
      <c r="F2729">
        <v>0.13</v>
      </c>
      <c r="G2729" t="s">
        <v>2991</v>
      </c>
      <c r="H2729">
        <v>437</v>
      </c>
      <c r="I2729">
        <v>19.809999999999999</v>
      </c>
      <c r="J2729">
        <v>19.82</v>
      </c>
      <c r="K2729">
        <v>0.05</v>
      </c>
      <c r="L2729">
        <v>0.71</v>
      </c>
      <c r="M2729" t="s">
        <v>8138</v>
      </c>
      <c r="N2729">
        <v>99.43</v>
      </c>
      <c r="O2729" t="s">
        <v>2647</v>
      </c>
      <c r="P2729">
        <v>19.87</v>
      </c>
      <c r="Q2729">
        <v>19.7</v>
      </c>
      <c r="R2729">
        <v>19.71</v>
      </c>
      <c r="S2729">
        <v>19.690000000000001</v>
      </c>
      <c r="T2729">
        <v>0.86</v>
      </c>
      <c r="U2729">
        <v>0.67</v>
      </c>
      <c r="V2729">
        <v>-5.6</v>
      </c>
      <c r="W2729">
        <v>-53</v>
      </c>
      <c r="X2729">
        <v>19.78</v>
      </c>
      <c r="Y2729">
        <v>5947</v>
      </c>
      <c r="Z2729">
        <v>5866</v>
      </c>
      <c r="AA2729">
        <v>1.01</v>
      </c>
      <c r="AB2729">
        <v>192</v>
      </c>
      <c r="AC2729">
        <v>100</v>
      </c>
      <c r="AD2729">
        <v>4.8499999999999996</v>
      </c>
      <c r="AE2729" t="s">
        <v>1853</v>
      </c>
      <c r="AF2729" t="s">
        <v>6490</v>
      </c>
      <c r="AG2729" t="s">
        <v>2368</v>
      </c>
      <c r="AH2729" t="s">
        <v>7437</v>
      </c>
      <c r="AI2729">
        <v>1.07</v>
      </c>
      <c r="AJ2729">
        <v>-0.1</v>
      </c>
      <c r="AK2729">
        <v>2.42</v>
      </c>
      <c r="AL2729">
        <v>5.95</v>
      </c>
    </row>
    <row r="2730" spans="1:38" x14ac:dyDescent="0.25">
      <c r="A2730">
        <v>2729</v>
      </c>
      <c r="B2730" t="str">
        <f xml:space="preserve"> "002798"</f>
        <v>002798</v>
      </c>
      <c r="C2730" t="s">
        <v>8139</v>
      </c>
      <c r="D2730">
        <v>48.58</v>
      </c>
      <c r="E2730">
        <v>-1.5</v>
      </c>
      <c r="F2730">
        <v>-0.74</v>
      </c>
      <c r="G2730">
        <v>7759</v>
      </c>
      <c r="H2730">
        <v>120</v>
      </c>
      <c r="I2730">
        <v>48.57</v>
      </c>
      <c r="J2730">
        <v>48.58</v>
      </c>
      <c r="K2730">
        <v>0</v>
      </c>
      <c r="L2730">
        <v>2.4</v>
      </c>
      <c r="M2730" t="s">
        <v>8140</v>
      </c>
      <c r="N2730">
        <v>86.95</v>
      </c>
      <c r="O2730" t="s">
        <v>1469</v>
      </c>
      <c r="P2730">
        <v>49.29</v>
      </c>
      <c r="Q2730">
        <v>48.12</v>
      </c>
      <c r="R2730">
        <v>49.29</v>
      </c>
      <c r="S2730">
        <v>49.32</v>
      </c>
      <c r="T2730">
        <v>2.37</v>
      </c>
      <c r="U2730">
        <v>0.4</v>
      </c>
      <c r="V2730">
        <v>-19.829999999999998</v>
      </c>
      <c r="W2730">
        <v>-47</v>
      </c>
      <c r="X2730">
        <v>48.55</v>
      </c>
      <c r="Y2730">
        <v>5130</v>
      </c>
      <c r="Z2730">
        <v>2629</v>
      </c>
      <c r="AA2730">
        <v>1.95</v>
      </c>
      <c r="AB2730">
        <v>2</v>
      </c>
      <c r="AC2730">
        <v>37</v>
      </c>
      <c r="AD2730">
        <v>7.19</v>
      </c>
      <c r="AE2730" t="s">
        <v>8141</v>
      </c>
      <c r="AF2730" t="s">
        <v>6490</v>
      </c>
      <c r="AG2730" t="s">
        <v>5772</v>
      </c>
      <c r="AH2730" t="s">
        <v>2760</v>
      </c>
      <c r="AI2730">
        <v>2.4700000000000002</v>
      </c>
      <c r="AJ2730">
        <v>15.67</v>
      </c>
      <c r="AK2730">
        <v>16.09</v>
      </c>
      <c r="AL2730">
        <v>32.65</v>
      </c>
    </row>
    <row r="2731" spans="1:38" x14ac:dyDescent="0.25">
      <c r="A2731">
        <v>2730</v>
      </c>
      <c r="B2731" t="str">
        <f xml:space="preserve"> "300575"</f>
        <v>300575</v>
      </c>
      <c r="C2731" t="s">
        <v>8142</v>
      </c>
      <c r="D2731">
        <v>57.2</v>
      </c>
      <c r="E2731">
        <v>-4.87</v>
      </c>
      <c r="F2731">
        <v>-2.93</v>
      </c>
      <c r="G2731" t="s">
        <v>2548</v>
      </c>
      <c r="H2731">
        <v>305</v>
      </c>
      <c r="I2731">
        <v>57.2</v>
      </c>
      <c r="J2731">
        <v>57.21</v>
      </c>
      <c r="K2731">
        <v>-0.09</v>
      </c>
      <c r="L2731">
        <v>15.32</v>
      </c>
      <c r="M2731" t="s">
        <v>514</v>
      </c>
      <c r="N2731">
        <v>32.869999999999997</v>
      </c>
      <c r="O2731" t="s">
        <v>1936</v>
      </c>
      <c r="P2731">
        <v>58.94</v>
      </c>
      <c r="Q2731">
        <v>57.04</v>
      </c>
      <c r="R2731">
        <v>58.94</v>
      </c>
      <c r="S2731">
        <v>60.13</v>
      </c>
      <c r="T2731">
        <v>3.16</v>
      </c>
      <c r="U2731">
        <v>3.02</v>
      </c>
      <c r="V2731">
        <v>43.97</v>
      </c>
      <c r="W2731">
        <v>204</v>
      </c>
      <c r="X2731">
        <v>57.52</v>
      </c>
      <c r="Y2731" t="s">
        <v>713</v>
      </c>
      <c r="Z2731" t="s">
        <v>808</v>
      </c>
      <c r="AA2731">
        <v>1.52</v>
      </c>
      <c r="AB2731">
        <v>47</v>
      </c>
      <c r="AC2731">
        <v>5</v>
      </c>
      <c r="AD2731">
        <v>4.4000000000000004</v>
      </c>
      <c r="AE2731" t="s">
        <v>8143</v>
      </c>
      <c r="AF2731" t="s">
        <v>6490</v>
      </c>
      <c r="AG2731" t="s">
        <v>8144</v>
      </c>
      <c r="AH2731" t="s">
        <v>2066</v>
      </c>
      <c r="AI2731">
        <v>-7.07</v>
      </c>
      <c r="AJ2731">
        <v>-4.59</v>
      </c>
      <c r="AK2731">
        <v>26.09</v>
      </c>
      <c r="AL2731">
        <v>40.72</v>
      </c>
    </row>
    <row r="2732" spans="1:38" x14ac:dyDescent="0.25">
      <c r="A2732">
        <v>2731</v>
      </c>
      <c r="B2732" t="str">
        <f xml:space="preserve"> "300080"</f>
        <v>300080</v>
      </c>
      <c r="C2732" t="s">
        <v>8145</v>
      </c>
      <c r="D2732">
        <v>8.33</v>
      </c>
      <c r="E2732">
        <v>-0.6</v>
      </c>
      <c r="F2732">
        <v>-0.05</v>
      </c>
      <c r="G2732" t="s">
        <v>1571</v>
      </c>
      <c r="H2732">
        <v>1163</v>
      </c>
      <c r="I2732">
        <v>8.32</v>
      </c>
      <c r="J2732">
        <v>8.33</v>
      </c>
      <c r="K2732">
        <v>0</v>
      </c>
      <c r="L2732">
        <v>0.67</v>
      </c>
      <c r="M2732" t="s">
        <v>8146</v>
      </c>
      <c r="N2732">
        <v>-9.5299999999999994</v>
      </c>
      <c r="O2732" t="s">
        <v>859</v>
      </c>
      <c r="P2732">
        <v>8.3699999999999992</v>
      </c>
      <c r="Q2732">
        <v>8.3000000000000007</v>
      </c>
      <c r="R2732">
        <v>8.3699999999999992</v>
      </c>
      <c r="S2732">
        <v>8.3800000000000008</v>
      </c>
      <c r="T2732">
        <v>0.84</v>
      </c>
      <c r="U2732">
        <v>0.53</v>
      </c>
      <c r="V2732">
        <v>-3.38</v>
      </c>
      <c r="W2732">
        <v>-247</v>
      </c>
      <c r="X2732">
        <v>8.32</v>
      </c>
      <c r="Y2732" t="s">
        <v>1650</v>
      </c>
      <c r="Z2732">
        <v>9775</v>
      </c>
      <c r="AA2732">
        <v>2.44</v>
      </c>
      <c r="AB2732">
        <v>708</v>
      </c>
      <c r="AC2732">
        <v>591</v>
      </c>
      <c r="AD2732">
        <v>1.39</v>
      </c>
      <c r="AE2732" t="s">
        <v>1613</v>
      </c>
      <c r="AF2732" t="s">
        <v>583</v>
      </c>
      <c r="AG2732" t="s">
        <v>2472</v>
      </c>
      <c r="AH2732" t="s">
        <v>6544</v>
      </c>
      <c r="AI2732">
        <v>-0.83</v>
      </c>
      <c r="AJ2732">
        <v>0.6</v>
      </c>
      <c r="AK2732">
        <v>2.97</v>
      </c>
      <c r="AL2732">
        <v>6.94</v>
      </c>
    </row>
    <row r="2733" spans="1:38" x14ac:dyDescent="0.25">
      <c r="A2733">
        <v>2732</v>
      </c>
      <c r="B2733" t="str">
        <f xml:space="preserve"> "002401"</f>
        <v>002401</v>
      </c>
      <c r="C2733" t="s">
        <v>8147</v>
      </c>
      <c r="D2733">
        <v>13.81</v>
      </c>
      <c r="E2733">
        <v>0.73</v>
      </c>
      <c r="F2733">
        <v>0.1</v>
      </c>
      <c r="G2733" t="s">
        <v>1420</v>
      </c>
      <c r="H2733">
        <v>1397</v>
      </c>
      <c r="I2733">
        <v>13.8</v>
      </c>
      <c r="J2733">
        <v>13.81</v>
      </c>
      <c r="K2733">
        <v>7.0000000000000007E-2</v>
      </c>
      <c r="L2733">
        <v>0.71</v>
      </c>
      <c r="M2733" t="s">
        <v>8148</v>
      </c>
      <c r="N2733">
        <v>64.84</v>
      </c>
      <c r="O2733" t="s">
        <v>893</v>
      </c>
      <c r="P2733">
        <v>13.82</v>
      </c>
      <c r="Q2733">
        <v>13.53</v>
      </c>
      <c r="R2733">
        <v>13.71</v>
      </c>
      <c r="S2733">
        <v>13.71</v>
      </c>
      <c r="T2733">
        <v>2.12</v>
      </c>
      <c r="U2733">
        <v>0.53</v>
      </c>
      <c r="V2733">
        <v>9.42</v>
      </c>
      <c r="W2733">
        <v>233</v>
      </c>
      <c r="X2733">
        <v>13.65</v>
      </c>
      <c r="Y2733" t="s">
        <v>316</v>
      </c>
      <c r="Z2733">
        <v>9647</v>
      </c>
      <c r="AA2733">
        <v>1.21</v>
      </c>
      <c r="AB2733">
        <v>871</v>
      </c>
      <c r="AC2733">
        <v>326</v>
      </c>
      <c r="AD2733">
        <v>5.36</v>
      </c>
      <c r="AE2733" t="s">
        <v>7152</v>
      </c>
      <c r="AF2733" t="s">
        <v>583</v>
      </c>
      <c r="AG2733" t="s">
        <v>4836</v>
      </c>
      <c r="AH2733" t="s">
        <v>3686</v>
      </c>
      <c r="AI2733">
        <v>0.28999999999999998</v>
      </c>
      <c r="AJ2733">
        <v>6.89</v>
      </c>
      <c r="AK2733">
        <v>2.99</v>
      </c>
      <c r="AL2733">
        <v>7.38</v>
      </c>
    </row>
    <row r="2734" spans="1:38" x14ac:dyDescent="0.25">
      <c r="A2734">
        <v>2733</v>
      </c>
      <c r="B2734" t="str">
        <f xml:space="preserve"> "002802"</f>
        <v>002802</v>
      </c>
      <c r="C2734" t="s">
        <v>8149</v>
      </c>
      <c r="D2734">
        <v>38.65</v>
      </c>
      <c r="E2734">
        <v>-0.39</v>
      </c>
      <c r="F2734">
        <v>-0.15</v>
      </c>
      <c r="G2734" t="s">
        <v>3950</v>
      </c>
      <c r="H2734">
        <v>483</v>
      </c>
      <c r="I2734">
        <v>38.65</v>
      </c>
      <c r="J2734">
        <v>38.659999999999997</v>
      </c>
      <c r="K2734">
        <v>0</v>
      </c>
      <c r="L2734">
        <v>4.17</v>
      </c>
      <c r="M2734" t="s">
        <v>8150</v>
      </c>
      <c r="N2734">
        <v>55.1</v>
      </c>
      <c r="O2734" t="s">
        <v>667</v>
      </c>
      <c r="P2734">
        <v>39.42</v>
      </c>
      <c r="Q2734">
        <v>38.479999999999997</v>
      </c>
      <c r="R2734">
        <v>38.5</v>
      </c>
      <c r="S2734">
        <v>38.799999999999997</v>
      </c>
      <c r="T2734">
        <v>2.42</v>
      </c>
      <c r="U2734">
        <v>0.95</v>
      </c>
      <c r="V2734">
        <v>60.34</v>
      </c>
      <c r="W2734">
        <v>70</v>
      </c>
      <c r="X2734">
        <v>38.94</v>
      </c>
      <c r="Y2734">
        <v>9300</v>
      </c>
      <c r="Z2734">
        <v>6147</v>
      </c>
      <c r="AA2734">
        <v>1.51</v>
      </c>
      <c r="AB2734">
        <v>1</v>
      </c>
      <c r="AC2734">
        <v>5</v>
      </c>
      <c r="AD2734">
        <v>7.48</v>
      </c>
      <c r="AE2734" t="s">
        <v>1120</v>
      </c>
      <c r="AF2734" t="s">
        <v>583</v>
      </c>
      <c r="AG2734" t="s">
        <v>8151</v>
      </c>
      <c r="AH2734" t="s">
        <v>2246</v>
      </c>
      <c r="AI2734">
        <v>2.85</v>
      </c>
      <c r="AJ2734">
        <v>7.06</v>
      </c>
      <c r="AK2734">
        <v>17.79</v>
      </c>
      <c r="AL2734">
        <v>26.18</v>
      </c>
    </row>
    <row r="2735" spans="1:38" x14ac:dyDescent="0.25">
      <c r="A2735">
        <v>2734</v>
      </c>
      <c r="B2735" t="str">
        <f xml:space="preserve"> "002615"</f>
        <v>002615</v>
      </c>
      <c r="C2735" t="s">
        <v>8152</v>
      </c>
      <c r="D2735">
        <v>10.19</v>
      </c>
      <c r="E2735">
        <v>-0.2</v>
      </c>
      <c r="F2735">
        <v>-0.02</v>
      </c>
      <c r="G2735" t="s">
        <v>3039</v>
      </c>
      <c r="H2735">
        <v>493</v>
      </c>
      <c r="I2735">
        <v>10.19</v>
      </c>
      <c r="J2735">
        <v>10.199999999999999</v>
      </c>
      <c r="K2735">
        <v>0</v>
      </c>
      <c r="L2735">
        <v>1.4</v>
      </c>
      <c r="M2735" t="s">
        <v>8153</v>
      </c>
      <c r="N2735">
        <v>27.45</v>
      </c>
      <c r="O2735" t="s">
        <v>1229</v>
      </c>
      <c r="P2735">
        <v>10.25</v>
      </c>
      <c r="Q2735">
        <v>10.130000000000001</v>
      </c>
      <c r="R2735">
        <v>10.130000000000001</v>
      </c>
      <c r="S2735">
        <v>10.210000000000001</v>
      </c>
      <c r="T2735">
        <v>1.18</v>
      </c>
      <c r="U2735">
        <v>0.99</v>
      </c>
      <c r="V2735">
        <v>-21.82</v>
      </c>
      <c r="W2735">
        <v>-492</v>
      </c>
      <c r="X2735">
        <v>10.17</v>
      </c>
      <c r="Y2735" t="s">
        <v>1420</v>
      </c>
      <c r="Z2735" t="s">
        <v>3095</v>
      </c>
      <c r="AA2735">
        <v>1.85</v>
      </c>
      <c r="AB2735">
        <v>74</v>
      </c>
      <c r="AC2735">
        <v>624</v>
      </c>
      <c r="AD2735">
        <v>5.41</v>
      </c>
      <c r="AE2735" t="s">
        <v>3868</v>
      </c>
      <c r="AF2735" t="s">
        <v>6544</v>
      </c>
      <c r="AG2735" t="s">
        <v>4011</v>
      </c>
      <c r="AH2735" t="s">
        <v>2062</v>
      </c>
      <c r="AI2735">
        <v>0.89</v>
      </c>
      <c r="AJ2735">
        <v>3.35</v>
      </c>
      <c r="AK2735">
        <v>5.34</v>
      </c>
      <c r="AL2735">
        <v>8.4700000000000006</v>
      </c>
    </row>
    <row r="2736" spans="1:38" x14ac:dyDescent="0.25">
      <c r="A2736">
        <v>2735</v>
      </c>
      <c r="B2736" t="str">
        <f xml:space="preserve"> "603177"</f>
        <v>603177</v>
      </c>
      <c r="C2736" t="s">
        <v>8154</v>
      </c>
      <c r="D2736">
        <v>20.7</v>
      </c>
      <c r="E2736">
        <v>9.99</v>
      </c>
      <c r="F2736">
        <v>1.88</v>
      </c>
      <c r="G2736" t="s">
        <v>5595</v>
      </c>
      <c r="H2736">
        <v>10</v>
      </c>
      <c r="I2736">
        <v>20.7</v>
      </c>
      <c r="J2736" t="s">
        <v>616</v>
      </c>
      <c r="K2736">
        <v>0</v>
      </c>
      <c r="L2736">
        <v>18.059999999999999</v>
      </c>
      <c r="M2736" t="s">
        <v>2715</v>
      </c>
      <c r="N2736">
        <v>182.14</v>
      </c>
      <c r="O2736" t="s">
        <v>1155</v>
      </c>
      <c r="P2736">
        <v>20.7</v>
      </c>
      <c r="Q2736">
        <v>18.7</v>
      </c>
      <c r="R2736">
        <v>18.7</v>
      </c>
      <c r="S2736">
        <v>18.82</v>
      </c>
      <c r="T2736">
        <v>10.63</v>
      </c>
      <c r="U2736">
        <v>2</v>
      </c>
      <c r="V2736">
        <v>100</v>
      </c>
      <c r="W2736" t="s">
        <v>2391</v>
      </c>
      <c r="X2736">
        <v>19.850000000000001</v>
      </c>
      <c r="Y2736" t="s">
        <v>272</v>
      </c>
      <c r="Z2736" t="s">
        <v>3297</v>
      </c>
      <c r="AA2736">
        <v>1.19</v>
      </c>
      <c r="AB2736" t="s">
        <v>3039</v>
      </c>
      <c r="AC2736">
        <v>0</v>
      </c>
      <c r="AD2736">
        <v>8.64</v>
      </c>
      <c r="AE2736" t="s">
        <v>1404</v>
      </c>
      <c r="AF2736" t="s">
        <v>6544</v>
      </c>
      <c r="AG2736" t="s">
        <v>7574</v>
      </c>
      <c r="AH2736" t="s">
        <v>2066</v>
      </c>
      <c r="AI2736">
        <v>12.62</v>
      </c>
      <c r="AJ2736">
        <v>25.91</v>
      </c>
      <c r="AK2736">
        <v>40.369999999999997</v>
      </c>
      <c r="AL2736">
        <v>63.21</v>
      </c>
    </row>
    <row r="2737" spans="1:38" x14ac:dyDescent="0.25">
      <c r="A2737">
        <v>2736</v>
      </c>
      <c r="B2737" t="str">
        <f xml:space="preserve"> "600976"</f>
        <v>600976</v>
      </c>
      <c r="C2737" t="s">
        <v>8155</v>
      </c>
      <c r="D2737">
        <v>27.25</v>
      </c>
      <c r="E2737">
        <v>0.89</v>
      </c>
      <c r="F2737">
        <v>0.24</v>
      </c>
      <c r="G2737" t="s">
        <v>2616</v>
      </c>
      <c r="H2737">
        <v>1</v>
      </c>
      <c r="I2737">
        <v>27.23</v>
      </c>
      <c r="J2737">
        <v>27.25</v>
      </c>
      <c r="K2737">
        <v>0.15</v>
      </c>
      <c r="L2737">
        <v>0.85</v>
      </c>
      <c r="M2737" t="s">
        <v>8156</v>
      </c>
      <c r="N2737">
        <v>43.4</v>
      </c>
      <c r="O2737" t="s">
        <v>392</v>
      </c>
      <c r="P2737">
        <v>27.29</v>
      </c>
      <c r="Q2737">
        <v>26.65</v>
      </c>
      <c r="R2737">
        <v>27.1</v>
      </c>
      <c r="S2737">
        <v>27.01</v>
      </c>
      <c r="T2737">
        <v>2.37</v>
      </c>
      <c r="U2737">
        <v>0.88</v>
      </c>
      <c r="V2737">
        <v>-36.83</v>
      </c>
      <c r="W2737">
        <v>-295</v>
      </c>
      <c r="X2737">
        <v>27.03</v>
      </c>
      <c r="Y2737">
        <v>6441</v>
      </c>
      <c r="Z2737">
        <v>6653</v>
      </c>
      <c r="AA2737">
        <v>0.97</v>
      </c>
      <c r="AB2737">
        <v>5</v>
      </c>
      <c r="AC2737">
        <v>14</v>
      </c>
      <c r="AD2737">
        <v>3.99</v>
      </c>
      <c r="AE2737" t="s">
        <v>4271</v>
      </c>
      <c r="AF2737" t="s">
        <v>6544</v>
      </c>
      <c r="AG2737" t="s">
        <v>4271</v>
      </c>
      <c r="AH2737" t="s">
        <v>6544</v>
      </c>
      <c r="AI2737">
        <v>1.04</v>
      </c>
      <c r="AJ2737">
        <v>2.17</v>
      </c>
      <c r="AK2737">
        <v>2.86</v>
      </c>
      <c r="AL2737">
        <v>5.69</v>
      </c>
    </row>
    <row r="2738" spans="1:38" x14ac:dyDescent="0.25">
      <c r="A2738">
        <v>2737</v>
      </c>
      <c r="B2738" t="str">
        <f xml:space="preserve"> "603208"</f>
        <v>603208</v>
      </c>
      <c r="C2738" t="s">
        <v>8157</v>
      </c>
      <c r="D2738">
        <v>51.65</v>
      </c>
      <c r="E2738">
        <v>1.55</v>
      </c>
      <c r="F2738">
        <v>0.79</v>
      </c>
      <c r="G2738">
        <v>6752</v>
      </c>
      <c r="H2738">
        <v>3</v>
      </c>
      <c r="I2738">
        <v>51.67</v>
      </c>
      <c r="J2738">
        <v>51.68</v>
      </c>
      <c r="K2738">
        <v>0.27</v>
      </c>
      <c r="L2738">
        <v>3.34</v>
      </c>
      <c r="M2738" t="s">
        <v>8158</v>
      </c>
      <c r="N2738">
        <v>35.119999999999997</v>
      </c>
      <c r="O2738" t="s">
        <v>1469</v>
      </c>
      <c r="P2738">
        <v>52.6</v>
      </c>
      <c r="Q2738">
        <v>50.76</v>
      </c>
      <c r="R2738">
        <v>50.9</v>
      </c>
      <c r="S2738">
        <v>50.86</v>
      </c>
      <c r="T2738">
        <v>3.62</v>
      </c>
      <c r="U2738">
        <v>1.77</v>
      </c>
      <c r="V2738">
        <v>-57.17</v>
      </c>
      <c r="W2738">
        <v>-93</v>
      </c>
      <c r="X2738">
        <v>51.92</v>
      </c>
      <c r="Y2738">
        <v>2953</v>
      </c>
      <c r="Z2738">
        <v>3799</v>
      </c>
      <c r="AA2738">
        <v>0.78</v>
      </c>
      <c r="AB2738">
        <v>26</v>
      </c>
      <c r="AC2738">
        <v>9</v>
      </c>
      <c r="AD2738">
        <v>4.55</v>
      </c>
      <c r="AE2738" t="s">
        <v>8159</v>
      </c>
      <c r="AF2738" t="s">
        <v>2228</v>
      </c>
      <c r="AG2738" t="s">
        <v>8160</v>
      </c>
      <c r="AH2738" t="s">
        <v>755</v>
      </c>
      <c r="AI2738">
        <v>2.36</v>
      </c>
      <c r="AJ2738">
        <v>4.05</v>
      </c>
      <c r="AK2738">
        <v>9.68</v>
      </c>
      <c r="AL2738">
        <v>12.8</v>
      </c>
    </row>
    <row r="2739" spans="1:38" x14ac:dyDescent="0.25">
      <c r="A2739">
        <v>2738</v>
      </c>
      <c r="B2739" t="str">
        <f xml:space="preserve"> "002291"</f>
        <v>002291</v>
      </c>
      <c r="C2739" t="s">
        <v>8161</v>
      </c>
      <c r="D2739">
        <v>10.46</v>
      </c>
      <c r="E2739">
        <v>0</v>
      </c>
      <c r="F2739">
        <v>0</v>
      </c>
      <c r="G2739" t="s">
        <v>919</v>
      </c>
      <c r="H2739">
        <v>1483</v>
      </c>
      <c r="I2739">
        <v>10.46</v>
      </c>
      <c r="J2739">
        <v>10.47</v>
      </c>
      <c r="K2739">
        <v>0</v>
      </c>
      <c r="L2739">
        <v>1.71</v>
      </c>
      <c r="M2739" t="s">
        <v>8162</v>
      </c>
      <c r="N2739">
        <v>93.5</v>
      </c>
      <c r="O2739" t="s">
        <v>1443</v>
      </c>
      <c r="P2739">
        <v>10.56</v>
      </c>
      <c r="Q2739">
        <v>10.32</v>
      </c>
      <c r="R2739">
        <v>10.43</v>
      </c>
      <c r="S2739">
        <v>10.46</v>
      </c>
      <c r="T2739">
        <v>2.29</v>
      </c>
      <c r="U2739">
        <v>0.66</v>
      </c>
      <c r="V2739">
        <v>-19.100000000000001</v>
      </c>
      <c r="W2739">
        <v>-1009</v>
      </c>
      <c r="X2739">
        <v>10.44</v>
      </c>
      <c r="Y2739" t="s">
        <v>2032</v>
      </c>
      <c r="Z2739" t="s">
        <v>1796</v>
      </c>
      <c r="AA2739">
        <v>1.28</v>
      </c>
      <c r="AB2739">
        <v>1012</v>
      </c>
      <c r="AC2739">
        <v>1187</v>
      </c>
      <c r="AD2739">
        <v>2.2400000000000002</v>
      </c>
      <c r="AE2739" t="s">
        <v>2009</v>
      </c>
      <c r="AF2739" t="s">
        <v>2228</v>
      </c>
      <c r="AG2739" t="s">
        <v>474</v>
      </c>
      <c r="AH2739" t="s">
        <v>301</v>
      </c>
      <c r="AI2739">
        <v>2.0499999999999998</v>
      </c>
      <c r="AJ2739">
        <v>3.67</v>
      </c>
      <c r="AK2739">
        <v>10.029999999999999</v>
      </c>
      <c r="AL2739">
        <v>14.73</v>
      </c>
    </row>
    <row r="2740" spans="1:38" x14ac:dyDescent="0.25">
      <c r="A2740">
        <v>2739</v>
      </c>
      <c r="B2740" t="str">
        <f xml:space="preserve"> "603067"</f>
        <v>603067</v>
      </c>
      <c r="C2740" t="s">
        <v>8163</v>
      </c>
      <c r="D2740">
        <v>18.96</v>
      </c>
      <c r="E2740">
        <v>1.77</v>
      </c>
      <c r="F2740">
        <v>0.33</v>
      </c>
      <c r="G2740" t="s">
        <v>2509</v>
      </c>
      <c r="H2740">
        <v>43</v>
      </c>
      <c r="I2740">
        <v>18.95</v>
      </c>
      <c r="J2740">
        <v>18.96</v>
      </c>
      <c r="K2740">
        <v>0.05</v>
      </c>
      <c r="L2740">
        <v>1.83</v>
      </c>
      <c r="M2740" t="s">
        <v>8164</v>
      </c>
      <c r="N2740">
        <v>41.06</v>
      </c>
      <c r="O2740" t="s">
        <v>667</v>
      </c>
      <c r="P2740">
        <v>18.989999999999998</v>
      </c>
      <c r="Q2740">
        <v>18.61</v>
      </c>
      <c r="R2740">
        <v>18.690000000000001</v>
      </c>
      <c r="S2740">
        <v>18.63</v>
      </c>
      <c r="T2740">
        <v>2.04</v>
      </c>
      <c r="U2740">
        <v>0.9</v>
      </c>
      <c r="V2740">
        <v>-77.81</v>
      </c>
      <c r="W2740">
        <v>-2595</v>
      </c>
      <c r="X2740">
        <v>18.89</v>
      </c>
      <c r="Y2740">
        <v>7243</v>
      </c>
      <c r="Z2740" t="s">
        <v>1726</v>
      </c>
      <c r="AA2740">
        <v>0.56000000000000005</v>
      </c>
      <c r="AB2740">
        <v>11</v>
      </c>
      <c r="AC2740">
        <v>22</v>
      </c>
      <c r="AD2740">
        <v>3.9</v>
      </c>
      <c r="AE2740" t="s">
        <v>2151</v>
      </c>
      <c r="AF2740" t="s">
        <v>2228</v>
      </c>
      <c r="AG2740" t="s">
        <v>4533</v>
      </c>
      <c r="AH2740" t="s">
        <v>1734</v>
      </c>
      <c r="AI2740">
        <v>0.11</v>
      </c>
      <c r="AJ2740">
        <v>1.39</v>
      </c>
      <c r="AK2740">
        <v>5.21</v>
      </c>
      <c r="AL2740">
        <v>11.96</v>
      </c>
    </row>
    <row r="2741" spans="1:38" x14ac:dyDescent="0.25">
      <c r="A2741">
        <v>2740</v>
      </c>
      <c r="B2741" t="str">
        <f xml:space="preserve"> "300356"</f>
        <v>300356</v>
      </c>
      <c r="C2741" t="s">
        <v>8165</v>
      </c>
      <c r="D2741">
        <v>10.039999999999999</v>
      </c>
      <c r="E2741">
        <v>-0.2</v>
      </c>
      <c r="F2741">
        <v>-0.02</v>
      </c>
      <c r="G2741" t="s">
        <v>506</v>
      </c>
      <c r="H2741">
        <v>900</v>
      </c>
      <c r="I2741">
        <v>10.039999999999999</v>
      </c>
      <c r="J2741">
        <v>10.050000000000001</v>
      </c>
      <c r="K2741">
        <v>0.2</v>
      </c>
      <c r="L2741">
        <v>1.03</v>
      </c>
      <c r="M2741" t="s">
        <v>8166</v>
      </c>
      <c r="N2741">
        <v>71.84</v>
      </c>
      <c r="O2741" t="s">
        <v>680</v>
      </c>
      <c r="P2741">
        <v>10.08</v>
      </c>
      <c r="Q2741">
        <v>9.94</v>
      </c>
      <c r="R2741">
        <v>10</v>
      </c>
      <c r="S2741">
        <v>10.06</v>
      </c>
      <c r="T2741">
        <v>1.39</v>
      </c>
      <c r="U2741">
        <v>0.54</v>
      </c>
      <c r="V2741">
        <v>-31.28</v>
      </c>
      <c r="W2741">
        <v>-1244</v>
      </c>
      <c r="X2741">
        <v>10.02</v>
      </c>
      <c r="Y2741" t="s">
        <v>3892</v>
      </c>
      <c r="Z2741" t="s">
        <v>5764</v>
      </c>
      <c r="AA2741">
        <v>1.59</v>
      </c>
      <c r="AB2741">
        <v>102</v>
      </c>
      <c r="AC2741">
        <v>706</v>
      </c>
      <c r="AD2741">
        <v>2.9</v>
      </c>
      <c r="AE2741" t="s">
        <v>5767</v>
      </c>
      <c r="AF2741" t="s">
        <v>2228</v>
      </c>
      <c r="AG2741" t="s">
        <v>1569</v>
      </c>
      <c r="AH2741" t="s">
        <v>7721</v>
      </c>
      <c r="AI2741">
        <v>-0.59</v>
      </c>
      <c r="AJ2741">
        <v>1.93</v>
      </c>
      <c r="AK2741">
        <v>5.29</v>
      </c>
      <c r="AL2741">
        <v>10.64</v>
      </c>
    </row>
    <row r="2742" spans="1:38" x14ac:dyDescent="0.25">
      <c r="A2742">
        <v>2741</v>
      </c>
      <c r="B2742" t="str">
        <f xml:space="preserve"> "603101"</f>
        <v>603101</v>
      </c>
      <c r="C2742" t="s">
        <v>8167</v>
      </c>
      <c r="D2742">
        <v>17.34</v>
      </c>
      <c r="E2742">
        <v>2.12</v>
      </c>
      <c r="F2742">
        <v>0.36</v>
      </c>
      <c r="G2742" t="s">
        <v>712</v>
      </c>
      <c r="H2742">
        <v>5</v>
      </c>
      <c r="I2742">
        <v>17.34</v>
      </c>
      <c r="J2742">
        <v>17.350000000000001</v>
      </c>
      <c r="K2742">
        <v>0.06</v>
      </c>
      <c r="L2742">
        <v>3.92</v>
      </c>
      <c r="M2742" t="s">
        <v>2354</v>
      </c>
      <c r="N2742">
        <v>32.26</v>
      </c>
      <c r="O2742" t="s">
        <v>532</v>
      </c>
      <c r="P2742">
        <v>17.48</v>
      </c>
      <c r="Q2742">
        <v>16.850000000000001</v>
      </c>
      <c r="R2742">
        <v>17</v>
      </c>
      <c r="S2742">
        <v>16.98</v>
      </c>
      <c r="T2742">
        <v>3.71</v>
      </c>
      <c r="U2742">
        <v>2.2799999999999998</v>
      </c>
      <c r="V2742">
        <v>-48.52</v>
      </c>
      <c r="W2742">
        <v>-526</v>
      </c>
      <c r="X2742">
        <v>17.309999999999999</v>
      </c>
      <c r="Y2742" t="s">
        <v>124</v>
      </c>
      <c r="Z2742" t="s">
        <v>1508</v>
      </c>
      <c r="AA2742">
        <v>0.8</v>
      </c>
      <c r="AB2742">
        <v>10</v>
      </c>
      <c r="AC2742">
        <v>129</v>
      </c>
      <c r="AD2742">
        <v>3.31</v>
      </c>
      <c r="AE2742" t="s">
        <v>2521</v>
      </c>
      <c r="AF2742" t="s">
        <v>3686</v>
      </c>
      <c r="AG2742" t="s">
        <v>7136</v>
      </c>
      <c r="AH2742" t="s">
        <v>2674</v>
      </c>
      <c r="AI2742">
        <v>2.48</v>
      </c>
      <c r="AJ2742">
        <v>4.08</v>
      </c>
      <c r="AK2742">
        <v>7.67</v>
      </c>
      <c r="AL2742">
        <v>12.49</v>
      </c>
    </row>
    <row r="2743" spans="1:38" x14ac:dyDescent="0.25">
      <c r="A2743">
        <v>2742</v>
      </c>
      <c r="B2743" t="str">
        <f xml:space="preserve"> "300280"</f>
        <v>300280</v>
      </c>
      <c r="C2743" t="s">
        <v>8168</v>
      </c>
      <c r="D2743" t="s">
        <v>616</v>
      </c>
      <c r="E2743" t="s">
        <v>616</v>
      </c>
      <c r="F2743" t="s">
        <v>616</v>
      </c>
      <c r="G2743" t="s">
        <v>616</v>
      </c>
      <c r="H2743" t="s">
        <v>616</v>
      </c>
      <c r="I2743" t="s">
        <v>616</v>
      </c>
      <c r="J2743" t="s">
        <v>616</v>
      </c>
      <c r="K2743" t="s">
        <v>616</v>
      </c>
      <c r="L2743" t="s">
        <v>616</v>
      </c>
      <c r="M2743" t="s">
        <v>616</v>
      </c>
      <c r="N2743">
        <v>1718.98</v>
      </c>
      <c r="O2743" t="s">
        <v>648</v>
      </c>
      <c r="P2743" t="s">
        <v>616</v>
      </c>
      <c r="Q2743" t="s">
        <v>616</v>
      </c>
      <c r="R2743" t="s">
        <v>616</v>
      </c>
      <c r="S2743">
        <v>32.479999999999997</v>
      </c>
      <c r="T2743" t="s">
        <v>616</v>
      </c>
      <c r="U2743" t="s">
        <v>616</v>
      </c>
      <c r="V2743" t="s">
        <v>616</v>
      </c>
      <c r="W2743" t="s">
        <v>616</v>
      </c>
      <c r="X2743" t="s">
        <v>616</v>
      </c>
      <c r="Y2743" t="s">
        <v>616</v>
      </c>
      <c r="Z2743" t="s">
        <v>616</v>
      </c>
      <c r="AA2743" t="s">
        <v>616</v>
      </c>
      <c r="AB2743" t="s">
        <v>616</v>
      </c>
      <c r="AC2743" t="s">
        <v>616</v>
      </c>
      <c r="AD2743">
        <v>6.57</v>
      </c>
      <c r="AE2743" t="s">
        <v>2239</v>
      </c>
      <c r="AF2743" t="s">
        <v>3686</v>
      </c>
      <c r="AG2743" t="s">
        <v>2239</v>
      </c>
      <c r="AH2743" t="s">
        <v>3686</v>
      </c>
      <c r="AI2743">
        <v>0</v>
      </c>
      <c r="AJ2743">
        <v>0</v>
      </c>
      <c r="AK2743">
        <v>0</v>
      </c>
      <c r="AL2743">
        <v>0</v>
      </c>
    </row>
    <row r="2744" spans="1:38" x14ac:dyDescent="0.25">
      <c r="A2744">
        <v>2743</v>
      </c>
      <c r="B2744" t="str">
        <f xml:space="preserve"> "600131"</f>
        <v>600131</v>
      </c>
      <c r="C2744" t="s">
        <v>8169</v>
      </c>
      <c r="D2744">
        <v>8.24</v>
      </c>
      <c r="E2744">
        <v>-0.96</v>
      </c>
      <c r="F2744">
        <v>-0.08</v>
      </c>
      <c r="G2744" t="s">
        <v>4333</v>
      </c>
      <c r="H2744">
        <v>29</v>
      </c>
      <c r="I2744">
        <v>8.24</v>
      </c>
      <c r="J2744">
        <v>8.25</v>
      </c>
      <c r="K2744">
        <v>0.12</v>
      </c>
      <c r="L2744">
        <v>2.16</v>
      </c>
      <c r="M2744" t="s">
        <v>8170</v>
      </c>
      <c r="N2744">
        <v>55.23</v>
      </c>
      <c r="O2744" t="s">
        <v>186</v>
      </c>
      <c r="P2744">
        <v>8.3800000000000008</v>
      </c>
      <c r="Q2744">
        <v>8.17</v>
      </c>
      <c r="R2744">
        <v>8.1999999999999993</v>
      </c>
      <c r="S2744">
        <v>8.32</v>
      </c>
      <c r="T2744">
        <v>2.52</v>
      </c>
      <c r="U2744">
        <v>1.43</v>
      </c>
      <c r="V2744">
        <v>-22.46</v>
      </c>
      <c r="W2744">
        <v>-925</v>
      </c>
      <c r="X2744">
        <v>8.25</v>
      </c>
      <c r="Y2744" t="s">
        <v>3680</v>
      </c>
      <c r="Z2744" t="s">
        <v>2391</v>
      </c>
      <c r="AA2744">
        <v>1.59</v>
      </c>
      <c r="AB2744">
        <v>3</v>
      </c>
      <c r="AC2744">
        <v>655</v>
      </c>
      <c r="AD2744">
        <v>3.93</v>
      </c>
      <c r="AE2744" t="s">
        <v>2028</v>
      </c>
      <c r="AF2744" t="s">
        <v>6813</v>
      </c>
      <c r="AG2744" t="s">
        <v>3245</v>
      </c>
      <c r="AH2744" t="s">
        <v>3278</v>
      </c>
      <c r="AI2744">
        <v>3.26</v>
      </c>
      <c r="AJ2744">
        <v>3.39</v>
      </c>
      <c r="AK2744">
        <v>7.62</v>
      </c>
      <c r="AL2744">
        <v>9.7200000000000006</v>
      </c>
    </row>
    <row r="2745" spans="1:38" x14ac:dyDescent="0.25">
      <c r="A2745">
        <v>2744</v>
      </c>
      <c r="B2745" t="str">
        <f xml:space="preserve"> "300333"</f>
        <v>300333</v>
      </c>
      <c r="C2745" t="s">
        <v>8171</v>
      </c>
      <c r="D2745">
        <v>12.35</v>
      </c>
      <c r="E2745">
        <v>1.9</v>
      </c>
      <c r="F2745">
        <v>0.23</v>
      </c>
      <c r="G2745" t="s">
        <v>7818</v>
      </c>
      <c r="H2745">
        <v>3100</v>
      </c>
      <c r="I2745">
        <v>12.34</v>
      </c>
      <c r="J2745">
        <v>12.35</v>
      </c>
      <c r="K2745">
        <v>0</v>
      </c>
      <c r="L2745">
        <v>2.83</v>
      </c>
      <c r="M2745" t="s">
        <v>2706</v>
      </c>
      <c r="N2745">
        <v>121.71</v>
      </c>
      <c r="O2745" t="s">
        <v>553</v>
      </c>
      <c r="P2745">
        <v>12.38</v>
      </c>
      <c r="Q2745">
        <v>11.86</v>
      </c>
      <c r="R2745">
        <v>12.08</v>
      </c>
      <c r="S2745">
        <v>12.12</v>
      </c>
      <c r="T2745">
        <v>4.29</v>
      </c>
      <c r="U2745">
        <v>1.05</v>
      </c>
      <c r="V2745">
        <v>-40.340000000000003</v>
      </c>
      <c r="W2745">
        <v>-2693</v>
      </c>
      <c r="X2745">
        <v>12.15</v>
      </c>
      <c r="Y2745" t="s">
        <v>800</v>
      </c>
      <c r="Z2745" t="s">
        <v>4198</v>
      </c>
      <c r="AA2745">
        <v>0.89</v>
      </c>
      <c r="AB2745">
        <v>654</v>
      </c>
      <c r="AC2745">
        <v>850</v>
      </c>
      <c r="AD2745">
        <v>4.8600000000000003</v>
      </c>
      <c r="AE2745" t="s">
        <v>1512</v>
      </c>
      <c r="AF2745" t="s">
        <v>6813</v>
      </c>
      <c r="AG2745" t="s">
        <v>7034</v>
      </c>
      <c r="AH2745" t="s">
        <v>1265</v>
      </c>
      <c r="AI2745">
        <v>0.82</v>
      </c>
      <c r="AJ2745">
        <v>5.56</v>
      </c>
      <c r="AK2745">
        <v>8.25</v>
      </c>
      <c r="AL2745">
        <v>16.3</v>
      </c>
    </row>
    <row r="2746" spans="1:38" x14ac:dyDescent="0.25">
      <c r="A2746">
        <v>2745</v>
      </c>
      <c r="B2746" t="str">
        <f xml:space="preserve"> "603656"</f>
        <v>603656</v>
      </c>
      <c r="C2746" t="s">
        <v>8172</v>
      </c>
      <c r="D2746">
        <v>39.020000000000003</v>
      </c>
      <c r="E2746">
        <v>0.31</v>
      </c>
      <c r="F2746">
        <v>0.12</v>
      </c>
      <c r="G2746" t="s">
        <v>2061</v>
      </c>
      <c r="H2746">
        <v>4</v>
      </c>
      <c r="I2746">
        <v>39</v>
      </c>
      <c r="J2746">
        <v>39.03</v>
      </c>
      <c r="K2746">
        <v>0.05</v>
      </c>
      <c r="L2746">
        <v>7.15</v>
      </c>
      <c r="M2746" t="s">
        <v>8173</v>
      </c>
      <c r="N2746">
        <v>72.98</v>
      </c>
      <c r="O2746" t="s">
        <v>648</v>
      </c>
      <c r="P2746">
        <v>39.36</v>
      </c>
      <c r="Q2746">
        <v>38.299999999999997</v>
      </c>
      <c r="R2746">
        <v>39.200000000000003</v>
      </c>
      <c r="S2746">
        <v>38.9</v>
      </c>
      <c r="T2746">
        <v>2.72</v>
      </c>
      <c r="U2746">
        <v>0.99</v>
      </c>
      <c r="V2746">
        <v>-56.12</v>
      </c>
      <c r="W2746">
        <v>-149</v>
      </c>
      <c r="X2746">
        <v>38.770000000000003</v>
      </c>
      <c r="Y2746" t="s">
        <v>2241</v>
      </c>
      <c r="Z2746">
        <v>7767</v>
      </c>
      <c r="AA2746">
        <v>1.45</v>
      </c>
      <c r="AB2746">
        <v>9</v>
      </c>
      <c r="AC2746">
        <v>24</v>
      </c>
      <c r="AD2746">
        <v>5.4</v>
      </c>
      <c r="AE2746" t="s">
        <v>1635</v>
      </c>
      <c r="AF2746" t="s">
        <v>6813</v>
      </c>
      <c r="AG2746" t="s">
        <v>8174</v>
      </c>
      <c r="AH2746" t="s">
        <v>755</v>
      </c>
      <c r="AI2746">
        <v>2.68</v>
      </c>
      <c r="AJ2746">
        <v>6.41</v>
      </c>
      <c r="AK2746">
        <v>23.54</v>
      </c>
      <c r="AL2746">
        <v>43.45</v>
      </c>
    </row>
    <row r="2747" spans="1:38" x14ac:dyDescent="0.25">
      <c r="A2747">
        <v>2746</v>
      </c>
      <c r="B2747" t="str">
        <f xml:space="preserve"> "000430"</f>
        <v>000430</v>
      </c>
      <c r="C2747" t="s">
        <v>8175</v>
      </c>
      <c r="D2747">
        <v>10.25</v>
      </c>
      <c r="E2747">
        <v>0.28999999999999998</v>
      </c>
      <c r="F2747">
        <v>0.03</v>
      </c>
      <c r="G2747" t="s">
        <v>3387</v>
      </c>
      <c r="H2747">
        <v>486</v>
      </c>
      <c r="I2747">
        <v>10.24</v>
      </c>
      <c r="J2747">
        <v>10.25</v>
      </c>
      <c r="K2747">
        <v>0.2</v>
      </c>
      <c r="L2747">
        <v>0.93</v>
      </c>
      <c r="M2747" t="s">
        <v>8176</v>
      </c>
      <c r="N2747">
        <v>53.68</v>
      </c>
      <c r="O2747" t="s">
        <v>951</v>
      </c>
      <c r="P2747">
        <v>10.27</v>
      </c>
      <c r="Q2747">
        <v>10.199999999999999</v>
      </c>
      <c r="R2747">
        <v>10.220000000000001</v>
      </c>
      <c r="S2747">
        <v>10.220000000000001</v>
      </c>
      <c r="T2747">
        <v>0.68</v>
      </c>
      <c r="U2747">
        <v>0.78</v>
      </c>
      <c r="V2747">
        <v>42.27</v>
      </c>
      <c r="W2747">
        <v>1465</v>
      </c>
      <c r="X2747">
        <v>10.23</v>
      </c>
      <c r="Y2747" t="s">
        <v>3941</v>
      </c>
      <c r="Z2747">
        <v>7877</v>
      </c>
      <c r="AA2747">
        <v>1.47</v>
      </c>
      <c r="AB2747">
        <v>955</v>
      </c>
      <c r="AC2747">
        <v>249</v>
      </c>
      <c r="AD2747">
        <v>2.72</v>
      </c>
      <c r="AE2747" t="s">
        <v>2626</v>
      </c>
      <c r="AF2747" t="s">
        <v>6813</v>
      </c>
      <c r="AG2747" t="s">
        <v>2519</v>
      </c>
      <c r="AH2747" t="s">
        <v>289</v>
      </c>
      <c r="AI2747">
        <v>-1.25</v>
      </c>
      <c r="AJ2747">
        <v>-2.94</v>
      </c>
      <c r="AK2747">
        <v>2.85</v>
      </c>
      <c r="AL2747">
        <v>6.88</v>
      </c>
    </row>
    <row r="2748" spans="1:38" x14ac:dyDescent="0.25">
      <c r="A2748">
        <v>2747</v>
      </c>
      <c r="B2748" t="str">
        <f xml:space="preserve"> "002199"</f>
        <v>002199</v>
      </c>
      <c r="C2748" t="s">
        <v>8177</v>
      </c>
      <c r="D2748">
        <v>17.03</v>
      </c>
      <c r="E2748">
        <v>0.89</v>
      </c>
      <c r="F2748">
        <v>0.15</v>
      </c>
      <c r="G2748" t="s">
        <v>884</v>
      </c>
      <c r="H2748">
        <v>291</v>
      </c>
      <c r="I2748">
        <v>17.03</v>
      </c>
      <c r="J2748">
        <v>17.079999999999998</v>
      </c>
      <c r="K2748">
        <v>-0.64</v>
      </c>
      <c r="L2748">
        <v>0.98</v>
      </c>
      <c r="M2748" t="s">
        <v>8178</v>
      </c>
      <c r="N2748">
        <v>-1255.23</v>
      </c>
      <c r="O2748" t="s">
        <v>380</v>
      </c>
      <c r="P2748">
        <v>17.440000000000001</v>
      </c>
      <c r="Q2748">
        <v>16.8</v>
      </c>
      <c r="R2748">
        <v>16.89</v>
      </c>
      <c r="S2748">
        <v>16.88</v>
      </c>
      <c r="T2748">
        <v>3.79</v>
      </c>
      <c r="U2748">
        <v>0.86</v>
      </c>
      <c r="V2748">
        <v>43.01</v>
      </c>
      <c r="W2748">
        <v>243</v>
      </c>
      <c r="X2748">
        <v>17.12</v>
      </c>
      <c r="Y2748">
        <v>8978</v>
      </c>
      <c r="Z2748" t="s">
        <v>2522</v>
      </c>
      <c r="AA2748">
        <v>0.87</v>
      </c>
      <c r="AB2748">
        <v>11</v>
      </c>
      <c r="AC2748">
        <v>1</v>
      </c>
      <c r="AD2748">
        <v>9.07</v>
      </c>
      <c r="AE2748" t="s">
        <v>5158</v>
      </c>
      <c r="AF2748" t="s">
        <v>6813</v>
      </c>
      <c r="AG2748" t="s">
        <v>5384</v>
      </c>
      <c r="AH2748" t="s">
        <v>975</v>
      </c>
      <c r="AI2748">
        <v>-1.5</v>
      </c>
      <c r="AJ2748">
        <v>-5.23</v>
      </c>
      <c r="AK2748">
        <v>2.8</v>
      </c>
      <c r="AL2748">
        <v>6.72</v>
      </c>
    </row>
    <row r="2749" spans="1:38" x14ac:dyDescent="0.25">
      <c r="A2749">
        <v>2748</v>
      </c>
      <c r="B2749" t="str">
        <f xml:space="preserve"> "300588"</f>
        <v>300588</v>
      </c>
      <c r="C2749" t="s">
        <v>8179</v>
      </c>
      <c r="D2749">
        <v>41.45</v>
      </c>
      <c r="E2749">
        <v>3.26</v>
      </c>
      <c r="F2749">
        <v>1.31</v>
      </c>
      <c r="G2749" t="s">
        <v>3639</v>
      </c>
      <c r="H2749">
        <v>413</v>
      </c>
      <c r="I2749">
        <v>41.41</v>
      </c>
      <c r="J2749">
        <v>41.45</v>
      </c>
      <c r="K2749">
        <v>-0.34</v>
      </c>
      <c r="L2749">
        <v>17.940000000000001</v>
      </c>
      <c r="M2749" t="s">
        <v>2267</v>
      </c>
      <c r="N2749">
        <v>138.59</v>
      </c>
      <c r="O2749" t="s">
        <v>553</v>
      </c>
      <c r="P2749">
        <v>42.14</v>
      </c>
      <c r="Q2749">
        <v>39.4</v>
      </c>
      <c r="R2749">
        <v>40</v>
      </c>
      <c r="S2749">
        <v>40.14</v>
      </c>
      <c r="T2749">
        <v>6.83</v>
      </c>
      <c r="U2749">
        <v>2.21</v>
      </c>
      <c r="V2749">
        <v>-22.74</v>
      </c>
      <c r="W2749">
        <v>-57</v>
      </c>
      <c r="X2749">
        <v>41.07</v>
      </c>
      <c r="Y2749" t="s">
        <v>1986</v>
      </c>
      <c r="Z2749" t="s">
        <v>5977</v>
      </c>
      <c r="AA2749">
        <v>0.82</v>
      </c>
      <c r="AB2749">
        <v>25</v>
      </c>
      <c r="AC2749">
        <v>33</v>
      </c>
      <c r="AD2749">
        <v>13.18</v>
      </c>
      <c r="AE2749" t="s">
        <v>4464</v>
      </c>
      <c r="AF2749" t="s">
        <v>6813</v>
      </c>
      <c r="AG2749" t="s">
        <v>5931</v>
      </c>
      <c r="AH2749" t="s">
        <v>755</v>
      </c>
      <c r="AI2749">
        <v>2.5499999999999998</v>
      </c>
      <c r="AJ2749">
        <v>7.47</v>
      </c>
      <c r="AK2749">
        <v>36.450000000000003</v>
      </c>
      <c r="AL2749">
        <v>58.5</v>
      </c>
    </row>
    <row r="2750" spans="1:38" x14ac:dyDescent="0.25">
      <c r="A2750">
        <v>2749</v>
      </c>
      <c r="B2750" t="str">
        <f xml:space="preserve"> "603021"</f>
        <v>603021</v>
      </c>
      <c r="C2750" t="s">
        <v>8180</v>
      </c>
      <c r="D2750">
        <v>12.95</v>
      </c>
      <c r="E2750">
        <v>-0.38</v>
      </c>
      <c r="F2750">
        <v>-0.05</v>
      </c>
      <c r="G2750" t="s">
        <v>691</v>
      </c>
      <c r="H2750">
        <v>4</v>
      </c>
      <c r="I2750">
        <v>12.94</v>
      </c>
      <c r="J2750">
        <v>12.97</v>
      </c>
      <c r="K2750">
        <v>-0.23</v>
      </c>
      <c r="L2750">
        <v>0.56999999999999995</v>
      </c>
      <c r="M2750" t="s">
        <v>8181</v>
      </c>
      <c r="N2750">
        <v>88.03</v>
      </c>
      <c r="O2750" t="s">
        <v>1058</v>
      </c>
      <c r="P2750">
        <v>13.12</v>
      </c>
      <c r="Q2750">
        <v>12.84</v>
      </c>
      <c r="R2750">
        <v>13.02</v>
      </c>
      <c r="S2750">
        <v>13</v>
      </c>
      <c r="T2750">
        <v>2.15</v>
      </c>
      <c r="U2750">
        <v>0.3</v>
      </c>
      <c r="V2750">
        <v>-77.209999999999994</v>
      </c>
      <c r="W2750">
        <v>-617</v>
      </c>
      <c r="X2750">
        <v>12.94</v>
      </c>
      <c r="Y2750">
        <v>6475</v>
      </c>
      <c r="Z2750">
        <v>5425</v>
      </c>
      <c r="AA2750">
        <v>1.19</v>
      </c>
      <c r="AB2750">
        <v>16</v>
      </c>
      <c r="AC2750">
        <v>37</v>
      </c>
      <c r="AD2750">
        <v>3.08</v>
      </c>
      <c r="AE2750" t="s">
        <v>2738</v>
      </c>
      <c r="AF2750" t="s">
        <v>2974</v>
      </c>
      <c r="AG2750" t="s">
        <v>2964</v>
      </c>
      <c r="AH2750" t="s">
        <v>1053</v>
      </c>
      <c r="AI2750">
        <v>-1.89</v>
      </c>
      <c r="AJ2750">
        <v>6.67</v>
      </c>
      <c r="AK2750">
        <v>3.03</v>
      </c>
      <c r="AL2750">
        <v>10</v>
      </c>
    </row>
    <row r="2751" spans="1:38" x14ac:dyDescent="0.25">
      <c r="A2751">
        <v>2750</v>
      </c>
      <c r="B2751" t="str">
        <f xml:space="preserve"> "000952"</f>
        <v>000952</v>
      </c>
      <c r="C2751" t="s">
        <v>8182</v>
      </c>
      <c r="D2751">
        <v>16.440000000000001</v>
      </c>
      <c r="E2751">
        <v>2.62</v>
      </c>
      <c r="F2751">
        <v>0.42</v>
      </c>
      <c r="G2751" t="s">
        <v>3343</v>
      </c>
      <c r="H2751">
        <v>637</v>
      </c>
      <c r="I2751">
        <v>16.43</v>
      </c>
      <c r="J2751">
        <v>16.440000000000001</v>
      </c>
      <c r="K2751">
        <v>0.12</v>
      </c>
      <c r="L2751">
        <v>2.6</v>
      </c>
      <c r="M2751" t="s">
        <v>1314</v>
      </c>
      <c r="N2751">
        <v>40.79</v>
      </c>
      <c r="O2751" t="s">
        <v>392</v>
      </c>
      <c r="P2751">
        <v>16.54</v>
      </c>
      <c r="Q2751">
        <v>15.75</v>
      </c>
      <c r="R2751">
        <v>16.010000000000002</v>
      </c>
      <c r="S2751">
        <v>16.02</v>
      </c>
      <c r="T2751">
        <v>4.93</v>
      </c>
      <c r="U2751">
        <v>1.57</v>
      </c>
      <c r="V2751">
        <v>-19.2</v>
      </c>
      <c r="W2751">
        <v>-865</v>
      </c>
      <c r="X2751">
        <v>16.36</v>
      </c>
      <c r="Y2751" t="s">
        <v>2846</v>
      </c>
      <c r="Z2751" t="s">
        <v>1960</v>
      </c>
      <c r="AA2751">
        <v>0.7</v>
      </c>
      <c r="AB2751">
        <v>153</v>
      </c>
      <c r="AC2751">
        <v>573</v>
      </c>
      <c r="AD2751">
        <v>5.87</v>
      </c>
      <c r="AE2751" t="s">
        <v>5050</v>
      </c>
      <c r="AF2751" t="s">
        <v>2974</v>
      </c>
      <c r="AG2751" t="s">
        <v>5050</v>
      </c>
      <c r="AH2751" t="s">
        <v>2974</v>
      </c>
      <c r="AI2751">
        <v>-0.18</v>
      </c>
      <c r="AJ2751">
        <v>4.05</v>
      </c>
      <c r="AK2751">
        <v>6.03</v>
      </c>
      <c r="AL2751">
        <v>10.85</v>
      </c>
    </row>
    <row r="2752" spans="1:38" x14ac:dyDescent="0.25">
      <c r="A2752">
        <v>2751</v>
      </c>
      <c r="B2752" t="str">
        <f xml:space="preserve"> "600283"</f>
        <v>600283</v>
      </c>
      <c r="C2752" t="s">
        <v>8183</v>
      </c>
      <c r="D2752">
        <v>11.72</v>
      </c>
      <c r="E2752">
        <v>1.1200000000000001</v>
      </c>
      <c r="F2752">
        <v>0.13</v>
      </c>
      <c r="G2752" t="s">
        <v>2181</v>
      </c>
      <c r="H2752">
        <v>12</v>
      </c>
      <c r="I2752">
        <v>11.72</v>
      </c>
      <c r="J2752">
        <v>11.73</v>
      </c>
      <c r="K2752">
        <v>-0.09</v>
      </c>
      <c r="L2752">
        <v>1.32</v>
      </c>
      <c r="M2752" t="s">
        <v>8184</v>
      </c>
      <c r="N2752">
        <v>66.48</v>
      </c>
      <c r="O2752" t="s">
        <v>2085</v>
      </c>
      <c r="P2752">
        <v>11.79</v>
      </c>
      <c r="Q2752">
        <v>11.51</v>
      </c>
      <c r="R2752">
        <v>11.51</v>
      </c>
      <c r="S2752">
        <v>11.59</v>
      </c>
      <c r="T2752">
        <v>2.42</v>
      </c>
      <c r="U2752">
        <v>1.1100000000000001</v>
      </c>
      <c r="V2752">
        <v>-31.3</v>
      </c>
      <c r="W2752">
        <v>-1048</v>
      </c>
      <c r="X2752">
        <v>11.69</v>
      </c>
      <c r="Y2752" t="s">
        <v>468</v>
      </c>
      <c r="Z2752" t="s">
        <v>3656</v>
      </c>
      <c r="AA2752">
        <v>0.92</v>
      </c>
      <c r="AB2752">
        <v>44</v>
      </c>
      <c r="AC2752">
        <v>23</v>
      </c>
      <c r="AD2752">
        <v>2.33</v>
      </c>
      <c r="AE2752" t="s">
        <v>82</v>
      </c>
      <c r="AF2752" t="s">
        <v>2974</v>
      </c>
      <c r="AG2752" t="s">
        <v>1512</v>
      </c>
      <c r="AH2752" t="s">
        <v>7799</v>
      </c>
      <c r="AI2752">
        <v>2.1800000000000002</v>
      </c>
      <c r="AJ2752">
        <v>5.4</v>
      </c>
      <c r="AK2752">
        <v>4.04</v>
      </c>
      <c r="AL2752">
        <v>7.24</v>
      </c>
    </row>
    <row r="2753" spans="1:38" x14ac:dyDescent="0.25">
      <c r="A2753">
        <v>2752</v>
      </c>
      <c r="B2753" t="str">
        <f xml:space="preserve"> "300617"</f>
        <v>300617</v>
      </c>
      <c r="C2753" t="s">
        <v>8185</v>
      </c>
      <c r="D2753">
        <v>61.9</v>
      </c>
      <c r="E2753">
        <v>1.48</v>
      </c>
      <c r="F2753">
        <v>0.9</v>
      </c>
      <c r="G2753">
        <v>5866</v>
      </c>
      <c r="H2753">
        <v>108</v>
      </c>
      <c r="I2753">
        <v>61.89</v>
      </c>
      <c r="J2753">
        <v>61.9</v>
      </c>
      <c r="K2753">
        <v>0.05</v>
      </c>
      <c r="L2753">
        <v>3.52</v>
      </c>
      <c r="M2753" t="s">
        <v>8120</v>
      </c>
      <c r="N2753">
        <v>52.68</v>
      </c>
      <c r="O2753" t="s">
        <v>186</v>
      </c>
      <c r="P2753">
        <v>62.25</v>
      </c>
      <c r="Q2753">
        <v>60.68</v>
      </c>
      <c r="R2753">
        <v>60.68</v>
      </c>
      <c r="S2753">
        <v>61</v>
      </c>
      <c r="T2753">
        <v>2.57</v>
      </c>
      <c r="U2753">
        <v>1.28</v>
      </c>
      <c r="V2753">
        <v>-54.11</v>
      </c>
      <c r="W2753">
        <v>-125</v>
      </c>
      <c r="X2753">
        <v>61.71</v>
      </c>
      <c r="Y2753">
        <v>2623</v>
      </c>
      <c r="Z2753">
        <v>3243</v>
      </c>
      <c r="AA2753">
        <v>0.81</v>
      </c>
      <c r="AB2753">
        <v>2</v>
      </c>
      <c r="AC2753">
        <v>84</v>
      </c>
      <c r="AD2753">
        <v>5.34</v>
      </c>
      <c r="AE2753" t="s">
        <v>7395</v>
      </c>
      <c r="AF2753" t="s">
        <v>5508</v>
      </c>
      <c r="AG2753" t="s">
        <v>6785</v>
      </c>
      <c r="AH2753" t="s">
        <v>707</v>
      </c>
      <c r="AI2753">
        <v>0.6</v>
      </c>
      <c r="AJ2753">
        <v>3.91</v>
      </c>
      <c r="AK2753">
        <v>8.6199999999999992</v>
      </c>
      <c r="AL2753">
        <v>17.260000000000002</v>
      </c>
    </row>
    <row r="2754" spans="1:38" x14ac:dyDescent="0.25">
      <c r="A2754">
        <v>2753</v>
      </c>
      <c r="B2754" t="str">
        <f xml:space="preserve"> "002187"</f>
        <v>002187</v>
      </c>
      <c r="C2754" t="s">
        <v>8186</v>
      </c>
      <c r="D2754">
        <v>12.04</v>
      </c>
      <c r="E2754">
        <v>0.5</v>
      </c>
      <c r="F2754">
        <v>0.06</v>
      </c>
      <c r="G2754" t="s">
        <v>2089</v>
      </c>
      <c r="H2754">
        <v>149</v>
      </c>
      <c r="I2754">
        <v>12.03</v>
      </c>
      <c r="J2754">
        <v>12.04</v>
      </c>
      <c r="K2754">
        <v>0.08</v>
      </c>
      <c r="L2754">
        <v>0.35</v>
      </c>
      <c r="M2754" t="s">
        <v>8187</v>
      </c>
      <c r="N2754">
        <v>21.12</v>
      </c>
      <c r="O2754" t="s">
        <v>532</v>
      </c>
      <c r="P2754">
        <v>12.05</v>
      </c>
      <c r="Q2754">
        <v>11.95</v>
      </c>
      <c r="R2754">
        <v>11.98</v>
      </c>
      <c r="S2754">
        <v>11.98</v>
      </c>
      <c r="T2754">
        <v>0.83</v>
      </c>
      <c r="U2754">
        <v>0.91</v>
      </c>
      <c r="V2754">
        <v>5.0999999999999996</v>
      </c>
      <c r="W2754">
        <v>141</v>
      </c>
      <c r="X2754">
        <v>12.01</v>
      </c>
      <c r="Y2754">
        <v>5873</v>
      </c>
      <c r="Z2754">
        <v>6121</v>
      </c>
      <c r="AA2754">
        <v>0.96</v>
      </c>
      <c r="AB2754">
        <v>337</v>
      </c>
      <c r="AC2754">
        <v>502</v>
      </c>
      <c r="AD2754">
        <v>1.6</v>
      </c>
      <c r="AE2754" t="s">
        <v>3753</v>
      </c>
      <c r="AF2754" t="s">
        <v>3107</v>
      </c>
      <c r="AG2754" t="s">
        <v>3753</v>
      </c>
      <c r="AH2754" t="s">
        <v>3107</v>
      </c>
      <c r="AI2754">
        <v>0</v>
      </c>
      <c r="AJ2754">
        <v>2.21</v>
      </c>
      <c r="AK2754">
        <v>1.24</v>
      </c>
      <c r="AL2754">
        <v>2.2799999999999998</v>
      </c>
    </row>
    <row r="2755" spans="1:38" x14ac:dyDescent="0.25">
      <c r="A2755">
        <v>2754</v>
      </c>
      <c r="B2755" t="str">
        <f xml:space="preserve"> "600078"</f>
        <v>600078</v>
      </c>
      <c r="C2755" t="s">
        <v>8188</v>
      </c>
      <c r="D2755">
        <v>6.22</v>
      </c>
      <c r="E2755">
        <v>0.48</v>
      </c>
      <c r="F2755">
        <v>0.03</v>
      </c>
      <c r="G2755" t="s">
        <v>1307</v>
      </c>
      <c r="H2755">
        <v>5</v>
      </c>
      <c r="I2755">
        <v>6.22</v>
      </c>
      <c r="J2755">
        <v>6.23</v>
      </c>
      <c r="K2755">
        <v>-0.16</v>
      </c>
      <c r="L2755">
        <v>0.59</v>
      </c>
      <c r="M2755" t="s">
        <v>8189</v>
      </c>
      <c r="N2755">
        <v>102.14</v>
      </c>
      <c r="O2755" t="s">
        <v>1936</v>
      </c>
      <c r="P2755">
        <v>6.23</v>
      </c>
      <c r="Q2755">
        <v>6.16</v>
      </c>
      <c r="R2755">
        <v>6.18</v>
      </c>
      <c r="S2755">
        <v>6.19</v>
      </c>
      <c r="T2755">
        <v>1.1299999999999999</v>
      </c>
      <c r="U2755">
        <v>0.71</v>
      </c>
      <c r="V2755">
        <v>9.57</v>
      </c>
      <c r="W2755">
        <v>991</v>
      </c>
      <c r="X2755">
        <v>6.2</v>
      </c>
      <c r="Y2755" t="s">
        <v>1349</v>
      </c>
      <c r="Z2755" t="s">
        <v>1416</v>
      </c>
      <c r="AA2755">
        <v>0.79</v>
      </c>
      <c r="AB2755">
        <v>1167</v>
      </c>
      <c r="AC2755">
        <v>1372</v>
      </c>
      <c r="AD2755">
        <v>2.25</v>
      </c>
      <c r="AE2755" t="s">
        <v>561</v>
      </c>
      <c r="AF2755" t="s">
        <v>3107</v>
      </c>
      <c r="AG2755" t="s">
        <v>561</v>
      </c>
      <c r="AH2755" t="s">
        <v>3107</v>
      </c>
      <c r="AI2755">
        <v>-0.8</v>
      </c>
      <c r="AJ2755">
        <v>1.8</v>
      </c>
      <c r="AK2755">
        <v>2.17</v>
      </c>
      <c r="AL2755">
        <v>4.76</v>
      </c>
    </row>
    <row r="2756" spans="1:38" x14ac:dyDescent="0.25">
      <c r="A2756">
        <v>2755</v>
      </c>
      <c r="B2756" t="str">
        <f xml:space="preserve"> "603500"</f>
        <v>603500</v>
      </c>
      <c r="C2756" t="s">
        <v>8190</v>
      </c>
      <c r="D2756">
        <v>32.69</v>
      </c>
      <c r="E2756">
        <v>1.74</v>
      </c>
      <c r="F2756">
        <v>0.56000000000000005</v>
      </c>
      <c r="G2756" t="s">
        <v>1500</v>
      </c>
      <c r="H2756">
        <v>5</v>
      </c>
      <c r="I2756">
        <v>32.69</v>
      </c>
      <c r="J2756">
        <v>32.700000000000003</v>
      </c>
      <c r="K2756">
        <v>-0.03</v>
      </c>
      <c r="L2756">
        <v>9.3699999999999992</v>
      </c>
      <c r="M2756" t="s">
        <v>8191</v>
      </c>
      <c r="N2756">
        <v>56.32</v>
      </c>
      <c r="O2756" t="s">
        <v>253</v>
      </c>
      <c r="P2756">
        <v>33.06</v>
      </c>
      <c r="Q2756">
        <v>31.96</v>
      </c>
      <c r="R2756">
        <v>32.130000000000003</v>
      </c>
      <c r="S2756">
        <v>32.130000000000003</v>
      </c>
      <c r="T2756">
        <v>3.42</v>
      </c>
      <c r="U2756">
        <v>0.75</v>
      </c>
      <c r="V2756">
        <v>-6.97</v>
      </c>
      <c r="W2756">
        <v>-59</v>
      </c>
      <c r="X2756">
        <v>32.590000000000003</v>
      </c>
      <c r="Y2756" t="s">
        <v>5621</v>
      </c>
      <c r="Z2756" t="s">
        <v>2558</v>
      </c>
      <c r="AA2756">
        <v>0.86</v>
      </c>
      <c r="AB2756">
        <v>11</v>
      </c>
      <c r="AC2756">
        <v>5</v>
      </c>
      <c r="AD2756">
        <v>5.54</v>
      </c>
      <c r="AE2756" t="s">
        <v>3361</v>
      </c>
      <c r="AF2756" t="s">
        <v>3107</v>
      </c>
      <c r="AG2756" t="s">
        <v>3882</v>
      </c>
      <c r="AH2756" t="s">
        <v>707</v>
      </c>
      <c r="AI2756">
        <v>-2.39</v>
      </c>
      <c r="AJ2756">
        <v>-4.28</v>
      </c>
      <c r="AK2756">
        <v>30.39</v>
      </c>
      <c r="AL2756">
        <v>72.03</v>
      </c>
    </row>
    <row r="2757" spans="1:38" x14ac:dyDescent="0.25">
      <c r="A2757">
        <v>2756</v>
      </c>
      <c r="B2757" t="str">
        <f xml:space="preserve"> "600202"</f>
        <v>600202</v>
      </c>
      <c r="C2757" t="s">
        <v>8192</v>
      </c>
      <c r="D2757">
        <v>10.74</v>
      </c>
      <c r="E2757">
        <v>-0.28000000000000003</v>
      </c>
      <c r="F2757">
        <v>-0.03</v>
      </c>
      <c r="G2757" t="s">
        <v>4237</v>
      </c>
      <c r="H2757">
        <v>172</v>
      </c>
      <c r="I2757">
        <v>10.72</v>
      </c>
      <c r="J2757">
        <v>10.75</v>
      </c>
      <c r="K2757">
        <v>0.19</v>
      </c>
      <c r="L2757">
        <v>0.41</v>
      </c>
      <c r="M2757" t="s">
        <v>8193</v>
      </c>
      <c r="N2757">
        <v>-61.29</v>
      </c>
      <c r="O2757" t="s">
        <v>648</v>
      </c>
      <c r="P2757">
        <v>10.77</v>
      </c>
      <c r="Q2757">
        <v>10.68</v>
      </c>
      <c r="R2757">
        <v>10.77</v>
      </c>
      <c r="S2757">
        <v>10.77</v>
      </c>
      <c r="T2757">
        <v>0.84</v>
      </c>
      <c r="U2757">
        <v>0.44</v>
      </c>
      <c r="V2757">
        <v>10.87</v>
      </c>
      <c r="W2757">
        <v>250</v>
      </c>
      <c r="X2757">
        <v>10.72</v>
      </c>
      <c r="Y2757" t="s">
        <v>4791</v>
      </c>
      <c r="Z2757">
        <v>5499</v>
      </c>
      <c r="AA2757">
        <v>1.82</v>
      </c>
      <c r="AB2757">
        <v>170</v>
      </c>
      <c r="AC2757">
        <v>99</v>
      </c>
      <c r="AD2757">
        <v>6.33</v>
      </c>
      <c r="AE2757" t="s">
        <v>6537</v>
      </c>
      <c r="AF2757" t="s">
        <v>3107</v>
      </c>
      <c r="AG2757" t="s">
        <v>6537</v>
      </c>
      <c r="AH2757" t="s">
        <v>3107</v>
      </c>
      <c r="AI2757">
        <v>-0.83</v>
      </c>
      <c r="AJ2757">
        <v>1.7</v>
      </c>
      <c r="AK2757">
        <v>1.48</v>
      </c>
      <c r="AL2757">
        <v>5.03</v>
      </c>
    </row>
    <row r="2758" spans="1:38" x14ac:dyDescent="0.25">
      <c r="A2758">
        <v>2757</v>
      </c>
      <c r="B2758" t="str">
        <f xml:space="preserve"> "603906"</f>
        <v>603906</v>
      </c>
      <c r="C2758" t="s">
        <v>8194</v>
      </c>
      <c r="D2758">
        <v>19.78</v>
      </c>
      <c r="E2758">
        <v>2.4900000000000002</v>
      </c>
      <c r="F2758">
        <v>0.48</v>
      </c>
      <c r="G2758" t="s">
        <v>86</v>
      </c>
      <c r="H2758">
        <v>10</v>
      </c>
      <c r="I2758">
        <v>19.760000000000002</v>
      </c>
      <c r="J2758">
        <v>19.77</v>
      </c>
      <c r="K2758">
        <v>0.15</v>
      </c>
      <c r="L2758">
        <v>4.55</v>
      </c>
      <c r="M2758" t="s">
        <v>8195</v>
      </c>
      <c r="N2758">
        <v>40.35</v>
      </c>
      <c r="O2758" t="s">
        <v>667</v>
      </c>
      <c r="P2758">
        <v>19.87</v>
      </c>
      <c r="Q2758">
        <v>19.170000000000002</v>
      </c>
      <c r="R2758">
        <v>19.3</v>
      </c>
      <c r="S2758">
        <v>19.3</v>
      </c>
      <c r="T2758">
        <v>3.63</v>
      </c>
      <c r="U2758">
        <v>2.0299999999999998</v>
      </c>
      <c r="V2758">
        <v>-56.39</v>
      </c>
      <c r="W2758">
        <v>-375</v>
      </c>
      <c r="X2758">
        <v>19.64</v>
      </c>
      <c r="Y2758">
        <v>9721</v>
      </c>
      <c r="Z2758" t="s">
        <v>4112</v>
      </c>
      <c r="AA2758">
        <v>0.7</v>
      </c>
      <c r="AB2758">
        <v>20</v>
      </c>
      <c r="AC2758">
        <v>26</v>
      </c>
      <c r="AD2758">
        <v>3.59</v>
      </c>
      <c r="AE2758" t="s">
        <v>2964</v>
      </c>
      <c r="AF2758" t="s">
        <v>1871</v>
      </c>
      <c r="AG2758" t="s">
        <v>5727</v>
      </c>
      <c r="AH2758" t="s">
        <v>707</v>
      </c>
      <c r="AI2758">
        <v>1.91</v>
      </c>
      <c r="AJ2758">
        <v>6.98</v>
      </c>
      <c r="AK2758">
        <v>9.6</v>
      </c>
      <c r="AL2758">
        <v>15.77</v>
      </c>
    </row>
    <row r="2759" spans="1:38" x14ac:dyDescent="0.25">
      <c r="A2759">
        <v>2758</v>
      </c>
      <c r="B2759" t="str">
        <f xml:space="preserve"> "300435"</f>
        <v>300435</v>
      </c>
      <c r="C2759" t="s">
        <v>8196</v>
      </c>
      <c r="D2759">
        <v>16.510000000000002</v>
      </c>
      <c r="E2759">
        <v>-0.66</v>
      </c>
      <c r="F2759">
        <v>-0.11</v>
      </c>
      <c r="G2759" t="s">
        <v>2089</v>
      </c>
      <c r="H2759">
        <v>155</v>
      </c>
      <c r="I2759">
        <v>16.5</v>
      </c>
      <c r="J2759">
        <v>16.52</v>
      </c>
      <c r="K2759">
        <v>-0.18</v>
      </c>
      <c r="L2759">
        <v>1.43</v>
      </c>
      <c r="M2759" t="s">
        <v>8197</v>
      </c>
      <c r="N2759">
        <v>59.27</v>
      </c>
      <c r="O2759" t="s">
        <v>648</v>
      </c>
      <c r="P2759">
        <v>16.86</v>
      </c>
      <c r="Q2759">
        <v>16.41</v>
      </c>
      <c r="R2759">
        <v>16.62</v>
      </c>
      <c r="S2759">
        <v>16.62</v>
      </c>
      <c r="T2759">
        <v>2.71</v>
      </c>
      <c r="U2759">
        <v>0.35</v>
      </c>
      <c r="V2759">
        <v>-8.7100000000000009</v>
      </c>
      <c r="W2759">
        <v>-43</v>
      </c>
      <c r="X2759">
        <v>16.55</v>
      </c>
      <c r="Y2759">
        <v>6833</v>
      </c>
      <c r="Z2759">
        <v>5208</v>
      </c>
      <c r="AA2759">
        <v>1.31</v>
      </c>
      <c r="AB2759">
        <v>157</v>
      </c>
      <c r="AC2759">
        <v>107</v>
      </c>
      <c r="AD2759">
        <v>5.49</v>
      </c>
      <c r="AE2759" t="s">
        <v>5466</v>
      </c>
      <c r="AF2759" t="s">
        <v>1871</v>
      </c>
      <c r="AG2759" t="s">
        <v>8198</v>
      </c>
      <c r="AH2759" t="s">
        <v>895</v>
      </c>
      <c r="AI2759">
        <v>-2.08</v>
      </c>
      <c r="AJ2759">
        <v>-2.08</v>
      </c>
      <c r="AK2759">
        <v>8.39</v>
      </c>
      <c r="AL2759">
        <v>21.98</v>
      </c>
    </row>
    <row r="2760" spans="1:38" x14ac:dyDescent="0.25">
      <c r="A2760">
        <v>2759</v>
      </c>
      <c r="B2760" t="str">
        <f xml:space="preserve"> "300246"</f>
        <v>300246</v>
      </c>
      <c r="C2760" t="s">
        <v>8199</v>
      </c>
      <c r="D2760">
        <v>28.16</v>
      </c>
      <c r="E2760">
        <v>-0.85</v>
      </c>
      <c r="F2760">
        <v>-0.24</v>
      </c>
      <c r="G2760" t="s">
        <v>1321</v>
      </c>
      <c r="H2760">
        <v>259</v>
      </c>
      <c r="I2760">
        <v>28.15</v>
      </c>
      <c r="J2760">
        <v>28.16</v>
      </c>
      <c r="K2760">
        <v>0</v>
      </c>
      <c r="L2760">
        <v>2.85</v>
      </c>
      <c r="M2760" t="s">
        <v>8200</v>
      </c>
      <c r="N2760">
        <v>53.72</v>
      </c>
      <c r="O2760" t="s">
        <v>1552</v>
      </c>
      <c r="P2760">
        <v>28.58</v>
      </c>
      <c r="Q2760">
        <v>27.82</v>
      </c>
      <c r="R2760">
        <v>27.82</v>
      </c>
      <c r="S2760">
        <v>28.4</v>
      </c>
      <c r="T2760">
        <v>2.68</v>
      </c>
      <c r="U2760">
        <v>0.83</v>
      </c>
      <c r="V2760">
        <v>-48.5</v>
      </c>
      <c r="W2760">
        <v>-311</v>
      </c>
      <c r="X2760">
        <v>28.17</v>
      </c>
      <c r="Y2760" t="s">
        <v>2061</v>
      </c>
      <c r="Z2760" t="s">
        <v>316</v>
      </c>
      <c r="AA2760">
        <v>1.62</v>
      </c>
      <c r="AB2760">
        <v>10</v>
      </c>
      <c r="AC2760">
        <v>37</v>
      </c>
      <c r="AD2760">
        <v>8.3000000000000007</v>
      </c>
      <c r="AE2760" t="s">
        <v>1862</v>
      </c>
      <c r="AF2760" t="s">
        <v>1871</v>
      </c>
      <c r="AG2760" t="s">
        <v>1120</v>
      </c>
      <c r="AH2760" t="s">
        <v>3615</v>
      </c>
      <c r="AI2760">
        <v>-2.39</v>
      </c>
      <c r="AJ2760">
        <v>6.14</v>
      </c>
      <c r="AK2760">
        <v>10.34</v>
      </c>
      <c r="AL2760">
        <v>19.96</v>
      </c>
    </row>
    <row r="2761" spans="1:38" x14ac:dyDescent="0.25">
      <c r="A2761">
        <v>2760</v>
      </c>
      <c r="B2761" t="str">
        <f xml:space="preserve"> "002119"</f>
        <v>002119</v>
      </c>
      <c r="C2761" t="s">
        <v>8201</v>
      </c>
      <c r="D2761">
        <v>19.940000000000001</v>
      </c>
      <c r="E2761">
        <v>1.32</v>
      </c>
      <c r="F2761">
        <v>0.26</v>
      </c>
      <c r="G2761">
        <v>8850</v>
      </c>
      <c r="H2761">
        <v>111</v>
      </c>
      <c r="I2761">
        <v>19.93</v>
      </c>
      <c r="J2761">
        <v>19.940000000000001</v>
      </c>
      <c r="K2761">
        <v>0</v>
      </c>
      <c r="L2761">
        <v>0.44</v>
      </c>
      <c r="M2761" t="s">
        <v>8202</v>
      </c>
      <c r="N2761">
        <v>61.63</v>
      </c>
      <c r="O2761" t="s">
        <v>380</v>
      </c>
      <c r="P2761">
        <v>19.989999999999998</v>
      </c>
      <c r="Q2761">
        <v>19.600000000000001</v>
      </c>
      <c r="R2761">
        <v>19.690000000000001</v>
      </c>
      <c r="S2761">
        <v>19.68</v>
      </c>
      <c r="T2761">
        <v>1.98</v>
      </c>
      <c r="U2761">
        <v>0.51</v>
      </c>
      <c r="V2761">
        <v>-5.9</v>
      </c>
      <c r="W2761">
        <v>-32</v>
      </c>
      <c r="X2761">
        <v>19.78</v>
      </c>
      <c r="Y2761">
        <v>4334</v>
      </c>
      <c r="Z2761">
        <v>4516</v>
      </c>
      <c r="AA2761">
        <v>0.96</v>
      </c>
      <c r="AB2761">
        <v>109</v>
      </c>
      <c r="AC2761">
        <v>87</v>
      </c>
      <c r="AD2761">
        <v>5.8</v>
      </c>
      <c r="AE2761" t="s">
        <v>1079</v>
      </c>
      <c r="AF2761" t="s">
        <v>1871</v>
      </c>
      <c r="AG2761" t="s">
        <v>1404</v>
      </c>
      <c r="AH2761" t="s">
        <v>2607</v>
      </c>
      <c r="AI2761">
        <v>-1.77</v>
      </c>
      <c r="AJ2761">
        <v>0.15</v>
      </c>
      <c r="AK2761">
        <v>1.78</v>
      </c>
      <c r="AL2761">
        <v>4.74</v>
      </c>
    </row>
    <row r="2762" spans="1:38" x14ac:dyDescent="0.25">
      <c r="A2762">
        <v>2761</v>
      </c>
      <c r="B2762" t="str">
        <f xml:space="preserve"> "000421"</f>
        <v>000421</v>
      </c>
      <c r="C2762" t="s">
        <v>8203</v>
      </c>
      <c r="D2762">
        <v>7.18</v>
      </c>
      <c r="E2762">
        <v>0.84</v>
      </c>
      <c r="F2762">
        <v>0.06</v>
      </c>
      <c r="G2762" t="s">
        <v>393</v>
      </c>
      <c r="H2762">
        <v>812</v>
      </c>
      <c r="I2762">
        <v>7.17</v>
      </c>
      <c r="J2762">
        <v>7.18</v>
      </c>
      <c r="K2762">
        <v>-0.14000000000000001</v>
      </c>
      <c r="L2762">
        <v>0.73</v>
      </c>
      <c r="M2762" t="s">
        <v>8204</v>
      </c>
      <c r="N2762">
        <v>30.75</v>
      </c>
      <c r="O2762" t="s">
        <v>2085</v>
      </c>
      <c r="P2762">
        <v>7.19</v>
      </c>
      <c r="Q2762">
        <v>7.09</v>
      </c>
      <c r="R2762">
        <v>7.09</v>
      </c>
      <c r="S2762">
        <v>7.12</v>
      </c>
      <c r="T2762">
        <v>1.4</v>
      </c>
      <c r="U2762">
        <v>1.0900000000000001</v>
      </c>
      <c r="V2762">
        <v>-37.880000000000003</v>
      </c>
      <c r="W2762">
        <v>-1989</v>
      </c>
      <c r="X2762">
        <v>7.15</v>
      </c>
      <c r="Y2762" t="s">
        <v>2522</v>
      </c>
      <c r="Z2762" t="s">
        <v>3158</v>
      </c>
      <c r="AA2762">
        <v>0.56000000000000005</v>
      </c>
      <c r="AB2762">
        <v>433</v>
      </c>
      <c r="AC2762">
        <v>305</v>
      </c>
      <c r="AD2762">
        <v>1.75</v>
      </c>
      <c r="AE2762" t="s">
        <v>3051</v>
      </c>
      <c r="AF2762" t="s">
        <v>1871</v>
      </c>
      <c r="AG2762" t="s">
        <v>4560</v>
      </c>
      <c r="AH2762" t="s">
        <v>395</v>
      </c>
      <c r="AI2762">
        <v>0.7</v>
      </c>
      <c r="AJ2762">
        <v>3.16</v>
      </c>
      <c r="AK2762">
        <v>2.08</v>
      </c>
      <c r="AL2762">
        <v>4.0999999999999996</v>
      </c>
    </row>
    <row r="2763" spans="1:38" x14ac:dyDescent="0.25">
      <c r="A2763">
        <v>2762</v>
      </c>
      <c r="B2763" t="str">
        <f xml:space="preserve"> "002084"</f>
        <v>002084</v>
      </c>
      <c r="C2763" t="s">
        <v>8205</v>
      </c>
      <c r="D2763">
        <v>9</v>
      </c>
      <c r="E2763">
        <v>0.78</v>
      </c>
      <c r="F2763">
        <v>7.0000000000000007E-2</v>
      </c>
      <c r="G2763" t="s">
        <v>3086</v>
      </c>
      <c r="H2763">
        <v>258</v>
      </c>
      <c r="I2763">
        <v>8.99</v>
      </c>
      <c r="J2763">
        <v>9</v>
      </c>
      <c r="K2763">
        <v>0.11</v>
      </c>
      <c r="L2763">
        <v>0.67</v>
      </c>
      <c r="M2763" t="s">
        <v>8206</v>
      </c>
      <c r="N2763">
        <v>51.73</v>
      </c>
      <c r="O2763" t="s">
        <v>2309</v>
      </c>
      <c r="P2763">
        <v>9.01</v>
      </c>
      <c r="Q2763">
        <v>8.9</v>
      </c>
      <c r="R2763">
        <v>8.9</v>
      </c>
      <c r="S2763">
        <v>8.93</v>
      </c>
      <c r="T2763">
        <v>1.23</v>
      </c>
      <c r="U2763">
        <v>0.82</v>
      </c>
      <c r="V2763">
        <v>-56.45</v>
      </c>
      <c r="W2763">
        <v>-2956</v>
      </c>
      <c r="X2763">
        <v>8.98</v>
      </c>
      <c r="Y2763" t="s">
        <v>2241</v>
      </c>
      <c r="Z2763" t="s">
        <v>1683</v>
      </c>
      <c r="AA2763">
        <v>0.71</v>
      </c>
      <c r="AB2763">
        <v>282</v>
      </c>
      <c r="AC2763">
        <v>2205</v>
      </c>
      <c r="AD2763">
        <v>3.5</v>
      </c>
      <c r="AE2763" t="s">
        <v>5373</v>
      </c>
      <c r="AF2763" t="s">
        <v>1871</v>
      </c>
      <c r="AG2763" t="s">
        <v>2626</v>
      </c>
      <c r="AH2763" t="s">
        <v>2629</v>
      </c>
      <c r="AI2763">
        <v>0.22</v>
      </c>
      <c r="AJ2763">
        <v>3.69</v>
      </c>
      <c r="AK2763">
        <v>2.2799999999999998</v>
      </c>
      <c r="AL2763">
        <v>4.8099999999999996</v>
      </c>
    </row>
    <row r="2764" spans="1:38" x14ac:dyDescent="0.25">
      <c r="A2764">
        <v>2763</v>
      </c>
      <c r="B2764" t="str">
        <f xml:space="preserve"> "002165"</f>
        <v>002165</v>
      </c>
      <c r="C2764" t="s">
        <v>8207</v>
      </c>
      <c r="D2764">
        <v>6.82</v>
      </c>
      <c r="E2764">
        <v>0.15</v>
      </c>
      <c r="F2764">
        <v>0.01</v>
      </c>
      <c r="G2764" t="s">
        <v>2266</v>
      </c>
      <c r="H2764">
        <v>198</v>
      </c>
      <c r="I2764">
        <v>6.81</v>
      </c>
      <c r="J2764">
        <v>6.82</v>
      </c>
      <c r="K2764">
        <v>0</v>
      </c>
      <c r="L2764">
        <v>0.67</v>
      </c>
      <c r="M2764" t="s">
        <v>8208</v>
      </c>
      <c r="N2764">
        <v>50.58</v>
      </c>
      <c r="O2764" t="s">
        <v>667</v>
      </c>
      <c r="P2764">
        <v>6.86</v>
      </c>
      <c r="Q2764">
        <v>6.77</v>
      </c>
      <c r="R2764">
        <v>6.82</v>
      </c>
      <c r="S2764">
        <v>6.81</v>
      </c>
      <c r="T2764">
        <v>1.32</v>
      </c>
      <c r="U2764">
        <v>0.86</v>
      </c>
      <c r="V2764">
        <v>-56.02</v>
      </c>
      <c r="W2764">
        <v>-3554</v>
      </c>
      <c r="X2764">
        <v>6.82</v>
      </c>
      <c r="Y2764" t="s">
        <v>3238</v>
      </c>
      <c r="Z2764" t="s">
        <v>713</v>
      </c>
      <c r="AA2764">
        <v>1.07</v>
      </c>
      <c r="AB2764">
        <v>407</v>
      </c>
      <c r="AC2764">
        <v>174</v>
      </c>
      <c r="AD2764">
        <v>2.64</v>
      </c>
      <c r="AE2764" t="s">
        <v>1573</v>
      </c>
      <c r="AF2764" t="s">
        <v>1871</v>
      </c>
      <c r="AG2764" t="s">
        <v>2438</v>
      </c>
      <c r="AH2764" t="s">
        <v>1845</v>
      </c>
      <c r="AI2764">
        <v>-0.28999999999999998</v>
      </c>
      <c r="AJ2764">
        <v>3.65</v>
      </c>
      <c r="AK2764">
        <v>2.0499999999999998</v>
      </c>
      <c r="AL2764">
        <v>4.54</v>
      </c>
    </row>
    <row r="2765" spans="1:38" x14ac:dyDescent="0.25">
      <c r="A2765">
        <v>2764</v>
      </c>
      <c r="B2765" t="str">
        <f xml:space="preserve"> "600148"</f>
        <v>600148</v>
      </c>
      <c r="C2765" t="s">
        <v>8209</v>
      </c>
      <c r="D2765">
        <v>29</v>
      </c>
      <c r="E2765">
        <v>-2.06</v>
      </c>
      <c r="F2765">
        <v>-0.61</v>
      </c>
      <c r="G2765" t="s">
        <v>3965</v>
      </c>
      <c r="H2765">
        <v>3</v>
      </c>
      <c r="I2765">
        <v>29</v>
      </c>
      <c r="J2765">
        <v>29.01</v>
      </c>
      <c r="K2765">
        <v>0</v>
      </c>
      <c r="L2765">
        <v>2.37</v>
      </c>
      <c r="M2765" t="s">
        <v>8210</v>
      </c>
      <c r="N2765">
        <v>132.66999999999999</v>
      </c>
      <c r="O2765" t="s">
        <v>169</v>
      </c>
      <c r="P2765">
        <v>29.79</v>
      </c>
      <c r="Q2765">
        <v>28.9</v>
      </c>
      <c r="R2765">
        <v>29.59</v>
      </c>
      <c r="S2765">
        <v>29.61</v>
      </c>
      <c r="T2765">
        <v>3.01</v>
      </c>
      <c r="U2765">
        <v>1.1499999999999999</v>
      </c>
      <c r="V2765">
        <v>4.8</v>
      </c>
      <c r="W2765">
        <v>41</v>
      </c>
      <c r="X2765">
        <v>29.2</v>
      </c>
      <c r="Y2765" t="s">
        <v>1381</v>
      </c>
      <c r="Z2765" t="s">
        <v>2518</v>
      </c>
      <c r="AA2765">
        <v>1.5</v>
      </c>
      <c r="AB2765">
        <v>74</v>
      </c>
      <c r="AC2765">
        <v>16</v>
      </c>
      <c r="AD2765">
        <v>10.45</v>
      </c>
      <c r="AE2765" t="s">
        <v>223</v>
      </c>
      <c r="AF2765" t="s">
        <v>2633</v>
      </c>
      <c r="AG2765" t="s">
        <v>223</v>
      </c>
      <c r="AH2765" t="s">
        <v>2633</v>
      </c>
      <c r="AI2765">
        <v>-2.2599999999999998</v>
      </c>
      <c r="AJ2765">
        <v>-1.93</v>
      </c>
      <c r="AK2765">
        <v>7.55</v>
      </c>
      <c r="AL2765">
        <v>12.7</v>
      </c>
    </row>
    <row r="2766" spans="1:38" x14ac:dyDescent="0.25">
      <c r="A2766">
        <v>2765</v>
      </c>
      <c r="B2766" t="str">
        <f xml:space="preserve"> "600268"</f>
        <v>600268</v>
      </c>
      <c r="C2766" t="s">
        <v>8211</v>
      </c>
      <c r="D2766">
        <v>6.46</v>
      </c>
      <c r="E2766">
        <v>0.47</v>
      </c>
      <c r="F2766">
        <v>0.03</v>
      </c>
      <c r="G2766" t="s">
        <v>2360</v>
      </c>
      <c r="H2766">
        <v>924</v>
      </c>
      <c r="I2766">
        <v>6.45</v>
      </c>
      <c r="J2766">
        <v>6.46</v>
      </c>
      <c r="K2766">
        <v>-0.15</v>
      </c>
      <c r="L2766">
        <v>0.35</v>
      </c>
      <c r="M2766" t="s">
        <v>8212</v>
      </c>
      <c r="N2766">
        <v>-21.71</v>
      </c>
      <c r="O2766" t="s">
        <v>680</v>
      </c>
      <c r="P2766">
        <v>6.48</v>
      </c>
      <c r="Q2766">
        <v>6.41</v>
      </c>
      <c r="R2766">
        <v>6.43</v>
      </c>
      <c r="S2766">
        <v>6.43</v>
      </c>
      <c r="T2766">
        <v>1.0900000000000001</v>
      </c>
      <c r="U2766">
        <v>0.52</v>
      </c>
      <c r="V2766">
        <v>-57.01</v>
      </c>
      <c r="W2766">
        <v>-3563</v>
      </c>
      <c r="X2766">
        <v>6.45</v>
      </c>
      <c r="Y2766" t="s">
        <v>316</v>
      </c>
      <c r="Z2766" t="s">
        <v>2284</v>
      </c>
      <c r="AA2766">
        <v>1.1299999999999999</v>
      </c>
      <c r="AB2766">
        <v>284</v>
      </c>
      <c r="AC2766">
        <v>76</v>
      </c>
      <c r="AD2766">
        <v>2.2999999999999998</v>
      </c>
      <c r="AE2766" t="s">
        <v>4215</v>
      </c>
      <c r="AF2766" t="s">
        <v>2633</v>
      </c>
      <c r="AG2766" t="s">
        <v>4215</v>
      </c>
      <c r="AH2766" t="s">
        <v>2633</v>
      </c>
      <c r="AI2766">
        <v>-1.97</v>
      </c>
      <c r="AJ2766">
        <v>1.89</v>
      </c>
      <c r="AK2766">
        <v>1.76</v>
      </c>
      <c r="AL2766">
        <v>3.68</v>
      </c>
    </row>
    <row r="2767" spans="1:38" x14ac:dyDescent="0.25">
      <c r="A2767">
        <v>2766</v>
      </c>
      <c r="B2767" t="str">
        <f xml:space="preserve"> "300635"</f>
        <v>300635</v>
      </c>
      <c r="C2767" t="s">
        <v>8213</v>
      </c>
      <c r="D2767">
        <v>30.24</v>
      </c>
      <c r="E2767">
        <v>5.62</v>
      </c>
      <c r="F2767">
        <v>1.61</v>
      </c>
      <c r="G2767" t="s">
        <v>1105</v>
      </c>
      <c r="H2767">
        <v>1279</v>
      </c>
      <c r="I2767">
        <v>30.24</v>
      </c>
      <c r="J2767">
        <v>30.25</v>
      </c>
      <c r="K2767">
        <v>7.0000000000000007E-2</v>
      </c>
      <c r="L2767">
        <v>48.04</v>
      </c>
      <c r="M2767" t="s">
        <v>1161</v>
      </c>
      <c r="N2767">
        <v>83.1</v>
      </c>
      <c r="O2767" t="s">
        <v>263</v>
      </c>
      <c r="P2767">
        <v>31.49</v>
      </c>
      <c r="Q2767">
        <v>29</v>
      </c>
      <c r="R2767">
        <v>29.46</v>
      </c>
      <c r="S2767">
        <v>28.63</v>
      </c>
      <c r="T2767">
        <v>8.6999999999999993</v>
      </c>
      <c r="U2767">
        <v>1.2</v>
      </c>
      <c r="V2767">
        <v>63.03</v>
      </c>
      <c r="W2767">
        <v>553</v>
      </c>
      <c r="X2767">
        <v>30.63</v>
      </c>
      <c r="Y2767" t="s">
        <v>610</v>
      </c>
      <c r="Z2767" t="s">
        <v>1863</v>
      </c>
      <c r="AA2767">
        <v>0.96</v>
      </c>
      <c r="AB2767">
        <v>18</v>
      </c>
      <c r="AC2767">
        <v>55</v>
      </c>
      <c r="AD2767">
        <v>7.21</v>
      </c>
      <c r="AE2767" t="s">
        <v>1757</v>
      </c>
      <c r="AF2767" t="s">
        <v>2633</v>
      </c>
      <c r="AG2767" t="s">
        <v>8214</v>
      </c>
      <c r="AH2767" t="s">
        <v>707</v>
      </c>
      <c r="AI2767">
        <v>-7.47</v>
      </c>
      <c r="AJ2767">
        <v>-2.14</v>
      </c>
      <c r="AK2767">
        <v>119.46</v>
      </c>
      <c r="AL2767">
        <v>248.87</v>
      </c>
    </row>
    <row r="2768" spans="1:38" x14ac:dyDescent="0.25">
      <c r="A2768">
        <v>2767</v>
      </c>
      <c r="B2768" t="str">
        <f xml:space="preserve"> "300552"</f>
        <v>300552</v>
      </c>
      <c r="C2768" t="s">
        <v>8215</v>
      </c>
      <c r="D2768">
        <v>38.44</v>
      </c>
      <c r="E2768">
        <v>7.08</v>
      </c>
      <c r="F2768">
        <v>2.54</v>
      </c>
      <c r="G2768" t="s">
        <v>2770</v>
      </c>
      <c r="H2768">
        <v>805</v>
      </c>
      <c r="I2768">
        <v>38.43</v>
      </c>
      <c r="J2768">
        <v>38.44</v>
      </c>
      <c r="K2768">
        <v>0</v>
      </c>
      <c r="L2768">
        <v>22.17</v>
      </c>
      <c r="M2768" t="s">
        <v>2942</v>
      </c>
      <c r="N2768">
        <v>280.08</v>
      </c>
      <c r="O2768" t="s">
        <v>893</v>
      </c>
      <c r="P2768">
        <v>39.4</v>
      </c>
      <c r="Q2768">
        <v>36.19</v>
      </c>
      <c r="R2768">
        <v>36.200000000000003</v>
      </c>
      <c r="S2768">
        <v>35.9</v>
      </c>
      <c r="T2768">
        <v>8.94</v>
      </c>
      <c r="U2768">
        <v>1.27</v>
      </c>
      <c r="V2768">
        <v>-46.17</v>
      </c>
      <c r="W2768">
        <v>-223</v>
      </c>
      <c r="X2768">
        <v>38.21</v>
      </c>
      <c r="Y2768" t="s">
        <v>2696</v>
      </c>
      <c r="Z2768" t="s">
        <v>2559</v>
      </c>
      <c r="AA2768">
        <v>0.75</v>
      </c>
      <c r="AB2768">
        <v>101</v>
      </c>
      <c r="AC2768">
        <v>151</v>
      </c>
      <c r="AD2768">
        <v>5.66</v>
      </c>
      <c r="AE2768" t="s">
        <v>1314</v>
      </c>
      <c r="AF2768" t="s">
        <v>2633</v>
      </c>
      <c r="AG2768" t="s">
        <v>8216</v>
      </c>
      <c r="AH2768" t="s">
        <v>707</v>
      </c>
      <c r="AI2768">
        <v>-2.06</v>
      </c>
      <c r="AJ2768">
        <v>10.81</v>
      </c>
      <c r="AK2768">
        <v>54.32</v>
      </c>
      <c r="AL2768">
        <v>109.21</v>
      </c>
    </row>
    <row r="2769" spans="1:38" x14ac:dyDescent="0.25">
      <c r="A2769">
        <v>2768</v>
      </c>
      <c r="B2769" t="str">
        <f xml:space="preserve"> "002757"</f>
        <v>002757</v>
      </c>
      <c r="C2769" t="s">
        <v>8217</v>
      </c>
      <c r="D2769" t="s">
        <v>616</v>
      </c>
      <c r="E2769" t="s">
        <v>616</v>
      </c>
      <c r="F2769" t="s">
        <v>616</v>
      </c>
      <c r="G2769" t="s">
        <v>616</v>
      </c>
      <c r="H2769" t="s">
        <v>616</v>
      </c>
      <c r="I2769" t="s">
        <v>616</v>
      </c>
      <c r="J2769" t="s">
        <v>616</v>
      </c>
      <c r="K2769" t="s">
        <v>616</v>
      </c>
      <c r="L2769" t="s">
        <v>616</v>
      </c>
      <c r="M2769" t="s">
        <v>616</v>
      </c>
      <c r="N2769">
        <v>38.26</v>
      </c>
      <c r="O2769" t="s">
        <v>648</v>
      </c>
      <c r="P2769" t="s">
        <v>616</v>
      </c>
      <c r="Q2769" t="s">
        <v>616</v>
      </c>
      <c r="R2769" t="s">
        <v>616</v>
      </c>
      <c r="S2769">
        <v>37.49</v>
      </c>
      <c r="T2769" t="s">
        <v>616</v>
      </c>
      <c r="U2769" t="s">
        <v>616</v>
      </c>
      <c r="V2769" t="s">
        <v>616</v>
      </c>
      <c r="W2769" t="s">
        <v>616</v>
      </c>
      <c r="X2769" t="s">
        <v>616</v>
      </c>
      <c r="Y2769" t="s">
        <v>616</v>
      </c>
      <c r="Z2769" t="s">
        <v>616</v>
      </c>
      <c r="AA2769" t="s">
        <v>616</v>
      </c>
      <c r="AB2769" t="s">
        <v>616</v>
      </c>
      <c r="AC2769" t="s">
        <v>616</v>
      </c>
      <c r="AD2769">
        <v>5.0199999999999996</v>
      </c>
      <c r="AE2769" t="s">
        <v>4443</v>
      </c>
      <c r="AF2769" t="s">
        <v>2633</v>
      </c>
      <c r="AG2769" t="s">
        <v>8218</v>
      </c>
      <c r="AH2769" t="s">
        <v>2100</v>
      </c>
      <c r="AI2769">
        <v>0</v>
      </c>
      <c r="AJ2769">
        <v>0</v>
      </c>
      <c r="AK2769">
        <v>0</v>
      </c>
      <c r="AL2769">
        <v>0</v>
      </c>
    </row>
    <row r="2770" spans="1:38" x14ac:dyDescent="0.25">
      <c r="A2770">
        <v>2769</v>
      </c>
      <c r="B2770" t="str">
        <f xml:space="preserve"> "300487"</f>
        <v>300487</v>
      </c>
      <c r="C2770" t="s">
        <v>8219</v>
      </c>
      <c r="D2770">
        <v>20.21</v>
      </c>
      <c r="E2770">
        <v>0.85</v>
      </c>
      <c r="F2770">
        <v>0.17</v>
      </c>
      <c r="G2770" t="s">
        <v>2695</v>
      </c>
      <c r="H2770">
        <v>585</v>
      </c>
      <c r="I2770">
        <v>20.2</v>
      </c>
      <c r="J2770">
        <v>20.21</v>
      </c>
      <c r="K2770">
        <v>0.05</v>
      </c>
      <c r="L2770">
        <v>2.98</v>
      </c>
      <c r="M2770" t="s">
        <v>8220</v>
      </c>
      <c r="N2770">
        <v>38.14</v>
      </c>
      <c r="O2770" t="s">
        <v>667</v>
      </c>
      <c r="P2770">
        <v>20.329999999999998</v>
      </c>
      <c r="Q2770">
        <v>19.760000000000002</v>
      </c>
      <c r="R2770">
        <v>19.97</v>
      </c>
      <c r="S2770">
        <v>20.04</v>
      </c>
      <c r="T2770">
        <v>2.84</v>
      </c>
      <c r="U2770">
        <v>0.52</v>
      </c>
      <c r="V2770">
        <v>29.72</v>
      </c>
      <c r="W2770">
        <v>428</v>
      </c>
      <c r="X2770">
        <v>20.04</v>
      </c>
      <c r="Y2770" t="s">
        <v>2370</v>
      </c>
      <c r="Z2770" t="s">
        <v>1095</v>
      </c>
      <c r="AA2770">
        <v>1.02</v>
      </c>
      <c r="AB2770">
        <v>427</v>
      </c>
      <c r="AC2770">
        <v>103</v>
      </c>
      <c r="AD2770">
        <v>5.3</v>
      </c>
      <c r="AE2770" t="s">
        <v>1404</v>
      </c>
      <c r="AF2770" t="s">
        <v>1265</v>
      </c>
      <c r="AG2770" t="s">
        <v>8221</v>
      </c>
      <c r="AH2770" t="s">
        <v>1777</v>
      </c>
      <c r="AI2770">
        <v>-3.39</v>
      </c>
      <c r="AJ2770">
        <v>6.31</v>
      </c>
      <c r="AK2770">
        <v>12.8</v>
      </c>
      <c r="AL2770">
        <v>31.86</v>
      </c>
    </row>
    <row r="2771" spans="1:38" x14ac:dyDescent="0.25">
      <c r="A2771">
        <v>2770</v>
      </c>
      <c r="B2771" t="str">
        <f xml:space="preserve"> "603918"</f>
        <v>603918</v>
      </c>
      <c r="C2771" t="s">
        <v>8222</v>
      </c>
      <c r="D2771">
        <v>23.04</v>
      </c>
      <c r="E2771">
        <v>0.13</v>
      </c>
      <c r="F2771">
        <v>0.03</v>
      </c>
      <c r="G2771" t="s">
        <v>2280</v>
      </c>
      <c r="H2771">
        <v>5</v>
      </c>
      <c r="I2771">
        <v>23.02</v>
      </c>
      <c r="J2771">
        <v>23.04</v>
      </c>
      <c r="K2771">
        <v>0.35</v>
      </c>
      <c r="L2771">
        <v>1.01</v>
      </c>
      <c r="M2771" t="s">
        <v>8223</v>
      </c>
      <c r="N2771">
        <v>2045.73</v>
      </c>
      <c r="O2771" t="s">
        <v>893</v>
      </c>
      <c r="P2771">
        <v>23.28</v>
      </c>
      <c r="Q2771">
        <v>22.82</v>
      </c>
      <c r="R2771">
        <v>23</v>
      </c>
      <c r="S2771">
        <v>23.01</v>
      </c>
      <c r="T2771">
        <v>2</v>
      </c>
      <c r="U2771">
        <v>0.92</v>
      </c>
      <c r="V2771">
        <v>12.08</v>
      </c>
      <c r="W2771">
        <v>50</v>
      </c>
      <c r="X2771">
        <v>23.06</v>
      </c>
      <c r="Y2771">
        <v>7079</v>
      </c>
      <c r="Z2771">
        <v>5334</v>
      </c>
      <c r="AA2771">
        <v>1.33</v>
      </c>
      <c r="AB2771">
        <v>131</v>
      </c>
      <c r="AC2771">
        <v>66</v>
      </c>
      <c r="AD2771">
        <v>8.7899999999999991</v>
      </c>
      <c r="AE2771" t="s">
        <v>3310</v>
      </c>
      <c r="AF2771" t="s">
        <v>1265</v>
      </c>
      <c r="AG2771" t="s">
        <v>2442</v>
      </c>
      <c r="AH2771" t="s">
        <v>2104</v>
      </c>
      <c r="AI2771">
        <v>-0.48</v>
      </c>
      <c r="AJ2771">
        <v>3.23</v>
      </c>
      <c r="AK2771">
        <v>3.9</v>
      </c>
      <c r="AL2771">
        <v>6.49</v>
      </c>
    </row>
    <row r="2772" spans="1:38" x14ac:dyDescent="0.25">
      <c r="A2772">
        <v>2771</v>
      </c>
      <c r="B2772" t="str">
        <f xml:space="preserve"> "600178"</f>
        <v>600178</v>
      </c>
      <c r="C2772" t="s">
        <v>8224</v>
      </c>
      <c r="D2772">
        <v>8.84</v>
      </c>
      <c r="E2772">
        <v>0.23</v>
      </c>
      <c r="F2772">
        <v>0.02</v>
      </c>
      <c r="G2772" t="s">
        <v>105</v>
      </c>
      <c r="H2772">
        <v>5</v>
      </c>
      <c r="I2772">
        <v>8.83</v>
      </c>
      <c r="J2772">
        <v>8.84</v>
      </c>
      <c r="K2772">
        <v>0</v>
      </c>
      <c r="L2772">
        <v>0.84</v>
      </c>
      <c r="M2772" t="s">
        <v>8225</v>
      </c>
      <c r="N2772">
        <v>51.87</v>
      </c>
      <c r="O2772" t="s">
        <v>169</v>
      </c>
      <c r="P2772">
        <v>8.85</v>
      </c>
      <c r="Q2772">
        <v>8.74</v>
      </c>
      <c r="R2772">
        <v>8.7899999999999991</v>
      </c>
      <c r="S2772">
        <v>8.82</v>
      </c>
      <c r="T2772">
        <v>1.25</v>
      </c>
      <c r="U2772">
        <v>0.55000000000000004</v>
      </c>
      <c r="V2772">
        <v>-52.22</v>
      </c>
      <c r="W2772">
        <v>-1791</v>
      </c>
      <c r="X2772">
        <v>8.7899999999999991</v>
      </c>
      <c r="Y2772" t="s">
        <v>3892</v>
      </c>
      <c r="Z2772" t="s">
        <v>884</v>
      </c>
      <c r="AA2772">
        <v>1.02</v>
      </c>
      <c r="AB2772">
        <v>29</v>
      </c>
      <c r="AC2772">
        <v>164</v>
      </c>
      <c r="AD2772">
        <v>2.1800000000000002</v>
      </c>
      <c r="AE2772" t="s">
        <v>772</v>
      </c>
      <c r="AF2772" t="s">
        <v>760</v>
      </c>
      <c r="AG2772" t="s">
        <v>772</v>
      </c>
      <c r="AH2772" t="s">
        <v>760</v>
      </c>
      <c r="AI2772">
        <v>-0.67</v>
      </c>
      <c r="AJ2772">
        <v>2.2000000000000002</v>
      </c>
      <c r="AK2772">
        <v>3.67</v>
      </c>
      <c r="AL2772">
        <v>8.52</v>
      </c>
    </row>
    <row r="2773" spans="1:38" x14ac:dyDescent="0.25">
      <c r="A2773">
        <v>2772</v>
      </c>
      <c r="B2773" t="str">
        <f xml:space="preserve"> "002404"</f>
        <v>002404</v>
      </c>
      <c r="C2773" t="s">
        <v>8226</v>
      </c>
      <c r="D2773">
        <v>7.84</v>
      </c>
      <c r="E2773">
        <v>0.26</v>
      </c>
      <c r="F2773">
        <v>0.02</v>
      </c>
      <c r="G2773" t="s">
        <v>3825</v>
      </c>
      <c r="H2773">
        <v>597</v>
      </c>
      <c r="I2773">
        <v>7.83</v>
      </c>
      <c r="J2773">
        <v>7.84</v>
      </c>
      <c r="K2773">
        <v>0</v>
      </c>
      <c r="L2773">
        <v>0.56000000000000005</v>
      </c>
      <c r="M2773" t="s">
        <v>5813</v>
      </c>
      <c r="N2773">
        <v>33.57</v>
      </c>
      <c r="O2773" t="s">
        <v>1443</v>
      </c>
      <c r="P2773">
        <v>7.84</v>
      </c>
      <c r="Q2773">
        <v>7.77</v>
      </c>
      <c r="R2773">
        <v>7.83</v>
      </c>
      <c r="S2773">
        <v>7.82</v>
      </c>
      <c r="T2773">
        <v>0.9</v>
      </c>
      <c r="U2773">
        <v>0.81</v>
      </c>
      <c r="V2773">
        <v>-45.16</v>
      </c>
      <c r="W2773">
        <v>-1823</v>
      </c>
      <c r="X2773">
        <v>7.8</v>
      </c>
      <c r="Y2773" t="s">
        <v>2089</v>
      </c>
      <c r="Z2773" t="s">
        <v>2800</v>
      </c>
      <c r="AA2773">
        <v>1.1299999999999999</v>
      </c>
      <c r="AB2773">
        <v>397</v>
      </c>
      <c r="AC2773">
        <v>180</v>
      </c>
      <c r="AD2773">
        <v>3.2</v>
      </c>
      <c r="AE2773" t="s">
        <v>4869</v>
      </c>
      <c r="AF2773" t="s">
        <v>760</v>
      </c>
      <c r="AG2773" t="s">
        <v>1000</v>
      </c>
      <c r="AH2773" t="s">
        <v>1944</v>
      </c>
      <c r="AI2773">
        <v>-0.13</v>
      </c>
      <c r="AJ2773">
        <v>3.16</v>
      </c>
      <c r="AK2773">
        <v>2.0299999999999998</v>
      </c>
      <c r="AL2773">
        <v>4.03</v>
      </c>
    </row>
    <row r="2774" spans="1:38" x14ac:dyDescent="0.25">
      <c r="A2774">
        <v>2773</v>
      </c>
      <c r="B2774" t="str">
        <f xml:space="preserve"> "603496"</f>
        <v>603496</v>
      </c>
      <c r="C2774" t="s">
        <v>8227</v>
      </c>
      <c r="D2774">
        <v>40.78</v>
      </c>
      <c r="E2774">
        <v>1.27</v>
      </c>
      <c r="F2774">
        <v>0.51</v>
      </c>
      <c r="G2774" t="s">
        <v>800</v>
      </c>
      <c r="H2774">
        <v>63</v>
      </c>
      <c r="I2774">
        <v>40.72</v>
      </c>
      <c r="J2774">
        <v>40.78</v>
      </c>
      <c r="K2774">
        <v>0.52</v>
      </c>
      <c r="L2774">
        <v>17.62</v>
      </c>
      <c r="M2774" t="s">
        <v>3336</v>
      </c>
      <c r="N2774">
        <v>60.14</v>
      </c>
      <c r="O2774" t="s">
        <v>580</v>
      </c>
      <c r="P2774">
        <v>40.880000000000003</v>
      </c>
      <c r="Q2774">
        <v>38.880000000000003</v>
      </c>
      <c r="R2774">
        <v>39.61</v>
      </c>
      <c r="S2774">
        <v>40.270000000000003</v>
      </c>
      <c r="T2774">
        <v>4.97</v>
      </c>
      <c r="U2774">
        <v>1.05</v>
      </c>
      <c r="V2774">
        <v>-9.17</v>
      </c>
      <c r="W2774">
        <v>-22</v>
      </c>
      <c r="X2774">
        <v>39.79</v>
      </c>
      <c r="Y2774" t="s">
        <v>2088</v>
      </c>
      <c r="Z2774" t="s">
        <v>2653</v>
      </c>
      <c r="AA2774">
        <v>1.0900000000000001</v>
      </c>
      <c r="AB2774">
        <v>20</v>
      </c>
      <c r="AC2774">
        <v>5</v>
      </c>
      <c r="AD2774">
        <v>6.64</v>
      </c>
      <c r="AE2774" t="s">
        <v>4464</v>
      </c>
      <c r="AF2774" t="s">
        <v>760</v>
      </c>
      <c r="AG2774" t="s">
        <v>5931</v>
      </c>
      <c r="AH2774" t="s">
        <v>1766</v>
      </c>
      <c r="AI2774">
        <v>2.93</v>
      </c>
      <c r="AJ2774">
        <v>12.31</v>
      </c>
      <c r="AK2774">
        <v>54.48</v>
      </c>
      <c r="AL2774">
        <v>101.27</v>
      </c>
    </row>
    <row r="2775" spans="1:38" x14ac:dyDescent="0.25">
      <c r="A2775">
        <v>2774</v>
      </c>
      <c r="B2775" t="str">
        <f xml:space="preserve"> "002793"</f>
        <v>002793</v>
      </c>
      <c r="C2775" t="s">
        <v>8228</v>
      </c>
      <c r="D2775">
        <v>20.39</v>
      </c>
      <c r="E2775">
        <v>0.94</v>
      </c>
      <c r="F2775">
        <v>0.19</v>
      </c>
      <c r="G2775" t="s">
        <v>2616</v>
      </c>
      <c r="H2775">
        <v>121</v>
      </c>
      <c r="I2775">
        <v>20.38</v>
      </c>
      <c r="J2775">
        <v>20.39</v>
      </c>
      <c r="K2775">
        <v>0</v>
      </c>
      <c r="L2775">
        <v>2.0099999999999998</v>
      </c>
      <c r="M2775" t="s">
        <v>7087</v>
      </c>
      <c r="N2775">
        <v>31.38</v>
      </c>
      <c r="O2775" t="s">
        <v>648</v>
      </c>
      <c r="P2775">
        <v>20.52</v>
      </c>
      <c r="Q2775">
        <v>20.2</v>
      </c>
      <c r="R2775">
        <v>20.2</v>
      </c>
      <c r="S2775">
        <v>20.2</v>
      </c>
      <c r="T2775">
        <v>1.58</v>
      </c>
      <c r="U2775">
        <v>0.9</v>
      </c>
      <c r="V2775">
        <v>22.76</v>
      </c>
      <c r="W2775">
        <v>175</v>
      </c>
      <c r="X2775">
        <v>20.38</v>
      </c>
      <c r="Y2775">
        <v>6231</v>
      </c>
      <c r="Z2775">
        <v>6857</v>
      </c>
      <c r="AA2775">
        <v>0.91</v>
      </c>
      <c r="AB2775">
        <v>82</v>
      </c>
      <c r="AC2775">
        <v>27</v>
      </c>
      <c r="AD2775">
        <v>5.8</v>
      </c>
      <c r="AE2775" t="s">
        <v>1485</v>
      </c>
      <c r="AF2775" t="s">
        <v>760</v>
      </c>
      <c r="AG2775" t="s">
        <v>3516</v>
      </c>
      <c r="AH2775" t="s">
        <v>3285</v>
      </c>
      <c r="AI2775">
        <v>-0.24</v>
      </c>
      <c r="AJ2775">
        <v>3.4</v>
      </c>
      <c r="AK2775">
        <v>7.13</v>
      </c>
      <c r="AL2775">
        <v>13.13</v>
      </c>
    </row>
    <row r="2776" spans="1:38" x14ac:dyDescent="0.25">
      <c r="A2776">
        <v>2775</v>
      </c>
      <c r="B2776" t="str">
        <f xml:space="preserve"> "000677"</f>
        <v>000677</v>
      </c>
      <c r="C2776" t="s">
        <v>8229</v>
      </c>
      <c r="D2776" t="s">
        <v>616</v>
      </c>
      <c r="E2776" t="s">
        <v>616</v>
      </c>
      <c r="F2776" t="s">
        <v>616</v>
      </c>
      <c r="G2776" t="s">
        <v>616</v>
      </c>
      <c r="H2776" t="s">
        <v>616</v>
      </c>
      <c r="I2776" t="s">
        <v>616</v>
      </c>
      <c r="J2776" t="s">
        <v>616</v>
      </c>
      <c r="K2776" t="s">
        <v>616</v>
      </c>
      <c r="L2776" t="s">
        <v>616</v>
      </c>
      <c r="M2776" t="s">
        <v>616</v>
      </c>
      <c r="N2776">
        <v>703.66</v>
      </c>
      <c r="O2776" t="s">
        <v>1798</v>
      </c>
      <c r="P2776" t="s">
        <v>616</v>
      </c>
      <c r="Q2776" t="s">
        <v>616</v>
      </c>
      <c r="R2776" t="s">
        <v>616</v>
      </c>
      <c r="S2776">
        <v>4.72</v>
      </c>
      <c r="T2776" t="s">
        <v>616</v>
      </c>
      <c r="U2776" t="s">
        <v>616</v>
      </c>
      <c r="V2776" t="s">
        <v>616</v>
      </c>
      <c r="W2776" t="s">
        <v>616</v>
      </c>
      <c r="X2776" t="s">
        <v>616</v>
      </c>
      <c r="Y2776" t="s">
        <v>616</v>
      </c>
      <c r="Z2776" t="s">
        <v>616</v>
      </c>
      <c r="AA2776" t="s">
        <v>616</v>
      </c>
      <c r="AB2776" t="s">
        <v>616</v>
      </c>
      <c r="AC2776" t="s">
        <v>616</v>
      </c>
      <c r="AD2776">
        <v>14.91</v>
      </c>
      <c r="AE2776" t="s">
        <v>4327</v>
      </c>
      <c r="AF2776" t="s">
        <v>760</v>
      </c>
      <c r="AG2776" t="s">
        <v>4327</v>
      </c>
      <c r="AH2776" t="s">
        <v>760</v>
      </c>
      <c r="AI2776">
        <v>0</v>
      </c>
      <c r="AJ2776">
        <v>0</v>
      </c>
      <c r="AK2776">
        <v>0</v>
      </c>
      <c r="AL2776">
        <v>0.34</v>
      </c>
    </row>
    <row r="2777" spans="1:38" x14ac:dyDescent="0.25">
      <c r="A2777">
        <v>2776</v>
      </c>
      <c r="B2777" t="str">
        <f xml:space="preserve"> "002576"</f>
        <v>002576</v>
      </c>
      <c r="C2777" t="s">
        <v>8230</v>
      </c>
      <c r="D2777" t="s">
        <v>616</v>
      </c>
      <c r="E2777" t="s">
        <v>616</v>
      </c>
      <c r="F2777" t="s">
        <v>616</v>
      </c>
      <c r="G2777" t="s">
        <v>616</v>
      </c>
      <c r="H2777" t="s">
        <v>616</v>
      </c>
      <c r="I2777" t="s">
        <v>616</v>
      </c>
      <c r="J2777" t="s">
        <v>616</v>
      </c>
      <c r="K2777" t="s">
        <v>616</v>
      </c>
      <c r="L2777" t="s">
        <v>616</v>
      </c>
      <c r="M2777" t="s">
        <v>616</v>
      </c>
      <c r="N2777">
        <v>114.25</v>
      </c>
      <c r="O2777" t="s">
        <v>680</v>
      </c>
      <c r="P2777" t="s">
        <v>616</v>
      </c>
      <c r="Q2777" t="s">
        <v>616</v>
      </c>
      <c r="R2777" t="s">
        <v>616</v>
      </c>
      <c r="S2777">
        <v>24.66</v>
      </c>
      <c r="T2777" t="s">
        <v>616</v>
      </c>
      <c r="U2777" t="s">
        <v>616</v>
      </c>
      <c r="V2777" t="s">
        <v>616</v>
      </c>
      <c r="W2777" t="s">
        <v>616</v>
      </c>
      <c r="X2777" t="s">
        <v>616</v>
      </c>
      <c r="Y2777" t="s">
        <v>616</v>
      </c>
      <c r="Z2777" t="s">
        <v>616</v>
      </c>
      <c r="AA2777" t="s">
        <v>616</v>
      </c>
      <c r="AB2777" t="s">
        <v>616</v>
      </c>
      <c r="AC2777" t="s">
        <v>616</v>
      </c>
      <c r="AD2777">
        <v>4.6900000000000004</v>
      </c>
      <c r="AE2777" t="s">
        <v>1112</v>
      </c>
      <c r="AF2777" t="s">
        <v>3422</v>
      </c>
      <c r="AG2777" t="s">
        <v>60</v>
      </c>
      <c r="AH2777" t="s">
        <v>2588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>
        <v>2777</v>
      </c>
      <c r="B2778" t="str">
        <f xml:space="preserve"> "600275"</f>
        <v>600275</v>
      </c>
      <c r="C2778" t="s">
        <v>8231</v>
      </c>
      <c r="D2778">
        <v>8</v>
      </c>
      <c r="E2778">
        <v>1.78</v>
      </c>
      <c r="F2778">
        <v>0.14000000000000001</v>
      </c>
      <c r="G2778" t="s">
        <v>792</v>
      </c>
      <c r="H2778">
        <v>2</v>
      </c>
      <c r="I2778">
        <v>7.99</v>
      </c>
      <c r="J2778">
        <v>8</v>
      </c>
      <c r="K2778">
        <v>0</v>
      </c>
      <c r="L2778">
        <v>1.03</v>
      </c>
      <c r="M2778" t="s">
        <v>8232</v>
      </c>
      <c r="N2778">
        <v>-130.63999999999999</v>
      </c>
      <c r="O2778" t="s">
        <v>244</v>
      </c>
      <c r="P2778">
        <v>8.07</v>
      </c>
      <c r="Q2778">
        <v>7.5</v>
      </c>
      <c r="R2778">
        <v>7.81</v>
      </c>
      <c r="S2778">
        <v>7.86</v>
      </c>
      <c r="T2778">
        <v>7.25</v>
      </c>
      <c r="U2778">
        <v>1.25</v>
      </c>
      <c r="V2778">
        <v>-78.599999999999994</v>
      </c>
      <c r="W2778">
        <v>-1932</v>
      </c>
      <c r="X2778">
        <v>7.83</v>
      </c>
      <c r="Y2778" t="s">
        <v>1724</v>
      </c>
      <c r="Z2778" t="s">
        <v>4378</v>
      </c>
      <c r="AA2778">
        <v>0.67</v>
      </c>
      <c r="AB2778">
        <v>15</v>
      </c>
      <c r="AC2778">
        <v>1049</v>
      </c>
      <c r="AD2778">
        <v>31.92</v>
      </c>
      <c r="AE2778" t="s">
        <v>4925</v>
      </c>
      <c r="AF2778" t="s">
        <v>3422</v>
      </c>
      <c r="AG2778" t="s">
        <v>4925</v>
      </c>
      <c r="AH2778" t="s">
        <v>3422</v>
      </c>
      <c r="AI2778">
        <v>-7.62</v>
      </c>
      <c r="AJ2778">
        <v>-3.03</v>
      </c>
      <c r="AK2778">
        <v>3.36</v>
      </c>
      <c r="AL2778">
        <v>5.15</v>
      </c>
    </row>
    <row r="2779" spans="1:38" x14ac:dyDescent="0.25">
      <c r="A2779">
        <v>2778</v>
      </c>
      <c r="B2779" t="str">
        <f xml:space="preserve"> "300400"</f>
        <v>300400</v>
      </c>
      <c r="C2779" t="s">
        <v>8233</v>
      </c>
      <c r="D2779">
        <v>16.96</v>
      </c>
      <c r="E2779">
        <v>0</v>
      </c>
      <c r="F2779">
        <v>0</v>
      </c>
      <c r="G2779" t="s">
        <v>1704</v>
      </c>
      <c r="H2779">
        <v>423</v>
      </c>
      <c r="I2779">
        <v>16.95</v>
      </c>
      <c r="J2779">
        <v>16.96</v>
      </c>
      <c r="K2779">
        <v>0.06</v>
      </c>
      <c r="L2779">
        <v>1.69</v>
      </c>
      <c r="M2779" t="s">
        <v>8234</v>
      </c>
      <c r="N2779">
        <v>66.33</v>
      </c>
      <c r="O2779" t="s">
        <v>648</v>
      </c>
      <c r="P2779">
        <v>17.149999999999999</v>
      </c>
      <c r="Q2779">
        <v>16.68</v>
      </c>
      <c r="R2779">
        <v>16.98</v>
      </c>
      <c r="S2779">
        <v>16.96</v>
      </c>
      <c r="T2779">
        <v>2.77</v>
      </c>
      <c r="U2779">
        <v>0.63</v>
      </c>
      <c r="V2779">
        <v>-48.12</v>
      </c>
      <c r="W2779">
        <v>-729</v>
      </c>
      <c r="X2779">
        <v>16.91</v>
      </c>
      <c r="Y2779" t="s">
        <v>433</v>
      </c>
      <c r="Z2779" t="s">
        <v>808</v>
      </c>
      <c r="AA2779">
        <v>1.37</v>
      </c>
      <c r="AB2779">
        <v>138</v>
      </c>
      <c r="AC2779">
        <v>201</v>
      </c>
      <c r="AD2779">
        <v>9.14</v>
      </c>
      <c r="AE2779" t="s">
        <v>2521</v>
      </c>
      <c r="AF2779" t="s">
        <v>3422</v>
      </c>
      <c r="AG2779" t="s">
        <v>3053</v>
      </c>
      <c r="AH2779" t="s">
        <v>1279</v>
      </c>
      <c r="AI2779">
        <v>0.06</v>
      </c>
      <c r="AJ2779">
        <v>8.09</v>
      </c>
      <c r="AK2779">
        <v>6.84</v>
      </c>
      <c r="AL2779">
        <v>15.13</v>
      </c>
    </row>
    <row r="2780" spans="1:38" x14ac:dyDescent="0.25">
      <c r="A2780">
        <v>2779</v>
      </c>
      <c r="B2780" t="str">
        <f xml:space="preserve"> "300023"</f>
        <v>300023</v>
      </c>
      <c r="C2780" t="s">
        <v>8235</v>
      </c>
      <c r="D2780">
        <v>12.87</v>
      </c>
      <c r="E2780">
        <v>1.5</v>
      </c>
      <c r="F2780">
        <v>0.19</v>
      </c>
      <c r="G2780" t="s">
        <v>1420</v>
      </c>
      <c r="H2780">
        <v>316</v>
      </c>
      <c r="I2780">
        <v>12.87</v>
      </c>
      <c r="J2780">
        <v>12.88</v>
      </c>
      <c r="K2780">
        <v>0</v>
      </c>
      <c r="L2780">
        <v>1.63</v>
      </c>
      <c r="M2780" t="s">
        <v>8236</v>
      </c>
      <c r="N2780">
        <v>46.68</v>
      </c>
      <c r="O2780" t="s">
        <v>2647</v>
      </c>
      <c r="P2780">
        <v>12.95</v>
      </c>
      <c r="Q2780">
        <v>12.64</v>
      </c>
      <c r="R2780">
        <v>12.68</v>
      </c>
      <c r="S2780">
        <v>12.68</v>
      </c>
      <c r="T2780">
        <v>2.44</v>
      </c>
      <c r="U2780">
        <v>1.06</v>
      </c>
      <c r="V2780">
        <v>-39.090000000000003</v>
      </c>
      <c r="W2780">
        <v>-915</v>
      </c>
      <c r="X2780">
        <v>12.85</v>
      </c>
      <c r="Y2780">
        <v>8730</v>
      </c>
      <c r="Z2780" t="s">
        <v>124</v>
      </c>
      <c r="AA2780">
        <v>0.69</v>
      </c>
      <c r="AB2780">
        <v>387</v>
      </c>
      <c r="AC2780">
        <v>82</v>
      </c>
      <c r="AD2780">
        <v>3.74</v>
      </c>
      <c r="AE2780" t="s">
        <v>2471</v>
      </c>
      <c r="AF2780" t="s">
        <v>3422</v>
      </c>
      <c r="AG2780" t="s">
        <v>2065</v>
      </c>
      <c r="AH2780" t="s">
        <v>2840</v>
      </c>
      <c r="AI2780">
        <v>0.55000000000000004</v>
      </c>
      <c r="AJ2780">
        <v>5.67</v>
      </c>
      <c r="AK2780">
        <v>4.55</v>
      </c>
      <c r="AL2780">
        <v>9.33</v>
      </c>
    </row>
    <row r="2781" spans="1:38" x14ac:dyDescent="0.25">
      <c r="A2781">
        <v>2780</v>
      </c>
      <c r="B2781" t="str">
        <f xml:space="preserve"> "300175"</f>
        <v>300175</v>
      </c>
      <c r="C2781" t="s">
        <v>8237</v>
      </c>
      <c r="D2781">
        <v>8.64</v>
      </c>
      <c r="E2781">
        <v>-1.37</v>
      </c>
      <c r="F2781">
        <v>-0.12</v>
      </c>
      <c r="G2781" t="s">
        <v>780</v>
      </c>
      <c r="H2781">
        <v>633</v>
      </c>
      <c r="I2781">
        <v>8.6300000000000008</v>
      </c>
      <c r="J2781">
        <v>8.64</v>
      </c>
      <c r="K2781">
        <v>0</v>
      </c>
      <c r="L2781">
        <v>1.51</v>
      </c>
      <c r="M2781" t="s">
        <v>8238</v>
      </c>
      <c r="N2781">
        <v>43.84</v>
      </c>
      <c r="O2781" t="s">
        <v>622</v>
      </c>
      <c r="P2781">
        <v>8.7100000000000009</v>
      </c>
      <c r="Q2781">
        <v>8.5299999999999994</v>
      </c>
      <c r="R2781">
        <v>8.7100000000000009</v>
      </c>
      <c r="S2781">
        <v>8.76</v>
      </c>
      <c r="T2781">
        <v>2.0499999999999998</v>
      </c>
      <c r="U2781">
        <v>0.8</v>
      </c>
      <c r="V2781">
        <v>-5.89</v>
      </c>
      <c r="W2781">
        <v>-262</v>
      </c>
      <c r="X2781">
        <v>8.61</v>
      </c>
      <c r="Y2781" t="s">
        <v>2402</v>
      </c>
      <c r="Z2781" t="s">
        <v>2950</v>
      </c>
      <c r="AA2781">
        <v>1.43</v>
      </c>
      <c r="AB2781">
        <v>499</v>
      </c>
      <c r="AC2781">
        <v>899</v>
      </c>
      <c r="AD2781">
        <v>5.0599999999999996</v>
      </c>
      <c r="AE2781" t="s">
        <v>6453</v>
      </c>
      <c r="AF2781" t="s">
        <v>3422</v>
      </c>
      <c r="AG2781" t="s">
        <v>772</v>
      </c>
      <c r="AH2781" t="s">
        <v>1127</v>
      </c>
      <c r="AI2781">
        <v>-0.92</v>
      </c>
      <c r="AJ2781">
        <v>6.01</v>
      </c>
      <c r="AK2781">
        <v>5.93</v>
      </c>
      <c r="AL2781">
        <v>11.02</v>
      </c>
    </row>
    <row r="2782" spans="1:38" x14ac:dyDescent="0.25">
      <c r="A2782">
        <v>2781</v>
      </c>
      <c r="B2782" t="str">
        <f xml:space="preserve"> "600408"</f>
        <v>600408</v>
      </c>
      <c r="C2782" t="s">
        <v>8239</v>
      </c>
      <c r="D2782">
        <v>4.04</v>
      </c>
      <c r="E2782">
        <v>0.75</v>
      </c>
      <c r="F2782">
        <v>0.03</v>
      </c>
      <c r="G2782" t="s">
        <v>2394</v>
      </c>
      <c r="H2782">
        <v>53</v>
      </c>
      <c r="I2782">
        <v>4.03</v>
      </c>
      <c r="J2782">
        <v>4.04</v>
      </c>
      <c r="K2782">
        <v>0</v>
      </c>
      <c r="L2782">
        <v>0.99</v>
      </c>
      <c r="M2782" t="s">
        <v>8240</v>
      </c>
      <c r="N2782">
        <v>-30.35</v>
      </c>
      <c r="O2782" t="s">
        <v>150</v>
      </c>
      <c r="P2782">
        <v>4.09</v>
      </c>
      <c r="Q2782">
        <v>3.99</v>
      </c>
      <c r="R2782">
        <v>4.03</v>
      </c>
      <c r="S2782">
        <v>4.01</v>
      </c>
      <c r="T2782">
        <v>2.4900000000000002</v>
      </c>
      <c r="U2782">
        <v>0.9</v>
      </c>
      <c r="V2782">
        <v>1.85</v>
      </c>
      <c r="W2782">
        <v>258</v>
      </c>
      <c r="X2782">
        <v>4.04</v>
      </c>
      <c r="Y2782" t="s">
        <v>832</v>
      </c>
      <c r="Z2782" t="s">
        <v>1730</v>
      </c>
      <c r="AA2782">
        <v>0.87</v>
      </c>
      <c r="AB2782">
        <v>1189</v>
      </c>
      <c r="AC2782">
        <v>112</v>
      </c>
      <c r="AD2782">
        <v>4.53</v>
      </c>
      <c r="AE2782" t="s">
        <v>262</v>
      </c>
      <c r="AF2782" t="s">
        <v>3422</v>
      </c>
      <c r="AG2782" t="s">
        <v>262</v>
      </c>
      <c r="AH2782" t="s">
        <v>3422</v>
      </c>
      <c r="AI2782">
        <v>-3.35</v>
      </c>
      <c r="AJ2782">
        <v>-4.49</v>
      </c>
      <c r="AK2782">
        <v>3.84</v>
      </c>
      <c r="AL2782">
        <v>6.47</v>
      </c>
    </row>
    <row r="2783" spans="1:38" x14ac:dyDescent="0.25">
      <c r="A2783">
        <v>2782</v>
      </c>
      <c r="B2783" t="str">
        <f xml:space="preserve"> "603311"</f>
        <v>603311</v>
      </c>
      <c r="C2783" t="s">
        <v>8241</v>
      </c>
      <c r="D2783">
        <v>19.36</v>
      </c>
      <c r="E2783">
        <v>5.39</v>
      </c>
      <c r="F2783">
        <v>0.99</v>
      </c>
      <c r="G2783" t="s">
        <v>2947</v>
      </c>
      <c r="H2783">
        <v>5</v>
      </c>
      <c r="I2783">
        <v>19.34</v>
      </c>
      <c r="J2783">
        <v>19.350000000000001</v>
      </c>
      <c r="K2783">
        <v>-0.05</v>
      </c>
      <c r="L2783">
        <v>8.0299999999999994</v>
      </c>
      <c r="M2783" t="s">
        <v>2106</v>
      </c>
      <c r="N2783">
        <v>40.22</v>
      </c>
      <c r="O2783" t="s">
        <v>2647</v>
      </c>
      <c r="P2783">
        <v>19.989999999999998</v>
      </c>
      <c r="Q2783">
        <v>18.21</v>
      </c>
      <c r="R2783">
        <v>18.399999999999999</v>
      </c>
      <c r="S2783">
        <v>18.37</v>
      </c>
      <c r="T2783">
        <v>9.69</v>
      </c>
      <c r="U2783">
        <v>6.11</v>
      </c>
      <c r="V2783">
        <v>28.37</v>
      </c>
      <c r="W2783">
        <v>297</v>
      </c>
      <c r="X2783">
        <v>19.23</v>
      </c>
      <c r="Y2783" t="s">
        <v>3987</v>
      </c>
      <c r="Z2783" t="s">
        <v>1315</v>
      </c>
      <c r="AA2783">
        <v>0.64</v>
      </c>
      <c r="AB2783">
        <v>503</v>
      </c>
      <c r="AC2783">
        <v>13</v>
      </c>
      <c r="AD2783">
        <v>6.09</v>
      </c>
      <c r="AE2783" t="s">
        <v>1538</v>
      </c>
      <c r="AF2783" t="s">
        <v>3422</v>
      </c>
      <c r="AG2783" t="s">
        <v>8242</v>
      </c>
      <c r="AH2783" t="s">
        <v>2434</v>
      </c>
      <c r="AI2783">
        <v>4.54</v>
      </c>
      <c r="AJ2783">
        <v>9.26</v>
      </c>
      <c r="AK2783">
        <v>10.27</v>
      </c>
      <c r="AL2783">
        <v>14.59</v>
      </c>
    </row>
    <row r="2784" spans="1:38" x14ac:dyDescent="0.25">
      <c r="A2784">
        <v>2783</v>
      </c>
      <c r="B2784" t="str">
        <f xml:space="preserve"> "300449"</f>
        <v>300449</v>
      </c>
      <c r="C2784" t="s">
        <v>8243</v>
      </c>
      <c r="D2784">
        <v>26.12</v>
      </c>
      <c r="E2784">
        <v>-0.11</v>
      </c>
      <c r="F2784">
        <v>-0.03</v>
      </c>
      <c r="G2784" t="s">
        <v>86</v>
      </c>
      <c r="H2784">
        <v>621</v>
      </c>
      <c r="I2784">
        <v>26.12</v>
      </c>
      <c r="J2784">
        <v>26.14</v>
      </c>
      <c r="K2784">
        <v>-0.15</v>
      </c>
      <c r="L2784">
        <v>2.58</v>
      </c>
      <c r="M2784" t="s">
        <v>8244</v>
      </c>
      <c r="N2784">
        <v>2833.37</v>
      </c>
      <c r="O2784" t="s">
        <v>205</v>
      </c>
      <c r="P2784">
        <v>26.39</v>
      </c>
      <c r="Q2784">
        <v>25.68</v>
      </c>
      <c r="R2784">
        <v>26.21</v>
      </c>
      <c r="S2784">
        <v>26.15</v>
      </c>
      <c r="T2784">
        <v>2.72</v>
      </c>
      <c r="U2784">
        <v>1.17</v>
      </c>
      <c r="V2784">
        <v>45.66</v>
      </c>
      <c r="W2784">
        <v>363</v>
      </c>
      <c r="X2784">
        <v>26.08</v>
      </c>
      <c r="Y2784" t="s">
        <v>2280</v>
      </c>
      <c r="Z2784" t="s">
        <v>2002</v>
      </c>
      <c r="AA2784">
        <v>1.1000000000000001</v>
      </c>
      <c r="AB2784">
        <v>154</v>
      </c>
      <c r="AC2784">
        <v>8</v>
      </c>
      <c r="AD2784">
        <v>3.53</v>
      </c>
      <c r="AE2784" t="s">
        <v>2049</v>
      </c>
      <c r="AF2784" t="s">
        <v>8245</v>
      </c>
      <c r="AG2784" t="s">
        <v>8246</v>
      </c>
      <c r="AH2784" t="s">
        <v>1184</v>
      </c>
      <c r="AI2784">
        <v>-6.48</v>
      </c>
      <c r="AJ2784">
        <v>-2.54</v>
      </c>
      <c r="AK2784">
        <v>8.42</v>
      </c>
      <c r="AL2784">
        <v>13.6</v>
      </c>
    </row>
    <row r="2785" spans="1:38" x14ac:dyDescent="0.25">
      <c r="A2785">
        <v>2784</v>
      </c>
      <c r="B2785" t="str">
        <f xml:space="preserve"> "300549"</f>
        <v>300549</v>
      </c>
      <c r="C2785" t="s">
        <v>8247</v>
      </c>
      <c r="D2785">
        <v>30.46</v>
      </c>
      <c r="E2785">
        <v>2.15</v>
      </c>
      <c r="F2785">
        <v>0.64</v>
      </c>
      <c r="G2785" t="s">
        <v>1074</v>
      </c>
      <c r="H2785">
        <v>414</v>
      </c>
      <c r="I2785">
        <v>30.46</v>
      </c>
      <c r="J2785">
        <v>30.47</v>
      </c>
      <c r="K2785">
        <v>0</v>
      </c>
      <c r="L2785">
        <v>5.32</v>
      </c>
      <c r="M2785" t="s">
        <v>8248</v>
      </c>
      <c r="N2785">
        <v>49.79</v>
      </c>
      <c r="O2785" t="s">
        <v>2647</v>
      </c>
      <c r="P2785">
        <v>31</v>
      </c>
      <c r="Q2785">
        <v>29.84</v>
      </c>
      <c r="R2785">
        <v>30</v>
      </c>
      <c r="S2785">
        <v>29.82</v>
      </c>
      <c r="T2785">
        <v>3.89</v>
      </c>
      <c r="U2785">
        <v>1.92</v>
      </c>
      <c r="V2785">
        <v>-0.88</v>
      </c>
      <c r="W2785">
        <v>-7</v>
      </c>
      <c r="X2785">
        <v>30.43</v>
      </c>
      <c r="Y2785" t="s">
        <v>545</v>
      </c>
      <c r="Z2785" t="s">
        <v>507</v>
      </c>
      <c r="AA2785">
        <v>0.66</v>
      </c>
      <c r="AB2785">
        <v>185</v>
      </c>
      <c r="AC2785">
        <v>15</v>
      </c>
      <c r="AD2785">
        <v>8.75</v>
      </c>
      <c r="AE2785" t="s">
        <v>333</v>
      </c>
      <c r="AF2785" t="s">
        <v>8245</v>
      </c>
      <c r="AG2785" t="s">
        <v>8249</v>
      </c>
      <c r="AH2785" t="s">
        <v>1200</v>
      </c>
      <c r="AI2785">
        <v>1.77</v>
      </c>
      <c r="AJ2785">
        <v>7.63</v>
      </c>
      <c r="AK2785">
        <v>11.49</v>
      </c>
      <c r="AL2785">
        <v>19.16</v>
      </c>
    </row>
    <row r="2786" spans="1:38" x14ac:dyDescent="0.25">
      <c r="A2786">
        <v>2785</v>
      </c>
      <c r="B2786" t="str">
        <f xml:space="preserve"> "002789"</f>
        <v>002789</v>
      </c>
      <c r="C2786" t="s">
        <v>8250</v>
      </c>
      <c r="D2786">
        <v>49.99</v>
      </c>
      <c r="E2786">
        <v>1.07</v>
      </c>
      <c r="F2786">
        <v>0.53</v>
      </c>
      <c r="G2786" t="s">
        <v>3062</v>
      </c>
      <c r="H2786">
        <v>487</v>
      </c>
      <c r="I2786">
        <v>49.99</v>
      </c>
      <c r="J2786">
        <v>50</v>
      </c>
      <c r="K2786">
        <v>0</v>
      </c>
      <c r="L2786">
        <v>5.35</v>
      </c>
      <c r="M2786" t="s">
        <v>8251</v>
      </c>
      <c r="N2786">
        <v>46.04</v>
      </c>
      <c r="O2786" t="s">
        <v>2309</v>
      </c>
      <c r="P2786">
        <v>50.18</v>
      </c>
      <c r="Q2786">
        <v>48.84</v>
      </c>
      <c r="R2786">
        <v>49</v>
      </c>
      <c r="S2786">
        <v>49.46</v>
      </c>
      <c r="T2786">
        <v>2.71</v>
      </c>
      <c r="U2786">
        <v>1.37</v>
      </c>
      <c r="V2786">
        <v>-11.88</v>
      </c>
      <c r="W2786">
        <v>-76</v>
      </c>
      <c r="X2786">
        <v>49.59</v>
      </c>
      <c r="Y2786">
        <v>9643</v>
      </c>
      <c r="Z2786" t="s">
        <v>75</v>
      </c>
      <c r="AA2786">
        <v>0.94</v>
      </c>
      <c r="AB2786">
        <v>95</v>
      </c>
      <c r="AC2786">
        <v>315</v>
      </c>
      <c r="AD2786">
        <v>3.63</v>
      </c>
      <c r="AE2786" t="s">
        <v>5417</v>
      </c>
      <c r="AF2786" t="s">
        <v>8245</v>
      </c>
      <c r="AG2786" t="s">
        <v>8252</v>
      </c>
      <c r="AH2786" t="s">
        <v>1674</v>
      </c>
      <c r="AI2786">
        <v>3.82</v>
      </c>
      <c r="AJ2786">
        <v>10.62</v>
      </c>
      <c r="AK2786">
        <v>14.2</v>
      </c>
      <c r="AL2786">
        <v>24.93</v>
      </c>
    </row>
    <row r="2787" spans="1:38" x14ac:dyDescent="0.25">
      <c r="A2787">
        <v>2786</v>
      </c>
      <c r="B2787" t="str">
        <f xml:space="preserve"> "600203"</f>
        <v>600203</v>
      </c>
      <c r="C2787" t="s">
        <v>8253</v>
      </c>
      <c r="D2787">
        <v>8.89</v>
      </c>
      <c r="E2787">
        <v>-0.67</v>
      </c>
      <c r="F2787">
        <v>-0.06</v>
      </c>
      <c r="G2787" t="s">
        <v>3644</v>
      </c>
      <c r="H2787">
        <v>30</v>
      </c>
      <c r="I2787">
        <v>8.8800000000000008</v>
      </c>
      <c r="J2787">
        <v>8.89</v>
      </c>
      <c r="K2787">
        <v>-0.22</v>
      </c>
      <c r="L2787">
        <v>1</v>
      </c>
      <c r="M2787" t="s">
        <v>8254</v>
      </c>
      <c r="N2787">
        <v>100.31</v>
      </c>
      <c r="O2787" t="s">
        <v>580</v>
      </c>
      <c r="P2787">
        <v>9.01</v>
      </c>
      <c r="Q2787">
        <v>8.85</v>
      </c>
      <c r="R2787">
        <v>8.9600000000000009</v>
      </c>
      <c r="S2787">
        <v>8.9499999999999993</v>
      </c>
      <c r="T2787">
        <v>1.79</v>
      </c>
      <c r="U2787">
        <v>0.67</v>
      </c>
      <c r="V2787">
        <v>30.61</v>
      </c>
      <c r="W2787">
        <v>374</v>
      </c>
      <c r="X2787">
        <v>8.9</v>
      </c>
      <c r="Y2787" t="s">
        <v>507</v>
      </c>
      <c r="Z2787" t="s">
        <v>1836</v>
      </c>
      <c r="AA2787">
        <v>1.81</v>
      </c>
      <c r="AB2787">
        <v>25</v>
      </c>
      <c r="AC2787">
        <v>59</v>
      </c>
      <c r="AD2787">
        <v>1.85</v>
      </c>
      <c r="AE2787" t="s">
        <v>5373</v>
      </c>
      <c r="AF2787" t="s">
        <v>8245</v>
      </c>
      <c r="AG2787" t="s">
        <v>7152</v>
      </c>
      <c r="AH2787" t="s">
        <v>547</v>
      </c>
      <c r="AI2787">
        <v>-3.16</v>
      </c>
      <c r="AJ2787">
        <v>-1.44</v>
      </c>
      <c r="AK2787">
        <v>3.23</v>
      </c>
      <c r="AL2787">
        <v>8.4700000000000006</v>
      </c>
    </row>
    <row r="2788" spans="1:38" x14ac:dyDescent="0.25">
      <c r="A2788">
        <v>2787</v>
      </c>
      <c r="B2788" t="str">
        <f xml:space="preserve"> "600378"</f>
        <v>600378</v>
      </c>
      <c r="C2788" t="s">
        <v>8255</v>
      </c>
      <c r="D2788" t="s">
        <v>616</v>
      </c>
      <c r="E2788" t="s">
        <v>616</v>
      </c>
      <c r="F2788" t="s">
        <v>616</v>
      </c>
      <c r="G2788" t="s">
        <v>616</v>
      </c>
      <c r="H2788" t="s">
        <v>616</v>
      </c>
      <c r="I2788" t="s">
        <v>616</v>
      </c>
      <c r="J2788" t="s">
        <v>616</v>
      </c>
      <c r="K2788" t="s">
        <v>616</v>
      </c>
      <c r="L2788" t="s">
        <v>616</v>
      </c>
      <c r="M2788" t="s">
        <v>616</v>
      </c>
      <c r="N2788">
        <v>87.55</v>
      </c>
      <c r="O2788" t="s">
        <v>667</v>
      </c>
      <c r="P2788" t="s">
        <v>616</v>
      </c>
      <c r="Q2788" t="s">
        <v>616</v>
      </c>
      <c r="R2788" t="s">
        <v>616</v>
      </c>
      <c r="S2788">
        <v>13.65</v>
      </c>
      <c r="T2788" t="s">
        <v>616</v>
      </c>
      <c r="U2788" t="s">
        <v>616</v>
      </c>
      <c r="V2788" t="s">
        <v>616</v>
      </c>
      <c r="W2788" t="s">
        <v>616</v>
      </c>
      <c r="X2788" t="s">
        <v>616</v>
      </c>
      <c r="Y2788" t="s">
        <v>616</v>
      </c>
      <c r="Z2788" t="s">
        <v>616</v>
      </c>
      <c r="AA2788" t="s">
        <v>616</v>
      </c>
      <c r="AB2788" t="s">
        <v>616</v>
      </c>
      <c r="AC2788" t="s">
        <v>616</v>
      </c>
      <c r="AD2788">
        <v>5.33</v>
      </c>
      <c r="AE2788" t="s">
        <v>2923</v>
      </c>
      <c r="AF2788" t="s">
        <v>8245</v>
      </c>
      <c r="AG2788" t="s">
        <v>2923</v>
      </c>
      <c r="AH2788" t="s">
        <v>8245</v>
      </c>
      <c r="AI2788">
        <v>0</v>
      </c>
      <c r="AJ2788">
        <v>0</v>
      </c>
      <c r="AK2788">
        <v>0</v>
      </c>
      <c r="AL2788">
        <v>0</v>
      </c>
    </row>
    <row r="2789" spans="1:38" x14ac:dyDescent="0.25">
      <c r="A2789">
        <v>2788</v>
      </c>
      <c r="B2789" t="str">
        <f xml:space="preserve"> "600361"</f>
        <v>600361</v>
      </c>
      <c r="C2789" t="s">
        <v>8256</v>
      </c>
      <c r="D2789">
        <v>6.09</v>
      </c>
      <c r="E2789">
        <v>0.5</v>
      </c>
      <c r="F2789">
        <v>0.03</v>
      </c>
      <c r="G2789" t="s">
        <v>936</v>
      </c>
      <c r="H2789">
        <v>695</v>
      </c>
      <c r="I2789">
        <v>6.09</v>
      </c>
      <c r="J2789">
        <v>6.1</v>
      </c>
      <c r="K2789">
        <v>0</v>
      </c>
      <c r="L2789">
        <v>1.03</v>
      </c>
      <c r="M2789" t="s">
        <v>8257</v>
      </c>
      <c r="N2789">
        <v>29.32</v>
      </c>
      <c r="O2789" t="s">
        <v>532</v>
      </c>
      <c r="P2789">
        <v>6.12</v>
      </c>
      <c r="Q2789">
        <v>5.99</v>
      </c>
      <c r="R2789">
        <v>6.03</v>
      </c>
      <c r="S2789">
        <v>6.06</v>
      </c>
      <c r="T2789">
        <v>2.15</v>
      </c>
      <c r="U2789">
        <v>0.67</v>
      </c>
      <c r="V2789">
        <v>-47.96</v>
      </c>
      <c r="W2789">
        <v>-3605</v>
      </c>
      <c r="X2789">
        <v>6.07</v>
      </c>
      <c r="Y2789" t="s">
        <v>1954</v>
      </c>
      <c r="Z2789" t="s">
        <v>1719</v>
      </c>
      <c r="AA2789">
        <v>0.84</v>
      </c>
      <c r="AB2789">
        <v>269</v>
      </c>
      <c r="AC2789">
        <v>1006</v>
      </c>
      <c r="AD2789">
        <v>1.51</v>
      </c>
      <c r="AE2789" t="s">
        <v>5781</v>
      </c>
      <c r="AF2789" t="s">
        <v>2468</v>
      </c>
      <c r="AG2789" t="s">
        <v>5781</v>
      </c>
      <c r="AH2789" t="s">
        <v>2468</v>
      </c>
      <c r="AI2789">
        <v>0.83</v>
      </c>
      <c r="AJ2789">
        <v>3.75</v>
      </c>
      <c r="AK2789">
        <v>5.0199999999999996</v>
      </c>
      <c r="AL2789">
        <v>8.7100000000000009</v>
      </c>
    </row>
    <row r="2790" spans="1:38" x14ac:dyDescent="0.25">
      <c r="A2790">
        <v>2789</v>
      </c>
      <c r="B2790" t="str">
        <f xml:space="preserve"> "002026"</f>
        <v>002026</v>
      </c>
      <c r="C2790" t="s">
        <v>8258</v>
      </c>
      <c r="D2790">
        <v>9.65</v>
      </c>
      <c r="E2790">
        <v>0.42</v>
      </c>
      <c r="F2790">
        <v>0.04</v>
      </c>
      <c r="G2790" t="s">
        <v>393</v>
      </c>
      <c r="H2790">
        <v>782</v>
      </c>
      <c r="I2790">
        <v>9.65</v>
      </c>
      <c r="J2790">
        <v>9.66</v>
      </c>
      <c r="K2790">
        <v>0</v>
      </c>
      <c r="L2790">
        <v>0.79</v>
      </c>
      <c r="M2790" t="s">
        <v>8259</v>
      </c>
      <c r="N2790">
        <v>26.06</v>
      </c>
      <c r="O2790" t="s">
        <v>648</v>
      </c>
      <c r="P2790">
        <v>9.68</v>
      </c>
      <c r="Q2790">
        <v>9.5500000000000007</v>
      </c>
      <c r="R2790">
        <v>9.56</v>
      </c>
      <c r="S2790">
        <v>9.61</v>
      </c>
      <c r="T2790">
        <v>1.35</v>
      </c>
      <c r="U2790">
        <v>0.95</v>
      </c>
      <c r="V2790">
        <v>-10.67</v>
      </c>
      <c r="W2790">
        <v>-726</v>
      </c>
      <c r="X2790">
        <v>9.6199999999999992</v>
      </c>
      <c r="Y2790" t="s">
        <v>1579</v>
      </c>
      <c r="Z2790" t="s">
        <v>2365</v>
      </c>
      <c r="AA2790">
        <v>0.92</v>
      </c>
      <c r="AB2790">
        <v>287</v>
      </c>
      <c r="AC2790">
        <v>1766</v>
      </c>
      <c r="AD2790">
        <v>1.76</v>
      </c>
      <c r="AE2790" t="s">
        <v>1893</v>
      </c>
      <c r="AF2790" t="s">
        <v>2468</v>
      </c>
      <c r="AG2790" t="s">
        <v>474</v>
      </c>
      <c r="AH2790" t="s">
        <v>1239</v>
      </c>
      <c r="AI2790">
        <v>-0.1</v>
      </c>
      <c r="AJ2790">
        <v>2.99</v>
      </c>
      <c r="AK2790">
        <v>2.41</v>
      </c>
      <c r="AL2790">
        <v>4.96</v>
      </c>
    </row>
    <row r="2791" spans="1:38" x14ac:dyDescent="0.25">
      <c r="A2791">
        <v>2790</v>
      </c>
      <c r="B2791" t="str">
        <f xml:space="preserve"> "300018"</f>
        <v>300018</v>
      </c>
      <c r="C2791" t="s">
        <v>8260</v>
      </c>
      <c r="D2791">
        <v>8.32</v>
      </c>
      <c r="E2791">
        <v>0.12</v>
      </c>
      <c r="F2791">
        <v>0.01</v>
      </c>
      <c r="G2791" t="s">
        <v>3671</v>
      </c>
      <c r="H2791">
        <v>1045</v>
      </c>
      <c r="I2791">
        <v>8.32</v>
      </c>
      <c r="J2791">
        <v>8.33</v>
      </c>
      <c r="K2791">
        <v>-0.12</v>
      </c>
      <c r="L2791">
        <v>1.66</v>
      </c>
      <c r="M2791" t="s">
        <v>8261</v>
      </c>
      <c r="N2791">
        <v>80.84</v>
      </c>
      <c r="O2791" t="s">
        <v>680</v>
      </c>
      <c r="P2791">
        <v>8.39</v>
      </c>
      <c r="Q2791">
        <v>8.25</v>
      </c>
      <c r="R2791">
        <v>8.31</v>
      </c>
      <c r="S2791">
        <v>8.31</v>
      </c>
      <c r="T2791">
        <v>1.68</v>
      </c>
      <c r="U2791">
        <v>0.61</v>
      </c>
      <c r="V2791">
        <v>-4.07</v>
      </c>
      <c r="W2791">
        <v>-249</v>
      </c>
      <c r="X2791">
        <v>8.32</v>
      </c>
      <c r="Y2791" t="s">
        <v>1199</v>
      </c>
      <c r="Z2791" t="s">
        <v>1285</v>
      </c>
      <c r="AA2791">
        <v>1.19</v>
      </c>
      <c r="AB2791">
        <v>502</v>
      </c>
      <c r="AC2791">
        <v>576</v>
      </c>
      <c r="AD2791">
        <v>2.84</v>
      </c>
      <c r="AE2791" t="s">
        <v>2119</v>
      </c>
      <c r="AF2791" t="s">
        <v>2468</v>
      </c>
      <c r="AG2791" t="s">
        <v>3853</v>
      </c>
      <c r="AH2791" t="s">
        <v>1030</v>
      </c>
      <c r="AI2791">
        <v>-0.95</v>
      </c>
      <c r="AJ2791">
        <v>5.99</v>
      </c>
      <c r="AK2791">
        <v>8.68</v>
      </c>
      <c r="AL2791">
        <v>15.36</v>
      </c>
    </row>
    <row r="2792" spans="1:38" x14ac:dyDescent="0.25">
      <c r="A2792">
        <v>2791</v>
      </c>
      <c r="B2792" t="str">
        <f xml:space="preserve"> "000565"</f>
        <v>000565</v>
      </c>
      <c r="C2792" t="s">
        <v>8262</v>
      </c>
      <c r="D2792">
        <v>9.34</v>
      </c>
      <c r="E2792">
        <v>0.54</v>
      </c>
      <c r="F2792">
        <v>0.05</v>
      </c>
      <c r="G2792" t="s">
        <v>3230</v>
      </c>
      <c r="H2792">
        <v>112</v>
      </c>
      <c r="I2792">
        <v>9.33</v>
      </c>
      <c r="J2792">
        <v>9.34</v>
      </c>
      <c r="K2792">
        <v>0.11</v>
      </c>
      <c r="L2792">
        <v>0.54</v>
      </c>
      <c r="M2792" t="s">
        <v>8263</v>
      </c>
      <c r="N2792">
        <v>50.57</v>
      </c>
      <c r="O2792" t="s">
        <v>667</v>
      </c>
      <c r="P2792">
        <v>9.35</v>
      </c>
      <c r="Q2792">
        <v>9.2799999999999994</v>
      </c>
      <c r="R2792">
        <v>9.2899999999999991</v>
      </c>
      <c r="S2792">
        <v>9.2899999999999991</v>
      </c>
      <c r="T2792">
        <v>0.75</v>
      </c>
      <c r="U2792">
        <v>0.9</v>
      </c>
      <c r="V2792">
        <v>-41.92</v>
      </c>
      <c r="W2792">
        <v>-2487</v>
      </c>
      <c r="X2792">
        <v>9.31</v>
      </c>
      <c r="Y2792" t="s">
        <v>3941</v>
      </c>
      <c r="Z2792" t="s">
        <v>316</v>
      </c>
      <c r="AA2792">
        <v>0.99</v>
      </c>
      <c r="AB2792">
        <v>303</v>
      </c>
      <c r="AC2792">
        <v>259</v>
      </c>
      <c r="AD2792">
        <v>4.04</v>
      </c>
      <c r="AE2792" t="s">
        <v>4078</v>
      </c>
      <c r="AF2792" t="s">
        <v>2468</v>
      </c>
      <c r="AG2792" t="s">
        <v>4078</v>
      </c>
      <c r="AH2792" t="s">
        <v>2468</v>
      </c>
      <c r="AI2792">
        <v>-0.21</v>
      </c>
      <c r="AJ2792">
        <v>1.85</v>
      </c>
      <c r="AK2792">
        <v>1.79</v>
      </c>
      <c r="AL2792">
        <v>3.51</v>
      </c>
    </row>
    <row r="2793" spans="1:38" x14ac:dyDescent="0.25">
      <c r="A2793">
        <v>2792</v>
      </c>
      <c r="B2793" t="str">
        <f xml:space="preserve"> "000678"</f>
        <v>000678</v>
      </c>
      <c r="C2793" t="s">
        <v>8264</v>
      </c>
      <c r="D2793">
        <v>8.7899999999999991</v>
      </c>
      <c r="E2793">
        <v>-2.5499999999999998</v>
      </c>
      <c r="F2793">
        <v>-0.23</v>
      </c>
      <c r="G2793" t="s">
        <v>1270</v>
      </c>
      <c r="H2793">
        <v>1826</v>
      </c>
      <c r="I2793">
        <v>8.7799999999999994</v>
      </c>
      <c r="J2793">
        <v>8.7899999999999991</v>
      </c>
      <c r="K2793">
        <v>-0.11</v>
      </c>
      <c r="L2793">
        <v>2.4500000000000002</v>
      </c>
      <c r="M2793" t="s">
        <v>8265</v>
      </c>
      <c r="N2793">
        <v>433.08</v>
      </c>
      <c r="O2793" t="s">
        <v>169</v>
      </c>
      <c r="P2793">
        <v>8.9499999999999993</v>
      </c>
      <c r="Q2793">
        <v>8.68</v>
      </c>
      <c r="R2793">
        <v>8.92</v>
      </c>
      <c r="S2793">
        <v>9.02</v>
      </c>
      <c r="T2793">
        <v>2.99</v>
      </c>
      <c r="U2793">
        <v>1.65</v>
      </c>
      <c r="V2793">
        <v>-6.61</v>
      </c>
      <c r="W2793">
        <v>-132</v>
      </c>
      <c r="X2793">
        <v>8.77</v>
      </c>
      <c r="Y2793" t="s">
        <v>5022</v>
      </c>
      <c r="Z2793" t="s">
        <v>1507</v>
      </c>
      <c r="AA2793">
        <v>1.55</v>
      </c>
      <c r="AB2793">
        <v>303</v>
      </c>
      <c r="AC2793">
        <v>119</v>
      </c>
      <c r="AD2793">
        <v>3.26</v>
      </c>
      <c r="AE2793" t="s">
        <v>4089</v>
      </c>
      <c r="AF2793" t="s">
        <v>4527</v>
      </c>
      <c r="AG2793" t="s">
        <v>5136</v>
      </c>
      <c r="AH2793" t="s">
        <v>8031</v>
      </c>
      <c r="AI2793">
        <v>6.8</v>
      </c>
      <c r="AJ2793">
        <v>6.8</v>
      </c>
      <c r="AK2793">
        <v>8.24</v>
      </c>
      <c r="AL2793">
        <v>8.24</v>
      </c>
    </row>
    <row r="2794" spans="1:38" x14ac:dyDescent="0.25">
      <c r="A2794">
        <v>2793</v>
      </c>
      <c r="B2794" t="str">
        <f xml:space="preserve"> "002579"</f>
        <v>002579</v>
      </c>
      <c r="C2794" t="s">
        <v>8266</v>
      </c>
      <c r="D2794">
        <v>10.69</v>
      </c>
      <c r="E2794">
        <v>3.79</v>
      </c>
      <c r="F2794">
        <v>0.39</v>
      </c>
      <c r="G2794" t="s">
        <v>3929</v>
      </c>
      <c r="H2794">
        <v>5660</v>
      </c>
      <c r="I2794">
        <v>10.69</v>
      </c>
      <c r="J2794">
        <v>10.7</v>
      </c>
      <c r="K2794">
        <v>0.19</v>
      </c>
      <c r="L2794">
        <v>2.2000000000000002</v>
      </c>
      <c r="M2794" t="s">
        <v>8267</v>
      </c>
      <c r="N2794">
        <v>360.37</v>
      </c>
      <c r="O2794" t="s">
        <v>380</v>
      </c>
      <c r="P2794">
        <v>10.77</v>
      </c>
      <c r="Q2794">
        <v>10.25</v>
      </c>
      <c r="R2794">
        <v>10.32</v>
      </c>
      <c r="S2794">
        <v>10.3</v>
      </c>
      <c r="T2794">
        <v>5.05</v>
      </c>
      <c r="U2794">
        <v>1.86</v>
      </c>
      <c r="V2794">
        <v>37.49</v>
      </c>
      <c r="W2794">
        <v>2613</v>
      </c>
      <c r="X2794">
        <v>10.53</v>
      </c>
      <c r="Y2794" t="s">
        <v>5016</v>
      </c>
      <c r="Z2794" t="s">
        <v>2930</v>
      </c>
      <c r="AA2794">
        <v>0.51</v>
      </c>
      <c r="AB2794">
        <v>1901</v>
      </c>
      <c r="AC2794">
        <v>757</v>
      </c>
      <c r="AD2794">
        <v>4.26</v>
      </c>
      <c r="AE2794" t="s">
        <v>5099</v>
      </c>
      <c r="AF2794" t="s">
        <v>4527</v>
      </c>
      <c r="AG2794" t="s">
        <v>5326</v>
      </c>
      <c r="AH2794" t="s">
        <v>7077</v>
      </c>
      <c r="AI2794">
        <v>2.99</v>
      </c>
      <c r="AJ2794">
        <v>7.33</v>
      </c>
      <c r="AK2794">
        <v>4.32</v>
      </c>
      <c r="AL2794">
        <v>8.11</v>
      </c>
    </row>
    <row r="2795" spans="1:38" x14ac:dyDescent="0.25">
      <c r="A2795">
        <v>2794</v>
      </c>
      <c r="B2795" t="str">
        <f xml:space="preserve"> "002490"</f>
        <v>002490</v>
      </c>
      <c r="C2795" t="s">
        <v>8268</v>
      </c>
      <c r="D2795">
        <v>5.0599999999999996</v>
      </c>
      <c r="E2795">
        <v>0.4</v>
      </c>
      <c r="F2795">
        <v>0.02</v>
      </c>
      <c r="G2795" t="s">
        <v>1070</v>
      </c>
      <c r="H2795">
        <v>599</v>
      </c>
      <c r="I2795">
        <v>5.0599999999999996</v>
      </c>
      <c r="J2795">
        <v>5.07</v>
      </c>
      <c r="K2795">
        <v>0</v>
      </c>
      <c r="L2795">
        <v>1.29</v>
      </c>
      <c r="M2795" t="s">
        <v>8269</v>
      </c>
      <c r="N2795">
        <v>287.51</v>
      </c>
      <c r="O2795" t="s">
        <v>648</v>
      </c>
      <c r="P2795">
        <v>5.07</v>
      </c>
      <c r="Q2795">
        <v>5</v>
      </c>
      <c r="R2795">
        <v>5.0199999999999996</v>
      </c>
      <c r="S2795">
        <v>5.04</v>
      </c>
      <c r="T2795">
        <v>1.39</v>
      </c>
      <c r="U2795">
        <v>0.74</v>
      </c>
      <c r="V2795">
        <v>-12.04</v>
      </c>
      <c r="W2795">
        <v>-1070</v>
      </c>
      <c r="X2795">
        <v>5.05</v>
      </c>
      <c r="Y2795" t="s">
        <v>3696</v>
      </c>
      <c r="Z2795" t="s">
        <v>658</v>
      </c>
      <c r="AA2795">
        <v>1.04</v>
      </c>
      <c r="AB2795">
        <v>802</v>
      </c>
      <c r="AC2795">
        <v>1736</v>
      </c>
      <c r="AD2795">
        <v>2.21</v>
      </c>
      <c r="AE2795" t="s">
        <v>2129</v>
      </c>
      <c r="AF2795" t="s">
        <v>4527</v>
      </c>
      <c r="AG2795" t="s">
        <v>5539</v>
      </c>
      <c r="AH2795" t="s">
        <v>2299</v>
      </c>
      <c r="AI2795">
        <v>-0.78</v>
      </c>
      <c r="AJ2795">
        <v>2.02</v>
      </c>
      <c r="AK2795">
        <v>5.09</v>
      </c>
      <c r="AL2795">
        <v>9.9600000000000009</v>
      </c>
    </row>
    <row r="2796" spans="1:38" x14ac:dyDescent="0.25">
      <c r="A2796">
        <v>2795</v>
      </c>
      <c r="B2796" t="str">
        <f xml:space="preserve"> "002891"</f>
        <v>002891</v>
      </c>
      <c r="C2796" t="s">
        <v>8270</v>
      </c>
      <c r="D2796">
        <v>40.33</v>
      </c>
      <c r="E2796">
        <v>1.03</v>
      </c>
      <c r="F2796">
        <v>0.41</v>
      </c>
      <c r="G2796" t="s">
        <v>2932</v>
      </c>
      <c r="H2796">
        <v>210</v>
      </c>
      <c r="I2796">
        <v>40.33</v>
      </c>
      <c r="J2796">
        <v>40.35</v>
      </c>
      <c r="K2796">
        <v>0</v>
      </c>
      <c r="L2796">
        <v>9.14</v>
      </c>
      <c r="M2796" t="s">
        <v>8271</v>
      </c>
      <c r="N2796">
        <v>46.94</v>
      </c>
      <c r="O2796" t="s">
        <v>406</v>
      </c>
      <c r="P2796">
        <v>40.799999999999997</v>
      </c>
      <c r="Q2796">
        <v>39.9</v>
      </c>
      <c r="R2796">
        <v>39.94</v>
      </c>
      <c r="S2796">
        <v>39.92</v>
      </c>
      <c r="T2796">
        <v>2.25</v>
      </c>
      <c r="U2796">
        <v>1.22</v>
      </c>
      <c r="V2796">
        <v>28.38</v>
      </c>
      <c r="W2796">
        <v>116</v>
      </c>
      <c r="X2796">
        <v>40.47</v>
      </c>
      <c r="Y2796" t="s">
        <v>1411</v>
      </c>
      <c r="Z2796" t="s">
        <v>2991</v>
      </c>
      <c r="AA2796">
        <v>0.93</v>
      </c>
      <c r="AB2796">
        <v>105</v>
      </c>
      <c r="AC2796">
        <v>54</v>
      </c>
      <c r="AD2796">
        <v>6.05</v>
      </c>
      <c r="AE2796" t="s">
        <v>4464</v>
      </c>
      <c r="AF2796" t="s">
        <v>2607</v>
      </c>
      <c r="AG2796" t="s">
        <v>5931</v>
      </c>
      <c r="AH2796" t="s">
        <v>262</v>
      </c>
      <c r="AI2796">
        <v>2.78</v>
      </c>
      <c r="AJ2796">
        <v>7.55</v>
      </c>
      <c r="AK2796">
        <v>30.12</v>
      </c>
      <c r="AL2796">
        <v>46.64</v>
      </c>
    </row>
    <row r="2797" spans="1:38" x14ac:dyDescent="0.25">
      <c r="A2797">
        <v>2796</v>
      </c>
      <c r="B2797" t="str">
        <f xml:space="preserve"> "603519"</f>
        <v>603519</v>
      </c>
      <c r="C2797" t="s">
        <v>8272</v>
      </c>
      <c r="D2797">
        <v>25.2</v>
      </c>
      <c r="E2797">
        <v>-0.4</v>
      </c>
      <c r="F2797">
        <v>-0.1</v>
      </c>
      <c r="G2797">
        <v>2938</v>
      </c>
      <c r="H2797">
        <v>47</v>
      </c>
      <c r="I2797">
        <v>25.2</v>
      </c>
      <c r="J2797">
        <v>25.25</v>
      </c>
      <c r="K2797">
        <v>-0.2</v>
      </c>
      <c r="L2797">
        <v>0.38</v>
      </c>
      <c r="M2797" t="s">
        <v>8273</v>
      </c>
      <c r="N2797">
        <v>50.71</v>
      </c>
      <c r="O2797" t="s">
        <v>859</v>
      </c>
      <c r="P2797">
        <v>25.52</v>
      </c>
      <c r="Q2797">
        <v>24.81</v>
      </c>
      <c r="R2797">
        <v>24.81</v>
      </c>
      <c r="S2797">
        <v>25.3</v>
      </c>
      <c r="T2797">
        <v>2.81</v>
      </c>
      <c r="U2797">
        <v>0.47</v>
      </c>
      <c r="V2797">
        <v>32.42</v>
      </c>
      <c r="W2797">
        <v>151</v>
      </c>
      <c r="X2797">
        <v>25.24</v>
      </c>
      <c r="Y2797">
        <v>1299</v>
      </c>
      <c r="Z2797">
        <v>1640</v>
      </c>
      <c r="AA2797">
        <v>0.79</v>
      </c>
      <c r="AB2797">
        <v>30</v>
      </c>
      <c r="AC2797">
        <v>115</v>
      </c>
      <c r="AD2797">
        <v>5.93</v>
      </c>
      <c r="AE2797" t="s">
        <v>4326</v>
      </c>
      <c r="AF2797" t="s">
        <v>2607</v>
      </c>
      <c r="AG2797" t="s">
        <v>8274</v>
      </c>
      <c r="AH2797" t="s">
        <v>1501</v>
      </c>
      <c r="AI2797">
        <v>-1.68</v>
      </c>
      <c r="AJ2797">
        <v>0.16</v>
      </c>
      <c r="AK2797">
        <v>1.8</v>
      </c>
      <c r="AL2797">
        <v>4.46</v>
      </c>
    </row>
    <row r="2798" spans="1:38" x14ac:dyDescent="0.25">
      <c r="A2798">
        <v>2797</v>
      </c>
      <c r="B2798" t="str">
        <f xml:space="preserve"> "600539"</f>
        <v>600539</v>
      </c>
      <c r="C2798" t="s">
        <v>8275</v>
      </c>
      <c r="D2798">
        <v>17.53</v>
      </c>
      <c r="E2798">
        <v>0.17</v>
      </c>
      <c r="F2798">
        <v>0.03</v>
      </c>
      <c r="G2798">
        <v>2376</v>
      </c>
      <c r="H2798">
        <v>12</v>
      </c>
      <c r="I2798">
        <v>17.52</v>
      </c>
      <c r="J2798">
        <v>17.53</v>
      </c>
      <c r="K2798">
        <v>-0.06</v>
      </c>
      <c r="L2798">
        <v>0.1</v>
      </c>
      <c r="M2798" t="s">
        <v>8276</v>
      </c>
      <c r="N2798">
        <v>1221.73</v>
      </c>
      <c r="O2798" t="s">
        <v>215</v>
      </c>
      <c r="P2798">
        <v>17.59</v>
      </c>
      <c r="Q2798">
        <v>17.43</v>
      </c>
      <c r="R2798">
        <v>17.43</v>
      </c>
      <c r="S2798">
        <v>17.5</v>
      </c>
      <c r="T2798">
        <v>0.91</v>
      </c>
      <c r="U2798">
        <v>0.35</v>
      </c>
      <c r="V2798">
        <v>25.48</v>
      </c>
      <c r="W2798">
        <v>184</v>
      </c>
      <c r="X2798">
        <v>17.54</v>
      </c>
      <c r="Y2798">
        <v>1154</v>
      </c>
      <c r="Z2798">
        <v>1222</v>
      </c>
      <c r="AA2798">
        <v>0.94</v>
      </c>
      <c r="AB2798">
        <v>6</v>
      </c>
      <c r="AC2798">
        <v>28</v>
      </c>
      <c r="AD2798">
        <v>8.5399999999999991</v>
      </c>
      <c r="AE2798" t="s">
        <v>2845</v>
      </c>
      <c r="AF2798" t="s">
        <v>2607</v>
      </c>
      <c r="AG2798" t="s">
        <v>2845</v>
      </c>
      <c r="AH2798" t="s">
        <v>2607</v>
      </c>
      <c r="AI2798">
        <v>-0.62</v>
      </c>
      <c r="AJ2798">
        <v>-0.9</v>
      </c>
      <c r="AK2798">
        <v>0.56999999999999995</v>
      </c>
      <c r="AL2798">
        <v>1.56</v>
      </c>
    </row>
    <row r="2799" spans="1:38" x14ac:dyDescent="0.25">
      <c r="A2799">
        <v>2798</v>
      </c>
      <c r="B2799" t="str">
        <f xml:space="preserve"> "000548"</f>
        <v>000548</v>
      </c>
      <c r="C2799" t="s">
        <v>8277</v>
      </c>
      <c r="D2799">
        <v>8.07</v>
      </c>
      <c r="E2799">
        <v>0.37</v>
      </c>
      <c r="F2799">
        <v>0.03</v>
      </c>
      <c r="G2799" t="s">
        <v>1286</v>
      </c>
      <c r="H2799">
        <v>358</v>
      </c>
      <c r="I2799">
        <v>8.06</v>
      </c>
      <c r="J2799">
        <v>8.07</v>
      </c>
      <c r="K2799">
        <v>0</v>
      </c>
      <c r="L2799">
        <v>0.7</v>
      </c>
      <c r="M2799" t="s">
        <v>8278</v>
      </c>
      <c r="N2799">
        <v>16.079999999999998</v>
      </c>
      <c r="O2799" t="s">
        <v>1348</v>
      </c>
      <c r="P2799">
        <v>8.1300000000000008</v>
      </c>
      <c r="Q2799">
        <v>8.01</v>
      </c>
      <c r="R2799">
        <v>8.0399999999999991</v>
      </c>
      <c r="S2799">
        <v>8.0399999999999991</v>
      </c>
      <c r="T2799">
        <v>1.49</v>
      </c>
      <c r="U2799">
        <v>0.56999999999999995</v>
      </c>
      <c r="V2799">
        <v>-3.51</v>
      </c>
      <c r="W2799">
        <v>-155</v>
      </c>
      <c r="X2799">
        <v>8.07</v>
      </c>
      <c r="Y2799" t="s">
        <v>1278</v>
      </c>
      <c r="Z2799" t="s">
        <v>1504</v>
      </c>
      <c r="AA2799">
        <v>0.86</v>
      </c>
      <c r="AB2799">
        <v>226</v>
      </c>
      <c r="AC2799">
        <v>561</v>
      </c>
      <c r="AD2799">
        <v>2.4500000000000002</v>
      </c>
      <c r="AE2799" t="s">
        <v>1161</v>
      </c>
      <c r="AF2799" t="s">
        <v>2607</v>
      </c>
      <c r="AG2799" t="s">
        <v>1161</v>
      </c>
      <c r="AH2799" t="s">
        <v>2607</v>
      </c>
      <c r="AI2799">
        <v>-1.59</v>
      </c>
      <c r="AJ2799">
        <v>4.4000000000000004</v>
      </c>
      <c r="AK2799">
        <v>3.17</v>
      </c>
      <c r="AL2799">
        <v>6.82</v>
      </c>
    </row>
    <row r="2800" spans="1:38" x14ac:dyDescent="0.25">
      <c r="A2800">
        <v>2799</v>
      </c>
      <c r="B2800" t="str">
        <f xml:space="preserve"> "000595"</f>
        <v>000595</v>
      </c>
      <c r="C2800" t="s">
        <v>8279</v>
      </c>
      <c r="D2800">
        <v>5.27</v>
      </c>
      <c r="E2800">
        <v>0.38</v>
      </c>
      <c r="F2800">
        <v>0.02</v>
      </c>
      <c r="G2800" t="s">
        <v>430</v>
      </c>
      <c r="H2800">
        <v>1001</v>
      </c>
      <c r="I2800">
        <v>5.26</v>
      </c>
      <c r="J2800">
        <v>5.27</v>
      </c>
      <c r="K2800">
        <v>0</v>
      </c>
      <c r="L2800">
        <v>0.74</v>
      </c>
      <c r="M2800" t="s">
        <v>8002</v>
      </c>
      <c r="N2800">
        <v>162.86000000000001</v>
      </c>
      <c r="O2800" t="s">
        <v>648</v>
      </c>
      <c r="P2800">
        <v>5.28</v>
      </c>
      <c r="Q2800">
        <v>5.2</v>
      </c>
      <c r="R2800">
        <v>5.25</v>
      </c>
      <c r="S2800">
        <v>5.25</v>
      </c>
      <c r="T2800">
        <v>1.52</v>
      </c>
      <c r="U2800">
        <v>0.65</v>
      </c>
      <c r="V2800">
        <v>8.61</v>
      </c>
      <c r="W2800">
        <v>805</v>
      </c>
      <c r="X2800">
        <v>5.24</v>
      </c>
      <c r="Y2800" t="s">
        <v>4303</v>
      </c>
      <c r="Z2800" t="s">
        <v>1381</v>
      </c>
      <c r="AA2800">
        <v>0.83</v>
      </c>
      <c r="AB2800">
        <v>234</v>
      </c>
      <c r="AC2800">
        <v>287</v>
      </c>
      <c r="AD2800">
        <v>5.62</v>
      </c>
      <c r="AE2800" t="s">
        <v>8280</v>
      </c>
      <c r="AF2800" t="s">
        <v>2607</v>
      </c>
      <c r="AG2800" t="s">
        <v>4269</v>
      </c>
      <c r="AH2800" t="s">
        <v>2136</v>
      </c>
      <c r="AI2800">
        <v>-0.56999999999999995</v>
      </c>
      <c r="AJ2800">
        <v>2.5299999999999998</v>
      </c>
      <c r="AK2800">
        <v>3.01</v>
      </c>
      <c r="AL2800">
        <v>6.45</v>
      </c>
    </row>
    <row r="2801" spans="1:38" x14ac:dyDescent="0.25">
      <c r="A2801">
        <v>2800</v>
      </c>
      <c r="B2801" t="str">
        <f xml:space="preserve"> "600644"</f>
        <v>600644</v>
      </c>
      <c r="C2801" t="s">
        <v>8281</v>
      </c>
      <c r="D2801">
        <v>7.48</v>
      </c>
      <c r="E2801">
        <v>-0.4</v>
      </c>
      <c r="F2801">
        <v>-0.03</v>
      </c>
      <c r="G2801" t="s">
        <v>1373</v>
      </c>
      <c r="H2801">
        <v>3</v>
      </c>
      <c r="I2801">
        <v>7.47</v>
      </c>
      <c r="J2801">
        <v>7.49</v>
      </c>
      <c r="K2801">
        <v>0</v>
      </c>
      <c r="L2801">
        <v>0.69</v>
      </c>
      <c r="M2801" t="s">
        <v>8282</v>
      </c>
      <c r="N2801">
        <v>33.21</v>
      </c>
      <c r="O2801" t="s">
        <v>186</v>
      </c>
      <c r="P2801">
        <v>7.52</v>
      </c>
      <c r="Q2801">
        <v>7.45</v>
      </c>
      <c r="R2801">
        <v>7.48</v>
      </c>
      <c r="S2801">
        <v>7.51</v>
      </c>
      <c r="T2801">
        <v>0.93</v>
      </c>
      <c r="U2801">
        <v>1.32</v>
      </c>
      <c r="V2801">
        <v>43.36</v>
      </c>
      <c r="W2801">
        <v>2829</v>
      </c>
      <c r="X2801">
        <v>7.48</v>
      </c>
      <c r="Y2801" t="s">
        <v>2966</v>
      </c>
      <c r="Z2801" t="s">
        <v>2991</v>
      </c>
      <c r="AA2801">
        <v>2.13</v>
      </c>
      <c r="AB2801">
        <v>770</v>
      </c>
      <c r="AC2801">
        <v>197</v>
      </c>
      <c r="AD2801">
        <v>3.14</v>
      </c>
      <c r="AE2801" t="s">
        <v>2024</v>
      </c>
      <c r="AF2801" t="s">
        <v>2607</v>
      </c>
      <c r="AG2801" t="s">
        <v>2024</v>
      </c>
      <c r="AH2801" t="s">
        <v>2607</v>
      </c>
      <c r="AI2801">
        <v>0.27</v>
      </c>
      <c r="AJ2801">
        <v>2.33</v>
      </c>
      <c r="AK2801">
        <v>2.1</v>
      </c>
      <c r="AL2801">
        <v>3.29</v>
      </c>
    </row>
    <row r="2802" spans="1:38" x14ac:dyDescent="0.25">
      <c r="A2802">
        <v>2801</v>
      </c>
      <c r="B2802" t="str">
        <f xml:space="preserve"> "300596"</f>
        <v>300596</v>
      </c>
      <c r="C2802" t="s">
        <v>8283</v>
      </c>
      <c r="D2802">
        <v>22.35</v>
      </c>
      <c r="E2802">
        <v>2.48</v>
      </c>
      <c r="F2802">
        <v>0.54</v>
      </c>
      <c r="G2802" t="s">
        <v>2731</v>
      </c>
      <c r="H2802">
        <v>364</v>
      </c>
      <c r="I2802">
        <v>22.34</v>
      </c>
      <c r="J2802">
        <v>22.35</v>
      </c>
      <c r="K2802">
        <v>0</v>
      </c>
      <c r="L2802">
        <v>5.26</v>
      </c>
      <c r="M2802" t="s">
        <v>8284</v>
      </c>
      <c r="N2802">
        <v>34.99</v>
      </c>
      <c r="O2802" t="s">
        <v>667</v>
      </c>
      <c r="P2802">
        <v>22.41</v>
      </c>
      <c r="Q2802">
        <v>21.75</v>
      </c>
      <c r="R2802">
        <v>21.82</v>
      </c>
      <c r="S2802">
        <v>21.81</v>
      </c>
      <c r="T2802">
        <v>3.03</v>
      </c>
      <c r="U2802">
        <v>1.73</v>
      </c>
      <c r="V2802">
        <v>-58.01</v>
      </c>
      <c r="W2802">
        <v>-409</v>
      </c>
      <c r="X2802">
        <v>22.17</v>
      </c>
      <c r="Y2802">
        <v>9067</v>
      </c>
      <c r="Z2802" t="s">
        <v>3798</v>
      </c>
      <c r="AA2802">
        <v>0.62</v>
      </c>
      <c r="AB2802">
        <v>46</v>
      </c>
      <c r="AC2802">
        <v>34</v>
      </c>
      <c r="AD2802">
        <v>4.88</v>
      </c>
      <c r="AE2802" t="s">
        <v>3119</v>
      </c>
      <c r="AF2802" t="s">
        <v>2833</v>
      </c>
      <c r="AG2802" t="s">
        <v>1609</v>
      </c>
      <c r="AH2802" t="s">
        <v>262</v>
      </c>
      <c r="AI2802">
        <v>2.85</v>
      </c>
      <c r="AJ2802">
        <v>6.53</v>
      </c>
      <c r="AK2802">
        <v>13.41</v>
      </c>
      <c r="AL2802">
        <v>20.440000000000001</v>
      </c>
    </row>
    <row r="2803" spans="1:38" x14ac:dyDescent="0.25">
      <c r="A2803">
        <v>2802</v>
      </c>
      <c r="B2803" t="str">
        <f xml:space="preserve"> "002723"</f>
        <v>002723</v>
      </c>
      <c r="C2803" t="s">
        <v>8285</v>
      </c>
      <c r="D2803" t="s">
        <v>616</v>
      </c>
      <c r="E2803" t="s">
        <v>616</v>
      </c>
      <c r="F2803" t="s">
        <v>616</v>
      </c>
      <c r="G2803" t="s">
        <v>616</v>
      </c>
      <c r="H2803" t="s">
        <v>616</v>
      </c>
      <c r="I2803" t="s">
        <v>616</v>
      </c>
      <c r="J2803" t="s">
        <v>616</v>
      </c>
      <c r="K2803" t="s">
        <v>616</v>
      </c>
      <c r="L2803" t="s">
        <v>616</v>
      </c>
      <c r="M2803" t="s">
        <v>616</v>
      </c>
      <c r="N2803">
        <v>169.28</v>
      </c>
      <c r="O2803" t="s">
        <v>215</v>
      </c>
      <c r="P2803" t="s">
        <v>616</v>
      </c>
      <c r="Q2803" t="s">
        <v>616</v>
      </c>
      <c r="R2803" t="s">
        <v>616</v>
      </c>
      <c r="S2803">
        <v>21.52</v>
      </c>
      <c r="T2803" t="s">
        <v>616</v>
      </c>
      <c r="U2803" t="s">
        <v>616</v>
      </c>
      <c r="V2803" t="s">
        <v>616</v>
      </c>
      <c r="W2803" t="s">
        <v>616</v>
      </c>
      <c r="X2803" t="s">
        <v>616</v>
      </c>
      <c r="Y2803" t="s">
        <v>616</v>
      </c>
      <c r="Z2803" t="s">
        <v>616</v>
      </c>
      <c r="AA2803" t="s">
        <v>616</v>
      </c>
      <c r="AB2803" t="s">
        <v>616</v>
      </c>
      <c r="AC2803" t="s">
        <v>616</v>
      </c>
      <c r="AD2803">
        <v>6.15</v>
      </c>
      <c r="AE2803" t="s">
        <v>398</v>
      </c>
      <c r="AF2803" t="s">
        <v>2833</v>
      </c>
      <c r="AG2803" t="s">
        <v>3361</v>
      </c>
      <c r="AH2803" t="s">
        <v>6810</v>
      </c>
      <c r="AI2803">
        <v>0</v>
      </c>
      <c r="AJ2803">
        <v>0</v>
      </c>
      <c r="AK2803">
        <v>0</v>
      </c>
      <c r="AL2803">
        <v>1.92</v>
      </c>
    </row>
    <row r="2804" spans="1:38" x14ac:dyDescent="0.25">
      <c r="A2804">
        <v>2803</v>
      </c>
      <c r="B2804" t="str">
        <f xml:space="preserve"> "002892"</f>
        <v>002892</v>
      </c>
      <c r="C2804" t="s">
        <v>8286</v>
      </c>
      <c r="D2804">
        <v>48.03</v>
      </c>
      <c r="E2804">
        <v>1.87</v>
      </c>
      <c r="F2804">
        <v>0.88</v>
      </c>
      <c r="G2804" t="s">
        <v>1799</v>
      </c>
      <c r="H2804">
        <v>206</v>
      </c>
      <c r="I2804">
        <v>48.03</v>
      </c>
      <c r="J2804">
        <v>48.04</v>
      </c>
      <c r="K2804">
        <v>0.02</v>
      </c>
      <c r="L2804">
        <v>7.19</v>
      </c>
      <c r="M2804" t="s">
        <v>8287</v>
      </c>
      <c r="N2804">
        <v>55.48</v>
      </c>
      <c r="O2804" t="s">
        <v>648</v>
      </c>
      <c r="P2804">
        <v>48.43</v>
      </c>
      <c r="Q2804">
        <v>47.02</v>
      </c>
      <c r="R2804">
        <v>47.25</v>
      </c>
      <c r="S2804">
        <v>47.15</v>
      </c>
      <c r="T2804">
        <v>2.99</v>
      </c>
      <c r="U2804">
        <v>0.82</v>
      </c>
      <c r="V2804">
        <v>-10.16</v>
      </c>
      <c r="W2804">
        <v>-43</v>
      </c>
      <c r="X2804">
        <v>48.01</v>
      </c>
      <c r="Y2804">
        <v>5851</v>
      </c>
      <c r="Z2804">
        <v>6807</v>
      </c>
      <c r="AA2804">
        <v>0.86</v>
      </c>
      <c r="AB2804">
        <v>13</v>
      </c>
      <c r="AC2804">
        <v>21</v>
      </c>
      <c r="AD2804">
        <v>7.47</v>
      </c>
      <c r="AE2804" t="s">
        <v>8288</v>
      </c>
      <c r="AF2804" t="s">
        <v>2833</v>
      </c>
      <c r="AG2804" t="s">
        <v>8289</v>
      </c>
      <c r="AH2804" t="s">
        <v>4975</v>
      </c>
      <c r="AI2804">
        <v>-0.76</v>
      </c>
      <c r="AJ2804">
        <v>1.56</v>
      </c>
      <c r="AK2804">
        <v>24.98</v>
      </c>
      <c r="AL2804">
        <v>51.23</v>
      </c>
    </row>
    <row r="2805" spans="1:38" x14ac:dyDescent="0.25">
      <c r="A2805">
        <v>2804</v>
      </c>
      <c r="B2805" t="str">
        <f xml:space="preserve"> "300265"</f>
        <v>300265</v>
      </c>
      <c r="C2805" t="s">
        <v>8290</v>
      </c>
      <c r="D2805">
        <v>11.89</v>
      </c>
      <c r="E2805">
        <v>-0.42</v>
      </c>
      <c r="F2805">
        <v>-0.05</v>
      </c>
      <c r="G2805" t="s">
        <v>7948</v>
      </c>
      <c r="H2805">
        <v>1200</v>
      </c>
      <c r="I2805">
        <v>11.88</v>
      </c>
      <c r="J2805">
        <v>11.89</v>
      </c>
      <c r="K2805">
        <v>-0.08</v>
      </c>
      <c r="L2805">
        <v>1.59</v>
      </c>
      <c r="M2805" t="s">
        <v>7495</v>
      </c>
      <c r="N2805">
        <v>47.78</v>
      </c>
      <c r="O2805" t="s">
        <v>680</v>
      </c>
      <c r="P2805">
        <v>12.17</v>
      </c>
      <c r="Q2805">
        <v>11.8</v>
      </c>
      <c r="R2805">
        <v>11.88</v>
      </c>
      <c r="S2805">
        <v>11.94</v>
      </c>
      <c r="T2805">
        <v>3.1</v>
      </c>
      <c r="U2805">
        <v>0.48</v>
      </c>
      <c r="V2805">
        <v>2.97</v>
      </c>
      <c r="W2805">
        <v>35</v>
      </c>
      <c r="X2805">
        <v>11.96</v>
      </c>
      <c r="Y2805" t="s">
        <v>2279</v>
      </c>
      <c r="Z2805" t="s">
        <v>1986</v>
      </c>
      <c r="AA2805">
        <v>1.64</v>
      </c>
      <c r="AB2805">
        <v>162</v>
      </c>
      <c r="AC2805">
        <v>226</v>
      </c>
      <c r="AD2805">
        <v>4.18</v>
      </c>
      <c r="AE2805" t="s">
        <v>3261</v>
      </c>
      <c r="AF2805" t="s">
        <v>1748</v>
      </c>
      <c r="AG2805" t="s">
        <v>4127</v>
      </c>
      <c r="AH2805" t="s">
        <v>567</v>
      </c>
      <c r="AI2805">
        <v>-2.86</v>
      </c>
      <c r="AJ2805">
        <v>7.41</v>
      </c>
      <c r="AK2805">
        <v>5.79</v>
      </c>
      <c r="AL2805">
        <v>18.100000000000001</v>
      </c>
    </row>
    <row r="2806" spans="1:38" x14ac:dyDescent="0.25">
      <c r="A2806">
        <v>2805</v>
      </c>
      <c r="B2806" t="str">
        <f xml:space="preserve"> "600375"</f>
        <v>600375</v>
      </c>
      <c r="C2806" t="s">
        <v>8291</v>
      </c>
      <c r="D2806">
        <v>7.22</v>
      </c>
      <c r="E2806">
        <v>-1.37</v>
      </c>
      <c r="F2806">
        <v>-0.1</v>
      </c>
      <c r="G2806" t="s">
        <v>102</v>
      </c>
      <c r="H2806">
        <v>2</v>
      </c>
      <c r="I2806">
        <v>7.21</v>
      </c>
      <c r="J2806">
        <v>7.22</v>
      </c>
      <c r="K2806">
        <v>0</v>
      </c>
      <c r="L2806">
        <v>2.06</v>
      </c>
      <c r="M2806" t="s">
        <v>8292</v>
      </c>
      <c r="N2806">
        <v>66.52</v>
      </c>
      <c r="O2806" t="s">
        <v>2647</v>
      </c>
      <c r="P2806">
        <v>7.36</v>
      </c>
      <c r="Q2806">
        <v>7.17</v>
      </c>
      <c r="R2806">
        <v>7.28</v>
      </c>
      <c r="S2806">
        <v>7.32</v>
      </c>
      <c r="T2806">
        <v>2.6</v>
      </c>
      <c r="U2806">
        <v>0.49</v>
      </c>
      <c r="V2806">
        <v>-3.09</v>
      </c>
      <c r="W2806">
        <v>-229</v>
      </c>
      <c r="X2806">
        <v>7.24</v>
      </c>
      <c r="Y2806" t="s">
        <v>1522</v>
      </c>
      <c r="Z2806" t="s">
        <v>3781</v>
      </c>
      <c r="AA2806">
        <v>2</v>
      </c>
      <c r="AB2806">
        <v>211</v>
      </c>
      <c r="AC2806">
        <v>432</v>
      </c>
      <c r="AD2806">
        <v>1.47</v>
      </c>
      <c r="AE2806" t="s">
        <v>5228</v>
      </c>
      <c r="AF2806" t="s">
        <v>1748</v>
      </c>
      <c r="AG2806" t="s">
        <v>5228</v>
      </c>
      <c r="AH2806" t="s">
        <v>1748</v>
      </c>
      <c r="AI2806">
        <v>-2.2999999999999998</v>
      </c>
      <c r="AJ2806">
        <v>6.02</v>
      </c>
      <c r="AK2806">
        <v>6.25</v>
      </c>
      <c r="AL2806">
        <v>23.14</v>
      </c>
    </row>
    <row r="2807" spans="1:38" x14ac:dyDescent="0.25">
      <c r="A2807">
        <v>2806</v>
      </c>
      <c r="B2807" t="str">
        <f xml:space="preserve"> "300227"</f>
        <v>300227</v>
      </c>
      <c r="C2807" t="s">
        <v>8293</v>
      </c>
      <c r="D2807">
        <v>27.05</v>
      </c>
      <c r="E2807">
        <v>0.93</v>
      </c>
      <c r="F2807">
        <v>0.25</v>
      </c>
      <c r="G2807" t="s">
        <v>3025</v>
      </c>
      <c r="H2807">
        <v>61</v>
      </c>
      <c r="I2807">
        <v>27.05</v>
      </c>
      <c r="J2807">
        <v>27.06</v>
      </c>
      <c r="K2807">
        <v>-0.04</v>
      </c>
      <c r="L2807">
        <v>1.67</v>
      </c>
      <c r="M2807" t="s">
        <v>8294</v>
      </c>
      <c r="N2807">
        <v>141.9</v>
      </c>
      <c r="O2807" t="s">
        <v>380</v>
      </c>
      <c r="P2807">
        <v>27.38</v>
      </c>
      <c r="Q2807">
        <v>26.85</v>
      </c>
      <c r="R2807">
        <v>26.85</v>
      </c>
      <c r="S2807">
        <v>26.8</v>
      </c>
      <c r="T2807">
        <v>1.98</v>
      </c>
      <c r="U2807">
        <v>1.1499999999999999</v>
      </c>
      <c r="V2807">
        <v>22.5</v>
      </c>
      <c r="W2807">
        <v>56</v>
      </c>
      <c r="X2807">
        <v>27.12</v>
      </c>
      <c r="Y2807" t="s">
        <v>1153</v>
      </c>
      <c r="Z2807">
        <v>8591</v>
      </c>
      <c r="AA2807">
        <v>1.63</v>
      </c>
      <c r="AB2807">
        <v>53</v>
      </c>
      <c r="AC2807">
        <v>69</v>
      </c>
      <c r="AD2807">
        <v>6.11</v>
      </c>
      <c r="AE2807" t="s">
        <v>1333</v>
      </c>
      <c r="AF2807" t="s">
        <v>1748</v>
      </c>
      <c r="AG2807" t="s">
        <v>1757</v>
      </c>
      <c r="AH2807" t="s">
        <v>7077</v>
      </c>
      <c r="AI2807">
        <v>-2.8</v>
      </c>
      <c r="AJ2807">
        <v>0.82</v>
      </c>
      <c r="AK2807">
        <v>3.89</v>
      </c>
      <c r="AL2807">
        <v>8.93</v>
      </c>
    </row>
    <row r="2808" spans="1:38" x14ac:dyDescent="0.25">
      <c r="A2808">
        <v>2807</v>
      </c>
      <c r="B2808" t="str">
        <f xml:space="preserve"> "002290"</f>
        <v>002290</v>
      </c>
      <c r="C2808" t="s">
        <v>8295</v>
      </c>
      <c r="D2808">
        <v>16.5</v>
      </c>
      <c r="E2808">
        <v>1.35</v>
      </c>
      <c r="F2808">
        <v>0.22</v>
      </c>
      <c r="G2808" t="s">
        <v>3892</v>
      </c>
      <c r="H2808">
        <v>596</v>
      </c>
      <c r="I2808">
        <v>16.5</v>
      </c>
      <c r="J2808">
        <v>16.510000000000002</v>
      </c>
      <c r="K2808">
        <v>0</v>
      </c>
      <c r="L2808">
        <v>1.19</v>
      </c>
      <c r="M2808" t="s">
        <v>8296</v>
      </c>
      <c r="N2808">
        <v>66.010000000000005</v>
      </c>
      <c r="O2808" t="s">
        <v>859</v>
      </c>
      <c r="P2808">
        <v>16.579999999999998</v>
      </c>
      <c r="Q2808">
        <v>16.260000000000002</v>
      </c>
      <c r="R2808">
        <v>16.350000000000001</v>
      </c>
      <c r="S2808">
        <v>16.28</v>
      </c>
      <c r="T2808">
        <v>1.97</v>
      </c>
      <c r="U2808">
        <v>1</v>
      </c>
      <c r="V2808">
        <v>-17.91</v>
      </c>
      <c r="W2808">
        <v>-233</v>
      </c>
      <c r="X2808">
        <v>16.45</v>
      </c>
      <c r="Y2808">
        <v>8909</v>
      </c>
      <c r="Z2808" t="s">
        <v>1785</v>
      </c>
      <c r="AA2808">
        <v>0.83</v>
      </c>
      <c r="AB2808">
        <v>143</v>
      </c>
      <c r="AC2808">
        <v>274</v>
      </c>
      <c r="AD2808">
        <v>3.24</v>
      </c>
      <c r="AE2808" t="s">
        <v>5158</v>
      </c>
      <c r="AF2808" t="s">
        <v>567</v>
      </c>
      <c r="AG2808" t="s">
        <v>608</v>
      </c>
      <c r="AH2808" t="s">
        <v>6810</v>
      </c>
      <c r="AI2808">
        <v>-0.06</v>
      </c>
      <c r="AJ2808">
        <v>2.5499999999999998</v>
      </c>
      <c r="AK2808">
        <v>3.61</v>
      </c>
      <c r="AL2808">
        <v>7.13</v>
      </c>
    </row>
    <row r="2809" spans="1:38" x14ac:dyDescent="0.25">
      <c r="A2809">
        <v>2808</v>
      </c>
      <c r="B2809" t="str">
        <f xml:space="preserve"> "000570"</f>
        <v>000570</v>
      </c>
      <c r="C2809" t="s">
        <v>8297</v>
      </c>
      <c r="D2809">
        <v>7.13</v>
      </c>
      <c r="E2809">
        <v>0.56000000000000005</v>
      </c>
      <c r="F2809">
        <v>0.04</v>
      </c>
      <c r="G2809" t="s">
        <v>3946</v>
      </c>
      <c r="H2809">
        <v>166</v>
      </c>
      <c r="I2809">
        <v>7.13</v>
      </c>
      <c r="J2809">
        <v>7.14</v>
      </c>
      <c r="K2809">
        <v>-0.14000000000000001</v>
      </c>
      <c r="L2809">
        <v>0.41</v>
      </c>
      <c r="M2809" t="s">
        <v>8298</v>
      </c>
      <c r="N2809">
        <v>50.44</v>
      </c>
      <c r="O2809" t="s">
        <v>648</v>
      </c>
      <c r="P2809">
        <v>7.14</v>
      </c>
      <c r="Q2809">
        <v>7.08</v>
      </c>
      <c r="R2809">
        <v>7.09</v>
      </c>
      <c r="S2809">
        <v>7.09</v>
      </c>
      <c r="T2809">
        <v>0.85</v>
      </c>
      <c r="U2809">
        <v>0.69</v>
      </c>
      <c r="V2809">
        <v>-1.65</v>
      </c>
      <c r="W2809">
        <v>-77</v>
      </c>
      <c r="X2809">
        <v>7.12</v>
      </c>
      <c r="Y2809">
        <v>7460</v>
      </c>
      <c r="Z2809">
        <v>9345</v>
      </c>
      <c r="AA2809">
        <v>0.8</v>
      </c>
      <c r="AB2809">
        <v>107</v>
      </c>
      <c r="AC2809">
        <v>952</v>
      </c>
      <c r="AD2809">
        <v>1.74</v>
      </c>
      <c r="AE2809" t="s">
        <v>4678</v>
      </c>
      <c r="AF2809" t="s">
        <v>567</v>
      </c>
      <c r="AG2809" t="s">
        <v>4100</v>
      </c>
      <c r="AH2809" t="s">
        <v>2341</v>
      </c>
      <c r="AI2809">
        <v>-0.97</v>
      </c>
      <c r="AJ2809">
        <v>1.42</v>
      </c>
      <c r="AK2809">
        <v>1.46</v>
      </c>
      <c r="AL2809">
        <v>3.38</v>
      </c>
    </row>
    <row r="2810" spans="1:38" x14ac:dyDescent="0.25">
      <c r="A2810">
        <v>2809</v>
      </c>
      <c r="B2810" t="str">
        <f xml:space="preserve"> "600112"</f>
        <v>600112</v>
      </c>
      <c r="C2810" t="s">
        <v>8299</v>
      </c>
      <c r="D2810">
        <v>7.86</v>
      </c>
      <c r="E2810">
        <v>1.29</v>
      </c>
      <c r="F2810">
        <v>0.1</v>
      </c>
      <c r="G2810" t="s">
        <v>2505</v>
      </c>
      <c r="H2810">
        <v>256</v>
      </c>
      <c r="I2810">
        <v>7.85</v>
      </c>
      <c r="J2810">
        <v>7.86</v>
      </c>
      <c r="K2810">
        <v>-0.25</v>
      </c>
      <c r="L2810">
        <v>2.36</v>
      </c>
      <c r="M2810" t="s">
        <v>8300</v>
      </c>
      <c r="N2810">
        <v>66.430000000000007</v>
      </c>
      <c r="O2810" t="s">
        <v>680</v>
      </c>
      <c r="P2810">
        <v>7.95</v>
      </c>
      <c r="Q2810">
        <v>7.7</v>
      </c>
      <c r="R2810">
        <v>7.76</v>
      </c>
      <c r="S2810">
        <v>7.76</v>
      </c>
      <c r="T2810">
        <v>3.22</v>
      </c>
      <c r="U2810">
        <v>1.1000000000000001</v>
      </c>
      <c r="V2810">
        <v>43.81</v>
      </c>
      <c r="W2810">
        <v>2002</v>
      </c>
      <c r="X2810">
        <v>7.84</v>
      </c>
      <c r="Y2810" t="s">
        <v>1879</v>
      </c>
      <c r="Z2810" t="s">
        <v>6314</v>
      </c>
      <c r="AA2810">
        <v>0.48</v>
      </c>
      <c r="AB2810">
        <v>887</v>
      </c>
      <c r="AC2810">
        <v>144</v>
      </c>
      <c r="AD2810">
        <v>3.35</v>
      </c>
      <c r="AE2810" t="s">
        <v>4925</v>
      </c>
      <c r="AF2810" t="s">
        <v>567</v>
      </c>
      <c r="AG2810" t="s">
        <v>4925</v>
      </c>
      <c r="AH2810" t="s">
        <v>567</v>
      </c>
      <c r="AI2810">
        <v>2.88</v>
      </c>
      <c r="AJ2810">
        <v>8.86</v>
      </c>
      <c r="AK2810">
        <v>5.91</v>
      </c>
      <c r="AL2810">
        <v>13.08</v>
      </c>
    </row>
    <row r="2811" spans="1:38" x14ac:dyDescent="0.25">
      <c r="A2811">
        <v>2810</v>
      </c>
      <c r="B2811" t="str">
        <f xml:space="preserve"> "600865"</f>
        <v>600865</v>
      </c>
      <c r="C2811" t="s">
        <v>8301</v>
      </c>
      <c r="D2811">
        <v>10.62</v>
      </c>
      <c r="E2811">
        <v>-0.93</v>
      </c>
      <c r="F2811">
        <v>-0.1</v>
      </c>
      <c r="G2811" t="s">
        <v>1704</v>
      </c>
      <c r="H2811">
        <v>13</v>
      </c>
      <c r="I2811">
        <v>10.63</v>
      </c>
      <c r="J2811">
        <v>10.64</v>
      </c>
      <c r="K2811">
        <v>-0.09</v>
      </c>
      <c r="L2811">
        <v>0.7</v>
      </c>
      <c r="M2811" t="s">
        <v>8302</v>
      </c>
      <c r="N2811">
        <v>56.89</v>
      </c>
      <c r="O2811" t="s">
        <v>532</v>
      </c>
      <c r="P2811">
        <v>10.69</v>
      </c>
      <c r="Q2811">
        <v>10.55</v>
      </c>
      <c r="R2811">
        <v>10.64</v>
      </c>
      <c r="S2811">
        <v>10.72</v>
      </c>
      <c r="T2811">
        <v>1.31</v>
      </c>
      <c r="U2811">
        <v>0.69</v>
      </c>
      <c r="V2811">
        <v>-15.22</v>
      </c>
      <c r="W2811">
        <v>-246</v>
      </c>
      <c r="X2811">
        <v>10.61</v>
      </c>
      <c r="Y2811" t="s">
        <v>2968</v>
      </c>
      <c r="Z2811">
        <v>9914</v>
      </c>
      <c r="AA2811">
        <v>1.65</v>
      </c>
      <c r="AB2811">
        <v>103</v>
      </c>
      <c r="AC2811">
        <v>119</v>
      </c>
      <c r="AD2811">
        <v>2.2999999999999998</v>
      </c>
      <c r="AE2811" t="s">
        <v>5978</v>
      </c>
      <c r="AF2811" t="s">
        <v>567</v>
      </c>
      <c r="AG2811" t="s">
        <v>5978</v>
      </c>
      <c r="AH2811" t="s">
        <v>567</v>
      </c>
      <c r="AI2811">
        <v>0.85</v>
      </c>
      <c r="AJ2811">
        <v>4.84</v>
      </c>
      <c r="AK2811">
        <v>3.83</v>
      </c>
      <c r="AL2811">
        <v>5.76</v>
      </c>
    </row>
    <row r="2812" spans="1:38" x14ac:dyDescent="0.25">
      <c r="A2812">
        <v>2811</v>
      </c>
      <c r="B2812" t="str">
        <f xml:space="preserve"> "002843"</f>
        <v>002843</v>
      </c>
      <c r="C2812" t="s">
        <v>8303</v>
      </c>
      <c r="D2812">
        <v>28.47</v>
      </c>
      <c r="E2812">
        <v>10.01</v>
      </c>
      <c r="F2812">
        <v>2.59</v>
      </c>
      <c r="G2812" t="s">
        <v>2955</v>
      </c>
      <c r="H2812">
        <v>76</v>
      </c>
      <c r="I2812">
        <v>28.47</v>
      </c>
      <c r="J2812" t="s">
        <v>616</v>
      </c>
      <c r="K2812">
        <v>0</v>
      </c>
      <c r="L2812">
        <v>54.4</v>
      </c>
      <c r="M2812" t="s">
        <v>2438</v>
      </c>
      <c r="N2812">
        <v>90.88</v>
      </c>
      <c r="O2812" t="s">
        <v>1229</v>
      </c>
      <c r="P2812">
        <v>28.47</v>
      </c>
      <c r="Q2812">
        <v>26.5</v>
      </c>
      <c r="R2812">
        <v>26.5</v>
      </c>
      <c r="S2812">
        <v>25.88</v>
      </c>
      <c r="T2812">
        <v>7.61</v>
      </c>
      <c r="U2812">
        <v>4.9000000000000004</v>
      </c>
      <c r="V2812">
        <v>100</v>
      </c>
      <c r="W2812">
        <v>4352</v>
      </c>
      <c r="X2812">
        <v>27.76</v>
      </c>
      <c r="Y2812" t="s">
        <v>2003</v>
      </c>
      <c r="Z2812" t="s">
        <v>3100</v>
      </c>
      <c r="AA2812">
        <v>1.39</v>
      </c>
      <c r="AB2812">
        <v>4139</v>
      </c>
      <c r="AC2812">
        <v>0</v>
      </c>
      <c r="AD2812">
        <v>6.87</v>
      </c>
      <c r="AE2812" t="s">
        <v>3110</v>
      </c>
      <c r="AF2812" t="s">
        <v>1127</v>
      </c>
      <c r="AG2812" t="s">
        <v>4537</v>
      </c>
      <c r="AH2812" t="s">
        <v>298</v>
      </c>
      <c r="AI2812">
        <v>18.82</v>
      </c>
      <c r="AJ2812">
        <v>26.65</v>
      </c>
      <c r="AK2812">
        <v>94.64</v>
      </c>
      <c r="AL2812">
        <v>109.95</v>
      </c>
    </row>
    <row r="2813" spans="1:38" x14ac:dyDescent="0.25">
      <c r="A2813">
        <v>2812</v>
      </c>
      <c r="B2813" t="str">
        <f xml:space="preserve"> "300150"</f>
        <v>300150</v>
      </c>
      <c r="C2813" t="s">
        <v>8304</v>
      </c>
      <c r="D2813">
        <v>7.38</v>
      </c>
      <c r="E2813">
        <v>0.54</v>
      </c>
      <c r="F2813">
        <v>0.04</v>
      </c>
      <c r="G2813" t="s">
        <v>2862</v>
      </c>
      <c r="H2813">
        <v>298</v>
      </c>
      <c r="I2813">
        <v>7.38</v>
      </c>
      <c r="J2813">
        <v>7.39</v>
      </c>
      <c r="K2813">
        <v>0</v>
      </c>
      <c r="L2813">
        <v>0.59</v>
      </c>
      <c r="M2813" t="s">
        <v>8305</v>
      </c>
      <c r="N2813">
        <v>-104.66</v>
      </c>
      <c r="O2813" t="s">
        <v>553</v>
      </c>
      <c r="P2813">
        <v>7.41</v>
      </c>
      <c r="Q2813">
        <v>7.33</v>
      </c>
      <c r="R2813">
        <v>7.37</v>
      </c>
      <c r="S2813">
        <v>7.34</v>
      </c>
      <c r="T2813">
        <v>1.0900000000000001</v>
      </c>
      <c r="U2813">
        <v>0.74</v>
      </c>
      <c r="V2813">
        <v>-63.86</v>
      </c>
      <c r="W2813">
        <v>-2962</v>
      </c>
      <c r="X2813">
        <v>7.36</v>
      </c>
      <c r="Y2813" t="s">
        <v>2241</v>
      </c>
      <c r="Z2813" t="s">
        <v>1114</v>
      </c>
      <c r="AA2813">
        <v>0.77</v>
      </c>
      <c r="AB2813">
        <v>135</v>
      </c>
      <c r="AC2813">
        <v>1139</v>
      </c>
      <c r="AD2813">
        <v>2.66</v>
      </c>
      <c r="AE2813" t="s">
        <v>8306</v>
      </c>
      <c r="AF2813" t="s">
        <v>1127</v>
      </c>
      <c r="AG2813" t="s">
        <v>879</v>
      </c>
      <c r="AH2813" t="s">
        <v>3278</v>
      </c>
      <c r="AI2813">
        <v>-0.54</v>
      </c>
      <c r="AJ2813">
        <v>4.9800000000000004</v>
      </c>
      <c r="AK2813">
        <v>2.19</v>
      </c>
      <c r="AL2813">
        <v>4.53</v>
      </c>
    </row>
    <row r="2814" spans="1:38" x14ac:dyDescent="0.25">
      <c r="A2814">
        <v>2813</v>
      </c>
      <c r="B2814" t="str">
        <f xml:space="preserve"> "300040"</f>
        <v>300040</v>
      </c>
      <c r="C2814" t="s">
        <v>8307</v>
      </c>
      <c r="D2814">
        <v>11.49</v>
      </c>
      <c r="E2814">
        <v>-1.03</v>
      </c>
      <c r="F2814">
        <v>-0.12</v>
      </c>
      <c r="G2814" t="s">
        <v>2406</v>
      </c>
      <c r="H2814">
        <v>696</v>
      </c>
      <c r="I2814">
        <v>11.48</v>
      </c>
      <c r="J2814">
        <v>11.49</v>
      </c>
      <c r="K2814">
        <v>0</v>
      </c>
      <c r="L2814">
        <v>2.2000000000000002</v>
      </c>
      <c r="M2814" t="s">
        <v>8308</v>
      </c>
      <c r="N2814">
        <v>25.97</v>
      </c>
      <c r="O2814" t="s">
        <v>680</v>
      </c>
      <c r="P2814">
        <v>11.63</v>
      </c>
      <c r="Q2814">
        <v>11.45</v>
      </c>
      <c r="R2814">
        <v>11.54</v>
      </c>
      <c r="S2814">
        <v>11.61</v>
      </c>
      <c r="T2814">
        <v>1.55</v>
      </c>
      <c r="U2814">
        <v>1.17</v>
      </c>
      <c r="V2814">
        <v>24.52</v>
      </c>
      <c r="W2814">
        <v>590</v>
      </c>
      <c r="X2814">
        <v>11.51</v>
      </c>
      <c r="Y2814" t="s">
        <v>2391</v>
      </c>
      <c r="Z2814" t="s">
        <v>1576</v>
      </c>
      <c r="AA2814">
        <v>1.92</v>
      </c>
      <c r="AB2814">
        <v>358</v>
      </c>
      <c r="AC2814">
        <v>371</v>
      </c>
      <c r="AD2814">
        <v>2.2000000000000002</v>
      </c>
      <c r="AE2814" t="s">
        <v>5176</v>
      </c>
      <c r="AF2814" t="s">
        <v>6162</v>
      </c>
      <c r="AG2814" t="s">
        <v>3884</v>
      </c>
      <c r="AH2814" t="s">
        <v>2182</v>
      </c>
      <c r="AI2814">
        <v>-2.54</v>
      </c>
      <c r="AJ2814">
        <v>0.79</v>
      </c>
      <c r="AK2814">
        <v>5.37</v>
      </c>
      <c r="AL2814">
        <v>11.56</v>
      </c>
    </row>
    <row r="2815" spans="1:38" x14ac:dyDescent="0.25">
      <c r="A2815">
        <v>2814</v>
      </c>
      <c r="B2815" t="str">
        <f xml:space="preserve"> "600159"</f>
        <v>600159</v>
      </c>
      <c r="C2815" t="s">
        <v>8309</v>
      </c>
      <c r="D2815">
        <v>4.79</v>
      </c>
      <c r="E2815">
        <v>0.21</v>
      </c>
      <c r="F2815">
        <v>0.01</v>
      </c>
      <c r="G2815" t="s">
        <v>1712</v>
      </c>
      <c r="H2815">
        <v>45</v>
      </c>
      <c r="I2815">
        <v>4.78</v>
      </c>
      <c r="J2815">
        <v>4.79</v>
      </c>
      <c r="K2815">
        <v>0.21</v>
      </c>
      <c r="L2815">
        <v>0.44</v>
      </c>
      <c r="M2815" t="s">
        <v>8310</v>
      </c>
      <c r="N2815">
        <v>-94.52</v>
      </c>
      <c r="O2815" t="s">
        <v>244</v>
      </c>
      <c r="P2815">
        <v>4.79</v>
      </c>
      <c r="Q2815">
        <v>4.74</v>
      </c>
      <c r="R2815">
        <v>4.7699999999999996</v>
      </c>
      <c r="S2815">
        <v>4.78</v>
      </c>
      <c r="T2815">
        <v>1.05</v>
      </c>
      <c r="U2815">
        <v>0.42</v>
      </c>
      <c r="V2815">
        <v>-10.91</v>
      </c>
      <c r="W2815">
        <v>-1413</v>
      </c>
      <c r="X2815">
        <v>4.76</v>
      </c>
      <c r="Y2815" t="s">
        <v>507</v>
      </c>
      <c r="Z2815" t="s">
        <v>3946</v>
      </c>
      <c r="AA2815">
        <v>1.1599999999999999</v>
      </c>
      <c r="AB2815">
        <v>124</v>
      </c>
      <c r="AC2815">
        <v>1128</v>
      </c>
      <c r="AD2815">
        <v>1.83</v>
      </c>
      <c r="AE2815" t="s">
        <v>4424</v>
      </c>
      <c r="AF2815" t="s">
        <v>6162</v>
      </c>
      <c r="AG2815" t="s">
        <v>4424</v>
      </c>
      <c r="AH2815" t="s">
        <v>6162</v>
      </c>
      <c r="AI2815">
        <v>-0.62</v>
      </c>
      <c r="AJ2815">
        <v>-0.83</v>
      </c>
      <c r="AK2815">
        <v>1.85</v>
      </c>
      <c r="AL2815">
        <v>5.68</v>
      </c>
    </row>
    <row r="2816" spans="1:38" x14ac:dyDescent="0.25">
      <c r="A2816">
        <v>2815</v>
      </c>
      <c r="B2816" t="str">
        <f xml:space="preserve"> "002855"</f>
        <v>002855</v>
      </c>
      <c r="C2816" t="s">
        <v>8311</v>
      </c>
      <c r="D2816">
        <v>16.54</v>
      </c>
      <c r="E2816">
        <v>1.66</v>
      </c>
      <c r="F2816">
        <v>0.27</v>
      </c>
      <c r="G2816" t="s">
        <v>3914</v>
      </c>
      <c r="H2816">
        <v>592</v>
      </c>
      <c r="I2816">
        <v>16.53</v>
      </c>
      <c r="J2816">
        <v>16.54</v>
      </c>
      <c r="K2816">
        <v>-0.06</v>
      </c>
      <c r="L2816">
        <v>4.47</v>
      </c>
      <c r="M2816" t="s">
        <v>8312</v>
      </c>
      <c r="N2816">
        <v>74.17</v>
      </c>
      <c r="O2816" t="s">
        <v>2128</v>
      </c>
      <c r="P2816">
        <v>16.559999999999999</v>
      </c>
      <c r="Q2816">
        <v>16.18</v>
      </c>
      <c r="R2816">
        <v>16.22</v>
      </c>
      <c r="S2816">
        <v>16.27</v>
      </c>
      <c r="T2816">
        <v>2.34</v>
      </c>
      <c r="U2816">
        <v>1.46</v>
      </c>
      <c r="V2816">
        <v>-36.19</v>
      </c>
      <c r="W2816">
        <v>-748</v>
      </c>
      <c r="X2816">
        <v>16.43</v>
      </c>
      <c r="Y2816" t="s">
        <v>1836</v>
      </c>
      <c r="Z2816" t="s">
        <v>1683</v>
      </c>
      <c r="AA2816">
        <v>0.67</v>
      </c>
      <c r="AB2816">
        <v>21</v>
      </c>
      <c r="AC2816">
        <v>189</v>
      </c>
      <c r="AD2816">
        <v>3.39</v>
      </c>
      <c r="AE2816" t="s">
        <v>2521</v>
      </c>
      <c r="AF2816" t="s">
        <v>3678</v>
      </c>
      <c r="AG2816" t="s">
        <v>5162</v>
      </c>
      <c r="AH2816" t="s">
        <v>1430</v>
      </c>
      <c r="AI2816">
        <v>1.78</v>
      </c>
      <c r="AJ2816">
        <v>5.15</v>
      </c>
      <c r="AK2816">
        <v>11.22</v>
      </c>
      <c r="AL2816">
        <v>19.78</v>
      </c>
    </row>
    <row r="2817" spans="1:38" x14ac:dyDescent="0.25">
      <c r="A2817">
        <v>2816</v>
      </c>
      <c r="B2817" t="str">
        <f xml:space="preserve"> "600747"</f>
        <v>600747</v>
      </c>
      <c r="C2817" t="s">
        <v>8313</v>
      </c>
      <c r="D2817">
        <v>2.71</v>
      </c>
      <c r="E2817">
        <v>0</v>
      </c>
      <c r="F2817">
        <v>0</v>
      </c>
      <c r="G2817" t="s">
        <v>1623</v>
      </c>
      <c r="H2817">
        <v>10</v>
      </c>
      <c r="I2817">
        <v>2.71</v>
      </c>
      <c r="J2817">
        <v>2.72</v>
      </c>
      <c r="K2817">
        <v>0</v>
      </c>
      <c r="L2817">
        <v>0.44</v>
      </c>
      <c r="M2817" t="s">
        <v>8054</v>
      </c>
      <c r="N2817">
        <v>-104.11</v>
      </c>
      <c r="O2817" t="s">
        <v>2001</v>
      </c>
      <c r="P2817">
        <v>2.72</v>
      </c>
      <c r="Q2817">
        <v>2.69</v>
      </c>
      <c r="R2817">
        <v>2.7</v>
      </c>
      <c r="S2817">
        <v>2.71</v>
      </c>
      <c r="T2817">
        <v>1.1100000000000001</v>
      </c>
      <c r="U2817">
        <v>0.65</v>
      </c>
      <c r="V2817">
        <v>-44.76</v>
      </c>
      <c r="W2817" t="s">
        <v>7287</v>
      </c>
      <c r="X2817">
        <v>2.71</v>
      </c>
      <c r="Y2817" t="s">
        <v>3189</v>
      </c>
      <c r="Z2817" t="s">
        <v>4399</v>
      </c>
      <c r="AA2817">
        <v>2.2999999999999998</v>
      </c>
      <c r="AB2817">
        <v>562</v>
      </c>
      <c r="AC2817">
        <v>4769</v>
      </c>
      <c r="AD2817">
        <v>2.06</v>
      </c>
      <c r="AE2817" t="s">
        <v>801</v>
      </c>
      <c r="AF2817" t="s">
        <v>3678</v>
      </c>
      <c r="AG2817" t="s">
        <v>1554</v>
      </c>
      <c r="AH2817" t="s">
        <v>6741</v>
      </c>
      <c r="AI2817">
        <v>1.1200000000000001</v>
      </c>
      <c r="AJ2817">
        <v>3.44</v>
      </c>
      <c r="AK2817">
        <v>2.06</v>
      </c>
      <c r="AL2817">
        <v>3.86</v>
      </c>
    </row>
    <row r="2818" spans="1:38" x14ac:dyDescent="0.25">
      <c r="A2818">
        <v>2817</v>
      </c>
      <c r="B2818" t="str">
        <f xml:space="preserve"> "000812"</f>
        <v>000812</v>
      </c>
      <c r="C2818" t="s">
        <v>8314</v>
      </c>
      <c r="D2818">
        <v>8.86</v>
      </c>
      <c r="E2818">
        <v>1.72</v>
      </c>
      <c r="F2818">
        <v>0.15</v>
      </c>
      <c r="G2818" t="s">
        <v>2673</v>
      </c>
      <c r="H2818">
        <v>1145</v>
      </c>
      <c r="I2818">
        <v>8.85</v>
      </c>
      <c r="J2818">
        <v>8.86</v>
      </c>
      <c r="K2818">
        <v>0</v>
      </c>
      <c r="L2818">
        <v>1.02</v>
      </c>
      <c r="M2818" t="s">
        <v>8315</v>
      </c>
      <c r="N2818">
        <v>195.85</v>
      </c>
      <c r="O2818" t="s">
        <v>3873</v>
      </c>
      <c r="P2818">
        <v>8.86</v>
      </c>
      <c r="Q2818">
        <v>8.7100000000000009</v>
      </c>
      <c r="R2818">
        <v>8.7200000000000006</v>
      </c>
      <c r="S2818">
        <v>8.7100000000000009</v>
      </c>
      <c r="T2818">
        <v>1.72</v>
      </c>
      <c r="U2818">
        <v>1.31</v>
      </c>
      <c r="V2818">
        <v>-6.99</v>
      </c>
      <c r="W2818">
        <v>-678</v>
      </c>
      <c r="X2818">
        <v>8.81</v>
      </c>
      <c r="Y2818" t="s">
        <v>1113</v>
      </c>
      <c r="Z2818" t="s">
        <v>2099</v>
      </c>
      <c r="AA2818">
        <v>0.64</v>
      </c>
      <c r="AB2818">
        <v>1208</v>
      </c>
      <c r="AC2818">
        <v>1931</v>
      </c>
      <c r="AD2818">
        <v>4.45</v>
      </c>
      <c r="AE2818" t="s">
        <v>252</v>
      </c>
      <c r="AF2818" t="s">
        <v>2585</v>
      </c>
      <c r="AG2818" t="s">
        <v>2744</v>
      </c>
      <c r="AH2818" t="s">
        <v>1794</v>
      </c>
      <c r="AI2818">
        <v>0.8</v>
      </c>
      <c r="AJ2818">
        <v>2.9</v>
      </c>
      <c r="AK2818">
        <v>2.88</v>
      </c>
      <c r="AL2818">
        <v>4.9000000000000004</v>
      </c>
    </row>
    <row r="2819" spans="1:38" x14ac:dyDescent="0.25">
      <c r="A2819">
        <v>2818</v>
      </c>
      <c r="B2819" t="str">
        <f xml:space="preserve"> "300019"</f>
        <v>300019</v>
      </c>
      <c r="C2819" t="s">
        <v>8316</v>
      </c>
      <c r="D2819">
        <v>11.96</v>
      </c>
      <c r="E2819">
        <v>1.36</v>
      </c>
      <c r="F2819">
        <v>0.16</v>
      </c>
      <c r="G2819" t="s">
        <v>1668</v>
      </c>
      <c r="H2819">
        <v>2416</v>
      </c>
      <c r="I2819">
        <v>11.95</v>
      </c>
      <c r="J2819">
        <v>11.96</v>
      </c>
      <c r="K2819">
        <v>-0.08</v>
      </c>
      <c r="L2819">
        <v>5.69</v>
      </c>
      <c r="M2819" t="s">
        <v>746</v>
      </c>
      <c r="N2819">
        <v>107.16</v>
      </c>
      <c r="O2819" t="s">
        <v>667</v>
      </c>
      <c r="P2819">
        <v>12.08</v>
      </c>
      <c r="Q2819">
        <v>11.58</v>
      </c>
      <c r="R2819">
        <v>11.9</v>
      </c>
      <c r="S2819">
        <v>11.8</v>
      </c>
      <c r="T2819">
        <v>4.24</v>
      </c>
      <c r="U2819">
        <v>0.54</v>
      </c>
      <c r="V2819">
        <v>-68.41</v>
      </c>
      <c r="W2819">
        <v>-2434</v>
      </c>
      <c r="X2819">
        <v>11.84</v>
      </c>
      <c r="Y2819" t="s">
        <v>8317</v>
      </c>
      <c r="Z2819" t="s">
        <v>2334</v>
      </c>
      <c r="AA2819">
        <v>1.2</v>
      </c>
      <c r="AB2819">
        <v>309</v>
      </c>
      <c r="AC2819">
        <v>841</v>
      </c>
      <c r="AD2819">
        <v>5.54</v>
      </c>
      <c r="AE2819" t="s">
        <v>7034</v>
      </c>
      <c r="AF2819" t="s">
        <v>2585</v>
      </c>
      <c r="AG2819" t="s">
        <v>2526</v>
      </c>
      <c r="AH2819" t="s">
        <v>3257</v>
      </c>
      <c r="AI2819">
        <v>0.17</v>
      </c>
      <c r="AJ2819">
        <v>9.1199999999999992</v>
      </c>
      <c r="AK2819">
        <v>26.68</v>
      </c>
      <c r="AL2819">
        <v>58</v>
      </c>
    </row>
    <row r="2820" spans="1:38" x14ac:dyDescent="0.25">
      <c r="A2820">
        <v>2819</v>
      </c>
      <c r="B2820" t="str">
        <f xml:space="preserve"> "603380"</f>
        <v>603380</v>
      </c>
      <c r="C2820" t="s">
        <v>8318</v>
      </c>
      <c r="D2820">
        <v>24.72</v>
      </c>
      <c r="E2820">
        <v>2.4</v>
      </c>
      <c r="F2820">
        <v>0.57999999999999996</v>
      </c>
      <c r="G2820" t="s">
        <v>5066</v>
      </c>
      <c r="H2820">
        <v>6</v>
      </c>
      <c r="I2820">
        <v>24.69</v>
      </c>
      <c r="J2820">
        <v>24.7</v>
      </c>
      <c r="K2820">
        <v>-0.08</v>
      </c>
      <c r="L2820">
        <v>10.68</v>
      </c>
      <c r="M2820" t="s">
        <v>1907</v>
      </c>
      <c r="N2820">
        <v>51.39</v>
      </c>
      <c r="O2820" t="s">
        <v>380</v>
      </c>
      <c r="P2820">
        <v>24.78</v>
      </c>
      <c r="Q2820">
        <v>23.93</v>
      </c>
      <c r="R2820">
        <v>24.15</v>
      </c>
      <c r="S2820">
        <v>24.14</v>
      </c>
      <c r="T2820">
        <v>3.52</v>
      </c>
      <c r="U2820">
        <v>0.97</v>
      </c>
      <c r="V2820">
        <v>-28.03</v>
      </c>
      <c r="W2820">
        <v>-127</v>
      </c>
      <c r="X2820">
        <v>24.49</v>
      </c>
      <c r="Y2820" t="s">
        <v>1493</v>
      </c>
      <c r="Z2820" t="s">
        <v>3357</v>
      </c>
      <c r="AA2820">
        <v>0.71</v>
      </c>
      <c r="AB2820">
        <v>3</v>
      </c>
      <c r="AC2820">
        <v>102</v>
      </c>
      <c r="AD2820">
        <v>6.21</v>
      </c>
      <c r="AE2820" t="s">
        <v>4326</v>
      </c>
      <c r="AF2820" t="s">
        <v>2585</v>
      </c>
      <c r="AG2820" t="s">
        <v>6081</v>
      </c>
      <c r="AH2820" t="s">
        <v>1016</v>
      </c>
      <c r="AI2820">
        <v>-1.51</v>
      </c>
      <c r="AJ2820">
        <v>3.78</v>
      </c>
      <c r="AK2820">
        <v>32.19</v>
      </c>
      <c r="AL2820">
        <v>65.8</v>
      </c>
    </row>
    <row r="2821" spans="1:38" x14ac:dyDescent="0.25">
      <c r="A2821">
        <v>2820</v>
      </c>
      <c r="B2821" t="str">
        <f xml:space="preserve"> "601798"</f>
        <v>601798</v>
      </c>
      <c r="C2821" t="s">
        <v>8319</v>
      </c>
      <c r="D2821">
        <v>11.15</v>
      </c>
      <c r="E2821">
        <v>0.27</v>
      </c>
      <c r="F2821">
        <v>0.03</v>
      </c>
      <c r="G2821" t="s">
        <v>2991</v>
      </c>
      <c r="H2821">
        <v>15</v>
      </c>
      <c r="I2821">
        <v>11.14</v>
      </c>
      <c r="J2821">
        <v>11.15</v>
      </c>
      <c r="K2821">
        <v>0</v>
      </c>
      <c r="L2821">
        <v>0.33</v>
      </c>
      <c r="M2821" t="s">
        <v>8320</v>
      </c>
      <c r="N2821">
        <v>1081.29</v>
      </c>
      <c r="O2821" t="s">
        <v>648</v>
      </c>
      <c r="P2821">
        <v>11.23</v>
      </c>
      <c r="Q2821">
        <v>11.11</v>
      </c>
      <c r="R2821">
        <v>11.11</v>
      </c>
      <c r="S2821">
        <v>11.12</v>
      </c>
      <c r="T2821">
        <v>1.08</v>
      </c>
      <c r="U2821">
        <v>0.51</v>
      </c>
      <c r="V2821">
        <v>-13.55</v>
      </c>
      <c r="W2821">
        <v>-106</v>
      </c>
      <c r="X2821">
        <v>11.16</v>
      </c>
      <c r="Y2821">
        <v>5812</v>
      </c>
      <c r="Z2821">
        <v>5963</v>
      </c>
      <c r="AA2821">
        <v>0.97</v>
      </c>
      <c r="AB2821">
        <v>17</v>
      </c>
      <c r="AC2821">
        <v>38</v>
      </c>
      <c r="AD2821">
        <v>2.17</v>
      </c>
      <c r="AE2821" t="s">
        <v>2012</v>
      </c>
      <c r="AF2821" t="s">
        <v>1794</v>
      </c>
      <c r="AG2821" t="s">
        <v>2012</v>
      </c>
      <c r="AH2821" t="s">
        <v>1794</v>
      </c>
      <c r="AI2821">
        <v>-1.24</v>
      </c>
      <c r="AJ2821">
        <v>3.82</v>
      </c>
      <c r="AK2821">
        <v>1.18</v>
      </c>
      <c r="AL2821">
        <v>3.57</v>
      </c>
    </row>
    <row r="2822" spans="1:38" x14ac:dyDescent="0.25">
      <c r="A2822">
        <v>2821</v>
      </c>
      <c r="B2822" t="str">
        <f xml:space="preserve"> "600237"</f>
        <v>600237</v>
      </c>
      <c r="C2822" t="s">
        <v>8321</v>
      </c>
      <c r="D2822">
        <v>7</v>
      </c>
      <c r="E2822">
        <v>-0.71</v>
      </c>
      <c r="F2822">
        <v>-0.05</v>
      </c>
      <c r="G2822" t="s">
        <v>194</v>
      </c>
      <c r="H2822">
        <v>6</v>
      </c>
      <c r="I2822">
        <v>6.99</v>
      </c>
      <c r="J2822">
        <v>7</v>
      </c>
      <c r="K2822">
        <v>0.14000000000000001</v>
      </c>
      <c r="L2822">
        <v>2.2200000000000002</v>
      </c>
      <c r="M2822" t="s">
        <v>8322</v>
      </c>
      <c r="N2822">
        <v>312.42</v>
      </c>
      <c r="O2822" t="s">
        <v>380</v>
      </c>
      <c r="P2822">
        <v>7.03</v>
      </c>
      <c r="Q2822">
        <v>6.92</v>
      </c>
      <c r="R2822">
        <v>7.01</v>
      </c>
      <c r="S2822">
        <v>7.05</v>
      </c>
      <c r="T2822">
        <v>1.56</v>
      </c>
      <c r="U2822">
        <v>0.72</v>
      </c>
      <c r="V2822">
        <v>-53.51</v>
      </c>
      <c r="W2822" t="s">
        <v>8323</v>
      </c>
      <c r="X2822">
        <v>6.98</v>
      </c>
      <c r="Y2822" t="s">
        <v>2379</v>
      </c>
      <c r="Z2822" t="s">
        <v>3306</v>
      </c>
      <c r="AA2822">
        <v>1.64</v>
      </c>
      <c r="AB2822">
        <v>966</v>
      </c>
      <c r="AC2822">
        <v>2101</v>
      </c>
      <c r="AD2822">
        <v>3.22</v>
      </c>
      <c r="AE2822" t="s">
        <v>2954</v>
      </c>
      <c r="AF2822" t="s">
        <v>1794</v>
      </c>
      <c r="AG2822" t="s">
        <v>2954</v>
      </c>
      <c r="AH2822" t="s">
        <v>1794</v>
      </c>
      <c r="AI2822">
        <v>0</v>
      </c>
      <c r="AJ2822">
        <v>3.55</v>
      </c>
      <c r="AK2822">
        <v>9.89</v>
      </c>
      <c r="AL2822">
        <v>17.59</v>
      </c>
    </row>
    <row r="2823" spans="1:38" x14ac:dyDescent="0.25">
      <c r="A2823">
        <v>2822</v>
      </c>
      <c r="B2823" t="str">
        <f xml:space="preserve"> "300141"</f>
        <v>300141</v>
      </c>
      <c r="C2823" t="s">
        <v>8324</v>
      </c>
      <c r="D2823">
        <v>15.48</v>
      </c>
      <c r="E2823">
        <v>1.78</v>
      </c>
      <c r="F2823">
        <v>0.27</v>
      </c>
      <c r="G2823" t="s">
        <v>5030</v>
      </c>
      <c r="H2823">
        <v>2265</v>
      </c>
      <c r="I2823">
        <v>15.47</v>
      </c>
      <c r="J2823">
        <v>15.48</v>
      </c>
      <c r="K2823">
        <v>-0.13</v>
      </c>
      <c r="L2823">
        <v>4.0199999999999996</v>
      </c>
      <c r="M2823" t="s">
        <v>4464</v>
      </c>
      <c r="N2823">
        <v>708.63</v>
      </c>
      <c r="O2823" t="s">
        <v>680</v>
      </c>
      <c r="P2823">
        <v>15.6</v>
      </c>
      <c r="Q2823">
        <v>15.05</v>
      </c>
      <c r="R2823">
        <v>15.3</v>
      </c>
      <c r="S2823">
        <v>15.21</v>
      </c>
      <c r="T2823">
        <v>3.62</v>
      </c>
      <c r="U2823">
        <v>0.47</v>
      </c>
      <c r="V2823">
        <v>-52.37</v>
      </c>
      <c r="W2823">
        <v>-2324</v>
      </c>
      <c r="X2823">
        <v>15.34</v>
      </c>
      <c r="Y2823" t="s">
        <v>928</v>
      </c>
      <c r="Z2823" t="s">
        <v>3189</v>
      </c>
      <c r="AA2823">
        <v>1</v>
      </c>
      <c r="AB2823">
        <v>820</v>
      </c>
      <c r="AC2823">
        <v>2577</v>
      </c>
      <c r="AD2823">
        <v>5.5</v>
      </c>
      <c r="AE2823" t="s">
        <v>4480</v>
      </c>
      <c r="AF2823" t="s">
        <v>1794</v>
      </c>
      <c r="AG2823" t="s">
        <v>2339</v>
      </c>
      <c r="AH2823" t="s">
        <v>2920</v>
      </c>
      <c r="AI2823">
        <v>-10.1</v>
      </c>
      <c r="AJ2823">
        <v>-4.62</v>
      </c>
      <c r="AK2823">
        <v>20.85</v>
      </c>
      <c r="AL2823">
        <v>46.79</v>
      </c>
    </row>
    <row r="2824" spans="1:38" x14ac:dyDescent="0.25">
      <c r="A2824">
        <v>2823</v>
      </c>
      <c r="B2824" t="str">
        <f xml:space="preserve"> "600870"</f>
        <v>600870</v>
      </c>
      <c r="C2824" t="s">
        <v>8325</v>
      </c>
      <c r="D2824" t="s">
        <v>616</v>
      </c>
      <c r="E2824" t="s">
        <v>616</v>
      </c>
      <c r="F2824" t="s">
        <v>616</v>
      </c>
      <c r="G2824" t="s">
        <v>616</v>
      </c>
      <c r="H2824" t="s">
        <v>616</v>
      </c>
      <c r="I2824" t="s">
        <v>616</v>
      </c>
      <c r="J2824" t="s">
        <v>616</v>
      </c>
      <c r="K2824" t="s">
        <v>616</v>
      </c>
      <c r="L2824" t="s">
        <v>616</v>
      </c>
      <c r="M2824" t="s">
        <v>616</v>
      </c>
      <c r="N2824">
        <v>-744.21</v>
      </c>
      <c r="O2824" t="s">
        <v>553</v>
      </c>
      <c r="P2824" t="s">
        <v>616</v>
      </c>
      <c r="Q2824" t="s">
        <v>616</v>
      </c>
      <c r="R2824" t="s">
        <v>616</v>
      </c>
      <c r="S2824">
        <v>7.54</v>
      </c>
      <c r="T2824" t="s">
        <v>616</v>
      </c>
      <c r="U2824" t="s">
        <v>616</v>
      </c>
      <c r="V2824" t="s">
        <v>616</v>
      </c>
      <c r="W2824" t="s">
        <v>616</v>
      </c>
      <c r="X2824" t="s">
        <v>616</v>
      </c>
      <c r="Y2824" t="s">
        <v>616</v>
      </c>
      <c r="Z2824" t="s">
        <v>616</v>
      </c>
      <c r="AA2824" t="s">
        <v>616</v>
      </c>
      <c r="AB2824" t="s">
        <v>616</v>
      </c>
      <c r="AC2824" t="s">
        <v>616</v>
      </c>
      <c r="AD2824">
        <v>317.29000000000002</v>
      </c>
      <c r="AE2824" t="s">
        <v>2985</v>
      </c>
      <c r="AF2824" t="s">
        <v>7799</v>
      </c>
      <c r="AG2824" t="s">
        <v>2985</v>
      </c>
      <c r="AH2824" t="s">
        <v>7799</v>
      </c>
      <c r="AI2824">
        <v>0</v>
      </c>
      <c r="AJ2824">
        <v>0</v>
      </c>
      <c r="AK2824">
        <v>0</v>
      </c>
      <c r="AL2824">
        <v>0</v>
      </c>
    </row>
    <row r="2825" spans="1:38" x14ac:dyDescent="0.25">
      <c r="A2825">
        <v>2824</v>
      </c>
      <c r="B2825" t="str">
        <f xml:space="preserve"> "002896"</f>
        <v>002896</v>
      </c>
      <c r="C2825" t="s">
        <v>8326</v>
      </c>
      <c r="D2825">
        <v>49.31</v>
      </c>
      <c r="E2825">
        <v>-1.04</v>
      </c>
      <c r="F2825">
        <v>-0.52</v>
      </c>
      <c r="G2825" t="s">
        <v>2202</v>
      </c>
      <c r="H2825">
        <v>318</v>
      </c>
      <c r="I2825">
        <v>49.31</v>
      </c>
      <c r="J2825">
        <v>49.33</v>
      </c>
      <c r="K2825">
        <v>0.16</v>
      </c>
      <c r="L2825">
        <v>11.76</v>
      </c>
      <c r="M2825" t="s">
        <v>2748</v>
      </c>
      <c r="N2825">
        <v>68.78</v>
      </c>
      <c r="O2825" t="s">
        <v>648</v>
      </c>
      <c r="P2825">
        <v>49.92</v>
      </c>
      <c r="Q2825">
        <v>48.5</v>
      </c>
      <c r="R2825">
        <v>49.7</v>
      </c>
      <c r="S2825">
        <v>49.83</v>
      </c>
      <c r="T2825">
        <v>2.85</v>
      </c>
      <c r="U2825">
        <v>0.75</v>
      </c>
      <c r="V2825">
        <v>57.32</v>
      </c>
      <c r="W2825">
        <v>231</v>
      </c>
      <c r="X2825">
        <v>49.17</v>
      </c>
      <c r="Y2825" t="s">
        <v>1579</v>
      </c>
      <c r="Z2825">
        <v>9826</v>
      </c>
      <c r="AA2825">
        <v>1.39</v>
      </c>
      <c r="AB2825">
        <v>86</v>
      </c>
      <c r="AC2825">
        <v>6</v>
      </c>
      <c r="AD2825">
        <v>7.88</v>
      </c>
      <c r="AE2825" t="s">
        <v>5802</v>
      </c>
      <c r="AF2825" t="s">
        <v>7799</v>
      </c>
      <c r="AG2825" t="s">
        <v>5562</v>
      </c>
      <c r="AH2825" t="s">
        <v>4091</v>
      </c>
      <c r="AI2825">
        <v>-0.04</v>
      </c>
      <c r="AJ2825">
        <v>3.27</v>
      </c>
      <c r="AK2825">
        <v>47.22</v>
      </c>
      <c r="AL2825">
        <v>90.17</v>
      </c>
    </row>
    <row r="2826" spans="1:38" x14ac:dyDescent="0.25">
      <c r="A2826">
        <v>2825</v>
      </c>
      <c r="B2826" t="str">
        <f xml:space="preserve"> "300701"</f>
        <v>300701</v>
      </c>
      <c r="C2826" t="s">
        <v>8327</v>
      </c>
      <c r="D2826">
        <v>49.3</v>
      </c>
      <c r="E2826">
        <v>3.79</v>
      </c>
      <c r="F2826">
        <v>1.8</v>
      </c>
      <c r="G2826" t="s">
        <v>5837</v>
      </c>
      <c r="H2826">
        <v>1105</v>
      </c>
      <c r="I2826">
        <v>49.29</v>
      </c>
      <c r="J2826">
        <v>49.3</v>
      </c>
      <c r="K2826">
        <v>0.18</v>
      </c>
      <c r="L2826">
        <v>37.1</v>
      </c>
      <c r="M2826" t="s">
        <v>4391</v>
      </c>
      <c r="N2826">
        <v>71.63</v>
      </c>
      <c r="O2826" t="s">
        <v>380</v>
      </c>
      <c r="P2826">
        <v>52.09</v>
      </c>
      <c r="Q2826">
        <v>46.4</v>
      </c>
      <c r="R2826">
        <v>46.86</v>
      </c>
      <c r="S2826">
        <v>47.5</v>
      </c>
      <c r="T2826">
        <v>11.98</v>
      </c>
      <c r="U2826">
        <v>1.03</v>
      </c>
      <c r="V2826">
        <v>87.76</v>
      </c>
      <c r="W2826">
        <v>594</v>
      </c>
      <c r="X2826">
        <v>49.71</v>
      </c>
      <c r="Y2826" t="s">
        <v>2543</v>
      </c>
      <c r="Z2826" t="s">
        <v>1692</v>
      </c>
      <c r="AA2826">
        <v>0.94</v>
      </c>
      <c r="AB2826">
        <v>12</v>
      </c>
      <c r="AC2826">
        <v>4</v>
      </c>
      <c r="AD2826">
        <v>9.75</v>
      </c>
      <c r="AE2826" t="s">
        <v>5802</v>
      </c>
      <c r="AF2826" t="s">
        <v>7799</v>
      </c>
      <c r="AG2826" t="s">
        <v>5562</v>
      </c>
      <c r="AH2826" t="s">
        <v>4091</v>
      </c>
      <c r="AI2826">
        <v>-3.88</v>
      </c>
      <c r="AJ2826">
        <v>10.49</v>
      </c>
      <c r="AK2826">
        <v>119.38</v>
      </c>
      <c r="AL2826">
        <v>216.44</v>
      </c>
    </row>
    <row r="2827" spans="1:38" x14ac:dyDescent="0.25">
      <c r="A2827">
        <v>2826</v>
      </c>
      <c r="B2827" t="str">
        <f xml:space="preserve"> "600882"</f>
        <v>600882</v>
      </c>
      <c r="C2827" t="s">
        <v>8328</v>
      </c>
      <c r="D2827">
        <v>9.65</v>
      </c>
      <c r="E2827">
        <v>-0.41</v>
      </c>
      <c r="F2827">
        <v>-0.04</v>
      </c>
      <c r="G2827" t="s">
        <v>2002</v>
      </c>
      <c r="H2827">
        <v>1</v>
      </c>
      <c r="I2827">
        <v>9.65</v>
      </c>
      <c r="J2827">
        <v>9.66</v>
      </c>
      <c r="K2827">
        <v>0.1</v>
      </c>
      <c r="L2827">
        <v>0.28000000000000003</v>
      </c>
      <c r="M2827" t="s">
        <v>8329</v>
      </c>
      <c r="N2827">
        <v>-161.63</v>
      </c>
      <c r="O2827" t="s">
        <v>406</v>
      </c>
      <c r="P2827">
        <v>9.74</v>
      </c>
      <c r="Q2827">
        <v>9.61</v>
      </c>
      <c r="R2827">
        <v>9.65</v>
      </c>
      <c r="S2827">
        <v>9.69</v>
      </c>
      <c r="T2827">
        <v>1.34</v>
      </c>
      <c r="U2827">
        <v>0.57999999999999996</v>
      </c>
      <c r="V2827">
        <v>-28.4</v>
      </c>
      <c r="W2827">
        <v>-952</v>
      </c>
      <c r="X2827">
        <v>9.69</v>
      </c>
      <c r="Y2827">
        <v>6386</v>
      </c>
      <c r="Z2827">
        <v>4837</v>
      </c>
      <c r="AA2827">
        <v>1.32</v>
      </c>
      <c r="AB2827">
        <v>426</v>
      </c>
      <c r="AC2827">
        <v>482</v>
      </c>
      <c r="AD2827">
        <v>3.42</v>
      </c>
      <c r="AE2827" t="s">
        <v>139</v>
      </c>
      <c r="AF2827" t="s">
        <v>7799</v>
      </c>
      <c r="AG2827" t="s">
        <v>2009</v>
      </c>
      <c r="AH2827" t="s">
        <v>5838</v>
      </c>
      <c r="AI2827">
        <v>0.52</v>
      </c>
      <c r="AJ2827">
        <v>0.84</v>
      </c>
      <c r="AK2827">
        <v>1.34</v>
      </c>
      <c r="AL2827">
        <v>2.71</v>
      </c>
    </row>
    <row r="2828" spans="1:38" x14ac:dyDescent="0.25">
      <c r="A2828">
        <v>2827</v>
      </c>
      <c r="B2828" t="str">
        <f xml:space="preserve"> "300105"</f>
        <v>300105</v>
      </c>
      <c r="C2828" t="s">
        <v>8330</v>
      </c>
      <c r="D2828">
        <v>7.68</v>
      </c>
      <c r="E2828">
        <v>3.23</v>
      </c>
      <c r="F2828">
        <v>0.24</v>
      </c>
      <c r="G2828" t="s">
        <v>4340</v>
      </c>
      <c r="H2828">
        <v>3477</v>
      </c>
      <c r="I2828">
        <v>7.67</v>
      </c>
      <c r="J2828">
        <v>7.68</v>
      </c>
      <c r="K2828">
        <v>0.13</v>
      </c>
      <c r="L2828">
        <v>3.26</v>
      </c>
      <c r="M2828" t="s">
        <v>315</v>
      </c>
      <c r="N2828">
        <v>1515.01</v>
      </c>
      <c r="O2828" t="s">
        <v>648</v>
      </c>
      <c r="P2828">
        <v>7.77</v>
      </c>
      <c r="Q2828">
        <v>7.31</v>
      </c>
      <c r="R2828">
        <v>7.42</v>
      </c>
      <c r="S2828">
        <v>7.44</v>
      </c>
      <c r="T2828">
        <v>6.18</v>
      </c>
      <c r="U2828">
        <v>2.35</v>
      </c>
      <c r="V2828">
        <v>-8.98</v>
      </c>
      <c r="W2828">
        <v>-709</v>
      </c>
      <c r="X2828">
        <v>7.56</v>
      </c>
      <c r="Y2828" t="s">
        <v>6653</v>
      </c>
      <c r="Z2828" t="s">
        <v>6439</v>
      </c>
      <c r="AA2828">
        <v>0.72</v>
      </c>
      <c r="AB2828">
        <v>2309</v>
      </c>
      <c r="AC2828">
        <v>482</v>
      </c>
      <c r="AD2828">
        <v>2.0499999999999998</v>
      </c>
      <c r="AE2828" t="s">
        <v>3982</v>
      </c>
      <c r="AF2828" t="s">
        <v>7799</v>
      </c>
      <c r="AG2828" t="s">
        <v>3982</v>
      </c>
      <c r="AH2828" t="s">
        <v>7799</v>
      </c>
      <c r="AI2828">
        <v>6.22</v>
      </c>
      <c r="AJ2828">
        <v>10.029999999999999</v>
      </c>
      <c r="AK2828">
        <v>7.3</v>
      </c>
      <c r="AL2828">
        <v>10.210000000000001</v>
      </c>
    </row>
    <row r="2829" spans="1:38" x14ac:dyDescent="0.25">
      <c r="A2829">
        <v>2828</v>
      </c>
      <c r="B2829" t="str">
        <f xml:space="preserve"> "002208"</f>
        <v>002208</v>
      </c>
      <c r="C2829" t="s">
        <v>8331</v>
      </c>
      <c r="D2829">
        <v>12.3</v>
      </c>
      <c r="E2829">
        <v>-0.81</v>
      </c>
      <c r="F2829">
        <v>-0.1</v>
      </c>
      <c r="G2829" t="s">
        <v>792</v>
      </c>
      <c r="H2829">
        <v>1438</v>
      </c>
      <c r="I2829">
        <v>12.3</v>
      </c>
      <c r="J2829">
        <v>12.31</v>
      </c>
      <c r="K2829">
        <v>-0.08</v>
      </c>
      <c r="L2829">
        <v>1.64</v>
      </c>
      <c r="M2829" t="s">
        <v>8332</v>
      </c>
      <c r="N2829">
        <v>63.87</v>
      </c>
      <c r="O2829" t="s">
        <v>244</v>
      </c>
      <c r="P2829">
        <v>12.46</v>
      </c>
      <c r="Q2829">
        <v>12.25</v>
      </c>
      <c r="R2829">
        <v>12.26</v>
      </c>
      <c r="S2829">
        <v>12.4</v>
      </c>
      <c r="T2829">
        <v>1.69</v>
      </c>
      <c r="U2829">
        <v>1.24</v>
      </c>
      <c r="V2829">
        <v>26.33</v>
      </c>
      <c r="W2829">
        <v>556</v>
      </c>
      <c r="X2829">
        <v>12.3</v>
      </c>
      <c r="Y2829" t="s">
        <v>2279</v>
      </c>
      <c r="Z2829" t="s">
        <v>4374</v>
      </c>
      <c r="AA2829">
        <v>1.74</v>
      </c>
      <c r="AB2829">
        <v>52</v>
      </c>
      <c r="AC2829">
        <v>327</v>
      </c>
      <c r="AD2829">
        <v>2.4500000000000002</v>
      </c>
      <c r="AE2829" t="s">
        <v>2738</v>
      </c>
      <c r="AF2829" t="s">
        <v>7799</v>
      </c>
      <c r="AG2829" t="s">
        <v>2264</v>
      </c>
      <c r="AH2829" t="s">
        <v>2569</v>
      </c>
      <c r="AI2829">
        <v>2.41</v>
      </c>
      <c r="AJ2829">
        <v>5.31</v>
      </c>
      <c r="AK2829">
        <v>5.48</v>
      </c>
      <c r="AL2829">
        <v>8.23</v>
      </c>
    </row>
    <row r="2830" spans="1:38" x14ac:dyDescent="0.25">
      <c r="A2830">
        <v>2829</v>
      </c>
      <c r="B2830" t="str">
        <f xml:space="preserve"> "603006"</f>
        <v>603006</v>
      </c>
      <c r="C2830" t="s">
        <v>8333</v>
      </c>
      <c r="D2830">
        <v>20.41</v>
      </c>
      <c r="E2830">
        <v>-0.83</v>
      </c>
      <c r="F2830">
        <v>-0.17</v>
      </c>
      <c r="G2830" t="s">
        <v>2800</v>
      </c>
      <c r="H2830">
        <v>13</v>
      </c>
      <c r="I2830">
        <v>20.38</v>
      </c>
      <c r="J2830">
        <v>20.399999999999999</v>
      </c>
      <c r="K2830">
        <v>-0.05</v>
      </c>
      <c r="L2830">
        <v>1.5</v>
      </c>
      <c r="M2830" t="s">
        <v>6298</v>
      </c>
      <c r="N2830">
        <v>36.1</v>
      </c>
      <c r="O2830" t="s">
        <v>169</v>
      </c>
      <c r="P2830">
        <v>20.71</v>
      </c>
      <c r="Q2830">
        <v>20.100000000000001</v>
      </c>
      <c r="R2830">
        <v>20.45</v>
      </c>
      <c r="S2830">
        <v>20.58</v>
      </c>
      <c r="T2830">
        <v>2.96</v>
      </c>
      <c r="U2830">
        <v>0.91</v>
      </c>
      <c r="V2830">
        <v>36.26</v>
      </c>
      <c r="W2830">
        <v>132</v>
      </c>
      <c r="X2830">
        <v>20.350000000000001</v>
      </c>
      <c r="Y2830">
        <v>5782</v>
      </c>
      <c r="Z2830">
        <v>4712</v>
      </c>
      <c r="AA2830">
        <v>1.23</v>
      </c>
      <c r="AB2830">
        <v>20</v>
      </c>
      <c r="AC2830">
        <v>18</v>
      </c>
      <c r="AD2830">
        <v>4.58</v>
      </c>
      <c r="AE2830" t="s">
        <v>1088</v>
      </c>
      <c r="AF2830" t="s">
        <v>7799</v>
      </c>
      <c r="AG2830" t="s">
        <v>3971</v>
      </c>
      <c r="AH2830" t="s">
        <v>2246</v>
      </c>
      <c r="AI2830">
        <v>-2.95</v>
      </c>
      <c r="AJ2830">
        <v>2.25</v>
      </c>
      <c r="AK2830">
        <v>4.03</v>
      </c>
      <c r="AL2830">
        <v>9.7100000000000009</v>
      </c>
    </row>
    <row r="2831" spans="1:38" x14ac:dyDescent="0.25">
      <c r="A2831">
        <v>2830</v>
      </c>
      <c r="B2831" t="str">
        <f xml:space="preserve"> "600250"</f>
        <v>600250</v>
      </c>
      <c r="C2831" t="s">
        <v>8334</v>
      </c>
      <c r="D2831">
        <v>15.21</v>
      </c>
      <c r="E2831">
        <v>1.94</v>
      </c>
      <c r="F2831">
        <v>0.28999999999999998</v>
      </c>
      <c r="G2831" t="s">
        <v>1090</v>
      </c>
      <c r="H2831">
        <v>173</v>
      </c>
      <c r="I2831">
        <v>15.2</v>
      </c>
      <c r="J2831">
        <v>15.22</v>
      </c>
      <c r="K2831">
        <v>-7.0000000000000007E-2</v>
      </c>
      <c r="L2831">
        <v>1.43</v>
      </c>
      <c r="M2831" t="s">
        <v>8335</v>
      </c>
      <c r="N2831">
        <v>-91.91</v>
      </c>
      <c r="O2831" t="s">
        <v>1443</v>
      </c>
      <c r="P2831">
        <v>15.38</v>
      </c>
      <c r="Q2831">
        <v>14.81</v>
      </c>
      <c r="R2831">
        <v>14.83</v>
      </c>
      <c r="S2831">
        <v>14.92</v>
      </c>
      <c r="T2831">
        <v>3.82</v>
      </c>
      <c r="U2831">
        <v>1.26</v>
      </c>
      <c r="V2831">
        <v>17.75</v>
      </c>
      <c r="W2831">
        <v>224</v>
      </c>
      <c r="X2831">
        <v>15.23</v>
      </c>
      <c r="Y2831" t="s">
        <v>1576</v>
      </c>
      <c r="Z2831" t="s">
        <v>658</v>
      </c>
      <c r="AA2831">
        <v>0.88</v>
      </c>
      <c r="AB2831">
        <v>149</v>
      </c>
      <c r="AC2831">
        <v>176</v>
      </c>
      <c r="AD2831">
        <v>12.07</v>
      </c>
      <c r="AE2831" t="s">
        <v>2208</v>
      </c>
      <c r="AF2831" t="s">
        <v>2569</v>
      </c>
      <c r="AG2831" t="s">
        <v>2208</v>
      </c>
      <c r="AH2831" t="s">
        <v>2569</v>
      </c>
      <c r="AI2831">
        <v>8.9499999999999993</v>
      </c>
      <c r="AJ2831">
        <v>9.74</v>
      </c>
      <c r="AK2831">
        <v>5.24</v>
      </c>
      <c r="AL2831">
        <v>7.1</v>
      </c>
    </row>
    <row r="2832" spans="1:38" x14ac:dyDescent="0.25">
      <c r="A2832">
        <v>2831</v>
      </c>
      <c r="B2832" t="str">
        <f xml:space="preserve"> "300556"</f>
        <v>300556</v>
      </c>
      <c r="C2832" t="s">
        <v>8336</v>
      </c>
      <c r="D2832">
        <v>35.4</v>
      </c>
      <c r="E2832">
        <v>-3.41</v>
      </c>
      <c r="F2832">
        <v>-1.25</v>
      </c>
      <c r="G2832" t="s">
        <v>1444</v>
      </c>
      <c r="H2832">
        <v>1685</v>
      </c>
      <c r="I2832">
        <v>35.4</v>
      </c>
      <c r="J2832">
        <v>35.700000000000003</v>
      </c>
      <c r="K2832">
        <v>-1.06</v>
      </c>
      <c r="L2832">
        <v>19.899999999999999</v>
      </c>
      <c r="M2832" t="s">
        <v>3229</v>
      </c>
      <c r="N2832">
        <v>283.87</v>
      </c>
      <c r="O2832" t="s">
        <v>893</v>
      </c>
      <c r="P2832">
        <v>37.47</v>
      </c>
      <c r="Q2832">
        <v>35.299999999999997</v>
      </c>
      <c r="R2832">
        <v>36.96</v>
      </c>
      <c r="S2832">
        <v>36.65</v>
      </c>
      <c r="T2832">
        <v>5.92</v>
      </c>
      <c r="U2832">
        <v>1.08</v>
      </c>
      <c r="V2832">
        <v>86.22</v>
      </c>
      <c r="W2832">
        <v>3067</v>
      </c>
      <c r="X2832">
        <v>36.340000000000003</v>
      </c>
      <c r="Y2832" t="s">
        <v>2273</v>
      </c>
      <c r="Z2832" t="s">
        <v>86</v>
      </c>
      <c r="AA2832">
        <v>1.35</v>
      </c>
      <c r="AB2832">
        <v>2230</v>
      </c>
      <c r="AC2832">
        <v>12</v>
      </c>
      <c r="AD2832">
        <v>10.02</v>
      </c>
      <c r="AE2832" t="s">
        <v>4533</v>
      </c>
      <c r="AF2832" t="s">
        <v>2569</v>
      </c>
      <c r="AG2832" t="s">
        <v>8337</v>
      </c>
      <c r="AH2832" t="s">
        <v>4690</v>
      </c>
      <c r="AI2832">
        <v>-0.37</v>
      </c>
      <c r="AJ2832">
        <v>15.69</v>
      </c>
      <c r="AK2832">
        <v>96.31</v>
      </c>
      <c r="AL2832">
        <v>111.98</v>
      </c>
    </row>
    <row r="2833" spans="1:38" x14ac:dyDescent="0.25">
      <c r="A2833">
        <v>2832</v>
      </c>
      <c r="B2833" t="str">
        <f xml:space="preserve"> "000409"</f>
        <v>000409</v>
      </c>
      <c r="C2833" t="s">
        <v>8338</v>
      </c>
      <c r="D2833">
        <v>7.69</v>
      </c>
      <c r="E2833">
        <v>1.59</v>
      </c>
      <c r="F2833">
        <v>0.12</v>
      </c>
      <c r="G2833" t="s">
        <v>8339</v>
      </c>
      <c r="H2833">
        <v>1350</v>
      </c>
      <c r="I2833">
        <v>7.69</v>
      </c>
      <c r="J2833">
        <v>7.7</v>
      </c>
      <c r="K2833">
        <v>0</v>
      </c>
      <c r="L2833">
        <v>2.48</v>
      </c>
      <c r="M2833" t="s">
        <v>8340</v>
      </c>
      <c r="N2833">
        <v>-27.35</v>
      </c>
      <c r="O2833" t="s">
        <v>416</v>
      </c>
      <c r="P2833">
        <v>7.82</v>
      </c>
      <c r="Q2833">
        <v>7.46</v>
      </c>
      <c r="R2833">
        <v>7.56</v>
      </c>
      <c r="S2833">
        <v>7.57</v>
      </c>
      <c r="T2833">
        <v>4.76</v>
      </c>
      <c r="U2833">
        <v>1.71</v>
      </c>
      <c r="V2833">
        <v>-40.270000000000003</v>
      </c>
      <c r="W2833">
        <v>-1876</v>
      </c>
      <c r="X2833">
        <v>7.63</v>
      </c>
      <c r="Y2833" t="s">
        <v>5376</v>
      </c>
      <c r="Z2833" t="s">
        <v>656</v>
      </c>
      <c r="AA2833">
        <v>0.97</v>
      </c>
      <c r="AB2833">
        <v>146</v>
      </c>
      <c r="AC2833">
        <v>696</v>
      </c>
      <c r="AD2833">
        <v>4.54</v>
      </c>
      <c r="AE2833" t="s">
        <v>5626</v>
      </c>
      <c r="AF2833" t="s">
        <v>2569</v>
      </c>
      <c r="AG2833" t="s">
        <v>3924</v>
      </c>
      <c r="AH2833" t="s">
        <v>4063</v>
      </c>
      <c r="AI2833">
        <v>2.12</v>
      </c>
      <c r="AJ2833">
        <v>7.25</v>
      </c>
      <c r="AK2833">
        <v>6.36</v>
      </c>
      <c r="AL2833">
        <v>9.7200000000000006</v>
      </c>
    </row>
    <row r="2834" spans="1:38" x14ac:dyDescent="0.25">
      <c r="A2834">
        <v>2833</v>
      </c>
      <c r="B2834" t="str">
        <f xml:space="preserve"> "600082"</f>
        <v>600082</v>
      </c>
      <c r="C2834" t="s">
        <v>8341</v>
      </c>
      <c r="D2834">
        <v>6.08</v>
      </c>
      <c r="E2834">
        <v>0.5</v>
      </c>
      <c r="F2834">
        <v>0.03</v>
      </c>
      <c r="G2834" t="s">
        <v>1879</v>
      </c>
      <c r="H2834">
        <v>200</v>
      </c>
      <c r="I2834">
        <v>6.08</v>
      </c>
      <c r="J2834">
        <v>6.09</v>
      </c>
      <c r="K2834">
        <v>-0.16</v>
      </c>
      <c r="L2834">
        <v>0.62</v>
      </c>
      <c r="M2834" t="s">
        <v>8342</v>
      </c>
      <c r="N2834">
        <v>-99.01</v>
      </c>
      <c r="O2834" t="s">
        <v>244</v>
      </c>
      <c r="P2834">
        <v>6.09</v>
      </c>
      <c r="Q2834">
        <v>6.01</v>
      </c>
      <c r="R2834">
        <v>6.06</v>
      </c>
      <c r="S2834">
        <v>6.05</v>
      </c>
      <c r="T2834">
        <v>1.32</v>
      </c>
      <c r="U2834">
        <v>0.76</v>
      </c>
      <c r="V2834">
        <v>-17.329999999999998</v>
      </c>
      <c r="W2834">
        <v>-1053</v>
      </c>
      <c r="X2834">
        <v>6.06</v>
      </c>
      <c r="Y2834" t="s">
        <v>1565</v>
      </c>
      <c r="Z2834" t="s">
        <v>3946</v>
      </c>
      <c r="AA2834">
        <v>1.34</v>
      </c>
      <c r="AB2834">
        <v>11</v>
      </c>
      <c r="AC2834">
        <v>585</v>
      </c>
      <c r="AD2834">
        <v>2.37</v>
      </c>
      <c r="AE2834" t="s">
        <v>3611</v>
      </c>
      <c r="AF2834" t="s">
        <v>2569</v>
      </c>
      <c r="AG2834" t="s">
        <v>5946</v>
      </c>
      <c r="AH2834" t="s">
        <v>5838</v>
      </c>
      <c r="AI2834">
        <v>-0.33</v>
      </c>
      <c r="AJ2834">
        <v>2.0099999999999998</v>
      </c>
      <c r="AK2834">
        <v>1.92</v>
      </c>
      <c r="AL2834">
        <v>4.67</v>
      </c>
    </row>
    <row r="2835" spans="1:38" x14ac:dyDescent="0.25">
      <c r="A2835">
        <v>2834</v>
      </c>
      <c r="B2835" t="str">
        <f xml:space="preserve"> "300437"</f>
        <v>300437</v>
      </c>
      <c r="C2835" t="s">
        <v>8343</v>
      </c>
      <c r="D2835" t="s">
        <v>616</v>
      </c>
      <c r="E2835" t="s">
        <v>616</v>
      </c>
      <c r="F2835" t="s">
        <v>616</v>
      </c>
      <c r="G2835" t="s">
        <v>616</v>
      </c>
      <c r="H2835" t="s">
        <v>616</v>
      </c>
      <c r="I2835" t="s">
        <v>616</v>
      </c>
      <c r="J2835" t="s">
        <v>616</v>
      </c>
      <c r="K2835" t="s">
        <v>616</v>
      </c>
      <c r="L2835" t="s">
        <v>616</v>
      </c>
      <c r="M2835" t="s">
        <v>616</v>
      </c>
      <c r="N2835">
        <v>69.010000000000005</v>
      </c>
      <c r="O2835" t="s">
        <v>2085</v>
      </c>
      <c r="P2835" t="s">
        <v>616</v>
      </c>
      <c r="Q2835" t="s">
        <v>616</v>
      </c>
      <c r="R2835" t="s">
        <v>616</v>
      </c>
      <c r="S2835">
        <v>17.98</v>
      </c>
      <c r="T2835" t="s">
        <v>616</v>
      </c>
      <c r="U2835" t="s">
        <v>616</v>
      </c>
      <c r="V2835" t="s">
        <v>616</v>
      </c>
      <c r="W2835" t="s">
        <v>616</v>
      </c>
      <c r="X2835" t="s">
        <v>616</v>
      </c>
      <c r="Y2835" t="s">
        <v>616</v>
      </c>
      <c r="Z2835" t="s">
        <v>616</v>
      </c>
      <c r="AA2835" t="s">
        <v>616</v>
      </c>
      <c r="AB2835" t="s">
        <v>616</v>
      </c>
      <c r="AC2835" t="s">
        <v>616</v>
      </c>
      <c r="AD2835">
        <v>3.3</v>
      </c>
      <c r="AE2835" t="s">
        <v>3597</v>
      </c>
      <c r="AF2835" t="s">
        <v>2569</v>
      </c>
      <c r="AG2835" t="s">
        <v>8344</v>
      </c>
      <c r="AH2835" t="s">
        <v>892</v>
      </c>
      <c r="AI2835">
        <v>0</v>
      </c>
      <c r="AJ2835">
        <v>0</v>
      </c>
      <c r="AK2835">
        <v>0</v>
      </c>
      <c r="AL2835">
        <v>0.59</v>
      </c>
    </row>
    <row r="2836" spans="1:38" x14ac:dyDescent="0.25">
      <c r="A2836">
        <v>2835</v>
      </c>
      <c r="B2836" t="str">
        <f xml:space="preserve"> "600367"</f>
        <v>600367</v>
      </c>
      <c r="C2836" t="s">
        <v>8345</v>
      </c>
      <c r="D2836">
        <v>13.48</v>
      </c>
      <c r="E2836">
        <v>0.82</v>
      </c>
      <c r="F2836">
        <v>0.11</v>
      </c>
      <c r="G2836" t="s">
        <v>991</v>
      </c>
      <c r="H2836">
        <v>5</v>
      </c>
      <c r="I2836">
        <v>13.48</v>
      </c>
      <c r="J2836">
        <v>13.49</v>
      </c>
      <c r="K2836">
        <v>7.0000000000000007E-2</v>
      </c>
      <c r="L2836">
        <v>3.63</v>
      </c>
      <c r="M2836" t="s">
        <v>2327</v>
      </c>
      <c r="N2836">
        <v>39.380000000000003</v>
      </c>
      <c r="O2836" t="s">
        <v>667</v>
      </c>
      <c r="P2836">
        <v>13.69</v>
      </c>
      <c r="Q2836">
        <v>13.38</v>
      </c>
      <c r="R2836">
        <v>13.49</v>
      </c>
      <c r="S2836">
        <v>13.37</v>
      </c>
      <c r="T2836">
        <v>2.3199999999999998</v>
      </c>
      <c r="U2836">
        <v>0.83</v>
      </c>
      <c r="V2836">
        <v>-7.05</v>
      </c>
      <c r="W2836">
        <v>-84</v>
      </c>
      <c r="X2836">
        <v>13.53</v>
      </c>
      <c r="Y2836" t="s">
        <v>2900</v>
      </c>
      <c r="Z2836" t="s">
        <v>370</v>
      </c>
      <c r="AA2836">
        <v>1.03</v>
      </c>
      <c r="AB2836">
        <v>4</v>
      </c>
      <c r="AC2836">
        <v>56</v>
      </c>
      <c r="AD2836">
        <v>3.44</v>
      </c>
      <c r="AE2836" t="s">
        <v>2218</v>
      </c>
      <c r="AF2836" t="s">
        <v>2569</v>
      </c>
      <c r="AG2836" t="s">
        <v>2218</v>
      </c>
      <c r="AH2836" t="s">
        <v>2569</v>
      </c>
      <c r="AI2836">
        <v>-3.16</v>
      </c>
      <c r="AJ2836">
        <v>-2.95</v>
      </c>
      <c r="AK2836">
        <v>11.46</v>
      </c>
      <c r="AL2836">
        <v>25.4</v>
      </c>
    </row>
    <row r="2837" spans="1:38" x14ac:dyDescent="0.25">
      <c r="A2837">
        <v>2836</v>
      </c>
      <c r="B2837" t="str">
        <f xml:space="preserve"> "002881"</f>
        <v>002881</v>
      </c>
      <c r="C2837" t="s">
        <v>8346</v>
      </c>
      <c r="D2837">
        <v>36.770000000000003</v>
      </c>
      <c r="E2837">
        <v>-2.36</v>
      </c>
      <c r="F2837">
        <v>-0.89</v>
      </c>
      <c r="G2837" t="s">
        <v>2889</v>
      </c>
      <c r="H2837">
        <v>1081</v>
      </c>
      <c r="I2837">
        <v>36.770000000000003</v>
      </c>
      <c r="J2837">
        <v>36.78</v>
      </c>
      <c r="K2837">
        <v>0.3</v>
      </c>
      <c r="L2837">
        <v>21.76</v>
      </c>
      <c r="M2837" t="s">
        <v>1853</v>
      </c>
      <c r="N2837">
        <v>116.89</v>
      </c>
      <c r="O2837" t="s">
        <v>2128</v>
      </c>
      <c r="P2837">
        <v>37.47</v>
      </c>
      <c r="Q2837">
        <v>35.5</v>
      </c>
      <c r="R2837">
        <v>37.03</v>
      </c>
      <c r="S2837">
        <v>37.659999999999997</v>
      </c>
      <c r="T2837">
        <v>5.23</v>
      </c>
      <c r="U2837">
        <v>0.53</v>
      </c>
      <c r="V2837">
        <v>-58.16</v>
      </c>
      <c r="W2837">
        <v>-431</v>
      </c>
      <c r="X2837">
        <v>36.51</v>
      </c>
      <c r="Y2837" t="s">
        <v>885</v>
      </c>
      <c r="Z2837" t="s">
        <v>2614</v>
      </c>
      <c r="AA2837">
        <v>1.24</v>
      </c>
      <c r="AB2837">
        <v>108</v>
      </c>
      <c r="AC2837">
        <v>481</v>
      </c>
      <c r="AD2837">
        <v>8.65</v>
      </c>
      <c r="AE2837" t="s">
        <v>1314</v>
      </c>
      <c r="AF2837" t="s">
        <v>1616</v>
      </c>
      <c r="AG2837" t="s">
        <v>7087</v>
      </c>
      <c r="AH2837" t="s">
        <v>4026</v>
      </c>
      <c r="AI2837">
        <v>-11.16</v>
      </c>
      <c r="AJ2837">
        <v>3.75</v>
      </c>
      <c r="AK2837">
        <v>94.76</v>
      </c>
      <c r="AL2837">
        <v>225.64</v>
      </c>
    </row>
    <row r="2838" spans="1:38" x14ac:dyDescent="0.25">
      <c r="A2838">
        <v>2837</v>
      </c>
      <c r="B2838" t="str">
        <f xml:space="preserve"> "300537"</f>
        <v>300537</v>
      </c>
      <c r="C2838" t="s">
        <v>8347</v>
      </c>
      <c r="D2838">
        <v>20.309999999999999</v>
      </c>
      <c r="E2838">
        <v>2.52</v>
      </c>
      <c r="F2838">
        <v>0.5</v>
      </c>
      <c r="G2838" t="s">
        <v>3062</v>
      </c>
      <c r="H2838">
        <v>308</v>
      </c>
      <c r="I2838">
        <v>20.309999999999999</v>
      </c>
      <c r="J2838">
        <v>20.32</v>
      </c>
      <c r="K2838">
        <v>0</v>
      </c>
      <c r="L2838">
        <v>2.88</v>
      </c>
      <c r="M2838" t="s">
        <v>6645</v>
      </c>
      <c r="N2838">
        <v>82.08</v>
      </c>
      <c r="O2838" t="s">
        <v>667</v>
      </c>
      <c r="P2838">
        <v>20.48</v>
      </c>
      <c r="Q2838">
        <v>19.8</v>
      </c>
      <c r="R2838">
        <v>20.2</v>
      </c>
      <c r="S2838">
        <v>19.809999999999999</v>
      </c>
      <c r="T2838">
        <v>3.43</v>
      </c>
      <c r="U2838">
        <v>1.1200000000000001</v>
      </c>
      <c r="V2838">
        <v>-54.62</v>
      </c>
      <c r="W2838">
        <v>-349</v>
      </c>
      <c r="X2838">
        <v>20.16</v>
      </c>
      <c r="Y2838">
        <v>9760</v>
      </c>
      <c r="Z2838" t="s">
        <v>75</v>
      </c>
      <c r="AA2838">
        <v>0.96</v>
      </c>
      <c r="AB2838">
        <v>80</v>
      </c>
      <c r="AC2838">
        <v>214</v>
      </c>
      <c r="AD2838">
        <v>4.49</v>
      </c>
      <c r="AE2838" t="s">
        <v>1088</v>
      </c>
      <c r="AF2838" t="s">
        <v>1616</v>
      </c>
      <c r="AG2838" t="s">
        <v>8348</v>
      </c>
      <c r="AH2838" t="s">
        <v>803</v>
      </c>
      <c r="AI2838">
        <v>-1.36</v>
      </c>
      <c r="AJ2838">
        <v>4.1500000000000004</v>
      </c>
      <c r="AK2838">
        <v>8.52</v>
      </c>
      <c r="AL2838">
        <v>15.73</v>
      </c>
    </row>
    <row r="2839" spans="1:38" x14ac:dyDescent="0.25">
      <c r="A2839">
        <v>2838</v>
      </c>
      <c r="B2839" t="str">
        <f xml:space="preserve"> "600311"</f>
        <v>600311</v>
      </c>
      <c r="C2839" t="s">
        <v>8349</v>
      </c>
      <c r="D2839">
        <v>5.89</v>
      </c>
      <c r="E2839">
        <v>0</v>
      </c>
      <c r="F2839">
        <v>0</v>
      </c>
      <c r="G2839" t="s">
        <v>2086</v>
      </c>
      <c r="H2839">
        <v>22</v>
      </c>
      <c r="I2839">
        <v>5.88</v>
      </c>
      <c r="J2839">
        <v>5.89</v>
      </c>
      <c r="K2839">
        <v>0</v>
      </c>
      <c r="L2839">
        <v>1.08</v>
      </c>
      <c r="M2839" t="s">
        <v>8350</v>
      </c>
      <c r="N2839">
        <v>597.19000000000005</v>
      </c>
      <c r="O2839" t="s">
        <v>788</v>
      </c>
      <c r="P2839">
        <v>5.93</v>
      </c>
      <c r="Q2839">
        <v>5.85</v>
      </c>
      <c r="R2839">
        <v>5.93</v>
      </c>
      <c r="S2839">
        <v>5.89</v>
      </c>
      <c r="T2839">
        <v>1.36</v>
      </c>
      <c r="U2839">
        <v>0.94</v>
      </c>
      <c r="V2839">
        <v>-33.380000000000003</v>
      </c>
      <c r="W2839">
        <v>-3126</v>
      </c>
      <c r="X2839">
        <v>5.88</v>
      </c>
      <c r="Y2839" t="s">
        <v>42</v>
      </c>
      <c r="Z2839" t="s">
        <v>1719</v>
      </c>
      <c r="AA2839">
        <v>0.93</v>
      </c>
      <c r="AB2839">
        <v>754</v>
      </c>
      <c r="AC2839">
        <v>96</v>
      </c>
      <c r="AD2839">
        <v>4.72</v>
      </c>
      <c r="AE2839" t="s">
        <v>5781</v>
      </c>
      <c r="AF2839" t="s">
        <v>1616</v>
      </c>
      <c r="AG2839" t="s">
        <v>5781</v>
      </c>
      <c r="AH2839" t="s">
        <v>1616</v>
      </c>
      <c r="AI2839">
        <v>0.51</v>
      </c>
      <c r="AJ2839">
        <v>4.99</v>
      </c>
      <c r="AK2839">
        <v>3.95</v>
      </c>
      <c r="AL2839">
        <v>6.83</v>
      </c>
    </row>
    <row r="2840" spans="1:38" x14ac:dyDescent="0.25">
      <c r="A2840">
        <v>2839</v>
      </c>
      <c r="B2840" t="str">
        <f xml:space="preserve"> "603099"</f>
        <v>603099</v>
      </c>
      <c r="C2840" t="s">
        <v>8351</v>
      </c>
      <c r="D2840">
        <v>14.69</v>
      </c>
      <c r="E2840">
        <v>-0.81</v>
      </c>
      <c r="F2840">
        <v>-0.12</v>
      </c>
      <c r="G2840">
        <v>9642</v>
      </c>
      <c r="H2840">
        <v>17</v>
      </c>
      <c r="I2840">
        <v>14.67</v>
      </c>
      <c r="J2840">
        <v>14.7</v>
      </c>
      <c r="K2840">
        <v>-7.0000000000000007E-2</v>
      </c>
      <c r="L2840">
        <v>0.36</v>
      </c>
      <c r="M2840" t="s">
        <v>8352</v>
      </c>
      <c r="N2840">
        <v>-51.8</v>
      </c>
      <c r="O2840" t="s">
        <v>951</v>
      </c>
      <c r="P2840">
        <v>14.81</v>
      </c>
      <c r="Q2840">
        <v>14.61</v>
      </c>
      <c r="R2840">
        <v>14.78</v>
      </c>
      <c r="S2840">
        <v>14.81</v>
      </c>
      <c r="T2840">
        <v>1.35</v>
      </c>
      <c r="U2840">
        <v>1.01</v>
      </c>
      <c r="V2840">
        <v>52.4</v>
      </c>
      <c r="W2840">
        <v>425</v>
      </c>
      <c r="X2840">
        <v>14.7</v>
      </c>
      <c r="Y2840">
        <v>5699</v>
      </c>
      <c r="Z2840">
        <v>3943</v>
      </c>
      <c r="AA2840">
        <v>1.45</v>
      </c>
      <c r="AB2840">
        <v>246</v>
      </c>
      <c r="AC2840">
        <v>22</v>
      </c>
      <c r="AD2840">
        <v>4.6500000000000004</v>
      </c>
      <c r="AE2840" t="s">
        <v>4143</v>
      </c>
      <c r="AF2840" t="s">
        <v>1616</v>
      </c>
      <c r="AG2840" t="s">
        <v>4143</v>
      </c>
      <c r="AH2840" t="s">
        <v>1616</v>
      </c>
      <c r="AI2840">
        <v>-1.61</v>
      </c>
      <c r="AJ2840">
        <v>-1.34</v>
      </c>
      <c r="AK2840">
        <v>0.98</v>
      </c>
      <c r="AL2840">
        <v>2.15</v>
      </c>
    </row>
    <row r="2841" spans="1:38" x14ac:dyDescent="0.25">
      <c r="A2841">
        <v>2840</v>
      </c>
      <c r="B2841" t="str">
        <f xml:space="preserve"> "000551"</f>
        <v>000551</v>
      </c>
      <c r="C2841" t="s">
        <v>8353</v>
      </c>
      <c r="D2841">
        <v>9.7899999999999991</v>
      </c>
      <c r="E2841">
        <v>3.05</v>
      </c>
      <c r="F2841">
        <v>0.28999999999999998</v>
      </c>
      <c r="G2841" t="s">
        <v>148</v>
      </c>
      <c r="H2841">
        <v>1520</v>
      </c>
      <c r="I2841">
        <v>9.7799999999999994</v>
      </c>
      <c r="J2841">
        <v>9.7899999999999991</v>
      </c>
      <c r="K2841">
        <v>0</v>
      </c>
      <c r="L2841">
        <v>3.16</v>
      </c>
      <c r="M2841" t="s">
        <v>2442</v>
      </c>
      <c r="N2841">
        <v>39.200000000000003</v>
      </c>
      <c r="O2841" t="s">
        <v>2647</v>
      </c>
      <c r="P2841">
        <v>9.9</v>
      </c>
      <c r="Q2841">
        <v>9.4700000000000006</v>
      </c>
      <c r="R2841">
        <v>9.5299999999999994</v>
      </c>
      <c r="S2841">
        <v>9.5</v>
      </c>
      <c r="T2841">
        <v>4.53</v>
      </c>
      <c r="U2841">
        <v>2.98</v>
      </c>
      <c r="V2841">
        <v>-15.86</v>
      </c>
      <c r="W2841">
        <v>-712</v>
      </c>
      <c r="X2841">
        <v>9.74</v>
      </c>
      <c r="Y2841" t="s">
        <v>574</v>
      </c>
      <c r="Z2841" t="s">
        <v>748</v>
      </c>
      <c r="AA2841">
        <v>0.57999999999999996</v>
      </c>
      <c r="AB2841">
        <v>816</v>
      </c>
      <c r="AC2841">
        <v>437</v>
      </c>
      <c r="AD2841">
        <v>2.38</v>
      </c>
      <c r="AE2841" t="s">
        <v>1000</v>
      </c>
      <c r="AF2841" t="s">
        <v>1616</v>
      </c>
      <c r="AG2841" t="s">
        <v>1000</v>
      </c>
      <c r="AH2841" t="s">
        <v>1616</v>
      </c>
      <c r="AI2841">
        <v>2.41</v>
      </c>
      <c r="AJ2841">
        <v>7.46</v>
      </c>
      <c r="AK2841">
        <v>5.21</v>
      </c>
      <c r="AL2841">
        <v>8.4700000000000006</v>
      </c>
    </row>
    <row r="2842" spans="1:38" x14ac:dyDescent="0.25">
      <c r="A2842">
        <v>2841</v>
      </c>
      <c r="B2842" t="str">
        <f xml:space="preserve"> "000790"</f>
        <v>000790</v>
      </c>
      <c r="C2842" t="s">
        <v>8354</v>
      </c>
      <c r="D2842" t="s">
        <v>616</v>
      </c>
      <c r="E2842" t="s">
        <v>616</v>
      </c>
      <c r="F2842" t="s">
        <v>616</v>
      </c>
      <c r="G2842" t="s">
        <v>616</v>
      </c>
      <c r="H2842" t="s">
        <v>616</v>
      </c>
      <c r="I2842" t="s">
        <v>616</v>
      </c>
      <c r="J2842" t="s">
        <v>616</v>
      </c>
      <c r="K2842" t="s">
        <v>616</v>
      </c>
      <c r="L2842" t="s">
        <v>616</v>
      </c>
      <c r="M2842" t="s">
        <v>616</v>
      </c>
      <c r="N2842">
        <v>174.69</v>
      </c>
      <c r="O2842" t="s">
        <v>392</v>
      </c>
      <c r="P2842" t="s">
        <v>616</v>
      </c>
      <c r="Q2842" t="s">
        <v>616</v>
      </c>
      <c r="R2842" t="s">
        <v>616</v>
      </c>
      <c r="S2842">
        <v>9.08</v>
      </c>
      <c r="T2842" t="s">
        <v>616</v>
      </c>
      <c r="U2842" t="s">
        <v>616</v>
      </c>
      <c r="V2842" t="s">
        <v>616</v>
      </c>
      <c r="W2842" t="s">
        <v>616</v>
      </c>
      <c r="X2842" t="s">
        <v>616</v>
      </c>
      <c r="Y2842" t="s">
        <v>616</v>
      </c>
      <c r="Z2842" t="s">
        <v>616</v>
      </c>
      <c r="AA2842" t="s">
        <v>616</v>
      </c>
      <c r="AB2842" t="s">
        <v>616</v>
      </c>
      <c r="AC2842" t="s">
        <v>616</v>
      </c>
      <c r="AD2842">
        <v>5.78</v>
      </c>
      <c r="AE2842" t="s">
        <v>2302</v>
      </c>
      <c r="AF2842" t="s">
        <v>946</v>
      </c>
      <c r="AG2842" t="s">
        <v>2302</v>
      </c>
      <c r="AH2842" t="s">
        <v>946</v>
      </c>
      <c r="AI2842">
        <v>0</v>
      </c>
      <c r="AJ2842">
        <v>0</v>
      </c>
      <c r="AK2842">
        <v>0</v>
      </c>
      <c r="AL2842">
        <v>1.88</v>
      </c>
    </row>
    <row r="2843" spans="1:38" x14ac:dyDescent="0.25">
      <c r="A2843">
        <v>2842</v>
      </c>
      <c r="B2843" t="str">
        <f xml:space="preserve"> "002591"</f>
        <v>002591</v>
      </c>
      <c r="C2843" t="s">
        <v>8355</v>
      </c>
      <c r="D2843">
        <v>12.99</v>
      </c>
      <c r="E2843">
        <v>0.31</v>
      </c>
      <c r="F2843">
        <v>0.04</v>
      </c>
      <c r="G2843" t="s">
        <v>1732</v>
      </c>
      <c r="H2843">
        <v>109</v>
      </c>
      <c r="I2843">
        <v>12.99</v>
      </c>
      <c r="J2843">
        <v>13</v>
      </c>
      <c r="K2843">
        <v>0</v>
      </c>
      <c r="L2843">
        <v>0.82</v>
      </c>
      <c r="M2843" t="s">
        <v>7337</v>
      </c>
      <c r="N2843">
        <v>-169.71</v>
      </c>
      <c r="O2843" t="s">
        <v>667</v>
      </c>
      <c r="P2843">
        <v>13.01</v>
      </c>
      <c r="Q2843">
        <v>12.91</v>
      </c>
      <c r="R2843">
        <v>12.95</v>
      </c>
      <c r="S2843">
        <v>12.95</v>
      </c>
      <c r="T2843">
        <v>0.77</v>
      </c>
      <c r="U2843">
        <v>0.81</v>
      </c>
      <c r="V2843">
        <v>-15.26</v>
      </c>
      <c r="W2843">
        <v>-94</v>
      </c>
      <c r="X2843">
        <v>12.97</v>
      </c>
      <c r="Y2843">
        <v>8107</v>
      </c>
      <c r="Z2843">
        <v>6353</v>
      </c>
      <c r="AA2843">
        <v>1.28</v>
      </c>
      <c r="AB2843">
        <v>115</v>
      </c>
      <c r="AC2843">
        <v>189</v>
      </c>
      <c r="AD2843">
        <v>3.14</v>
      </c>
      <c r="AE2843" t="s">
        <v>4836</v>
      </c>
      <c r="AF2843" t="s">
        <v>946</v>
      </c>
      <c r="AG2843" t="s">
        <v>2861</v>
      </c>
      <c r="AH2843" t="s">
        <v>1681</v>
      </c>
      <c r="AI2843">
        <v>-0.99</v>
      </c>
      <c r="AJ2843">
        <v>-1.07</v>
      </c>
      <c r="AK2843">
        <v>2.66</v>
      </c>
      <c r="AL2843">
        <v>5.87</v>
      </c>
    </row>
    <row r="2844" spans="1:38" x14ac:dyDescent="0.25">
      <c r="A2844">
        <v>2843</v>
      </c>
      <c r="B2844" t="str">
        <f xml:space="preserve"> "002469"</f>
        <v>002469</v>
      </c>
      <c r="C2844" t="s">
        <v>8356</v>
      </c>
      <c r="D2844">
        <v>7.77</v>
      </c>
      <c r="E2844">
        <v>1.3</v>
      </c>
      <c r="F2844">
        <v>0.1</v>
      </c>
      <c r="G2844" t="s">
        <v>2559</v>
      </c>
      <c r="H2844">
        <v>166</v>
      </c>
      <c r="I2844">
        <v>7.77</v>
      </c>
      <c r="J2844">
        <v>7.78</v>
      </c>
      <c r="K2844">
        <v>0</v>
      </c>
      <c r="L2844">
        <v>0.73</v>
      </c>
      <c r="M2844" t="s">
        <v>8094</v>
      </c>
      <c r="N2844">
        <v>78.52</v>
      </c>
      <c r="O2844" t="s">
        <v>263</v>
      </c>
      <c r="P2844">
        <v>7.79</v>
      </c>
      <c r="Q2844">
        <v>7.64</v>
      </c>
      <c r="R2844">
        <v>7.67</v>
      </c>
      <c r="S2844">
        <v>7.67</v>
      </c>
      <c r="T2844">
        <v>1.96</v>
      </c>
      <c r="U2844">
        <v>1.64</v>
      </c>
      <c r="V2844">
        <v>-55.92</v>
      </c>
      <c r="W2844">
        <v>-2869</v>
      </c>
      <c r="X2844">
        <v>7.73</v>
      </c>
      <c r="Y2844" t="s">
        <v>2280</v>
      </c>
      <c r="Z2844" t="s">
        <v>113</v>
      </c>
      <c r="AA2844">
        <v>0.57999999999999996</v>
      </c>
      <c r="AB2844">
        <v>121</v>
      </c>
      <c r="AC2844">
        <v>628</v>
      </c>
      <c r="AD2844">
        <v>3.38</v>
      </c>
      <c r="AE2844" t="s">
        <v>1613</v>
      </c>
      <c r="AF2844" t="s">
        <v>946</v>
      </c>
      <c r="AG2844" t="s">
        <v>4013</v>
      </c>
      <c r="AH2844" t="s">
        <v>1845</v>
      </c>
      <c r="AI2844">
        <v>0.65</v>
      </c>
      <c r="AJ2844">
        <v>3.19</v>
      </c>
      <c r="AK2844">
        <v>1.61</v>
      </c>
      <c r="AL2844">
        <v>2.96</v>
      </c>
    </row>
    <row r="2845" spans="1:38" x14ac:dyDescent="0.25">
      <c r="A2845">
        <v>2844</v>
      </c>
      <c r="B2845" t="str">
        <f xml:space="preserve"> "603838"</f>
        <v>603838</v>
      </c>
      <c r="C2845" t="s">
        <v>8357</v>
      </c>
      <c r="D2845">
        <v>14.65</v>
      </c>
      <c r="E2845">
        <v>-2.2000000000000002</v>
      </c>
      <c r="F2845">
        <v>-0.33</v>
      </c>
      <c r="G2845" t="s">
        <v>1691</v>
      </c>
      <c r="H2845">
        <v>54</v>
      </c>
      <c r="I2845">
        <v>14.65</v>
      </c>
      <c r="J2845">
        <v>14.68</v>
      </c>
      <c r="K2845">
        <v>-7.0000000000000007E-2</v>
      </c>
      <c r="L2845">
        <v>6.22</v>
      </c>
      <c r="M2845" t="s">
        <v>8358</v>
      </c>
      <c r="N2845">
        <v>70.53</v>
      </c>
      <c r="O2845" t="s">
        <v>1058</v>
      </c>
      <c r="P2845">
        <v>14.86</v>
      </c>
      <c r="Q2845">
        <v>14.39</v>
      </c>
      <c r="R2845">
        <v>14.72</v>
      </c>
      <c r="S2845">
        <v>14.98</v>
      </c>
      <c r="T2845">
        <v>3.14</v>
      </c>
      <c r="U2845">
        <v>0.49</v>
      </c>
      <c r="V2845">
        <v>26.42</v>
      </c>
      <c r="W2845">
        <v>334</v>
      </c>
      <c r="X2845">
        <v>14.6</v>
      </c>
      <c r="Y2845" t="s">
        <v>2870</v>
      </c>
      <c r="Z2845" t="s">
        <v>3181</v>
      </c>
      <c r="AA2845">
        <v>1.76</v>
      </c>
      <c r="AB2845">
        <v>50</v>
      </c>
      <c r="AC2845">
        <v>23</v>
      </c>
      <c r="AD2845">
        <v>5.79</v>
      </c>
      <c r="AE2845" t="s">
        <v>4143</v>
      </c>
      <c r="AF2845" t="s">
        <v>946</v>
      </c>
      <c r="AG2845" t="s">
        <v>8359</v>
      </c>
      <c r="AH2845" t="s">
        <v>2246</v>
      </c>
      <c r="AI2845">
        <v>-5.0599999999999996</v>
      </c>
      <c r="AJ2845">
        <v>17.579999999999998</v>
      </c>
      <c r="AK2845">
        <v>25.23</v>
      </c>
      <c r="AL2845">
        <v>70.22</v>
      </c>
    </row>
    <row r="2846" spans="1:38" x14ac:dyDescent="0.25">
      <c r="A2846">
        <v>2845</v>
      </c>
      <c r="B2846" t="str">
        <f xml:space="preserve"> "603360"</f>
        <v>603360</v>
      </c>
      <c r="C2846" t="s">
        <v>8360</v>
      </c>
      <c r="D2846">
        <v>29.28</v>
      </c>
      <c r="E2846">
        <v>1.91</v>
      </c>
      <c r="F2846">
        <v>0.55000000000000004</v>
      </c>
      <c r="G2846" t="s">
        <v>3130</v>
      </c>
      <c r="H2846">
        <v>4</v>
      </c>
      <c r="I2846">
        <v>29.26</v>
      </c>
      <c r="J2846">
        <v>29.28</v>
      </c>
      <c r="K2846">
        <v>0</v>
      </c>
      <c r="L2846">
        <v>5.0599999999999996</v>
      </c>
      <c r="M2846" t="s">
        <v>8361</v>
      </c>
      <c r="N2846">
        <v>35.75</v>
      </c>
      <c r="O2846" t="s">
        <v>667</v>
      </c>
      <c r="P2846">
        <v>29.43</v>
      </c>
      <c r="Q2846">
        <v>28.5</v>
      </c>
      <c r="R2846">
        <v>28.6</v>
      </c>
      <c r="S2846">
        <v>28.73</v>
      </c>
      <c r="T2846">
        <v>3.24</v>
      </c>
      <c r="U2846">
        <v>1.22</v>
      </c>
      <c r="V2846">
        <v>-45.88</v>
      </c>
      <c r="W2846">
        <v>-234</v>
      </c>
      <c r="X2846">
        <v>29.06</v>
      </c>
      <c r="Y2846">
        <v>5926</v>
      </c>
      <c r="Z2846" t="s">
        <v>1411</v>
      </c>
      <c r="AA2846">
        <v>0.54</v>
      </c>
      <c r="AB2846">
        <v>22</v>
      </c>
      <c r="AC2846">
        <v>17</v>
      </c>
      <c r="AD2846">
        <v>7.68</v>
      </c>
      <c r="AE2846" t="s">
        <v>333</v>
      </c>
      <c r="AF2846" t="s">
        <v>3778</v>
      </c>
      <c r="AG2846" t="s">
        <v>6778</v>
      </c>
      <c r="AH2846" t="s">
        <v>4751</v>
      </c>
      <c r="AI2846">
        <v>1.04</v>
      </c>
      <c r="AJ2846">
        <v>1.95</v>
      </c>
      <c r="AK2846">
        <v>12.58</v>
      </c>
      <c r="AL2846">
        <v>25.81</v>
      </c>
    </row>
    <row r="2847" spans="1:38" x14ac:dyDescent="0.25">
      <c r="A2847">
        <v>2846</v>
      </c>
      <c r="B2847" t="str">
        <f xml:space="preserve"> "603199"</f>
        <v>603199</v>
      </c>
      <c r="C2847" t="s">
        <v>8362</v>
      </c>
      <c r="D2847">
        <v>35.229999999999997</v>
      </c>
      <c r="E2847">
        <v>0.43</v>
      </c>
      <c r="F2847">
        <v>0.15</v>
      </c>
      <c r="G2847">
        <v>4938</v>
      </c>
      <c r="H2847">
        <v>31</v>
      </c>
      <c r="I2847">
        <v>35.22</v>
      </c>
      <c r="J2847">
        <v>35.24</v>
      </c>
      <c r="K2847">
        <v>0.03</v>
      </c>
      <c r="L2847">
        <v>0.68</v>
      </c>
      <c r="M2847" t="s">
        <v>8363</v>
      </c>
      <c r="N2847">
        <v>32.74</v>
      </c>
      <c r="O2847" t="s">
        <v>951</v>
      </c>
      <c r="P2847">
        <v>35.28</v>
      </c>
      <c r="Q2847">
        <v>34.9</v>
      </c>
      <c r="R2847">
        <v>35.08</v>
      </c>
      <c r="S2847">
        <v>35.08</v>
      </c>
      <c r="T2847">
        <v>1.08</v>
      </c>
      <c r="U2847">
        <v>0.83</v>
      </c>
      <c r="V2847">
        <v>-39.880000000000003</v>
      </c>
      <c r="W2847">
        <v>-134</v>
      </c>
      <c r="X2847">
        <v>35.15</v>
      </c>
      <c r="Y2847">
        <v>2153</v>
      </c>
      <c r="Z2847">
        <v>2785</v>
      </c>
      <c r="AA2847">
        <v>0.77</v>
      </c>
      <c r="AB2847">
        <v>14</v>
      </c>
      <c r="AC2847">
        <v>42</v>
      </c>
      <c r="AD2847">
        <v>3.9</v>
      </c>
      <c r="AE2847" t="s">
        <v>4533</v>
      </c>
      <c r="AF2847" t="s">
        <v>3778</v>
      </c>
      <c r="AG2847" t="s">
        <v>5288</v>
      </c>
      <c r="AH2847" t="s">
        <v>1150</v>
      </c>
      <c r="AI2847">
        <v>-0.11</v>
      </c>
      <c r="AJ2847">
        <v>-0.48</v>
      </c>
      <c r="AK2847">
        <v>1.97</v>
      </c>
      <c r="AL2847">
        <v>4.74</v>
      </c>
    </row>
    <row r="2848" spans="1:38" x14ac:dyDescent="0.25">
      <c r="A2848">
        <v>2847</v>
      </c>
      <c r="B2848" t="str">
        <f xml:space="preserve"> "002553"</f>
        <v>002553</v>
      </c>
      <c r="C2848" t="s">
        <v>8364</v>
      </c>
      <c r="D2848">
        <v>11.19</v>
      </c>
      <c r="E2848">
        <v>0.45</v>
      </c>
      <c r="F2848">
        <v>0.05</v>
      </c>
      <c r="G2848" t="s">
        <v>2226</v>
      </c>
      <c r="H2848">
        <v>325</v>
      </c>
      <c r="I2848">
        <v>11.18</v>
      </c>
      <c r="J2848">
        <v>11.19</v>
      </c>
      <c r="K2848">
        <v>0</v>
      </c>
      <c r="L2848">
        <v>1.84</v>
      </c>
      <c r="M2848" t="s">
        <v>6736</v>
      </c>
      <c r="N2848">
        <v>44.12</v>
      </c>
      <c r="O2848" t="s">
        <v>169</v>
      </c>
      <c r="P2848">
        <v>11.45</v>
      </c>
      <c r="Q2848">
        <v>11.08</v>
      </c>
      <c r="R2848">
        <v>11.12</v>
      </c>
      <c r="S2848">
        <v>11.14</v>
      </c>
      <c r="T2848">
        <v>3.32</v>
      </c>
      <c r="U2848">
        <v>1.35</v>
      </c>
      <c r="V2848">
        <v>0</v>
      </c>
      <c r="W2848">
        <v>0</v>
      </c>
      <c r="X2848">
        <v>11.26</v>
      </c>
      <c r="Y2848" t="s">
        <v>2509</v>
      </c>
      <c r="Z2848" t="s">
        <v>1986</v>
      </c>
      <c r="AA2848">
        <v>1.01</v>
      </c>
      <c r="AB2848">
        <v>124</v>
      </c>
      <c r="AC2848">
        <v>370</v>
      </c>
      <c r="AD2848">
        <v>5.83</v>
      </c>
      <c r="AE2848" t="s">
        <v>811</v>
      </c>
      <c r="AF2848" t="s">
        <v>1671</v>
      </c>
      <c r="AG2848" t="s">
        <v>439</v>
      </c>
      <c r="AH2848" t="s">
        <v>2716</v>
      </c>
      <c r="AI2848">
        <v>0.54</v>
      </c>
      <c r="AJ2848">
        <v>1.27</v>
      </c>
      <c r="AK2848">
        <v>4.33</v>
      </c>
      <c r="AL2848">
        <v>8.6199999999999992</v>
      </c>
    </row>
    <row r="2849" spans="1:38" x14ac:dyDescent="0.25">
      <c r="A2849">
        <v>2848</v>
      </c>
      <c r="B2849" t="str">
        <f xml:space="preserve"> "000586"</f>
        <v>000586</v>
      </c>
      <c r="C2849" t="s">
        <v>8365</v>
      </c>
      <c r="D2849">
        <v>20.11</v>
      </c>
      <c r="E2849">
        <v>-0.1</v>
      </c>
      <c r="F2849">
        <v>-0.02</v>
      </c>
      <c r="G2849">
        <v>5559</v>
      </c>
      <c r="H2849">
        <v>303</v>
      </c>
      <c r="I2849">
        <v>20.079999999999998</v>
      </c>
      <c r="J2849">
        <v>20.12</v>
      </c>
      <c r="K2849">
        <v>0.15</v>
      </c>
      <c r="L2849">
        <v>0.28999999999999998</v>
      </c>
      <c r="M2849" t="s">
        <v>8366</v>
      </c>
      <c r="N2849">
        <v>-1854.53</v>
      </c>
      <c r="O2849" t="s">
        <v>580</v>
      </c>
      <c r="P2849">
        <v>20.190000000000001</v>
      </c>
      <c r="Q2849">
        <v>19.84</v>
      </c>
      <c r="R2849">
        <v>20.190000000000001</v>
      </c>
      <c r="S2849">
        <v>20.13</v>
      </c>
      <c r="T2849">
        <v>1.74</v>
      </c>
      <c r="U2849">
        <v>0.67</v>
      </c>
      <c r="V2849">
        <v>-40.15</v>
      </c>
      <c r="W2849">
        <v>-55</v>
      </c>
      <c r="X2849">
        <v>20</v>
      </c>
      <c r="Y2849">
        <v>3373</v>
      </c>
      <c r="Z2849">
        <v>2186</v>
      </c>
      <c r="AA2849">
        <v>1.54</v>
      </c>
      <c r="AB2849">
        <v>3</v>
      </c>
      <c r="AC2849">
        <v>2</v>
      </c>
      <c r="AD2849">
        <v>16.59</v>
      </c>
      <c r="AE2849" t="s">
        <v>1088</v>
      </c>
      <c r="AF2849" t="s">
        <v>1671</v>
      </c>
      <c r="AG2849" t="s">
        <v>1088</v>
      </c>
      <c r="AH2849" t="s">
        <v>1671</v>
      </c>
      <c r="AI2849">
        <v>-1.52</v>
      </c>
      <c r="AJ2849">
        <v>1.51</v>
      </c>
      <c r="AK2849">
        <v>1.1000000000000001</v>
      </c>
      <c r="AL2849">
        <v>2.44</v>
      </c>
    </row>
    <row r="2850" spans="1:38" x14ac:dyDescent="0.25">
      <c r="A2850">
        <v>2849</v>
      </c>
      <c r="B2850" t="str">
        <f xml:space="preserve"> "300591"</f>
        <v>300591</v>
      </c>
      <c r="C2850" t="s">
        <v>8367</v>
      </c>
      <c r="D2850">
        <v>12.46</v>
      </c>
      <c r="E2850">
        <v>0.56000000000000005</v>
      </c>
      <c r="F2850">
        <v>7.0000000000000007E-2</v>
      </c>
      <c r="G2850" t="s">
        <v>3781</v>
      </c>
      <c r="H2850">
        <v>572</v>
      </c>
      <c r="I2850">
        <v>12.46</v>
      </c>
      <c r="J2850">
        <v>12.47</v>
      </c>
      <c r="K2850">
        <v>0</v>
      </c>
      <c r="L2850">
        <v>4.8899999999999997</v>
      </c>
      <c r="M2850" t="s">
        <v>8368</v>
      </c>
      <c r="N2850">
        <v>147.6</v>
      </c>
      <c r="O2850" t="s">
        <v>1443</v>
      </c>
      <c r="P2850">
        <v>12.55</v>
      </c>
      <c r="Q2850">
        <v>12.27</v>
      </c>
      <c r="R2850">
        <v>12.3</v>
      </c>
      <c r="S2850">
        <v>12.39</v>
      </c>
      <c r="T2850">
        <v>2.2599999999999998</v>
      </c>
      <c r="U2850">
        <v>0.78</v>
      </c>
      <c r="V2850">
        <v>-1.2</v>
      </c>
      <c r="W2850">
        <v>-19</v>
      </c>
      <c r="X2850">
        <v>12.45</v>
      </c>
      <c r="Y2850" t="s">
        <v>3946</v>
      </c>
      <c r="Z2850" t="s">
        <v>2240</v>
      </c>
      <c r="AA2850">
        <v>0.79</v>
      </c>
      <c r="AB2850">
        <v>272</v>
      </c>
      <c r="AC2850">
        <v>376</v>
      </c>
      <c r="AD2850">
        <v>9.01</v>
      </c>
      <c r="AE2850" t="s">
        <v>5539</v>
      </c>
      <c r="AF2850" t="s">
        <v>1671</v>
      </c>
      <c r="AG2850" t="s">
        <v>8369</v>
      </c>
      <c r="AH2850" t="s">
        <v>1322</v>
      </c>
      <c r="AI2850">
        <v>-1.74</v>
      </c>
      <c r="AJ2850">
        <v>4.18</v>
      </c>
      <c r="AK2850">
        <v>17</v>
      </c>
      <c r="AL2850">
        <v>36.1</v>
      </c>
    </row>
    <row r="2851" spans="1:38" x14ac:dyDescent="0.25">
      <c r="A2851">
        <v>2850</v>
      </c>
      <c r="B2851" t="str">
        <f xml:space="preserve"> "300561"</f>
        <v>300561</v>
      </c>
      <c r="C2851" t="s">
        <v>8370</v>
      </c>
      <c r="D2851">
        <v>46.28</v>
      </c>
      <c r="E2851">
        <v>-0.54</v>
      </c>
      <c r="F2851">
        <v>-0.25</v>
      </c>
      <c r="G2851">
        <v>6675</v>
      </c>
      <c r="H2851">
        <v>84</v>
      </c>
      <c r="I2851">
        <v>46.22</v>
      </c>
      <c r="J2851">
        <v>46.28</v>
      </c>
      <c r="K2851">
        <v>-0.04</v>
      </c>
      <c r="L2851">
        <v>3.18</v>
      </c>
      <c r="M2851" t="s">
        <v>7475</v>
      </c>
      <c r="N2851">
        <v>51.59</v>
      </c>
      <c r="O2851" t="s">
        <v>893</v>
      </c>
      <c r="P2851">
        <v>46.48</v>
      </c>
      <c r="Q2851">
        <v>45.9</v>
      </c>
      <c r="R2851">
        <v>46.45</v>
      </c>
      <c r="S2851">
        <v>46.53</v>
      </c>
      <c r="T2851">
        <v>1.25</v>
      </c>
      <c r="U2851">
        <v>0.8</v>
      </c>
      <c r="V2851">
        <v>-47.02</v>
      </c>
      <c r="W2851">
        <v>-71</v>
      </c>
      <c r="X2851">
        <v>46.15</v>
      </c>
      <c r="Y2851">
        <v>3945</v>
      </c>
      <c r="Z2851">
        <v>2730</v>
      </c>
      <c r="AA2851">
        <v>1.44</v>
      </c>
      <c r="AB2851">
        <v>5</v>
      </c>
      <c r="AC2851">
        <v>61</v>
      </c>
      <c r="AD2851">
        <v>6.09</v>
      </c>
      <c r="AE2851" t="s">
        <v>7149</v>
      </c>
      <c r="AF2851" t="s">
        <v>1671</v>
      </c>
      <c r="AG2851" t="s">
        <v>7584</v>
      </c>
      <c r="AH2851" t="s">
        <v>1322</v>
      </c>
      <c r="AI2851">
        <v>-0.19</v>
      </c>
      <c r="AJ2851">
        <v>6.54</v>
      </c>
      <c r="AK2851">
        <v>12.91</v>
      </c>
      <c r="AL2851">
        <v>22.93</v>
      </c>
    </row>
    <row r="2852" spans="1:38" x14ac:dyDescent="0.25">
      <c r="A2852">
        <v>2851</v>
      </c>
      <c r="B2852" t="str">
        <f xml:space="preserve"> "002214"</f>
        <v>002214</v>
      </c>
      <c r="C2852" t="s">
        <v>8371</v>
      </c>
      <c r="D2852">
        <v>8.4700000000000006</v>
      </c>
      <c r="E2852">
        <v>0.59</v>
      </c>
      <c r="F2852">
        <v>0.05</v>
      </c>
      <c r="G2852" t="s">
        <v>1524</v>
      </c>
      <c r="H2852">
        <v>277</v>
      </c>
      <c r="I2852">
        <v>8.4700000000000006</v>
      </c>
      <c r="J2852">
        <v>8.48</v>
      </c>
      <c r="K2852">
        <v>-0.24</v>
      </c>
      <c r="L2852">
        <v>1.26</v>
      </c>
      <c r="M2852" t="s">
        <v>8372</v>
      </c>
      <c r="N2852">
        <v>112.5</v>
      </c>
      <c r="O2852" t="s">
        <v>205</v>
      </c>
      <c r="P2852">
        <v>8.5299999999999994</v>
      </c>
      <c r="Q2852">
        <v>8.36</v>
      </c>
      <c r="R2852">
        <v>8.41</v>
      </c>
      <c r="S2852">
        <v>8.42</v>
      </c>
      <c r="T2852">
        <v>2.02</v>
      </c>
      <c r="U2852">
        <v>0.6</v>
      </c>
      <c r="V2852">
        <v>8.07</v>
      </c>
      <c r="W2852">
        <v>330</v>
      </c>
      <c r="X2852">
        <v>8.44</v>
      </c>
      <c r="Y2852" t="s">
        <v>3025</v>
      </c>
      <c r="Z2852" t="s">
        <v>2360</v>
      </c>
      <c r="AA2852">
        <v>1.02</v>
      </c>
      <c r="AB2852">
        <v>597</v>
      </c>
      <c r="AC2852">
        <v>111</v>
      </c>
      <c r="AD2852">
        <v>3.95</v>
      </c>
      <c r="AE2852" t="s">
        <v>5798</v>
      </c>
      <c r="AF2852" t="s">
        <v>1662</v>
      </c>
      <c r="AG2852" t="s">
        <v>2012</v>
      </c>
      <c r="AH2852" t="s">
        <v>3355</v>
      </c>
      <c r="AI2852">
        <v>-2.08</v>
      </c>
      <c r="AJ2852">
        <v>-0.82</v>
      </c>
      <c r="AK2852">
        <v>5.34</v>
      </c>
      <c r="AL2852">
        <v>11.77</v>
      </c>
    </row>
    <row r="2853" spans="1:38" x14ac:dyDescent="0.25">
      <c r="A2853">
        <v>2852</v>
      </c>
      <c r="B2853" t="str">
        <f xml:space="preserve"> "002452"</f>
        <v>002452</v>
      </c>
      <c r="C2853" t="s">
        <v>8373</v>
      </c>
      <c r="D2853">
        <v>7.39</v>
      </c>
      <c r="E2853">
        <v>0.54</v>
      </c>
      <c r="F2853">
        <v>0.04</v>
      </c>
      <c r="G2853" t="s">
        <v>1500</v>
      </c>
      <c r="H2853">
        <v>407</v>
      </c>
      <c r="I2853">
        <v>7.39</v>
      </c>
      <c r="J2853">
        <v>7.4</v>
      </c>
      <c r="K2853">
        <v>0</v>
      </c>
      <c r="L2853">
        <v>0.85</v>
      </c>
      <c r="M2853" t="s">
        <v>8374</v>
      </c>
      <c r="N2853">
        <v>37.380000000000003</v>
      </c>
      <c r="O2853" t="s">
        <v>680</v>
      </c>
      <c r="P2853">
        <v>7.4</v>
      </c>
      <c r="Q2853">
        <v>7.31</v>
      </c>
      <c r="R2853">
        <v>7.31</v>
      </c>
      <c r="S2853">
        <v>7.35</v>
      </c>
      <c r="T2853">
        <v>1.22</v>
      </c>
      <c r="U2853">
        <v>0.73</v>
      </c>
      <c r="V2853">
        <v>8.77</v>
      </c>
      <c r="W2853">
        <v>416</v>
      </c>
      <c r="X2853">
        <v>7.36</v>
      </c>
      <c r="Y2853" t="s">
        <v>999</v>
      </c>
      <c r="Z2853" t="s">
        <v>4590</v>
      </c>
      <c r="AA2853">
        <v>0.95</v>
      </c>
      <c r="AB2853">
        <v>51</v>
      </c>
      <c r="AC2853">
        <v>832</v>
      </c>
      <c r="AD2853">
        <v>2.89</v>
      </c>
      <c r="AE2853" t="s">
        <v>6025</v>
      </c>
      <c r="AF2853" t="s">
        <v>1662</v>
      </c>
      <c r="AG2853" t="s">
        <v>3758</v>
      </c>
      <c r="AH2853" t="s">
        <v>1150</v>
      </c>
      <c r="AI2853">
        <v>-0.14000000000000001</v>
      </c>
      <c r="AJ2853">
        <v>2.35</v>
      </c>
      <c r="AK2853">
        <v>3.44</v>
      </c>
      <c r="AL2853">
        <v>6.68</v>
      </c>
    </row>
    <row r="2854" spans="1:38" x14ac:dyDescent="0.25">
      <c r="A2854">
        <v>2853</v>
      </c>
      <c r="B2854" t="str">
        <f xml:space="preserve"> "300293"</f>
        <v>300293</v>
      </c>
      <c r="C2854" t="s">
        <v>8375</v>
      </c>
      <c r="D2854">
        <v>14.38</v>
      </c>
      <c r="E2854">
        <v>2.93</v>
      </c>
      <c r="F2854">
        <v>0.41</v>
      </c>
      <c r="G2854" t="s">
        <v>6945</v>
      </c>
      <c r="H2854">
        <v>2647</v>
      </c>
      <c r="I2854">
        <v>14.38</v>
      </c>
      <c r="J2854">
        <v>14.39</v>
      </c>
      <c r="K2854">
        <v>0.35</v>
      </c>
      <c r="L2854">
        <v>1.3</v>
      </c>
      <c r="M2854" t="s">
        <v>8376</v>
      </c>
      <c r="N2854">
        <v>178.1</v>
      </c>
      <c r="O2854" t="s">
        <v>648</v>
      </c>
      <c r="P2854">
        <v>14.49</v>
      </c>
      <c r="Q2854">
        <v>13.83</v>
      </c>
      <c r="R2854">
        <v>13.99</v>
      </c>
      <c r="S2854">
        <v>13.97</v>
      </c>
      <c r="T2854">
        <v>4.72</v>
      </c>
      <c r="U2854">
        <v>2.23</v>
      </c>
      <c r="V2854">
        <v>17.89</v>
      </c>
      <c r="W2854">
        <v>569</v>
      </c>
      <c r="X2854">
        <v>14.23</v>
      </c>
      <c r="Y2854" t="s">
        <v>2991</v>
      </c>
      <c r="Z2854" t="s">
        <v>2088</v>
      </c>
      <c r="AA2854">
        <v>0.52</v>
      </c>
      <c r="AB2854">
        <v>515</v>
      </c>
      <c r="AC2854">
        <v>339</v>
      </c>
      <c r="AD2854">
        <v>5.83</v>
      </c>
      <c r="AE2854" t="s">
        <v>4296</v>
      </c>
      <c r="AF2854" t="s">
        <v>1662</v>
      </c>
      <c r="AG2854" t="s">
        <v>6431</v>
      </c>
      <c r="AH2854" t="s">
        <v>5838</v>
      </c>
      <c r="AI2854">
        <v>2.2799999999999998</v>
      </c>
      <c r="AJ2854">
        <v>8.1199999999999992</v>
      </c>
      <c r="AK2854">
        <v>2.5</v>
      </c>
      <c r="AL2854">
        <v>4.22</v>
      </c>
    </row>
    <row r="2855" spans="1:38" x14ac:dyDescent="0.25">
      <c r="A2855">
        <v>2854</v>
      </c>
      <c r="B2855" t="str">
        <f xml:space="preserve"> "000911"</f>
        <v>000911</v>
      </c>
      <c r="C2855" t="s">
        <v>8377</v>
      </c>
      <c r="D2855">
        <v>11.98</v>
      </c>
      <c r="E2855">
        <v>-0.17</v>
      </c>
      <c r="F2855">
        <v>-0.02</v>
      </c>
      <c r="G2855" t="s">
        <v>2658</v>
      </c>
      <c r="H2855">
        <v>382</v>
      </c>
      <c r="I2855">
        <v>11.98</v>
      </c>
      <c r="J2855">
        <v>11.99</v>
      </c>
      <c r="K2855">
        <v>0.08</v>
      </c>
      <c r="L2855">
        <v>1.17</v>
      </c>
      <c r="M2855" t="s">
        <v>8378</v>
      </c>
      <c r="N2855">
        <v>-26.74</v>
      </c>
      <c r="O2855" t="s">
        <v>406</v>
      </c>
      <c r="P2855">
        <v>12.11</v>
      </c>
      <c r="Q2855">
        <v>11.94</v>
      </c>
      <c r="R2855">
        <v>12</v>
      </c>
      <c r="S2855">
        <v>12</v>
      </c>
      <c r="T2855">
        <v>1.42</v>
      </c>
      <c r="U2855">
        <v>0.82</v>
      </c>
      <c r="V2855">
        <v>38.35</v>
      </c>
      <c r="W2855">
        <v>1019</v>
      </c>
      <c r="X2855">
        <v>12</v>
      </c>
      <c r="Y2855" t="s">
        <v>3483</v>
      </c>
      <c r="Z2855" t="s">
        <v>1576</v>
      </c>
      <c r="AA2855">
        <v>1.19</v>
      </c>
      <c r="AB2855">
        <v>294</v>
      </c>
      <c r="AC2855">
        <v>145</v>
      </c>
      <c r="AD2855">
        <v>2.5499999999999998</v>
      </c>
      <c r="AE2855" t="s">
        <v>3682</v>
      </c>
      <c r="AF2855" t="s">
        <v>1662</v>
      </c>
      <c r="AG2855" t="s">
        <v>3682</v>
      </c>
      <c r="AH2855" t="s">
        <v>1662</v>
      </c>
      <c r="AI2855">
        <v>1.53</v>
      </c>
      <c r="AJ2855">
        <v>3.45</v>
      </c>
      <c r="AK2855">
        <v>5.77</v>
      </c>
      <c r="AL2855">
        <v>8.31</v>
      </c>
    </row>
    <row r="2856" spans="1:38" x14ac:dyDescent="0.25">
      <c r="A2856">
        <v>2855</v>
      </c>
      <c r="B2856" t="str">
        <f xml:space="preserve"> "002438"</f>
        <v>002438</v>
      </c>
      <c r="C2856" t="s">
        <v>8379</v>
      </c>
      <c r="D2856">
        <v>7.99</v>
      </c>
      <c r="E2856">
        <v>1.52</v>
      </c>
      <c r="F2856">
        <v>0.12</v>
      </c>
      <c r="G2856" t="s">
        <v>3814</v>
      </c>
      <c r="H2856">
        <v>786</v>
      </c>
      <c r="I2856">
        <v>7.98</v>
      </c>
      <c r="J2856">
        <v>7.99</v>
      </c>
      <c r="K2856">
        <v>0</v>
      </c>
      <c r="L2856">
        <v>1.1000000000000001</v>
      </c>
      <c r="M2856" t="s">
        <v>8380</v>
      </c>
      <c r="N2856">
        <v>75.08</v>
      </c>
      <c r="O2856" t="s">
        <v>648</v>
      </c>
      <c r="P2856">
        <v>7.99</v>
      </c>
      <c r="Q2856">
        <v>7.84</v>
      </c>
      <c r="R2856">
        <v>7.89</v>
      </c>
      <c r="S2856">
        <v>7.87</v>
      </c>
      <c r="T2856">
        <v>1.91</v>
      </c>
      <c r="U2856">
        <v>1.38</v>
      </c>
      <c r="V2856">
        <v>-55.38</v>
      </c>
      <c r="W2856">
        <v>-2001</v>
      </c>
      <c r="X2856">
        <v>7.93</v>
      </c>
      <c r="Y2856" t="s">
        <v>3941</v>
      </c>
      <c r="Z2856" t="s">
        <v>2061</v>
      </c>
      <c r="AA2856">
        <v>0.6</v>
      </c>
      <c r="AB2856">
        <v>183</v>
      </c>
      <c r="AC2856">
        <v>533</v>
      </c>
      <c r="AD2856">
        <v>2.31</v>
      </c>
      <c r="AE2856" t="s">
        <v>1455</v>
      </c>
      <c r="AF2856" t="s">
        <v>1662</v>
      </c>
      <c r="AG2856" t="s">
        <v>4094</v>
      </c>
      <c r="AH2856" t="s">
        <v>1254</v>
      </c>
      <c r="AI2856">
        <v>1.01</v>
      </c>
      <c r="AJ2856">
        <v>4.4400000000000004</v>
      </c>
      <c r="AK2856">
        <v>2.7</v>
      </c>
      <c r="AL2856">
        <v>5.08</v>
      </c>
    </row>
    <row r="2857" spans="1:38" x14ac:dyDescent="0.25">
      <c r="A2857">
        <v>2856</v>
      </c>
      <c r="B2857" t="str">
        <f xml:space="preserve"> "300241"</f>
        <v>300241</v>
      </c>
      <c r="C2857" t="s">
        <v>8381</v>
      </c>
      <c r="D2857">
        <v>14.04</v>
      </c>
      <c r="E2857">
        <v>0.93</v>
      </c>
      <c r="F2857">
        <v>0.13</v>
      </c>
      <c r="G2857" t="s">
        <v>1278</v>
      </c>
      <c r="H2857">
        <v>627</v>
      </c>
      <c r="I2857">
        <v>14.04</v>
      </c>
      <c r="J2857">
        <v>14.05</v>
      </c>
      <c r="K2857">
        <v>7.0000000000000007E-2</v>
      </c>
      <c r="L2857">
        <v>0.91</v>
      </c>
      <c r="M2857" t="s">
        <v>8382</v>
      </c>
      <c r="N2857">
        <v>43.71</v>
      </c>
      <c r="O2857" t="s">
        <v>380</v>
      </c>
      <c r="P2857">
        <v>14.05</v>
      </c>
      <c r="Q2857">
        <v>13.81</v>
      </c>
      <c r="R2857">
        <v>13.9</v>
      </c>
      <c r="S2857">
        <v>13.91</v>
      </c>
      <c r="T2857">
        <v>1.73</v>
      </c>
      <c r="U2857">
        <v>0.53</v>
      </c>
      <c r="V2857">
        <v>-18.68</v>
      </c>
      <c r="W2857">
        <v>-346</v>
      </c>
      <c r="X2857">
        <v>13.96</v>
      </c>
      <c r="Y2857">
        <v>8062</v>
      </c>
      <c r="Z2857">
        <v>8114</v>
      </c>
      <c r="AA2857">
        <v>0.99</v>
      </c>
      <c r="AB2857">
        <v>148</v>
      </c>
      <c r="AC2857">
        <v>209</v>
      </c>
      <c r="AD2857">
        <v>3.62</v>
      </c>
      <c r="AE2857" t="s">
        <v>4094</v>
      </c>
      <c r="AF2857" t="s">
        <v>1662</v>
      </c>
      <c r="AG2857" t="s">
        <v>3310</v>
      </c>
      <c r="AH2857" t="s">
        <v>2589</v>
      </c>
      <c r="AI2857">
        <v>-0.35</v>
      </c>
      <c r="AJ2857">
        <v>2.48</v>
      </c>
      <c r="AK2857">
        <v>4.01</v>
      </c>
      <c r="AL2857">
        <v>9.5500000000000007</v>
      </c>
    </row>
    <row r="2858" spans="1:38" x14ac:dyDescent="0.25">
      <c r="A2858">
        <v>2857</v>
      </c>
      <c r="B2858" t="str">
        <f xml:space="preserve"> "002363"</f>
        <v>002363</v>
      </c>
      <c r="C2858" t="s">
        <v>8383</v>
      </c>
      <c r="D2858">
        <v>10.06</v>
      </c>
      <c r="E2858">
        <v>0.6</v>
      </c>
      <c r="F2858">
        <v>0.06</v>
      </c>
      <c r="G2858" t="s">
        <v>1533</v>
      </c>
      <c r="H2858">
        <v>468</v>
      </c>
      <c r="I2858">
        <v>10.050000000000001</v>
      </c>
      <c r="J2858">
        <v>10.06</v>
      </c>
      <c r="K2858">
        <v>0</v>
      </c>
      <c r="L2858">
        <v>0.72</v>
      </c>
      <c r="M2858" t="s">
        <v>7429</v>
      </c>
      <c r="N2858">
        <v>45.22</v>
      </c>
      <c r="O2858" t="s">
        <v>169</v>
      </c>
      <c r="P2858">
        <v>10.06</v>
      </c>
      <c r="Q2858">
        <v>9.93</v>
      </c>
      <c r="R2858">
        <v>10</v>
      </c>
      <c r="S2858">
        <v>10</v>
      </c>
      <c r="T2858">
        <v>1.3</v>
      </c>
      <c r="U2858">
        <v>0.78</v>
      </c>
      <c r="V2858">
        <v>-37.17</v>
      </c>
      <c r="W2858">
        <v>-875</v>
      </c>
      <c r="X2858">
        <v>9.9700000000000006</v>
      </c>
      <c r="Y2858" t="s">
        <v>2558</v>
      </c>
      <c r="Z2858" t="s">
        <v>316</v>
      </c>
      <c r="AA2858">
        <v>1.36</v>
      </c>
      <c r="AB2858">
        <v>108</v>
      </c>
      <c r="AC2858">
        <v>519</v>
      </c>
      <c r="AD2858">
        <v>2.0499999999999998</v>
      </c>
      <c r="AE2858" t="s">
        <v>787</v>
      </c>
      <c r="AF2858" t="s">
        <v>1662</v>
      </c>
      <c r="AG2858" t="s">
        <v>787</v>
      </c>
      <c r="AH2858" t="s">
        <v>1662</v>
      </c>
      <c r="AI2858">
        <v>-0.4</v>
      </c>
      <c r="AJ2858">
        <v>4.03</v>
      </c>
      <c r="AK2858">
        <v>2.77</v>
      </c>
      <c r="AL2858">
        <v>5.33</v>
      </c>
    </row>
    <row r="2859" spans="1:38" x14ac:dyDescent="0.25">
      <c r="A2859">
        <v>2858</v>
      </c>
      <c r="B2859" t="str">
        <f xml:space="preserve"> "600969"</f>
        <v>600969</v>
      </c>
      <c r="C2859" t="s">
        <v>8384</v>
      </c>
      <c r="D2859">
        <v>14.68</v>
      </c>
      <c r="E2859">
        <v>-7.0000000000000007E-2</v>
      </c>
      <c r="F2859">
        <v>-0.01</v>
      </c>
      <c r="G2859" t="s">
        <v>2616</v>
      </c>
      <c r="H2859">
        <v>4</v>
      </c>
      <c r="I2859">
        <v>14.67</v>
      </c>
      <c r="J2859">
        <v>14.68</v>
      </c>
      <c r="K2859">
        <v>-7.0000000000000007E-2</v>
      </c>
      <c r="L2859">
        <v>0.5</v>
      </c>
      <c r="M2859" t="s">
        <v>4140</v>
      </c>
      <c r="N2859">
        <v>39.17</v>
      </c>
      <c r="O2859" t="s">
        <v>186</v>
      </c>
      <c r="P2859">
        <v>14.76</v>
      </c>
      <c r="Q2859">
        <v>14.59</v>
      </c>
      <c r="R2859">
        <v>14.76</v>
      </c>
      <c r="S2859">
        <v>14.69</v>
      </c>
      <c r="T2859">
        <v>1.1599999999999999</v>
      </c>
      <c r="U2859">
        <v>0.87</v>
      </c>
      <c r="V2859">
        <v>-9.07</v>
      </c>
      <c r="W2859">
        <v>-96</v>
      </c>
      <c r="X2859">
        <v>14.65</v>
      </c>
      <c r="Y2859">
        <v>6679</v>
      </c>
      <c r="Z2859">
        <v>6419</v>
      </c>
      <c r="AA2859">
        <v>1.04</v>
      </c>
      <c r="AB2859">
        <v>66</v>
      </c>
      <c r="AC2859">
        <v>11</v>
      </c>
      <c r="AD2859">
        <v>1.19</v>
      </c>
      <c r="AE2859" t="s">
        <v>2025</v>
      </c>
      <c r="AF2859" t="s">
        <v>1662</v>
      </c>
      <c r="AG2859" t="s">
        <v>2025</v>
      </c>
      <c r="AH2859" t="s">
        <v>1662</v>
      </c>
      <c r="AI2859">
        <v>-0.2</v>
      </c>
      <c r="AJ2859">
        <v>1.8</v>
      </c>
      <c r="AK2859">
        <v>1.88</v>
      </c>
      <c r="AL2859">
        <v>3.33</v>
      </c>
    </row>
    <row r="2860" spans="1:38" x14ac:dyDescent="0.25">
      <c r="A2860">
        <v>2859</v>
      </c>
      <c r="B2860" t="str">
        <f xml:space="preserve"> "000590"</f>
        <v>000590</v>
      </c>
      <c r="C2860" t="s">
        <v>8385</v>
      </c>
      <c r="D2860">
        <v>16.2</v>
      </c>
      <c r="E2860">
        <v>-1.22</v>
      </c>
      <c r="F2860">
        <v>-0.2</v>
      </c>
      <c r="G2860">
        <v>9236</v>
      </c>
      <c r="H2860">
        <v>112</v>
      </c>
      <c r="I2860">
        <v>16.190000000000001</v>
      </c>
      <c r="J2860">
        <v>16.2</v>
      </c>
      <c r="K2860">
        <v>0</v>
      </c>
      <c r="L2860">
        <v>0.41</v>
      </c>
      <c r="M2860" t="s">
        <v>8386</v>
      </c>
      <c r="N2860">
        <v>138.84</v>
      </c>
      <c r="O2860" t="s">
        <v>392</v>
      </c>
      <c r="P2860">
        <v>16.47</v>
      </c>
      <c r="Q2860">
        <v>16.170000000000002</v>
      </c>
      <c r="R2860">
        <v>16.440000000000001</v>
      </c>
      <c r="S2860">
        <v>16.399999999999999</v>
      </c>
      <c r="T2860">
        <v>1.83</v>
      </c>
      <c r="U2860">
        <v>0.61</v>
      </c>
      <c r="V2860">
        <v>32.01</v>
      </c>
      <c r="W2860">
        <v>267</v>
      </c>
      <c r="X2860">
        <v>16.25</v>
      </c>
      <c r="Y2860">
        <v>6257</v>
      </c>
      <c r="Z2860">
        <v>2979</v>
      </c>
      <c r="AA2860">
        <v>2.1</v>
      </c>
      <c r="AB2860">
        <v>341</v>
      </c>
      <c r="AC2860">
        <v>41</v>
      </c>
      <c r="AD2860">
        <v>7</v>
      </c>
      <c r="AE2860" t="s">
        <v>2759</v>
      </c>
      <c r="AF2860" t="s">
        <v>1662</v>
      </c>
      <c r="AG2860" t="s">
        <v>5840</v>
      </c>
      <c r="AH2860" t="s">
        <v>1752</v>
      </c>
      <c r="AI2860">
        <v>0.75</v>
      </c>
      <c r="AJ2860">
        <v>3.18</v>
      </c>
      <c r="AK2860">
        <v>2.12</v>
      </c>
      <c r="AL2860">
        <v>3.81</v>
      </c>
    </row>
    <row r="2861" spans="1:38" x14ac:dyDescent="0.25">
      <c r="A2861">
        <v>2860</v>
      </c>
      <c r="B2861" t="str">
        <f xml:space="preserve"> "600861"</f>
        <v>600861</v>
      </c>
      <c r="C2861" t="s">
        <v>8387</v>
      </c>
      <c r="D2861">
        <v>12.24</v>
      </c>
      <c r="E2861">
        <v>0.16</v>
      </c>
      <c r="F2861">
        <v>0.02</v>
      </c>
      <c r="G2861" t="s">
        <v>1732</v>
      </c>
      <c r="H2861">
        <v>7</v>
      </c>
      <c r="I2861">
        <v>12.23</v>
      </c>
      <c r="J2861">
        <v>12.24</v>
      </c>
      <c r="K2861">
        <v>-0.08</v>
      </c>
      <c r="L2861">
        <v>0.46</v>
      </c>
      <c r="M2861" t="s">
        <v>7803</v>
      </c>
      <c r="N2861">
        <v>42.04</v>
      </c>
      <c r="O2861" t="s">
        <v>532</v>
      </c>
      <c r="P2861">
        <v>12.26</v>
      </c>
      <c r="Q2861">
        <v>12.17</v>
      </c>
      <c r="R2861">
        <v>12.19</v>
      </c>
      <c r="S2861">
        <v>12.22</v>
      </c>
      <c r="T2861">
        <v>0.74</v>
      </c>
      <c r="U2861">
        <v>0.77</v>
      </c>
      <c r="V2861">
        <v>-23.9</v>
      </c>
      <c r="W2861">
        <v>-504</v>
      </c>
      <c r="X2861">
        <v>12.23</v>
      </c>
      <c r="Y2861">
        <v>7833</v>
      </c>
      <c r="Z2861">
        <v>6667</v>
      </c>
      <c r="AA2861">
        <v>1.17</v>
      </c>
      <c r="AB2861">
        <v>349</v>
      </c>
      <c r="AC2861">
        <v>63</v>
      </c>
      <c r="AD2861">
        <v>1.69</v>
      </c>
      <c r="AE2861" t="s">
        <v>972</v>
      </c>
      <c r="AF2861" t="s">
        <v>1662</v>
      </c>
      <c r="AG2861" t="s">
        <v>972</v>
      </c>
      <c r="AH2861" t="s">
        <v>1662</v>
      </c>
      <c r="AI2861">
        <v>0</v>
      </c>
      <c r="AJ2861">
        <v>1.49</v>
      </c>
      <c r="AK2861">
        <v>1.8</v>
      </c>
      <c r="AL2861">
        <v>3.42</v>
      </c>
    </row>
    <row r="2862" spans="1:38" x14ac:dyDescent="0.25">
      <c r="A2862">
        <v>2861</v>
      </c>
      <c r="B2862" t="str">
        <f xml:space="preserve"> "002278"</f>
        <v>002278</v>
      </c>
      <c r="C2862" t="s">
        <v>8388</v>
      </c>
      <c r="D2862">
        <v>10.65</v>
      </c>
      <c r="E2862">
        <v>0.47</v>
      </c>
      <c r="F2862">
        <v>0.05</v>
      </c>
      <c r="G2862" t="s">
        <v>5757</v>
      </c>
      <c r="H2862">
        <v>1100</v>
      </c>
      <c r="I2862">
        <v>10.65</v>
      </c>
      <c r="J2862">
        <v>10.66</v>
      </c>
      <c r="K2862">
        <v>-0.28000000000000003</v>
      </c>
      <c r="L2862">
        <v>1.64</v>
      </c>
      <c r="M2862" t="s">
        <v>2214</v>
      </c>
      <c r="N2862">
        <v>-183.83</v>
      </c>
      <c r="O2862" t="s">
        <v>648</v>
      </c>
      <c r="P2862">
        <v>10.85</v>
      </c>
      <c r="Q2862">
        <v>10.43</v>
      </c>
      <c r="R2862">
        <v>10.49</v>
      </c>
      <c r="S2862">
        <v>10.6</v>
      </c>
      <c r="T2862">
        <v>3.96</v>
      </c>
      <c r="U2862">
        <v>1.42</v>
      </c>
      <c r="V2862">
        <v>1.81</v>
      </c>
      <c r="W2862">
        <v>44</v>
      </c>
      <c r="X2862">
        <v>10.63</v>
      </c>
      <c r="Y2862" t="s">
        <v>2459</v>
      </c>
      <c r="Z2862" t="s">
        <v>2966</v>
      </c>
      <c r="AA2862">
        <v>1.24</v>
      </c>
      <c r="AB2862">
        <v>73</v>
      </c>
      <c r="AC2862">
        <v>4</v>
      </c>
      <c r="AD2862">
        <v>3.67</v>
      </c>
      <c r="AE2862" t="s">
        <v>2063</v>
      </c>
      <c r="AF2862" t="s">
        <v>1662</v>
      </c>
      <c r="AG2862" t="s">
        <v>3753</v>
      </c>
      <c r="AH2862" t="s">
        <v>2629</v>
      </c>
      <c r="AI2862">
        <v>5.86</v>
      </c>
      <c r="AJ2862">
        <v>9.23</v>
      </c>
      <c r="AK2862">
        <v>5.1100000000000003</v>
      </c>
      <c r="AL2862">
        <v>7.41</v>
      </c>
    </row>
    <row r="2863" spans="1:38" x14ac:dyDescent="0.25">
      <c r="A2863">
        <v>2862</v>
      </c>
      <c r="B2863" t="str">
        <f xml:space="preserve"> "300572"</f>
        <v>300572</v>
      </c>
      <c r="C2863" t="s">
        <v>8389</v>
      </c>
      <c r="D2863">
        <v>57.62</v>
      </c>
      <c r="E2863">
        <v>1.73</v>
      </c>
      <c r="F2863">
        <v>0.98</v>
      </c>
      <c r="G2863" t="s">
        <v>75</v>
      </c>
      <c r="H2863">
        <v>406</v>
      </c>
      <c r="I2863">
        <v>57.6</v>
      </c>
      <c r="J2863">
        <v>57.62</v>
      </c>
      <c r="K2863">
        <v>-7.0000000000000007E-2</v>
      </c>
      <c r="L2863">
        <v>6.11</v>
      </c>
      <c r="M2863" t="s">
        <v>8390</v>
      </c>
      <c r="N2863">
        <v>49.75</v>
      </c>
      <c r="O2863" t="s">
        <v>1372</v>
      </c>
      <c r="P2863">
        <v>58</v>
      </c>
      <c r="Q2863">
        <v>56.25</v>
      </c>
      <c r="R2863">
        <v>56.61</v>
      </c>
      <c r="S2863">
        <v>56.64</v>
      </c>
      <c r="T2863">
        <v>3.09</v>
      </c>
      <c r="U2863">
        <v>1.01</v>
      </c>
      <c r="V2863">
        <v>-77.02</v>
      </c>
      <c r="W2863">
        <v>-362</v>
      </c>
      <c r="X2863">
        <v>57.23</v>
      </c>
      <c r="Y2863">
        <v>4904</v>
      </c>
      <c r="Z2863">
        <v>5280</v>
      </c>
      <c r="AA2863">
        <v>0.93</v>
      </c>
      <c r="AB2863">
        <v>13</v>
      </c>
      <c r="AC2863">
        <v>209</v>
      </c>
      <c r="AD2863">
        <v>7.32</v>
      </c>
      <c r="AE2863" t="s">
        <v>8391</v>
      </c>
      <c r="AF2863" t="s">
        <v>1662</v>
      </c>
      <c r="AG2863" t="s">
        <v>6785</v>
      </c>
      <c r="AH2863" t="s">
        <v>5226</v>
      </c>
      <c r="AI2863">
        <v>6.11</v>
      </c>
      <c r="AJ2863">
        <v>7.72</v>
      </c>
      <c r="AK2863">
        <v>25.14</v>
      </c>
      <c r="AL2863">
        <v>36.21</v>
      </c>
    </row>
    <row r="2864" spans="1:38" x14ac:dyDescent="0.25">
      <c r="A2864">
        <v>2863</v>
      </c>
      <c r="B2864" t="str">
        <f xml:space="preserve"> "300240"</f>
        <v>300240</v>
      </c>
      <c r="C2864" t="s">
        <v>8392</v>
      </c>
      <c r="D2864">
        <v>10.6</v>
      </c>
      <c r="E2864">
        <v>3.01</v>
      </c>
      <c r="F2864">
        <v>0.31</v>
      </c>
      <c r="G2864" t="s">
        <v>8393</v>
      </c>
      <c r="H2864">
        <v>1801</v>
      </c>
      <c r="I2864">
        <v>10.59</v>
      </c>
      <c r="J2864">
        <v>10.6</v>
      </c>
      <c r="K2864">
        <v>0.09</v>
      </c>
      <c r="L2864">
        <v>2.41</v>
      </c>
      <c r="M2864" t="s">
        <v>8394</v>
      </c>
      <c r="N2864">
        <v>50.26</v>
      </c>
      <c r="O2864" t="s">
        <v>274</v>
      </c>
      <c r="P2864">
        <v>10.71</v>
      </c>
      <c r="Q2864">
        <v>10.24</v>
      </c>
      <c r="R2864">
        <v>10.24</v>
      </c>
      <c r="S2864">
        <v>10.29</v>
      </c>
      <c r="T2864">
        <v>4.57</v>
      </c>
      <c r="U2864">
        <v>1.64</v>
      </c>
      <c r="V2864">
        <v>-21.06</v>
      </c>
      <c r="W2864">
        <v>-890</v>
      </c>
      <c r="X2864">
        <v>10.51</v>
      </c>
      <c r="Y2864" t="s">
        <v>1743</v>
      </c>
      <c r="Z2864" t="s">
        <v>2693</v>
      </c>
      <c r="AA2864">
        <v>0.74</v>
      </c>
      <c r="AB2864">
        <v>530</v>
      </c>
      <c r="AC2864">
        <v>1529</v>
      </c>
      <c r="AD2864">
        <v>3.74</v>
      </c>
      <c r="AE2864" t="s">
        <v>1343</v>
      </c>
      <c r="AF2864" t="s">
        <v>6196</v>
      </c>
      <c r="AG2864" t="s">
        <v>2465</v>
      </c>
      <c r="AH2864" t="s">
        <v>6196</v>
      </c>
      <c r="AI2864">
        <v>4.13</v>
      </c>
      <c r="AJ2864">
        <v>8.94</v>
      </c>
      <c r="AK2864">
        <v>6.86</v>
      </c>
      <c r="AL2864">
        <v>9.76</v>
      </c>
    </row>
    <row r="2865" spans="1:38" x14ac:dyDescent="0.25">
      <c r="A2865">
        <v>2864</v>
      </c>
      <c r="B2865" t="str">
        <f xml:space="preserve"> "000419"</f>
        <v>000419</v>
      </c>
      <c r="C2865" t="s">
        <v>8395</v>
      </c>
      <c r="D2865">
        <v>7.12</v>
      </c>
      <c r="E2865">
        <v>-0.28000000000000003</v>
      </c>
      <c r="F2865">
        <v>-0.02</v>
      </c>
      <c r="G2865" t="s">
        <v>2862</v>
      </c>
      <c r="H2865">
        <v>1563</v>
      </c>
      <c r="I2865">
        <v>7.11</v>
      </c>
      <c r="J2865">
        <v>7.12</v>
      </c>
      <c r="K2865">
        <v>-0.14000000000000001</v>
      </c>
      <c r="L2865">
        <v>0.48</v>
      </c>
      <c r="M2865" t="s">
        <v>8396</v>
      </c>
      <c r="N2865">
        <v>24.14</v>
      </c>
      <c r="O2865" t="s">
        <v>532</v>
      </c>
      <c r="P2865">
        <v>7.14</v>
      </c>
      <c r="Q2865">
        <v>7.08</v>
      </c>
      <c r="R2865">
        <v>7.12</v>
      </c>
      <c r="S2865">
        <v>7.14</v>
      </c>
      <c r="T2865">
        <v>0.84</v>
      </c>
      <c r="U2865">
        <v>1.03</v>
      </c>
      <c r="V2865">
        <v>32.78</v>
      </c>
      <c r="W2865">
        <v>1607</v>
      </c>
      <c r="X2865">
        <v>7.11</v>
      </c>
      <c r="Y2865" t="s">
        <v>2558</v>
      </c>
      <c r="Z2865" t="s">
        <v>75</v>
      </c>
      <c r="AA2865">
        <v>1.56</v>
      </c>
      <c r="AB2865">
        <v>420</v>
      </c>
      <c r="AC2865">
        <v>88</v>
      </c>
      <c r="AD2865">
        <v>1.97</v>
      </c>
      <c r="AE2865" t="s">
        <v>2211</v>
      </c>
      <c r="AF2865" t="s">
        <v>6196</v>
      </c>
      <c r="AG2865" t="s">
        <v>5788</v>
      </c>
      <c r="AH2865" t="s">
        <v>6196</v>
      </c>
      <c r="AI2865">
        <v>0</v>
      </c>
      <c r="AJ2865">
        <v>2.15</v>
      </c>
      <c r="AK2865">
        <v>1.61</v>
      </c>
      <c r="AL2865">
        <v>2.81</v>
      </c>
    </row>
    <row r="2866" spans="1:38" x14ac:dyDescent="0.25">
      <c r="A2866">
        <v>2865</v>
      </c>
      <c r="B2866" t="str">
        <f xml:space="preserve"> "300210"</f>
        <v>300210</v>
      </c>
      <c r="C2866" t="s">
        <v>8397</v>
      </c>
      <c r="D2866">
        <v>7.99</v>
      </c>
      <c r="E2866">
        <v>3.1</v>
      </c>
      <c r="F2866">
        <v>0.24</v>
      </c>
      <c r="G2866" t="s">
        <v>3552</v>
      </c>
      <c r="H2866">
        <v>1942</v>
      </c>
      <c r="I2866">
        <v>7.98</v>
      </c>
      <c r="J2866">
        <v>7.99</v>
      </c>
      <c r="K2866">
        <v>0.13</v>
      </c>
      <c r="L2866">
        <v>1.53</v>
      </c>
      <c r="M2866" t="s">
        <v>8398</v>
      </c>
      <c r="N2866">
        <v>74.61</v>
      </c>
      <c r="O2866" t="s">
        <v>648</v>
      </c>
      <c r="P2866">
        <v>8</v>
      </c>
      <c r="Q2866">
        <v>7.68</v>
      </c>
      <c r="R2866">
        <v>7.77</v>
      </c>
      <c r="S2866">
        <v>7.75</v>
      </c>
      <c r="T2866">
        <v>4.13</v>
      </c>
      <c r="U2866">
        <v>1.8</v>
      </c>
      <c r="V2866">
        <v>-45.05</v>
      </c>
      <c r="W2866">
        <v>-1153</v>
      </c>
      <c r="X2866">
        <v>7.87</v>
      </c>
      <c r="Y2866" t="s">
        <v>1886</v>
      </c>
      <c r="Z2866" t="s">
        <v>2543</v>
      </c>
      <c r="AA2866">
        <v>0.5</v>
      </c>
      <c r="AB2866">
        <v>150</v>
      </c>
      <c r="AC2866">
        <v>235</v>
      </c>
      <c r="AD2866">
        <v>3.06</v>
      </c>
      <c r="AE2866" t="s">
        <v>2618</v>
      </c>
      <c r="AF2866" t="s">
        <v>6196</v>
      </c>
      <c r="AG2866" t="s">
        <v>3287</v>
      </c>
      <c r="AH2866" t="s">
        <v>1023</v>
      </c>
      <c r="AI2866">
        <v>3.5</v>
      </c>
      <c r="AJ2866">
        <v>6.68</v>
      </c>
      <c r="AK2866">
        <v>3.01</v>
      </c>
      <c r="AL2866">
        <v>5.78</v>
      </c>
    </row>
    <row r="2867" spans="1:38" x14ac:dyDescent="0.25">
      <c r="A2867">
        <v>2866</v>
      </c>
      <c r="B2867" t="str">
        <f xml:space="preserve"> "300638"</f>
        <v>300638</v>
      </c>
      <c r="C2867" t="s">
        <v>8399</v>
      </c>
      <c r="D2867">
        <v>48.33</v>
      </c>
      <c r="E2867">
        <v>2.44</v>
      </c>
      <c r="F2867">
        <v>1.1499999999999999</v>
      </c>
      <c r="G2867" t="s">
        <v>3192</v>
      </c>
      <c r="H2867">
        <v>924</v>
      </c>
      <c r="I2867">
        <v>48.33</v>
      </c>
      <c r="J2867">
        <v>48.34</v>
      </c>
      <c r="K2867">
        <v>0.15</v>
      </c>
      <c r="L2867">
        <v>30.52</v>
      </c>
      <c r="M2867" t="s">
        <v>1320</v>
      </c>
      <c r="N2867">
        <v>136.80000000000001</v>
      </c>
      <c r="O2867" t="s">
        <v>580</v>
      </c>
      <c r="P2867">
        <v>50.5</v>
      </c>
      <c r="Q2867">
        <v>43.9</v>
      </c>
      <c r="R2867">
        <v>46.37</v>
      </c>
      <c r="S2867">
        <v>47.18</v>
      </c>
      <c r="T2867">
        <v>13.99</v>
      </c>
      <c r="U2867">
        <v>0.8</v>
      </c>
      <c r="V2867">
        <v>-13.18</v>
      </c>
      <c r="W2867">
        <v>-99</v>
      </c>
      <c r="X2867">
        <v>46.19</v>
      </c>
      <c r="Y2867" t="s">
        <v>1525</v>
      </c>
      <c r="Z2867" t="s">
        <v>1500</v>
      </c>
      <c r="AA2867">
        <v>1.07</v>
      </c>
      <c r="AB2867">
        <v>9</v>
      </c>
      <c r="AC2867">
        <v>14</v>
      </c>
      <c r="AD2867">
        <v>11.41</v>
      </c>
      <c r="AE2867" t="s">
        <v>5802</v>
      </c>
      <c r="AF2867" t="s">
        <v>6196</v>
      </c>
      <c r="AG2867" t="s">
        <v>5562</v>
      </c>
      <c r="AH2867" t="s">
        <v>5966</v>
      </c>
      <c r="AI2867">
        <v>-2.36</v>
      </c>
      <c r="AJ2867">
        <v>6.22</v>
      </c>
      <c r="AK2867">
        <v>91.46</v>
      </c>
      <c r="AL2867">
        <v>221.01</v>
      </c>
    </row>
    <row r="2868" spans="1:38" x14ac:dyDescent="0.25">
      <c r="A2868">
        <v>2867</v>
      </c>
      <c r="B2868" t="str">
        <f xml:space="preserve"> "002848"</f>
        <v>002848</v>
      </c>
      <c r="C2868" t="s">
        <v>8400</v>
      </c>
      <c r="D2868">
        <v>23.06</v>
      </c>
      <c r="E2868">
        <v>0.13</v>
      </c>
      <c r="F2868">
        <v>0.03</v>
      </c>
      <c r="G2868" t="s">
        <v>1114</v>
      </c>
      <c r="H2868">
        <v>229</v>
      </c>
      <c r="I2868">
        <v>23.05</v>
      </c>
      <c r="J2868">
        <v>23.06</v>
      </c>
      <c r="K2868">
        <v>-0.09</v>
      </c>
      <c r="L2868">
        <v>3.51</v>
      </c>
      <c r="M2868" t="s">
        <v>8401</v>
      </c>
      <c r="N2868">
        <v>180.02</v>
      </c>
      <c r="O2868" t="s">
        <v>580</v>
      </c>
      <c r="P2868">
        <v>23.16</v>
      </c>
      <c r="Q2868">
        <v>22.9</v>
      </c>
      <c r="R2868">
        <v>23.02</v>
      </c>
      <c r="S2868">
        <v>23.03</v>
      </c>
      <c r="T2868">
        <v>1.1299999999999999</v>
      </c>
      <c r="U2868">
        <v>0.87</v>
      </c>
      <c r="V2868">
        <v>-58.17</v>
      </c>
      <c r="W2868">
        <v>-331</v>
      </c>
      <c r="X2868">
        <v>23.04</v>
      </c>
      <c r="Y2868">
        <v>8586</v>
      </c>
      <c r="Z2868">
        <v>6101</v>
      </c>
      <c r="AA2868">
        <v>1.41</v>
      </c>
      <c r="AB2868">
        <v>8</v>
      </c>
      <c r="AC2868">
        <v>106</v>
      </c>
      <c r="AD2868">
        <v>4.68</v>
      </c>
      <c r="AE2868" t="s">
        <v>5701</v>
      </c>
      <c r="AF2868" t="s">
        <v>5838</v>
      </c>
      <c r="AG2868" t="s">
        <v>8402</v>
      </c>
      <c r="AH2868" t="s">
        <v>3852</v>
      </c>
      <c r="AI2868">
        <v>-0.73</v>
      </c>
      <c r="AJ2868">
        <v>-2.37</v>
      </c>
      <c r="AK2868">
        <v>9.84</v>
      </c>
      <c r="AL2868">
        <v>23.73</v>
      </c>
    </row>
    <row r="2869" spans="1:38" x14ac:dyDescent="0.25">
      <c r="A2869">
        <v>2868</v>
      </c>
      <c r="B2869" t="str">
        <f xml:space="preserve"> "603336"</f>
        <v>603336</v>
      </c>
      <c r="C2869" t="s">
        <v>8403</v>
      </c>
      <c r="D2869">
        <v>28.89</v>
      </c>
      <c r="E2869">
        <v>0.28000000000000003</v>
      </c>
      <c r="F2869">
        <v>0.08</v>
      </c>
      <c r="G2869" t="s">
        <v>2061</v>
      </c>
      <c r="H2869">
        <v>7</v>
      </c>
      <c r="I2869">
        <v>28.87</v>
      </c>
      <c r="J2869">
        <v>28.89</v>
      </c>
      <c r="K2869">
        <v>-0.1</v>
      </c>
      <c r="L2869">
        <v>5.71</v>
      </c>
      <c r="M2869" t="s">
        <v>5097</v>
      </c>
      <c r="N2869">
        <v>55.15</v>
      </c>
      <c r="O2869" t="s">
        <v>622</v>
      </c>
      <c r="P2869">
        <v>29.19</v>
      </c>
      <c r="Q2869">
        <v>28.72</v>
      </c>
      <c r="R2869">
        <v>28.82</v>
      </c>
      <c r="S2869">
        <v>28.81</v>
      </c>
      <c r="T2869">
        <v>1.63</v>
      </c>
      <c r="U2869">
        <v>0.73</v>
      </c>
      <c r="V2869">
        <v>-2.0299999999999998</v>
      </c>
      <c r="W2869">
        <v>-8</v>
      </c>
      <c r="X2869">
        <v>28.96</v>
      </c>
      <c r="Y2869">
        <v>9313</v>
      </c>
      <c r="Z2869">
        <v>9721</v>
      </c>
      <c r="AA2869">
        <v>0.96</v>
      </c>
      <c r="AB2869">
        <v>24</v>
      </c>
      <c r="AC2869">
        <v>64</v>
      </c>
      <c r="AD2869">
        <v>5.14</v>
      </c>
      <c r="AE2869" t="s">
        <v>333</v>
      </c>
      <c r="AF2869" t="s">
        <v>5838</v>
      </c>
      <c r="AG2869" t="s">
        <v>8404</v>
      </c>
      <c r="AH2869" t="s">
        <v>3715</v>
      </c>
      <c r="AI2869">
        <v>7.0000000000000007E-2</v>
      </c>
      <c r="AJ2869">
        <v>2.7</v>
      </c>
      <c r="AK2869">
        <v>22.63</v>
      </c>
      <c r="AL2869">
        <v>44.62</v>
      </c>
    </row>
    <row r="2870" spans="1:38" x14ac:dyDescent="0.25">
      <c r="A2870">
        <v>2869</v>
      </c>
      <c r="B2870" t="str">
        <f xml:space="preserve"> "300165"</f>
        <v>300165</v>
      </c>
      <c r="C2870" t="s">
        <v>8405</v>
      </c>
      <c r="D2870">
        <v>8.34</v>
      </c>
      <c r="E2870">
        <v>3.35</v>
      </c>
      <c r="F2870">
        <v>0.27</v>
      </c>
      <c r="G2870" t="s">
        <v>297</v>
      </c>
      <c r="H2870">
        <v>4952</v>
      </c>
      <c r="I2870">
        <v>8.33</v>
      </c>
      <c r="J2870">
        <v>8.34</v>
      </c>
      <c r="K2870">
        <v>0</v>
      </c>
      <c r="L2870">
        <v>5.33</v>
      </c>
      <c r="M2870" t="s">
        <v>2973</v>
      </c>
      <c r="N2870">
        <v>45.6</v>
      </c>
      <c r="O2870" t="s">
        <v>1372</v>
      </c>
      <c r="P2870">
        <v>8.4</v>
      </c>
      <c r="Q2870">
        <v>8.0399999999999991</v>
      </c>
      <c r="R2870">
        <v>8.09</v>
      </c>
      <c r="S2870">
        <v>8.07</v>
      </c>
      <c r="T2870">
        <v>4.46</v>
      </c>
      <c r="U2870">
        <v>1.21</v>
      </c>
      <c r="V2870">
        <v>-6.1</v>
      </c>
      <c r="W2870">
        <v>-817</v>
      </c>
      <c r="X2870">
        <v>8.25</v>
      </c>
      <c r="Y2870" t="s">
        <v>5757</v>
      </c>
      <c r="Z2870" t="s">
        <v>991</v>
      </c>
      <c r="AA2870">
        <v>0.53</v>
      </c>
      <c r="AB2870">
        <v>381</v>
      </c>
      <c r="AC2870">
        <v>3156</v>
      </c>
      <c r="AD2870">
        <v>2.4700000000000002</v>
      </c>
      <c r="AE2870" t="s">
        <v>772</v>
      </c>
      <c r="AF2870" t="s">
        <v>5838</v>
      </c>
      <c r="AG2870" t="s">
        <v>4786</v>
      </c>
      <c r="AH2870" t="s">
        <v>1129</v>
      </c>
      <c r="AI2870">
        <v>1.96</v>
      </c>
      <c r="AJ2870">
        <v>4.51</v>
      </c>
      <c r="AK2870">
        <v>13</v>
      </c>
      <c r="AL2870">
        <v>27.29</v>
      </c>
    </row>
    <row r="2871" spans="1:38" x14ac:dyDescent="0.25">
      <c r="A2871">
        <v>2870</v>
      </c>
      <c r="B2871" t="str">
        <f xml:space="preserve"> "002057"</f>
        <v>002057</v>
      </c>
      <c r="C2871" t="s">
        <v>8406</v>
      </c>
      <c r="D2871">
        <v>15</v>
      </c>
      <c r="E2871">
        <v>1.97</v>
      </c>
      <c r="F2871">
        <v>0.28999999999999998</v>
      </c>
      <c r="G2871" t="s">
        <v>1507</v>
      </c>
      <c r="H2871">
        <v>220</v>
      </c>
      <c r="I2871">
        <v>14.99</v>
      </c>
      <c r="J2871">
        <v>15</v>
      </c>
      <c r="K2871">
        <v>0</v>
      </c>
      <c r="L2871">
        <v>2.0699999999999998</v>
      </c>
      <c r="M2871" t="s">
        <v>8407</v>
      </c>
      <c r="N2871">
        <v>35.51</v>
      </c>
      <c r="O2871" t="s">
        <v>3277</v>
      </c>
      <c r="P2871">
        <v>15.2</v>
      </c>
      <c r="Q2871">
        <v>14.69</v>
      </c>
      <c r="R2871">
        <v>14.7</v>
      </c>
      <c r="S2871">
        <v>14.71</v>
      </c>
      <c r="T2871">
        <v>3.47</v>
      </c>
      <c r="U2871">
        <v>0.94</v>
      </c>
      <c r="V2871">
        <v>-64.34</v>
      </c>
      <c r="W2871">
        <v>-1386</v>
      </c>
      <c r="X2871">
        <v>15</v>
      </c>
      <c r="Y2871" t="s">
        <v>1886</v>
      </c>
      <c r="Z2871" t="s">
        <v>2444</v>
      </c>
      <c r="AA2871">
        <v>0.76</v>
      </c>
      <c r="AB2871">
        <v>144</v>
      </c>
      <c r="AC2871">
        <v>253</v>
      </c>
      <c r="AD2871">
        <v>3.3</v>
      </c>
      <c r="AE2871" t="s">
        <v>925</v>
      </c>
      <c r="AF2871" t="s">
        <v>5838</v>
      </c>
      <c r="AG2871" t="s">
        <v>3339</v>
      </c>
      <c r="AH2871" t="s">
        <v>1910</v>
      </c>
      <c r="AI2871">
        <v>-2.98</v>
      </c>
      <c r="AJ2871">
        <v>-2.98</v>
      </c>
      <c r="AK2871">
        <v>6.82</v>
      </c>
      <c r="AL2871">
        <v>13.06</v>
      </c>
    </row>
    <row r="2872" spans="1:38" x14ac:dyDescent="0.25">
      <c r="A2872">
        <v>2871</v>
      </c>
      <c r="B2872" t="str">
        <f xml:space="preserve"> "000859"</f>
        <v>000859</v>
      </c>
      <c r="C2872" t="s">
        <v>8408</v>
      </c>
      <c r="D2872">
        <v>5.2</v>
      </c>
      <c r="E2872">
        <v>0.57999999999999996</v>
      </c>
      <c r="F2872">
        <v>0.03</v>
      </c>
      <c r="G2872" t="s">
        <v>3171</v>
      </c>
      <c r="H2872">
        <v>1154</v>
      </c>
      <c r="I2872">
        <v>5.19</v>
      </c>
      <c r="J2872">
        <v>5.2</v>
      </c>
      <c r="K2872">
        <v>0</v>
      </c>
      <c r="L2872">
        <v>0.66</v>
      </c>
      <c r="M2872" t="s">
        <v>7449</v>
      </c>
      <c r="N2872">
        <v>80.09</v>
      </c>
      <c r="O2872" t="s">
        <v>2128</v>
      </c>
      <c r="P2872">
        <v>5.21</v>
      </c>
      <c r="Q2872">
        <v>5.15</v>
      </c>
      <c r="R2872">
        <v>5.17</v>
      </c>
      <c r="S2872">
        <v>5.17</v>
      </c>
      <c r="T2872">
        <v>1.1599999999999999</v>
      </c>
      <c r="U2872">
        <v>0.85</v>
      </c>
      <c r="V2872">
        <v>-21.05</v>
      </c>
      <c r="W2872">
        <v>-3431</v>
      </c>
      <c r="X2872">
        <v>5.18</v>
      </c>
      <c r="Y2872" t="s">
        <v>3877</v>
      </c>
      <c r="Z2872" t="s">
        <v>2383</v>
      </c>
      <c r="AA2872">
        <v>1.64</v>
      </c>
      <c r="AB2872">
        <v>1505</v>
      </c>
      <c r="AC2872">
        <v>1250</v>
      </c>
      <c r="AD2872">
        <v>2.68</v>
      </c>
      <c r="AE2872" t="s">
        <v>5425</v>
      </c>
      <c r="AF2872" t="s">
        <v>5838</v>
      </c>
      <c r="AG2872" t="s">
        <v>5425</v>
      </c>
      <c r="AH2872" t="s">
        <v>3290</v>
      </c>
      <c r="AI2872">
        <v>-0.38</v>
      </c>
      <c r="AJ2872">
        <v>2.97</v>
      </c>
      <c r="AK2872">
        <v>2.1800000000000002</v>
      </c>
      <c r="AL2872">
        <v>4.5199999999999996</v>
      </c>
    </row>
    <row r="2873" spans="1:38" x14ac:dyDescent="0.25">
      <c r="A2873">
        <v>2872</v>
      </c>
      <c r="B2873" t="str">
        <f xml:space="preserve"> "603518"</f>
        <v>603518</v>
      </c>
      <c r="C2873" t="s">
        <v>8409</v>
      </c>
      <c r="D2873">
        <v>25.26</v>
      </c>
      <c r="E2873">
        <v>0.96</v>
      </c>
      <c r="F2873">
        <v>0.24</v>
      </c>
      <c r="G2873">
        <v>7191</v>
      </c>
      <c r="H2873">
        <v>1</v>
      </c>
      <c r="I2873">
        <v>25.25</v>
      </c>
      <c r="J2873">
        <v>25.26</v>
      </c>
      <c r="K2873">
        <v>0</v>
      </c>
      <c r="L2873">
        <v>1.29</v>
      </c>
      <c r="M2873" t="s">
        <v>7339</v>
      </c>
      <c r="N2873">
        <v>43.13</v>
      </c>
      <c r="O2873" t="s">
        <v>1443</v>
      </c>
      <c r="P2873">
        <v>25.3</v>
      </c>
      <c r="Q2873">
        <v>24.93</v>
      </c>
      <c r="R2873">
        <v>25.27</v>
      </c>
      <c r="S2873">
        <v>25.02</v>
      </c>
      <c r="T2873">
        <v>1.48</v>
      </c>
      <c r="U2873">
        <v>1.01</v>
      </c>
      <c r="V2873">
        <v>-35.26</v>
      </c>
      <c r="W2873">
        <v>-132</v>
      </c>
      <c r="X2873">
        <v>25.16</v>
      </c>
      <c r="Y2873">
        <v>2899</v>
      </c>
      <c r="Z2873">
        <v>4292</v>
      </c>
      <c r="AA2873">
        <v>0.68</v>
      </c>
      <c r="AB2873">
        <v>2</v>
      </c>
      <c r="AC2873">
        <v>14</v>
      </c>
      <c r="AD2873">
        <v>2.58</v>
      </c>
      <c r="AE2873" t="s">
        <v>2231</v>
      </c>
      <c r="AF2873" t="s">
        <v>3290</v>
      </c>
      <c r="AG2873" t="s">
        <v>8410</v>
      </c>
      <c r="AH2873" t="s">
        <v>1715</v>
      </c>
      <c r="AI2873">
        <v>0.28000000000000003</v>
      </c>
      <c r="AJ2873">
        <v>3.82</v>
      </c>
      <c r="AK2873">
        <v>4.4800000000000004</v>
      </c>
      <c r="AL2873">
        <v>7.7</v>
      </c>
    </row>
    <row r="2874" spans="1:38" x14ac:dyDescent="0.25">
      <c r="A2874">
        <v>2873</v>
      </c>
      <c r="B2874" t="str">
        <f xml:space="preserve"> "300154"</f>
        <v>300154</v>
      </c>
      <c r="C2874" t="s">
        <v>8411</v>
      </c>
      <c r="D2874">
        <v>8.6</v>
      </c>
      <c r="E2874">
        <v>0.23</v>
      </c>
      <c r="F2874">
        <v>0.02</v>
      </c>
      <c r="G2874" t="s">
        <v>1732</v>
      </c>
      <c r="H2874">
        <v>231</v>
      </c>
      <c r="I2874">
        <v>8.6</v>
      </c>
      <c r="J2874">
        <v>8.61</v>
      </c>
      <c r="K2874">
        <v>-0.12</v>
      </c>
      <c r="L2874">
        <v>0.46</v>
      </c>
      <c r="M2874" t="s">
        <v>6698</v>
      </c>
      <c r="N2874">
        <v>35.590000000000003</v>
      </c>
      <c r="O2874" t="s">
        <v>648</v>
      </c>
      <c r="P2874">
        <v>8.61</v>
      </c>
      <c r="Q2874">
        <v>8.51</v>
      </c>
      <c r="R2874">
        <v>8.6</v>
      </c>
      <c r="S2874">
        <v>8.58</v>
      </c>
      <c r="T2874">
        <v>1.17</v>
      </c>
      <c r="U2874">
        <v>0.85</v>
      </c>
      <c r="V2874">
        <v>-41.86</v>
      </c>
      <c r="W2874">
        <v>-1244</v>
      </c>
      <c r="X2874">
        <v>8.56</v>
      </c>
      <c r="Y2874">
        <v>6006</v>
      </c>
      <c r="Z2874">
        <v>8477</v>
      </c>
      <c r="AA2874">
        <v>0.71</v>
      </c>
      <c r="AB2874">
        <v>113</v>
      </c>
      <c r="AC2874">
        <v>325</v>
      </c>
      <c r="AD2874">
        <v>2.61</v>
      </c>
      <c r="AE2874" t="s">
        <v>252</v>
      </c>
      <c r="AF2874" t="s">
        <v>3290</v>
      </c>
      <c r="AG2874" t="s">
        <v>6101</v>
      </c>
      <c r="AH2874" t="s">
        <v>547</v>
      </c>
      <c r="AI2874">
        <v>0</v>
      </c>
      <c r="AJ2874">
        <v>3.61</v>
      </c>
      <c r="AK2874">
        <v>1.74</v>
      </c>
      <c r="AL2874">
        <v>3.17</v>
      </c>
    </row>
    <row r="2875" spans="1:38" x14ac:dyDescent="0.25">
      <c r="A2875">
        <v>2874</v>
      </c>
      <c r="B2875" t="str">
        <f xml:space="preserve"> "300095"</f>
        <v>300095</v>
      </c>
      <c r="C2875" t="s">
        <v>8412</v>
      </c>
      <c r="D2875">
        <v>10.14</v>
      </c>
      <c r="E2875">
        <v>0</v>
      </c>
      <c r="F2875">
        <v>0</v>
      </c>
      <c r="G2875" t="s">
        <v>2800</v>
      </c>
      <c r="H2875">
        <v>253</v>
      </c>
      <c r="I2875">
        <v>10.14</v>
      </c>
      <c r="J2875">
        <v>10.15</v>
      </c>
      <c r="K2875">
        <v>-0.1</v>
      </c>
      <c r="L2875">
        <v>0.46</v>
      </c>
      <c r="M2875" t="s">
        <v>8413</v>
      </c>
      <c r="N2875">
        <v>80.73</v>
      </c>
      <c r="O2875" t="s">
        <v>648</v>
      </c>
      <c r="P2875">
        <v>10.23</v>
      </c>
      <c r="Q2875">
        <v>10.09</v>
      </c>
      <c r="R2875">
        <v>10.23</v>
      </c>
      <c r="S2875">
        <v>10.14</v>
      </c>
      <c r="T2875">
        <v>1.38</v>
      </c>
      <c r="U2875">
        <v>0.65</v>
      </c>
      <c r="V2875">
        <v>-34.08</v>
      </c>
      <c r="W2875">
        <v>-514</v>
      </c>
      <c r="X2875">
        <v>10.130000000000001</v>
      </c>
      <c r="Y2875">
        <v>7423</v>
      </c>
      <c r="Z2875">
        <v>3104</v>
      </c>
      <c r="AA2875">
        <v>2.39</v>
      </c>
      <c r="AB2875">
        <v>73</v>
      </c>
      <c r="AC2875">
        <v>137</v>
      </c>
      <c r="AD2875">
        <v>3.05</v>
      </c>
      <c r="AE2875" t="s">
        <v>6482</v>
      </c>
      <c r="AF2875" t="s">
        <v>3290</v>
      </c>
      <c r="AG2875" t="s">
        <v>1812</v>
      </c>
      <c r="AH2875" t="s">
        <v>2528</v>
      </c>
      <c r="AI2875">
        <v>-0.78</v>
      </c>
      <c r="AJ2875">
        <v>2.2200000000000002</v>
      </c>
      <c r="AK2875">
        <v>1.84</v>
      </c>
      <c r="AL2875">
        <v>4.03</v>
      </c>
    </row>
    <row r="2876" spans="1:38" x14ac:dyDescent="0.25">
      <c r="A2876">
        <v>2875</v>
      </c>
      <c r="B2876" t="str">
        <f xml:space="preserve"> "002243"</f>
        <v>002243</v>
      </c>
      <c r="C2876" t="s">
        <v>8414</v>
      </c>
      <c r="D2876">
        <v>10.52</v>
      </c>
      <c r="E2876">
        <v>-2.0499999999999998</v>
      </c>
      <c r="F2876">
        <v>-0.22</v>
      </c>
      <c r="G2876" t="s">
        <v>1222</v>
      </c>
      <c r="H2876">
        <v>1488</v>
      </c>
      <c r="I2876">
        <v>10.52</v>
      </c>
      <c r="J2876">
        <v>10.53</v>
      </c>
      <c r="K2876">
        <v>0.19</v>
      </c>
      <c r="L2876">
        <v>2.79</v>
      </c>
      <c r="M2876" t="s">
        <v>1635</v>
      </c>
      <c r="N2876">
        <v>75.02</v>
      </c>
      <c r="O2876" t="s">
        <v>3873</v>
      </c>
      <c r="P2876">
        <v>10.6</v>
      </c>
      <c r="Q2876">
        <v>10.25</v>
      </c>
      <c r="R2876">
        <v>10.51</v>
      </c>
      <c r="S2876">
        <v>10.74</v>
      </c>
      <c r="T2876">
        <v>3.26</v>
      </c>
      <c r="U2876">
        <v>1.62</v>
      </c>
      <c r="V2876">
        <v>46.2</v>
      </c>
      <c r="W2876">
        <v>1283</v>
      </c>
      <c r="X2876">
        <v>10.42</v>
      </c>
      <c r="Y2876" t="s">
        <v>1783</v>
      </c>
      <c r="Z2876" t="s">
        <v>430</v>
      </c>
      <c r="AA2876">
        <v>1.77</v>
      </c>
      <c r="AB2876">
        <v>492</v>
      </c>
      <c r="AC2876">
        <v>80</v>
      </c>
      <c r="AD2876">
        <v>2.59</v>
      </c>
      <c r="AE2876" t="s">
        <v>2465</v>
      </c>
      <c r="AF2876" t="s">
        <v>3290</v>
      </c>
      <c r="AG2876" t="s">
        <v>2465</v>
      </c>
      <c r="AH2876" t="s">
        <v>3290</v>
      </c>
      <c r="AI2876">
        <v>4.16</v>
      </c>
      <c r="AJ2876">
        <v>7.02</v>
      </c>
      <c r="AK2876">
        <v>9.7899999999999991</v>
      </c>
      <c r="AL2876">
        <v>11.4</v>
      </c>
    </row>
    <row r="2877" spans="1:38" x14ac:dyDescent="0.25">
      <c r="A2877">
        <v>2876</v>
      </c>
      <c r="B2877" t="str">
        <f xml:space="preserve"> "600962"</f>
        <v>600962</v>
      </c>
      <c r="C2877" t="s">
        <v>8415</v>
      </c>
      <c r="D2877">
        <v>14.64</v>
      </c>
      <c r="E2877">
        <v>0.83</v>
      </c>
      <c r="F2877">
        <v>0.12</v>
      </c>
      <c r="G2877" t="s">
        <v>884</v>
      </c>
      <c r="H2877">
        <v>10</v>
      </c>
      <c r="I2877">
        <v>14.64</v>
      </c>
      <c r="J2877">
        <v>14.65</v>
      </c>
      <c r="K2877">
        <v>0</v>
      </c>
      <c r="L2877">
        <v>0.76</v>
      </c>
      <c r="M2877" t="s">
        <v>8146</v>
      </c>
      <c r="N2877">
        <v>1186.3900000000001</v>
      </c>
      <c r="O2877" t="s">
        <v>406</v>
      </c>
      <c r="P2877">
        <v>14.7</v>
      </c>
      <c r="Q2877">
        <v>14.42</v>
      </c>
      <c r="R2877">
        <v>14.42</v>
      </c>
      <c r="S2877">
        <v>14.52</v>
      </c>
      <c r="T2877">
        <v>1.93</v>
      </c>
      <c r="U2877">
        <v>0.68</v>
      </c>
      <c r="V2877">
        <v>-41.7</v>
      </c>
      <c r="W2877">
        <v>-515</v>
      </c>
      <c r="X2877">
        <v>14.53</v>
      </c>
      <c r="Y2877" t="s">
        <v>2284</v>
      </c>
      <c r="Z2877">
        <v>8926</v>
      </c>
      <c r="AA2877">
        <v>1.1599999999999999</v>
      </c>
      <c r="AB2877">
        <v>29</v>
      </c>
      <c r="AC2877">
        <v>193</v>
      </c>
      <c r="AD2877">
        <v>4.68</v>
      </c>
      <c r="AE2877" t="s">
        <v>488</v>
      </c>
      <c r="AF2877" t="s">
        <v>3290</v>
      </c>
      <c r="AG2877" t="s">
        <v>3561</v>
      </c>
      <c r="AH2877" t="s">
        <v>1815</v>
      </c>
      <c r="AI2877">
        <v>0.21</v>
      </c>
      <c r="AJ2877">
        <v>3.24</v>
      </c>
      <c r="AK2877">
        <v>3.49</v>
      </c>
      <c r="AL2877">
        <v>6.38</v>
      </c>
    </row>
    <row r="2878" spans="1:38" x14ac:dyDescent="0.25">
      <c r="A2878">
        <v>2877</v>
      </c>
      <c r="B2878" t="str">
        <f xml:space="preserve"> "603023"</f>
        <v>603023</v>
      </c>
      <c r="C2878" t="s">
        <v>8416</v>
      </c>
      <c r="D2878">
        <v>10.65</v>
      </c>
      <c r="E2878">
        <v>0.19</v>
      </c>
      <c r="F2878">
        <v>0.02</v>
      </c>
      <c r="G2878" t="s">
        <v>530</v>
      </c>
      <c r="H2878">
        <v>8</v>
      </c>
      <c r="I2878">
        <v>10.65</v>
      </c>
      <c r="J2878">
        <v>10.66</v>
      </c>
      <c r="K2878">
        <v>0.09</v>
      </c>
      <c r="L2878">
        <v>1.17</v>
      </c>
      <c r="M2878" t="s">
        <v>7236</v>
      </c>
      <c r="N2878">
        <v>89.82</v>
      </c>
      <c r="O2878" t="s">
        <v>169</v>
      </c>
      <c r="P2878">
        <v>10.7</v>
      </c>
      <c r="Q2878">
        <v>10.58</v>
      </c>
      <c r="R2878">
        <v>10.58</v>
      </c>
      <c r="S2878">
        <v>10.63</v>
      </c>
      <c r="T2878">
        <v>1.1299999999999999</v>
      </c>
      <c r="U2878">
        <v>0.28000000000000003</v>
      </c>
      <c r="V2878">
        <v>-11.61</v>
      </c>
      <c r="W2878">
        <v>-228</v>
      </c>
      <c r="X2878">
        <v>10.65</v>
      </c>
      <c r="Y2878">
        <v>7668</v>
      </c>
      <c r="Z2878">
        <v>7184</v>
      </c>
      <c r="AA2878">
        <v>1.07</v>
      </c>
      <c r="AB2878">
        <v>58</v>
      </c>
      <c r="AC2878">
        <v>280</v>
      </c>
      <c r="AD2878">
        <v>7.44</v>
      </c>
      <c r="AE2878" t="s">
        <v>852</v>
      </c>
      <c r="AF2878" t="s">
        <v>6267</v>
      </c>
      <c r="AG2878" t="s">
        <v>315</v>
      </c>
      <c r="AH2878" t="s">
        <v>1587</v>
      </c>
      <c r="AI2878">
        <v>-1.39</v>
      </c>
      <c r="AJ2878">
        <v>4.51</v>
      </c>
      <c r="AK2878">
        <v>6.25</v>
      </c>
      <c r="AL2878">
        <v>21.82</v>
      </c>
    </row>
    <row r="2879" spans="1:38" x14ac:dyDescent="0.25">
      <c r="A2879">
        <v>2878</v>
      </c>
      <c r="B2879" t="str">
        <f xml:space="preserve"> "600543"</f>
        <v>600543</v>
      </c>
      <c r="C2879" t="s">
        <v>8417</v>
      </c>
      <c r="D2879">
        <v>11.93</v>
      </c>
      <c r="E2879">
        <v>1.1000000000000001</v>
      </c>
      <c r="F2879">
        <v>0.13</v>
      </c>
      <c r="G2879" t="s">
        <v>2022</v>
      </c>
      <c r="H2879">
        <v>10</v>
      </c>
      <c r="I2879">
        <v>11.92</v>
      </c>
      <c r="J2879">
        <v>11.93</v>
      </c>
      <c r="K2879">
        <v>0</v>
      </c>
      <c r="L2879">
        <v>0.82</v>
      </c>
      <c r="M2879" t="s">
        <v>6398</v>
      </c>
      <c r="N2879">
        <v>134.44999999999999</v>
      </c>
      <c r="O2879" t="s">
        <v>123</v>
      </c>
      <c r="P2879">
        <v>11.94</v>
      </c>
      <c r="Q2879">
        <v>11.75</v>
      </c>
      <c r="R2879">
        <v>11.82</v>
      </c>
      <c r="S2879">
        <v>11.8</v>
      </c>
      <c r="T2879">
        <v>1.61</v>
      </c>
      <c r="U2879">
        <v>0.65</v>
      </c>
      <c r="V2879">
        <v>-37.07</v>
      </c>
      <c r="W2879">
        <v>-500</v>
      </c>
      <c r="X2879">
        <v>11.84</v>
      </c>
      <c r="Y2879" t="s">
        <v>1259</v>
      </c>
      <c r="Z2879" t="s">
        <v>3234</v>
      </c>
      <c r="AA2879">
        <v>0.87</v>
      </c>
      <c r="AB2879">
        <v>78</v>
      </c>
      <c r="AC2879">
        <v>92</v>
      </c>
      <c r="AD2879">
        <v>3.44</v>
      </c>
      <c r="AE2879" t="s">
        <v>5819</v>
      </c>
      <c r="AF2879" t="s">
        <v>6267</v>
      </c>
      <c r="AG2879" t="s">
        <v>5819</v>
      </c>
      <c r="AH2879" t="s">
        <v>6267</v>
      </c>
      <c r="AI2879">
        <v>1.79</v>
      </c>
      <c r="AJ2879">
        <v>3.74</v>
      </c>
      <c r="AK2879">
        <v>5.1100000000000003</v>
      </c>
      <c r="AL2879">
        <v>7.12</v>
      </c>
    </row>
    <row r="2880" spans="1:38" x14ac:dyDescent="0.25">
      <c r="A2880">
        <v>2879</v>
      </c>
      <c r="B2880" t="str">
        <f xml:space="preserve"> "603928"</f>
        <v>603928</v>
      </c>
      <c r="C2880" t="s">
        <v>8418</v>
      </c>
      <c r="D2880">
        <v>18.989999999999998</v>
      </c>
      <c r="E2880">
        <v>2.65</v>
      </c>
      <c r="F2880">
        <v>0.49</v>
      </c>
      <c r="G2880" t="s">
        <v>264</v>
      </c>
      <c r="H2880">
        <v>19</v>
      </c>
      <c r="I2880">
        <v>18.96</v>
      </c>
      <c r="J2880">
        <v>18.97</v>
      </c>
      <c r="K2880">
        <v>0.42</v>
      </c>
      <c r="L2880">
        <v>12.45</v>
      </c>
      <c r="M2880" t="s">
        <v>1606</v>
      </c>
      <c r="N2880">
        <v>39.590000000000003</v>
      </c>
      <c r="O2880" t="s">
        <v>667</v>
      </c>
      <c r="P2880">
        <v>19.27</v>
      </c>
      <c r="Q2880">
        <v>18.309999999999999</v>
      </c>
      <c r="R2880">
        <v>18.37</v>
      </c>
      <c r="S2880">
        <v>18.5</v>
      </c>
      <c r="T2880">
        <v>5.19</v>
      </c>
      <c r="U2880">
        <v>2.61</v>
      </c>
      <c r="V2880">
        <v>-27.52</v>
      </c>
      <c r="W2880">
        <v>-243</v>
      </c>
      <c r="X2880">
        <v>18.829999999999998</v>
      </c>
      <c r="Y2880" t="s">
        <v>432</v>
      </c>
      <c r="Z2880" t="s">
        <v>2335</v>
      </c>
      <c r="AA2880">
        <v>0.53</v>
      </c>
      <c r="AB2880">
        <v>39</v>
      </c>
      <c r="AC2880">
        <v>41</v>
      </c>
      <c r="AD2880">
        <v>3.65</v>
      </c>
      <c r="AE2880" t="s">
        <v>1404</v>
      </c>
      <c r="AF2880" t="s">
        <v>6267</v>
      </c>
      <c r="AG2880" t="s">
        <v>8419</v>
      </c>
      <c r="AH2880" t="s">
        <v>8420</v>
      </c>
      <c r="AI2880">
        <v>4.34</v>
      </c>
      <c r="AJ2880">
        <v>6.33</v>
      </c>
      <c r="AK2880">
        <v>25.86</v>
      </c>
      <c r="AL2880">
        <v>36.33</v>
      </c>
    </row>
    <row r="2881" spans="1:38" x14ac:dyDescent="0.25">
      <c r="A2881">
        <v>2880</v>
      </c>
      <c r="B2881" t="str">
        <f xml:space="preserve"> "300492"</f>
        <v>300492</v>
      </c>
      <c r="C2881" t="s">
        <v>8421</v>
      </c>
      <c r="D2881" t="s">
        <v>616</v>
      </c>
      <c r="E2881" t="s">
        <v>616</v>
      </c>
      <c r="F2881" t="s">
        <v>616</v>
      </c>
      <c r="G2881" t="s">
        <v>616</v>
      </c>
      <c r="H2881" t="s">
        <v>616</v>
      </c>
      <c r="I2881" t="s">
        <v>616</v>
      </c>
      <c r="J2881" t="s">
        <v>616</v>
      </c>
      <c r="K2881" t="s">
        <v>616</v>
      </c>
      <c r="L2881" t="s">
        <v>616</v>
      </c>
      <c r="M2881" t="s">
        <v>616</v>
      </c>
      <c r="N2881">
        <v>437.95</v>
      </c>
      <c r="O2881" t="s">
        <v>263</v>
      </c>
      <c r="P2881" t="s">
        <v>616</v>
      </c>
      <c r="Q2881" t="s">
        <v>616</v>
      </c>
      <c r="R2881" t="s">
        <v>616</v>
      </c>
      <c r="S2881">
        <v>45.98</v>
      </c>
      <c r="T2881" t="s">
        <v>616</v>
      </c>
      <c r="U2881" t="s">
        <v>616</v>
      </c>
      <c r="V2881" t="s">
        <v>616</v>
      </c>
      <c r="W2881" t="s">
        <v>616</v>
      </c>
      <c r="X2881" t="s">
        <v>616</v>
      </c>
      <c r="Y2881" t="s">
        <v>616</v>
      </c>
      <c r="Z2881" t="s">
        <v>616</v>
      </c>
      <c r="AA2881" t="s">
        <v>616</v>
      </c>
      <c r="AB2881" t="s">
        <v>616</v>
      </c>
      <c r="AC2881" t="s">
        <v>616</v>
      </c>
      <c r="AD2881">
        <v>13.02</v>
      </c>
      <c r="AE2881" t="s">
        <v>8422</v>
      </c>
      <c r="AF2881" t="s">
        <v>6267</v>
      </c>
      <c r="AG2881" t="s">
        <v>8423</v>
      </c>
      <c r="AH2881" t="s">
        <v>357</v>
      </c>
      <c r="AI2881">
        <v>0</v>
      </c>
      <c r="AJ2881">
        <v>0</v>
      </c>
      <c r="AK2881">
        <v>0</v>
      </c>
      <c r="AL2881">
        <v>0</v>
      </c>
    </row>
    <row r="2882" spans="1:38" x14ac:dyDescent="0.25">
      <c r="A2882">
        <v>2881</v>
      </c>
      <c r="B2882" t="str">
        <f xml:space="preserve"> "600833"</f>
        <v>600833</v>
      </c>
      <c r="C2882" t="s">
        <v>8424</v>
      </c>
      <c r="D2882">
        <v>17.14</v>
      </c>
      <c r="E2882">
        <v>0.41</v>
      </c>
      <c r="F2882">
        <v>7.0000000000000007E-2</v>
      </c>
      <c r="G2882">
        <v>7661</v>
      </c>
      <c r="H2882">
        <v>42</v>
      </c>
      <c r="I2882">
        <v>17.14</v>
      </c>
      <c r="J2882">
        <v>17.149999999999999</v>
      </c>
      <c r="K2882">
        <v>0.12</v>
      </c>
      <c r="L2882">
        <v>0.34</v>
      </c>
      <c r="M2882" t="s">
        <v>8425</v>
      </c>
      <c r="N2882">
        <v>77.94</v>
      </c>
      <c r="O2882" t="s">
        <v>392</v>
      </c>
      <c r="P2882">
        <v>17.2</v>
      </c>
      <c r="Q2882">
        <v>17.05</v>
      </c>
      <c r="R2882">
        <v>17.2</v>
      </c>
      <c r="S2882">
        <v>17.07</v>
      </c>
      <c r="T2882">
        <v>0.88</v>
      </c>
      <c r="U2882">
        <v>0.65</v>
      </c>
      <c r="V2882">
        <v>-16.920000000000002</v>
      </c>
      <c r="W2882">
        <v>-246</v>
      </c>
      <c r="X2882">
        <v>17.11</v>
      </c>
      <c r="Y2882">
        <v>3633</v>
      </c>
      <c r="Z2882">
        <v>4028</v>
      </c>
      <c r="AA2882">
        <v>0.9</v>
      </c>
      <c r="AB2882">
        <v>452</v>
      </c>
      <c r="AC2882">
        <v>121</v>
      </c>
      <c r="AD2882">
        <v>5.46</v>
      </c>
      <c r="AE2882" t="s">
        <v>5840</v>
      </c>
      <c r="AF2882" t="s">
        <v>1800</v>
      </c>
      <c r="AG2882" t="s">
        <v>5840</v>
      </c>
      <c r="AH2882" t="s">
        <v>1800</v>
      </c>
      <c r="AI2882">
        <v>-0.52</v>
      </c>
      <c r="AJ2882">
        <v>2.39</v>
      </c>
      <c r="AK2882">
        <v>1.51</v>
      </c>
      <c r="AL2882">
        <v>3</v>
      </c>
    </row>
    <row r="2883" spans="1:38" x14ac:dyDescent="0.25">
      <c r="A2883">
        <v>2882</v>
      </c>
      <c r="B2883" t="str">
        <f xml:space="preserve"> "002082"</f>
        <v>002082</v>
      </c>
      <c r="C2883" t="s">
        <v>8426</v>
      </c>
      <c r="D2883">
        <v>16.05</v>
      </c>
      <c r="E2883">
        <v>0.06</v>
      </c>
      <c r="F2883">
        <v>0.01</v>
      </c>
      <c r="G2883" t="s">
        <v>2115</v>
      </c>
      <c r="H2883">
        <v>752</v>
      </c>
      <c r="I2883">
        <v>16.04</v>
      </c>
      <c r="J2883">
        <v>16.05</v>
      </c>
      <c r="K2883">
        <v>0.06</v>
      </c>
      <c r="L2883">
        <v>1.27</v>
      </c>
      <c r="M2883" t="s">
        <v>4398</v>
      </c>
      <c r="N2883">
        <v>64.239999999999995</v>
      </c>
      <c r="O2883" t="s">
        <v>449</v>
      </c>
      <c r="P2883">
        <v>16.07</v>
      </c>
      <c r="Q2883">
        <v>15.85</v>
      </c>
      <c r="R2883">
        <v>16</v>
      </c>
      <c r="S2883">
        <v>16.04</v>
      </c>
      <c r="T2883">
        <v>1.37</v>
      </c>
      <c r="U2883">
        <v>0.73</v>
      </c>
      <c r="V2883">
        <v>-49</v>
      </c>
      <c r="W2883">
        <v>-636</v>
      </c>
      <c r="X2883">
        <v>15.96</v>
      </c>
      <c r="Y2883" t="s">
        <v>3946</v>
      </c>
      <c r="Z2883" t="s">
        <v>1259</v>
      </c>
      <c r="AA2883">
        <v>1.37</v>
      </c>
      <c r="AB2883">
        <v>123</v>
      </c>
      <c r="AC2883">
        <v>185</v>
      </c>
      <c r="AD2883">
        <v>2.82</v>
      </c>
      <c r="AE2883" t="s">
        <v>1197</v>
      </c>
      <c r="AF2883" t="s">
        <v>1800</v>
      </c>
      <c r="AG2883" t="s">
        <v>3884</v>
      </c>
      <c r="AH2883" t="s">
        <v>5862</v>
      </c>
      <c r="AI2883">
        <v>-1.29</v>
      </c>
      <c r="AJ2883">
        <v>2.36</v>
      </c>
      <c r="AK2883">
        <v>5.07</v>
      </c>
      <c r="AL2883">
        <v>9.91</v>
      </c>
    </row>
    <row r="2884" spans="1:38" x14ac:dyDescent="0.25">
      <c r="A2884">
        <v>2883</v>
      </c>
      <c r="B2884" t="str">
        <f xml:space="preserve"> "600992"</f>
        <v>600992</v>
      </c>
      <c r="C2884" t="s">
        <v>8427</v>
      </c>
      <c r="D2884">
        <v>15.58</v>
      </c>
      <c r="E2884">
        <v>1.7</v>
      </c>
      <c r="F2884">
        <v>0.26</v>
      </c>
      <c r="G2884" t="s">
        <v>2987</v>
      </c>
      <c r="H2884">
        <v>8</v>
      </c>
      <c r="I2884">
        <v>15.58</v>
      </c>
      <c r="J2884">
        <v>15.59</v>
      </c>
      <c r="K2884">
        <v>-0.32</v>
      </c>
      <c r="L2884">
        <v>2.09</v>
      </c>
      <c r="M2884" t="s">
        <v>8428</v>
      </c>
      <c r="N2884">
        <v>199.52</v>
      </c>
      <c r="O2884" t="s">
        <v>1229</v>
      </c>
      <c r="P2884">
        <v>15.85</v>
      </c>
      <c r="Q2884">
        <v>15.02</v>
      </c>
      <c r="R2884">
        <v>15.18</v>
      </c>
      <c r="S2884">
        <v>15.32</v>
      </c>
      <c r="T2884">
        <v>5.42</v>
      </c>
      <c r="U2884">
        <v>1.24</v>
      </c>
      <c r="V2884">
        <v>-42.66</v>
      </c>
      <c r="W2884">
        <v>-354</v>
      </c>
      <c r="X2884">
        <v>15.5</v>
      </c>
      <c r="Y2884" t="s">
        <v>3483</v>
      </c>
      <c r="Z2884" t="s">
        <v>2298</v>
      </c>
      <c r="AA2884">
        <v>0.67</v>
      </c>
      <c r="AB2884">
        <v>6</v>
      </c>
      <c r="AC2884">
        <v>3</v>
      </c>
      <c r="AD2884">
        <v>2.8</v>
      </c>
      <c r="AE2884" t="s">
        <v>233</v>
      </c>
      <c r="AF2884" t="s">
        <v>1800</v>
      </c>
      <c r="AG2884" t="s">
        <v>233</v>
      </c>
      <c r="AH2884" t="s">
        <v>1800</v>
      </c>
      <c r="AI2884">
        <v>8.34</v>
      </c>
      <c r="AJ2884">
        <v>8.8000000000000007</v>
      </c>
      <c r="AK2884">
        <v>8.8800000000000008</v>
      </c>
      <c r="AL2884">
        <v>10.53</v>
      </c>
    </row>
    <row r="2885" spans="1:38" x14ac:dyDescent="0.25">
      <c r="A2885">
        <v>2884</v>
      </c>
      <c r="B2885" t="str">
        <f xml:space="preserve"> "002417"</f>
        <v>002417</v>
      </c>
      <c r="C2885" t="s">
        <v>8429</v>
      </c>
      <c r="D2885">
        <v>14.14</v>
      </c>
      <c r="E2885">
        <v>-0.91</v>
      </c>
      <c r="F2885">
        <v>-0.13</v>
      </c>
      <c r="G2885" t="s">
        <v>1719</v>
      </c>
      <c r="H2885">
        <v>395</v>
      </c>
      <c r="I2885">
        <v>14.13</v>
      </c>
      <c r="J2885">
        <v>14.14</v>
      </c>
      <c r="K2885">
        <v>7.0000000000000007E-2</v>
      </c>
      <c r="L2885">
        <v>1.65</v>
      </c>
      <c r="M2885" t="s">
        <v>8430</v>
      </c>
      <c r="N2885">
        <v>115.38</v>
      </c>
      <c r="O2885" t="s">
        <v>580</v>
      </c>
      <c r="P2885">
        <v>14.27</v>
      </c>
      <c r="Q2885">
        <v>13.95</v>
      </c>
      <c r="R2885">
        <v>14.27</v>
      </c>
      <c r="S2885">
        <v>14.27</v>
      </c>
      <c r="T2885">
        <v>2.2400000000000002</v>
      </c>
      <c r="U2885">
        <v>0.48</v>
      </c>
      <c r="V2885">
        <v>28.55</v>
      </c>
      <c r="W2885">
        <v>589</v>
      </c>
      <c r="X2885">
        <v>14.08</v>
      </c>
      <c r="Y2885" t="s">
        <v>4788</v>
      </c>
      <c r="Z2885" t="s">
        <v>2773</v>
      </c>
      <c r="AA2885">
        <v>1.27</v>
      </c>
      <c r="AB2885">
        <v>218</v>
      </c>
      <c r="AC2885">
        <v>341</v>
      </c>
      <c r="AD2885">
        <v>10.33</v>
      </c>
      <c r="AE2885" t="s">
        <v>4296</v>
      </c>
      <c r="AF2885" t="s">
        <v>1800</v>
      </c>
      <c r="AG2885" t="s">
        <v>845</v>
      </c>
      <c r="AH2885" t="s">
        <v>1021</v>
      </c>
      <c r="AI2885">
        <v>-4.97</v>
      </c>
      <c r="AJ2885">
        <v>-1.94</v>
      </c>
      <c r="AK2885">
        <v>5.35</v>
      </c>
      <c r="AL2885">
        <v>18.760000000000002</v>
      </c>
    </row>
    <row r="2886" spans="1:38" x14ac:dyDescent="0.25">
      <c r="A2886">
        <v>2885</v>
      </c>
      <c r="B2886" t="str">
        <f xml:space="preserve"> "603725"</f>
        <v>603725</v>
      </c>
      <c r="C2886" t="s">
        <v>8431</v>
      </c>
      <c r="D2886">
        <v>26.02</v>
      </c>
      <c r="E2886">
        <v>0.62</v>
      </c>
      <c r="F2886">
        <v>0.16</v>
      </c>
      <c r="G2886" t="s">
        <v>3822</v>
      </c>
      <c r="H2886">
        <v>16</v>
      </c>
      <c r="I2886">
        <v>26.01</v>
      </c>
      <c r="J2886">
        <v>26.03</v>
      </c>
      <c r="K2886">
        <v>0.08</v>
      </c>
      <c r="L2886">
        <v>9.2100000000000009</v>
      </c>
      <c r="M2886" t="s">
        <v>8432</v>
      </c>
      <c r="N2886">
        <v>73.33</v>
      </c>
      <c r="O2886" t="s">
        <v>2128</v>
      </c>
      <c r="P2886">
        <v>26.35</v>
      </c>
      <c r="Q2886">
        <v>25.6</v>
      </c>
      <c r="R2886">
        <v>25.79</v>
      </c>
      <c r="S2886">
        <v>25.86</v>
      </c>
      <c r="T2886">
        <v>2.9</v>
      </c>
      <c r="U2886">
        <v>0.6</v>
      </c>
      <c r="V2886">
        <v>26.4</v>
      </c>
      <c r="W2886">
        <v>119</v>
      </c>
      <c r="X2886">
        <v>26.07</v>
      </c>
      <c r="Y2886" t="s">
        <v>2773</v>
      </c>
      <c r="Z2886" t="s">
        <v>2580</v>
      </c>
      <c r="AA2886">
        <v>0.94</v>
      </c>
      <c r="AB2886">
        <v>94</v>
      </c>
      <c r="AC2886">
        <v>32</v>
      </c>
      <c r="AD2886">
        <v>5.0599999999999996</v>
      </c>
      <c r="AE2886" t="s">
        <v>2523</v>
      </c>
      <c r="AF2886" t="s">
        <v>1800</v>
      </c>
      <c r="AG2886" t="s">
        <v>8433</v>
      </c>
      <c r="AH2886" t="s">
        <v>4372</v>
      </c>
      <c r="AI2886">
        <v>-4.0599999999999996</v>
      </c>
      <c r="AJ2886">
        <v>-3.77</v>
      </c>
      <c r="AK2886">
        <v>34.549999999999997</v>
      </c>
      <c r="AL2886">
        <v>86.33</v>
      </c>
    </row>
    <row r="2887" spans="1:38" x14ac:dyDescent="0.25">
      <c r="A2887">
        <v>2886</v>
      </c>
      <c r="B2887" t="str">
        <f xml:space="preserve"> "002296"</f>
        <v>002296</v>
      </c>
      <c r="C2887" t="s">
        <v>8434</v>
      </c>
      <c r="D2887">
        <v>10.130000000000001</v>
      </c>
      <c r="E2887">
        <v>0.8</v>
      </c>
      <c r="F2887">
        <v>0.08</v>
      </c>
      <c r="G2887" t="s">
        <v>1668</v>
      </c>
      <c r="H2887">
        <v>1959</v>
      </c>
      <c r="I2887">
        <v>10.130000000000001</v>
      </c>
      <c r="J2887">
        <v>10.14</v>
      </c>
      <c r="K2887">
        <v>0</v>
      </c>
      <c r="L2887">
        <v>3.69</v>
      </c>
      <c r="M2887" t="s">
        <v>2827</v>
      </c>
      <c r="N2887">
        <v>76.41</v>
      </c>
      <c r="O2887" t="s">
        <v>580</v>
      </c>
      <c r="P2887">
        <v>10.18</v>
      </c>
      <c r="Q2887">
        <v>9.9700000000000006</v>
      </c>
      <c r="R2887">
        <v>10.039999999999999</v>
      </c>
      <c r="S2887">
        <v>10.050000000000001</v>
      </c>
      <c r="T2887">
        <v>2.09</v>
      </c>
      <c r="U2887">
        <v>0.59</v>
      </c>
      <c r="V2887">
        <v>-8.23</v>
      </c>
      <c r="W2887">
        <v>-384</v>
      </c>
      <c r="X2887">
        <v>10.06</v>
      </c>
      <c r="Y2887" t="s">
        <v>2770</v>
      </c>
      <c r="Z2887" t="s">
        <v>4152</v>
      </c>
      <c r="AA2887">
        <v>1.03</v>
      </c>
      <c r="AB2887">
        <v>603</v>
      </c>
      <c r="AC2887">
        <v>225</v>
      </c>
      <c r="AD2887">
        <v>2.44</v>
      </c>
      <c r="AE2887" t="s">
        <v>2316</v>
      </c>
      <c r="AF2887" t="s">
        <v>1800</v>
      </c>
      <c r="AG2887" t="s">
        <v>2471</v>
      </c>
      <c r="AH2887" t="s">
        <v>4298</v>
      </c>
      <c r="AI2887">
        <v>-4.97</v>
      </c>
      <c r="AJ2887">
        <v>-2.0299999999999998</v>
      </c>
      <c r="AK2887">
        <v>16.98</v>
      </c>
      <c r="AL2887">
        <v>34.909999999999997</v>
      </c>
    </row>
    <row r="2888" spans="1:38" x14ac:dyDescent="0.25">
      <c r="A2888">
        <v>2887</v>
      </c>
      <c r="B2888" t="str">
        <f xml:space="preserve"> "300412"</f>
        <v>300412</v>
      </c>
      <c r="C2888" t="s">
        <v>8435</v>
      </c>
      <c r="D2888">
        <v>14.72</v>
      </c>
      <c r="E2888">
        <v>0.48</v>
      </c>
      <c r="F2888">
        <v>7.0000000000000007E-2</v>
      </c>
      <c r="G2888" t="s">
        <v>160</v>
      </c>
      <c r="H2888">
        <v>1525</v>
      </c>
      <c r="I2888">
        <v>14.72</v>
      </c>
      <c r="J2888">
        <v>14.73</v>
      </c>
      <c r="K2888">
        <v>7.0000000000000007E-2</v>
      </c>
      <c r="L2888">
        <v>12.95</v>
      </c>
      <c r="M2888" t="s">
        <v>5384</v>
      </c>
      <c r="N2888">
        <v>82.59</v>
      </c>
      <c r="O2888" t="s">
        <v>1552</v>
      </c>
      <c r="P2888">
        <v>15.7</v>
      </c>
      <c r="Q2888">
        <v>14.35</v>
      </c>
      <c r="R2888">
        <v>14.77</v>
      </c>
      <c r="S2888">
        <v>14.65</v>
      </c>
      <c r="T2888">
        <v>9.2200000000000006</v>
      </c>
      <c r="U2888">
        <v>1.98</v>
      </c>
      <c r="V2888">
        <v>-43.88</v>
      </c>
      <c r="W2888">
        <v>-526</v>
      </c>
      <c r="X2888">
        <v>15.07</v>
      </c>
      <c r="Y2888" t="s">
        <v>6106</v>
      </c>
      <c r="Z2888" t="s">
        <v>2500</v>
      </c>
      <c r="AA2888">
        <v>0.87</v>
      </c>
      <c r="AB2888">
        <v>12</v>
      </c>
      <c r="AC2888">
        <v>679</v>
      </c>
      <c r="AD2888">
        <v>5.22</v>
      </c>
      <c r="AE2888" t="s">
        <v>2208</v>
      </c>
      <c r="AF2888" t="s">
        <v>1800</v>
      </c>
      <c r="AG2888" t="s">
        <v>4464</v>
      </c>
      <c r="AH2888" t="s">
        <v>2033</v>
      </c>
      <c r="AI2888">
        <v>4.55</v>
      </c>
      <c r="AJ2888">
        <v>17.760000000000002</v>
      </c>
      <c r="AK2888">
        <v>40.19</v>
      </c>
      <c r="AL2888">
        <v>45.71</v>
      </c>
    </row>
    <row r="2889" spans="1:38" x14ac:dyDescent="0.25">
      <c r="A2889">
        <v>2888</v>
      </c>
      <c r="B2889" t="str">
        <f xml:space="preserve"> "300522"</f>
        <v>300522</v>
      </c>
      <c r="C2889" t="s">
        <v>8436</v>
      </c>
      <c r="D2889">
        <v>31.78</v>
      </c>
      <c r="E2889">
        <v>1.44</v>
      </c>
      <c r="F2889">
        <v>0.45</v>
      </c>
      <c r="G2889" t="s">
        <v>997</v>
      </c>
      <c r="H2889">
        <v>500</v>
      </c>
      <c r="I2889">
        <v>31.77</v>
      </c>
      <c r="J2889">
        <v>31.78</v>
      </c>
      <c r="K2889">
        <v>0.03</v>
      </c>
      <c r="L2889">
        <v>5.31</v>
      </c>
      <c r="M2889" t="s">
        <v>8437</v>
      </c>
      <c r="N2889">
        <v>65.62</v>
      </c>
      <c r="O2889" t="s">
        <v>667</v>
      </c>
      <c r="P2889">
        <v>32.299999999999997</v>
      </c>
      <c r="Q2889">
        <v>31.02</v>
      </c>
      <c r="R2889">
        <v>31.55</v>
      </c>
      <c r="S2889">
        <v>31.33</v>
      </c>
      <c r="T2889">
        <v>4.09</v>
      </c>
      <c r="U2889">
        <v>1.29</v>
      </c>
      <c r="V2889">
        <v>-17.239999999999998</v>
      </c>
      <c r="W2889">
        <v>-181</v>
      </c>
      <c r="X2889">
        <v>31.78</v>
      </c>
      <c r="Y2889" t="s">
        <v>480</v>
      </c>
      <c r="Z2889" t="s">
        <v>999</v>
      </c>
      <c r="AA2889">
        <v>0.92</v>
      </c>
      <c r="AB2889">
        <v>279</v>
      </c>
      <c r="AC2889">
        <v>142</v>
      </c>
      <c r="AD2889">
        <v>7.01</v>
      </c>
      <c r="AE2889" t="s">
        <v>918</v>
      </c>
      <c r="AF2889" t="s">
        <v>5928</v>
      </c>
      <c r="AG2889" t="s">
        <v>8438</v>
      </c>
      <c r="AH2889" t="s">
        <v>2999</v>
      </c>
      <c r="AI2889">
        <v>1.86</v>
      </c>
      <c r="AJ2889">
        <v>8.98</v>
      </c>
      <c r="AK2889">
        <v>14.78</v>
      </c>
      <c r="AL2889">
        <v>25.89</v>
      </c>
    </row>
    <row r="2890" spans="1:38" x14ac:dyDescent="0.25">
      <c r="A2890">
        <v>2889</v>
      </c>
      <c r="B2890" t="str">
        <f xml:space="preserve"> "300546"</f>
        <v>300546</v>
      </c>
      <c r="C2890" t="s">
        <v>8439</v>
      </c>
      <c r="D2890">
        <v>28.2</v>
      </c>
      <c r="E2890">
        <v>1.84</v>
      </c>
      <c r="F2890">
        <v>0.51</v>
      </c>
      <c r="G2890" t="s">
        <v>2453</v>
      </c>
      <c r="H2890">
        <v>325</v>
      </c>
      <c r="I2890">
        <v>28.19</v>
      </c>
      <c r="J2890">
        <v>28.2</v>
      </c>
      <c r="K2890">
        <v>0.04</v>
      </c>
      <c r="L2890">
        <v>2.34</v>
      </c>
      <c r="M2890" t="s">
        <v>8440</v>
      </c>
      <c r="N2890">
        <v>76.569999999999993</v>
      </c>
      <c r="O2890" t="s">
        <v>2647</v>
      </c>
      <c r="P2890">
        <v>28.68</v>
      </c>
      <c r="Q2890">
        <v>27.6</v>
      </c>
      <c r="R2890">
        <v>27.79</v>
      </c>
      <c r="S2890">
        <v>27.69</v>
      </c>
      <c r="T2890">
        <v>3.9</v>
      </c>
      <c r="U2890">
        <v>1.17</v>
      </c>
      <c r="V2890">
        <v>58.91</v>
      </c>
      <c r="W2890">
        <v>313</v>
      </c>
      <c r="X2890">
        <v>28.21</v>
      </c>
      <c r="Y2890">
        <v>6981</v>
      </c>
      <c r="Z2890">
        <v>7774</v>
      </c>
      <c r="AA2890">
        <v>0.9</v>
      </c>
      <c r="AB2890">
        <v>201</v>
      </c>
      <c r="AC2890">
        <v>12</v>
      </c>
      <c r="AD2890">
        <v>6.6</v>
      </c>
      <c r="AE2890" t="s">
        <v>1985</v>
      </c>
      <c r="AF2890" t="s">
        <v>5928</v>
      </c>
      <c r="AG2890" t="s">
        <v>4020</v>
      </c>
      <c r="AH2890" t="s">
        <v>1713</v>
      </c>
      <c r="AI2890">
        <v>0.89</v>
      </c>
      <c r="AJ2890">
        <v>2.69</v>
      </c>
      <c r="AK2890">
        <v>5.77</v>
      </c>
      <c r="AL2890">
        <v>12.31</v>
      </c>
    </row>
    <row r="2891" spans="1:38" x14ac:dyDescent="0.25">
      <c r="A2891">
        <v>2890</v>
      </c>
      <c r="B2891" t="str">
        <f xml:space="preserve"> "600192"</f>
        <v>600192</v>
      </c>
      <c r="C2891" t="s">
        <v>8441</v>
      </c>
      <c r="D2891">
        <v>8.6300000000000008</v>
      </c>
      <c r="E2891">
        <v>-0.69</v>
      </c>
      <c r="F2891">
        <v>-0.06</v>
      </c>
      <c r="G2891" t="s">
        <v>4032</v>
      </c>
      <c r="H2891">
        <v>5</v>
      </c>
      <c r="I2891">
        <v>8.6300000000000008</v>
      </c>
      <c r="J2891">
        <v>8.64</v>
      </c>
      <c r="K2891">
        <v>0</v>
      </c>
      <c r="L2891">
        <v>1.0900000000000001</v>
      </c>
      <c r="M2891" t="s">
        <v>8442</v>
      </c>
      <c r="N2891">
        <v>140.1</v>
      </c>
      <c r="O2891" t="s">
        <v>680</v>
      </c>
      <c r="P2891">
        <v>8.7200000000000006</v>
      </c>
      <c r="Q2891">
        <v>8.56</v>
      </c>
      <c r="R2891">
        <v>8.6999999999999993</v>
      </c>
      <c r="S2891">
        <v>8.69</v>
      </c>
      <c r="T2891">
        <v>1.84</v>
      </c>
      <c r="U2891">
        <v>0.74</v>
      </c>
      <c r="V2891">
        <v>-4.87</v>
      </c>
      <c r="W2891">
        <v>-136</v>
      </c>
      <c r="X2891">
        <v>8.6199999999999992</v>
      </c>
      <c r="Y2891" t="s">
        <v>1111</v>
      </c>
      <c r="Z2891" t="s">
        <v>1508</v>
      </c>
      <c r="AA2891">
        <v>2.08</v>
      </c>
      <c r="AB2891">
        <v>76</v>
      </c>
      <c r="AC2891">
        <v>342</v>
      </c>
      <c r="AD2891">
        <v>1.95</v>
      </c>
      <c r="AE2891" t="s">
        <v>3259</v>
      </c>
      <c r="AF2891" t="s">
        <v>5928</v>
      </c>
      <c r="AG2891" t="s">
        <v>3259</v>
      </c>
      <c r="AH2891" t="s">
        <v>5928</v>
      </c>
      <c r="AI2891">
        <v>-0.35</v>
      </c>
      <c r="AJ2891">
        <v>1.53</v>
      </c>
      <c r="AK2891">
        <v>4.2699999999999996</v>
      </c>
      <c r="AL2891">
        <v>8.4</v>
      </c>
    </row>
    <row r="2892" spans="1:38" x14ac:dyDescent="0.25">
      <c r="A2892">
        <v>2891</v>
      </c>
      <c r="B2892" t="str">
        <f xml:space="preserve"> "002593"</f>
        <v>002593</v>
      </c>
      <c r="C2892" t="s">
        <v>8443</v>
      </c>
      <c r="D2892">
        <v>5.43</v>
      </c>
      <c r="E2892">
        <v>-0.55000000000000004</v>
      </c>
      <c r="F2892">
        <v>-0.03</v>
      </c>
      <c r="G2892" t="s">
        <v>4122</v>
      </c>
      <c r="H2892">
        <v>845</v>
      </c>
      <c r="I2892">
        <v>5.42</v>
      </c>
      <c r="J2892">
        <v>5.43</v>
      </c>
      <c r="K2892">
        <v>0</v>
      </c>
      <c r="L2892">
        <v>1.24</v>
      </c>
      <c r="M2892" t="s">
        <v>8444</v>
      </c>
      <c r="N2892">
        <v>58.46</v>
      </c>
      <c r="O2892" t="s">
        <v>416</v>
      </c>
      <c r="P2892">
        <v>5.49</v>
      </c>
      <c r="Q2892">
        <v>5.37</v>
      </c>
      <c r="R2892">
        <v>5.46</v>
      </c>
      <c r="S2892">
        <v>5.46</v>
      </c>
      <c r="T2892">
        <v>2.2000000000000002</v>
      </c>
      <c r="U2892">
        <v>1.33</v>
      </c>
      <c r="V2892">
        <v>30.04</v>
      </c>
      <c r="W2892">
        <v>2211</v>
      </c>
      <c r="X2892">
        <v>5.42</v>
      </c>
      <c r="Y2892" t="s">
        <v>1307</v>
      </c>
      <c r="Z2892" t="s">
        <v>3158</v>
      </c>
      <c r="AA2892">
        <v>2.12</v>
      </c>
      <c r="AB2892">
        <v>1693</v>
      </c>
      <c r="AC2892">
        <v>333</v>
      </c>
      <c r="AD2892">
        <v>2.16</v>
      </c>
      <c r="AE2892" t="s">
        <v>4008</v>
      </c>
      <c r="AF2892" t="s">
        <v>5928</v>
      </c>
      <c r="AG2892" t="s">
        <v>195</v>
      </c>
      <c r="AH2892" t="s">
        <v>2663</v>
      </c>
      <c r="AI2892">
        <v>-1.81</v>
      </c>
      <c r="AJ2892">
        <v>1.69</v>
      </c>
      <c r="AK2892">
        <v>3.36</v>
      </c>
      <c r="AL2892">
        <v>5.88</v>
      </c>
    </row>
    <row r="2893" spans="1:38" x14ac:dyDescent="0.25">
      <c r="A2893">
        <v>2892</v>
      </c>
      <c r="B2893" t="str">
        <f xml:space="preserve"> "600784"</f>
        <v>600784</v>
      </c>
      <c r="C2893" t="s">
        <v>8445</v>
      </c>
      <c r="D2893">
        <v>6.7</v>
      </c>
      <c r="E2893">
        <v>1.21</v>
      </c>
      <c r="F2893">
        <v>0.08</v>
      </c>
      <c r="G2893" t="s">
        <v>699</v>
      </c>
      <c r="H2893">
        <v>8</v>
      </c>
      <c r="I2893">
        <v>6.7</v>
      </c>
      <c r="J2893">
        <v>6.71</v>
      </c>
      <c r="K2893">
        <v>0.15</v>
      </c>
      <c r="L2893">
        <v>0.77</v>
      </c>
      <c r="M2893" t="s">
        <v>8148</v>
      </c>
      <c r="N2893">
        <v>332.22</v>
      </c>
      <c r="O2893" t="s">
        <v>3277</v>
      </c>
      <c r="P2893">
        <v>6.71</v>
      </c>
      <c r="Q2893">
        <v>6.58</v>
      </c>
      <c r="R2893">
        <v>6.63</v>
      </c>
      <c r="S2893">
        <v>6.62</v>
      </c>
      <c r="T2893">
        <v>1.96</v>
      </c>
      <c r="U2893">
        <v>1.28</v>
      </c>
      <c r="V2893">
        <v>-1.31</v>
      </c>
      <c r="W2893">
        <v>-73</v>
      </c>
      <c r="X2893">
        <v>6.64</v>
      </c>
      <c r="Y2893" t="s">
        <v>3326</v>
      </c>
      <c r="Z2893" t="s">
        <v>2966</v>
      </c>
      <c r="AA2893">
        <v>0.74</v>
      </c>
      <c r="AB2893">
        <v>2153</v>
      </c>
      <c r="AC2893">
        <v>747</v>
      </c>
      <c r="AD2893">
        <v>2.4</v>
      </c>
      <c r="AE2893" t="s">
        <v>6203</v>
      </c>
      <c r="AF2893" t="s">
        <v>5928</v>
      </c>
      <c r="AG2893" t="s">
        <v>6203</v>
      </c>
      <c r="AH2893" t="s">
        <v>5928</v>
      </c>
      <c r="AI2893">
        <v>0.3</v>
      </c>
      <c r="AJ2893">
        <v>3.72</v>
      </c>
      <c r="AK2893">
        <v>2.08</v>
      </c>
      <c r="AL2893">
        <v>3.79</v>
      </c>
    </row>
    <row r="2894" spans="1:38" x14ac:dyDescent="0.25">
      <c r="A2894">
        <v>2893</v>
      </c>
      <c r="B2894" t="str">
        <f xml:space="preserve"> "300107"</f>
        <v>300107</v>
      </c>
      <c r="C2894" t="s">
        <v>8446</v>
      </c>
      <c r="D2894">
        <v>6.97</v>
      </c>
      <c r="E2894">
        <v>1.6</v>
      </c>
      <c r="F2894">
        <v>0.11</v>
      </c>
      <c r="G2894" t="s">
        <v>400</v>
      </c>
      <c r="H2894">
        <v>769</v>
      </c>
      <c r="I2894">
        <v>6.97</v>
      </c>
      <c r="J2894">
        <v>6.98</v>
      </c>
      <c r="K2894">
        <v>-0.14000000000000001</v>
      </c>
      <c r="L2894">
        <v>2.15</v>
      </c>
      <c r="M2894" t="s">
        <v>8447</v>
      </c>
      <c r="N2894">
        <v>96.04</v>
      </c>
      <c r="O2894" t="s">
        <v>667</v>
      </c>
      <c r="P2894">
        <v>7.02</v>
      </c>
      <c r="Q2894">
        <v>6.91</v>
      </c>
      <c r="R2894">
        <v>6.92</v>
      </c>
      <c r="S2894">
        <v>6.86</v>
      </c>
      <c r="T2894">
        <v>1.6</v>
      </c>
      <c r="U2894">
        <v>1.58</v>
      </c>
      <c r="V2894">
        <v>-45.84</v>
      </c>
      <c r="W2894">
        <v>-4209</v>
      </c>
      <c r="X2894">
        <v>6.98</v>
      </c>
      <c r="Y2894" t="s">
        <v>2966</v>
      </c>
      <c r="Z2894" t="s">
        <v>4583</v>
      </c>
      <c r="AA2894">
        <v>0.56000000000000005</v>
      </c>
      <c r="AB2894">
        <v>658</v>
      </c>
      <c r="AC2894">
        <v>1024</v>
      </c>
      <c r="AD2894">
        <v>4.1399999999999997</v>
      </c>
      <c r="AE2894" t="s">
        <v>2096</v>
      </c>
      <c r="AF2894" t="s">
        <v>301</v>
      </c>
      <c r="AG2894" t="s">
        <v>3853</v>
      </c>
      <c r="AH2894" t="s">
        <v>1681</v>
      </c>
      <c r="AI2894">
        <v>-0.14000000000000001</v>
      </c>
      <c r="AJ2894">
        <v>3.57</v>
      </c>
      <c r="AK2894">
        <v>4.72</v>
      </c>
      <c r="AL2894">
        <v>8.93</v>
      </c>
    </row>
    <row r="2895" spans="1:38" x14ac:dyDescent="0.25">
      <c r="A2895">
        <v>2894</v>
      </c>
      <c r="B2895" t="str">
        <f xml:space="preserve"> "002767"</f>
        <v>002767</v>
      </c>
      <c r="C2895" t="s">
        <v>8448</v>
      </c>
      <c r="D2895">
        <v>25.33</v>
      </c>
      <c r="E2895">
        <v>2.0099999999999998</v>
      </c>
      <c r="F2895">
        <v>0.5</v>
      </c>
      <c r="G2895" t="s">
        <v>999</v>
      </c>
      <c r="H2895">
        <v>272</v>
      </c>
      <c r="I2895">
        <v>25.32</v>
      </c>
      <c r="J2895">
        <v>25.33</v>
      </c>
      <c r="K2895">
        <v>-0.04</v>
      </c>
      <c r="L2895">
        <v>3.85</v>
      </c>
      <c r="M2895" t="s">
        <v>8449</v>
      </c>
      <c r="N2895">
        <v>115.81</v>
      </c>
      <c r="O2895" t="s">
        <v>1372</v>
      </c>
      <c r="P2895">
        <v>25.45</v>
      </c>
      <c r="Q2895">
        <v>24.79</v>
      </c>
      <c r="R2895">
        <v>24.85</v>
      </c>
      <c r="S2895">
        <v>24.83</v>
      </c>
      <c r="T2895">
        <v>2.66</v>
      </c>
      <c r="U2895">
        <v>1.61</v>
      </c>
      <c r="V2895">
        <v>-69.16</v>
      </c>
      <c r="W2895">
        <v>-644</v>
      </c>
      <c r="X2895">
        <v>25.26</v>
      </c>
      <c r="Y2895">
        <v>6112</v>
      </c>
      <c r="Z2895">
        <v>8307</v>
      </c>
      <c r="AA2895">
        <v>0.74</v>
      </c>
      <c r="AB2895">
        <v>39</v>
      </c>
      <c r="AC2895">
        <v>356</v>
      </c>
      <c r="AD2895">
        <v>5.77</v>
      </c>
      <c r="AE2895" t="s">
        <v>598</v>
      </c>
      <c r="AF2895" t="s">
        <v>301</v>
      </c>
      <c r="AG2895" t="s">
        <v>7263</v>
      </c>
      <c r="AH2895" t="s">
        <v>3406</v>
      </c>
      <c r="AI2895">
        <v>-0.12</v>
      </c>
      <c r="AJ2895">
        <v>4.54</v>
      </c>
      <c r="AK2895">
        <v>8.49</v>
      </c>
      <c r="AL2895">
        <v>15.81</v>
      </c>
    </row>
    <row r="2896" spans="1:38" x14ac:dyDescent="0.25">
      <c r="A2896">
        <v>2895</v>
      </c>
      <c r="B2896" t="str">
        <f xml:space="preserve"> "603333"</f>
        <v>603333</v>
      </c>
      <c r="C2896" t="s">
        <v>8450</v>
      </c>
      <c r="D2896">
        <v>7.3</v>
      </c>
      <c r="E2896">
        <v>0.55000000000000004</v>
      </c>
      <c r="F2896">
        <v>0.04</v>
      </c>
      <c r="G2896" t="s">
        <v>3603</v>
      </c>
      <c r="H2896">
        <v>15</v>
      </c>
      <c r="I2896">
        <v>7.29</v>
      </c>
      <c r="J2896">
        <v>7.3</v>
      </c>
      <c r="K2896">
        <v>0.27</v>
      </c>
      <c r="L2896">
        <v>0.34</v>
      </c>
      <c r="M2896" t="s">
        <v>8451</v>
      </c>
      <c r="N2896">
        <v>182.41</v>
      </c>
      <c r="O2896" t="s">
        <v>680</v>
      </c>
      <c r="P2896">
        <v>7.3</v>
      </c>
      <c r="Q2896">
        <v>7.2</v>
      </c>
      <c r="R2896">
        <v>7.26</v>
      </c>
      <c r="S2896">
        <v>7.26</v>
      </c>
      <c r="T2896">
        <v>1.38</v>
      </c>
      <c r="U2896">
        <v>0.65</v>
      </c>
      <c r="V2896">
        <v>3.24</v>
      </c>
      <c r="W2896">
        <v>63</v>
      </c>
      <c r="X2896">
        <v>7.25</v>
      </c>
      <c r="Y2896" t="s">
        <v>75</v>
      </c>
      <c r="Z2896">
        <v>7315</v>
      </c>
      <c r="AA2896">
        <v>1.4</v>
      </c>
      <c r="AB2896">
        <v>168</v>
      </c>
      <c r="AC2896">
        <v>292</v>
      </c>
      <c r="AD2896">
        <v>2.69</v>
      </c>
      <c r="AE2896" t="s">
        <v>1108</v>
      </c>
      <c r="AF2896" t="s">
        <v>301</v>
      </c>
      <c r="AG2896" t="s">
        <v>1108</v>
      </c>
      <c r="AH2896" t="s">
        <v>301</v>
      </c>
      <c r="AI2896">
        <v>0.41</v>
      </c>
      <c r="AJ2896">
        <v>2.96</v>
      </c>
      <c r="AK2896">
        <v>1.77</v>
      </c>
      <c r="AL2896">
        <v>2.92</v>
      </c>
    </row>
    <row r="2897" spans="1:38" x14ac:dyDescent="0.25">
      <c r="A2897">
        <v>2896</v>
      </c>
      <c r="B2897" t="str">
        <f xml:space="preserve"> "600781"</f>
        <v>600781</v>
      </c>
      <c r="C2897" t="s">
        <v>8452</v>
      </c>
      <c r="D2897">
        <v>21.37</v>
      </c>
      <c r="E2897">
        <v>0.8</v>
      </c>
      <c r="F2897">
        <v>0.17</v>
      </c>
      <c r="G2897" t="s">
        <v>1114</v>
      </c>
      <c r="H2897">
        <v>10</v>
      </c>
      <c r="I2897">
        <v>21.35</v>
      </c>
      <c r="J2897">
        <v>21.36</v>
      </c>
      <c r="K2897">
        <v>0.09</v>
      </c>
      <c r="L2897">
        <v>0.83</v>
      </c>
      <c r="M2897" t="s">
        <v>8453</v>
      </c>
      <c r="N2897">
        <v>187.46</v>
      </c>
      <c r="O2897" t="s">
        <v>392</v>
      </c>
      <c r="P2897">
        <v>21.4</v>
      </c>
      <c r="Q2897">
        <v>21.05</v>
      </c>
      <c r="R2897">
        <v>21.12</v>
      </c>
      <c r="S2897">
        <v>21.2</v>
      </c>
      <c r="T2897">
        <v>1.65</v>
      </c>
      <c r="U2897">
        <v>0.97</v>
      </c>
      <c r="V2897">
        <v>-74.36</v>
      </c>
      <c r="W2897">
        <v>-615</v>
      </c>
      <c r="X2897">
        <v>21.19</v>
      </c>
      <c r="Y2897">
        <v>6159</v>
      </c>
      <c r="Z2897">
        <v>8536</v>
      </c>
      <c r="AA2897">
        <v>0.72</v>
      </c>
      <c r="AB2897">
        <v>40</v>
      </c>
      <c r="AC2897">
        <v>3</v>
      </c>
      <c r="AD2897">
        <v>10.029999999999999</v>
      </c>
      <c r="AE2897" t="s">
        <v>1710</v>
      </c>
      <c r="AF2897" t="s">
        <v>301</v>
      </c>
      <c r="AG2897" t="s">
        <v>1710</v>
      </c>
      <c r="AH2897" t="s">
        <v>301</v>
      </c>
      <c r="AI2897">
        <v>-0.88</v>
      </c>
      <c r="AJ2897">
        <v>-1.48</v>
      </c>
      <c r="AK2897">
        <v>2.4700000000000002</v>
      </c>
      <c r="AL2897">
        <v>5.1100000000000003</v>
      </c>
    </row>
    <row r="2898" spans="1:38" x14ac:dyDescent="0.25">
      <c r="A2898">
        <v>2897</v>
      </c>
      <c r="B2898" t="str">
        <f xml:space="preserve"> "300385"</f>
        <v>300385</v>
      </c>
      <c r="C2898" t="s">
        <v>8454</v>
      </c>
      <c r="D2898">
        <v>31.6</v>
      </c>
      <c r="E2898">
        <v>6.72</v>
      </c>
      <c r="F2898">
        <v>1.99</v>
      </c>
      <c r="G2898" t="s">
        <v>3221</v>
      </c>
      <c r="H2898">
        <v>1135</v>
      </c>
      <c r="I2898">
        <v>31.59</v>
      </c>
      <c r="J2898">
        <v>31.6</v>
      </c>
      <c r="K2898">
        <v>-0.09</v>
      </c>
      <c r="L2898">
        <v>6.32</v>
      </c>
      <c r="M2898" t="s">
        <v>640</v>
      </c>
      <c r="N2898">
        <v>52.24</v>
      </c>
      <c r="O2898" t="s">
        <v>648</v>
      </c>
      <c r="P2898">
        <v>32.270000000000003</v>
      </c>
      <c r="Q2898">
        <v>29.2</v>
      </c>
      <c r="R2898">
        <v>29.68</v>
      </c>
      <c r="S2898">
        <v>29.61</v>
      </c>
      <c r="T2898">
        <v>10.37</v>
      </c>
      <c r="U2898">
        <v>2.19</v>
      </c>
      <c r="V2898">
        <v>-63.05</v>
      </c>
      <c r="W2898">
        <v>-611</v>
      </c>
      <c r="X2898">
        <v>31.09</v>
      </c>
      <c r="Y2898" t="s">
        <v>3603</v>
      </c>
      <c r="Z2898" t="s">
        <v>1887</v>
      </c>
      <c r="AA2898">
        <v>0.77</v>
      </c>
      <c r="AB2898">
        <v>8</v>
      </c>
      <c r="AC2898">
        <v>396</v>
      </c>
      <c r="AD2898">
        <v>4.76</v>
      </c>
      <c r="AE2898" t="s">
        <v>918</v>
      </c>
      <c r="AF2898" t="s">
        <v>5095</v>
      </c>
      <c r="AG2898" t="s">
        <v>8455</v>
      </c>
      <c r="AH2898" t="s">
        <v>5887</v>
      </c>
      <c r="AI2898">
        <v>4.84</v>
      </c>
      <c r="AJ2898">
        <v>8.33</v>
      </c>
      <c r="AK2898">
        <v>10.56</v>
      </c>
      <c r="AL2898">
        <v>20.75</v>
      </c>
    </row>
    <row r="2899" spans="1:38" x14ac:dyDescent="0.25">
      <c r="A2899">
        <v>2898</v>
      </c>
      <c r="B2899" t="str">
        <f xml:space="preserve"> "600599"</f>
        <v>600599</v>
      </c>
      <c r="C2899" t="s">
        <v>8456</v>
      </c>
      <c r="D2899">
        <v>22.8</v>
      </c>
      <c r="E2899">
        <v>0.53</v>
      </c>
      <c r="F2899">
        <v>0.12</v>
      </c>
      <c r="G2899" t="s">
        <v>6749</v>
      </c>
      <c r="H2899">
        <v>40</v>
      </c>
      <c r="I2899">
        <v>22.79</v>
      </c>
      <c r="J2899">
        <v>22.8</v>
      </c>
      <c r="K2899">
        <v>-0.04</v>
      </c>
      <c r="L2899">
        <v>1.34</v>
      </c>
      <c r="M2899" t="s">
        <v>4887</v>
      </c>
      <c r="N2899">
        <v>202.06</v>
      </c>
      <c r="O2899" t="s">
        <v>482</v>
      </c>
      <c r="P2899">
        <v>22.87</v>
      </c>
      <c r="Q2899">
        <v>22.52</v>
      </c>
      <c r="R2899">
        <v>22.68</v>
      </c>
      <c r="S2899">
        <v>22.68</v>
      </c>
      <c r="T2899">
        <v>1.54</v>
      </c>
      <c r="U2899">
        <v>0.42</v>
      </c>
      <c r="V2899">
        <v>-42.63</v>
      </c>
      <c r="W2899">
        <v>-489</v>
      </c>
      <c r="X2899">
        <v>22.7</v>
      </c>
      <c r="Y2899" t="s">
        <v>2991</v>
      </c>
      <c r="Z2899" t="s">
        <v>2284</v>
      </c>
      <c r="AA2899">
        <v>1.1299999999999999</v>
      </c>
      <c r="AB2899">
        <v>83</v>
      </c>
      <c r="AC2899">
        <v>16</v>
      </c>
      <c r="AD2899">
        <v>5.38</v>
      </c>
      <c r="AE2899" t="s">
        <v>3697</v>
      </c>
      <c r="AF2899" t="s">
        <v>6070</v>
      </c>
      <c r="AG2899" t="s">
        <v>3697</v>
      </c>
      <c r="AH2899" t="s">
        <v>6070</v>
      </c>
      <c r="AI2899">
        <v>-0.87</v>
      </c>
      <c r="AJ2899">
        <v>-6.56</v>
      </c>
      <c r="AK2899">
        <v>5.04</v>
      </c>
      <c r="AL2899">
        <v>17.329999999999998</v>
      </c>
    </row>
    <row r="2900" spans="1:38" x14ac:dyDescent="0.25">
      <c r="A2900">
        <v>2899</v>
      </c>
      <c r="B2900" t="str">
        <f xml:space="preserve"> "600746"</f>
        <v>600746</v>
      </c>
      <c r="C2900" t="s">
        <v>8457</v>
      </c>
      <c r="D2900">
        <v>12.34</v>
      </c>
      <c r="E2900">
        <v>-0.8</v>
      </c>
      <c r="F2900">
        <v>-0.1</v>
      </c>
      <c r="G2900" t="s">
        <v>3832</v>
      </c>
      <c r="H2900">
        <v>30</v>
      </c>
      <c r="I2900">
        <v>12.33</v>
      </c>
      <c r="J2900">
        <v>12.34</v>
      </c>
      <c r="K2900">
        <v>0</v>
      </c>
      <c r="L2900">
        <v>2.11</v>
      </c>
      <c r="M2900" t="s">
        <v>8458</v>
      </c>
      <c r="N2900">
        <v>31.26</v>
      </c>
      <c r="O2900" t="s">
        <v>667</v>
      </c>
      <c r="P2900">
        <v>12.56</v>
      </c>
      <c r="Q2900">
        <v>12.22</v>
      </c>
      <c r="R2900">
        <v>12.43</v>
      </c>
      <c r="S2900">
        <v>12.44</v>
      </c>
      <c r="T2900">
        <v>2.73</v>
      </c>
      <c r="U2900">
        <v>0.92</v>
      </c>
      <c r="V2900">
        <v>36.01</v>
      </c>
      <c r="W2900">
        <v>394</v>
      </c>
      <c r="X2900">
        <v>12.38</v>
      </c>
      <c r="Y2900" t="s">
        <v>1984</v>
      </c>
      <c r="Z2900" t="s">
        <v>1321</v>
      </c>
      <c r="AA2900">
        <v>1.1000000000000001</v>
      </c>
      <c r="AB2900">
        <v>220</v>
      </c>
      <c r="AC2900">
        <v>14</v>
      </c>
      <c r="AD2900">
        <v>7.73</v>
      </c>
      <c r="AE2900" t="s">
        <v>3548</v>
      </c>
      <c r="AF2900" t="s">
        <v>6070</v>
      </c>
      <c r="AG2900" t="s">
        <v>4786</v>
      </c>
      <c r="AH2900" t="s">
        <v>986</v>
      </c>
      <c r="AI2900">
        <v>0.73</v>
      </c>
      <c r="AJ2900">
        <v>5.29</v>
      </c>
      <c r="AK2900">
        <v>7.7</v>
      </c>
      <c r="AL2900">
        <v>13.66</v>
      </c>
    </row>
    <row r="2901" spans="1:38" x14ac:dyDescent="0.25">
      <c r="A2901">
        <v>2900</v>
      </c>
      <c r="B2901" t="str">
        <f xml:space="preserve"> "600821"</f>
        <v>600821</v>
      </c>
      <c r="C2901" t="s">
        <v>8459</v>
      </c>
      <c r="D2901">
        <v>9.07</v>
      </c>
      <c r="E2901">
        <v>-0.87</v>
      </c>
      <c r="F2901">
        <v>-0.08</v>
      </c>
      <c r="G2901" t="s">
        <v>1381</v>
      </c>
      <c r="H2901">
        <v>3</v>
      </c>
      <c r="I2901">
        <v>9.07</v>
      </c>
      <c r="J2901">
        <v>9.08</v>
      </c>
      <c r="K2901">
        <v>0</v>
      </c>
      <c r="L2901">
        <v>0.48</v>
      </c>
      <c r="M2901" t="s">
        <v>8460</v>
      </c>
      <c r="N2901">
        <v>-23.62</v>
      </c>
      <c r="O2901" t="s">
        <v>532</v>
      </c>
      <c r="P2901">
        <v>9.18</v>
      </c>
      <c r="Q2901">
        <v>9.0500000000000007</v>
      </c>
      <c r="R2901">
        <v>9.18</v>
      </c>
      <c r="S2901">
        <v>9.15</v>
      </c>
      <c r="T2901">
        <v>1.42</v>
      </c>
      <c r="U2901">
        <v>0.7</v>
      </c>
      <c r="V2901">
        <v>27.59</v>
      </c>
      <c r="W2901">
        <v>398</v>
      </c>
      <c r="X2901">
        <v>9.1</v>
      </c>
      <c r="Y2901" t="s">
        <v>3234</v>
      </c>
      <c r="Z2901">
        <v>6037</v>
      </c>
      <c r="AA2901">
        <v>2.33</v>
      </c>
      <c r="AB2901">
        <v>26</v>
      </c>
      <c r="AC2901">
        <v>24</v>
      </c>
      <c r="AD2901">
        <v>8.8800000000000008</v>
      </c>
      <c r="AE2901" t="s">
        <v>4149</v>
      </c>
      <c r="AF2901" t="s">
        <v>6070</v>
      </c>
      <c r="AG2901" t="s">
        <v>4149</v>
      </c>
      <c r="AH2901" t="s">
        <v>6070</v>
      </c>
      <c r="AI2901">
        <v>-0.33</v>
      </c>
      <c r="AJ2901">
        <v>-1.0900000000000001</v>
      </c>
      <c r="AK2901">
        <v>1.72</v>
      </c>
      <c r="AL2901">
        <v>3.92</v>
      </c>
    </row>
    <row r="2902" spans="1:38" x14ac:dyDescent="0.25">
      <c r="A2902">
        <v>2901</v>
      </c>
      <c r="B2902" t="str">
        <f xml:space="preserve"> "000993"</f>
        <v>000993</v>
      </c>
      <c r="C2902" t="s">
        <v>8461</v>
      </c>
      <c r="D2902">
        <v>10.119999999999999</v>
      </c>
      <c r="E2902">
        <v>-0.78</v>
      </c>
      <c r="F2902">
        <v>-0.08</v>
      </c>
      <c r="G2902" t="s">
        <v>1895</v>
      </c>
      <c r="H2902">
        <v>1470</v>
      </c>
      <c r="I2902">
        <v>10.119999999999999</v>
      </c>
      <c r="J2902">
        <v>10.130000000000001</v>
      </c>
      <c r="K2902">
        <v>0</v>
      </c>
      <c r="L2902">
        <v>4.25</v>
      </c>
      <c r="M2902" t="s">
        <v>514</v>
      </c>
      <c r="N2902">
        <v>32.479999999999997</v>
      </c>
      <c r="O2902" t="s">
        <v>186</v>
      </c>
      <c r="P2902">
        <v>10.47</v>
      </c>
      <c r="Q2902">
        <v>10.029999999999999</v>
      </c>
      <c r="R2902">
        <v>10.1</v>
      </c>
      <c r="S2902">
        <v>10.199999999999999</v>
      </c>
      <c r="T2902">
        <v>4.3099999999999996</v>
      </c>
      <c r="U2902">
        <v>1.71</v>
      </c>
      <c r="V2902">
        <v>36.979999999999997</v>
      </c>
      <c r="W2902">
        <v>1555</v>
      </c>
      <c r="X2902">
        <v>10.220000000000001</v>
      </c>
      <c r="Y2902" t="s">
        <v>570</v>
      </c>
      <c r="Z2902" t="s">
        <v>489</v>
      </c>
      <c r="AA2902">
        <v>1.38</v>
      </c>
      <c r="AB2902">
        <v>669</v>
      </c>
      <c r="AC2902">
        <v>133</v>
      </c>
      <c r="AD2902">
        <v>2.39</v>
      </c>
      <c r="AE2902" t="s">
        <v>4181</v>
      </c>
      <c r="AF2902" t="s">
        <v>8031</v>
      </c>
      <c r="AG2902" t="s">
        <v>4181</v>
      </c>
      <c r="AH2902" t="s">
        <v>8031</v>
      </c>
      <c r="AI2902">
        <v>4.01</v>
      </c>
      <c r="AJ2902">
        <v>6.98</v>
      </c>
      <c r="AK2902">
        <v>13.85</v>
      </c>
      <c r="AL2902">
        <v>16.68</v>
      </c>
    </row>
    <row r="2903" spans="1:38" x14ac:dyDescent="0.25">
      <c r="A2903">
        <v>2902</v>
      </c>
      <c r="B2903" t="str">
        <f xml:space="preserve"> "002328"</f>
        <v>002328</v>
      </c>
      <c r="C2903" t="s">
        <v>8462</v>
      </c>
      <c r="D2903">
        <v>8.42</v>
      </c>
      <c r="E2903">
        <v>0.48</v>
      </c>
      <c r="F2903">
        <v>0.04</v>
      </c>
      <c r="G2903" t="s">
        <v>4431</v>
      </c>
      <c r="H2903">
        <v>626</v>
      </c>
      <c r="I2903">
        <v>8.41</v>
      </c>
      <c r="J2903">
        <v>8.42</v>
      </c>
      <c r="K2903">
        <v>0</v>
      </c>
      <c r="L2903">
        <v>0.99</v>
      </c>
      <c r="M2903" t="s">
        <v>8463</v>
      </c>
      <c r="N2903">
        <v>38.21</v>
      </c>
      <c r="O2903" t="s">
        <v>648</v>
      </c>
      <c r="P2903">
        <v>8.42</v>
      </c>
      <c r="Q2903">
        <v>8.34</v>
      </c>
      <c r="R2903">
        <v>8.34</v>
      </c>
      <c r="S2903">
        <v>8.3800000000000008</v>
      </c>
      <c r="T2903">
        <v>0.95</v>
      </c>
      <c r="U2903">
        <v>0.63</v>
      </c>
      <c r="V2903">
        <v>-35.630000000000003</v>
      </c>
      <c r="W2903">
        <v>-1979</v>
      </c>
      <c r="X2903">
        <v>8.39</v>
      </c>
      <c r="Y2903" t="s">
        <v>4237</v>
      </c>
      <c r="Z2903" t="s">
        <v>3130</v>
      </c>
      <c r="AA2903">
        <v>0.92</v>
      </c>
      <c r="AB2903">
        <v>252</v>
      </c>
      <c r="AC2903">
        <v>2421</v>
      </c>
      <c r="AD2903">
        <v>1.6</v>
      </c>
      <c r="AE2903" t="s">
        <v>4457</v>
      </c>
      <c r="AF2903" t="s">
        <v>8031</v>
      </c>
      <c r="AG2903" t="s">
        <v>981</v>
      </c>
      <c r="AH2903" t="s">
        <v>2608</v>
      </c>
      <c r="AI2903">
        <v>-0.71</v>
      </c>
      <c r="AJ2903">
        <v>3.31</v>
      </c>
      <c r="AK2903">
        <v>3.57</v>
      </c>
      <c r="AL2903">
        <v>8.9</v>
      </c>
    </row>
    <row r="2904" spans="1:38" x14ac:dyDescent="0.25">
      <c r="A2904">
        <v>2903</v>
      </c>
      <c r="B2904" t="str">
        <f xml:space="preserve"> "000752"</f>
        <v>000752</v>
      </c>
      <c r="C2904" t="s">
        <v>8464</v>
      </c>
      <c r="D2904">
        <v>14.3</v>
      </c>
      <c r="E2904">
        <v>0</v>
      </c>
      <c r="F2904">
        <v>0</v>
      </c>
      <c r="G2904" t="s">
        <v>1500</v>
      </c>
      <c r="H2904">
        <v>851</v>
      </c>
      <c r="I2904">
        <v>14.3</v>
      </c>
      <c r="J2904">
        <v>14.31</v>
      </c>
      <c r="K2904">
        <v>0</v>
      </c>
      <c r="L2904">
        <v>1.1200000000000001</v>
      </c>
      <c r="M2904" t="s">
        <v>8465</v>
      </c>
      <c r="N2904">
        <v>268.98</v>
      </c>
      <c r="O2904" t="s">
        <v>123</v>
      </c>
      <c r="P2904">
        <v>14.55</v>
      </c>
      <c r="Q2904">
        <v>14.23</v>
      </c>
      <c r="R2904">
        <v>14.3</v>
      </c>
      <c r="S2904">
        <v>14.3</v>
      </c>
      <c r="T2904">
        <v>2.2400000000000002</v>
      </c>
      <c r="U2904">
        <v>0.83</v>
      </c>
      <c r="V2904">
        <v>-34.78</v>
      </c>
      <c r="W2904">
        <v>-766</v>
      </c>
      <c r="X2904">
        <v>14.33</v>
      </c>
      <c r="Y2904" t="s">
        <v>433</v>
      </c>
      <c r="Z2904" t="s">
        <v>4399</v>
      </c>
      <c r="AA2904">
        <v>1.06</v>
      </c>
      <c r="AB2904">
        <v>338</v>
      </c>
      <c r="AC2904">
        <v>1106</v>
      </c>
      <c r="AD2904">
        <v>4.8</v>
      </c>
      <c r="AE2904" t="s">
        <v>2025</v>
      </c>
      <c r="AF2904" t="s">
        <v>8031</v>
      </c>
      <c r="AG2904" t="s">
        <v>2025</v>
      </c>
      <c r="AH2904" t="s">
        <v>8031</v>
      </c>
      <c r="AI2904">
        <v>-2.19</v>
      </c>
      <c r="AJ2904">
        <v>0.99</v>
      </c>
      <c r="AK2904">
        <v>4.76</v>
      </c>
      <c r="AL2904">
        <v>7.82</v>
      </c>
    </row>
    <row r="2905" spans="1:38" x14ac:dyDescent="0.25">
      <c r="A2905">
        <v>2904</v>
      </c>
      <c r="B2905" t="str">
        <f xml:space="preserve"> "300380"</f>
        <v>300380</v>
      </c>
      <c r="C2905" t="s">
        <v>8466</v>
      </c>
      <c r="D2905">
        <v>27.44</v>
      </c>
      <c r="E2905">
        <v>-2</v>
      </c>
      <c r="F2905">
        <v>-0.56000000000000005</v>
      </c>
      <c r="G2905" t="s">
        <v>602</v>
      </c>
      <c r="H2905">
        <v>1707</v>
      </c>
      <c r="I2905">
        <v>27.43</v>
      </c>
      <c r="J2905">
        <v>27.44</v>
      </c>
      <c r="K2905">
        <v>0.11</v>
      </c>
      <c r="L2905">
        <v>8.9499999999999993</v>
      </c>
      <c r="M2905" t="s">
        <v>1112</v>
      </c>
      <c r="N2905">
        <v>-273.10000000000002</v>
      </c>
      <c r="O2905" t="s">
        <v>553</v>
      </c>
      <c r="P2905">
        <v>27.99</v>
      </c>
      <c r="Q2905">
        <v>27</v>
      </c>
      <c r="R2905">
        <v>27.62</v>
      </c>
      <c r="S2905">
        <v>28</v>
      </c>
      <c r="T2905">
        <v>3.54</v>
      </c>
      <c r="U2905">
        <v>0.81</v>
      </c>
      <c r="V2905">
        <v>-32.520000000000003</v>
      </c>
      <c r="W2905">
        <v>-309</v>
      </c>
      <c r="X2905">
        <v>27.35</v>
      </c>
      <c r="Y2905" t="s">
        <v>6945</v>
      </c>
      <c r="Z2905" t="s">
        <v>5033</v>
      </c>
      <c r="AA2905">
        <v>1.37</v>
      </c>
      <c r="AB2905">
        <v>140</v>
      </c>
      <c r="AC2905">
        <v>528</v>
      </c>
      <c r="AD2905">
        <v>9.81</v>
      </c>
      <c r="AE2905" t="s">
        <v>3058</v>
      </c>
      <c r="AF2905" t="s">
        <v>8031</v>
      </c>
      <c r="AG2905" t="s">
        <v>3805</v>
      </c>
      <c r="AH2905" t="s">
        <v>1674</v>
      </c>
      <c r="AI2905">
        <v>-5.96</v>
      </c>
      <c r="AJ2905">
        <v>15.59</v>
      </c>
      <c r="AK2905">
        <v>35.32</v>
      </c>
      <c r="AL2905">
        <v>64.11</v>
      </c>
    </row>
    <row r="2906" spans="1:38" x14ac:dyDescent="0.25">
      <c r="A2906">
        <v>2905</v>
      </c>
      <c r="B2906" t="str">
        <f xml:space="preserve"> "300084"</f>
        <v>300084</v>
      </c>
      <c r="C2906" t="s">
        <v>8467</v>
      </c>
      <c r="D2906">
        <v>9.8000000000000007</v>
      </c>
      <c r="E2906">
        <v>0.41</v>
      </c>
      <c r="F2906">
        <v>0.04</v>
      </c>
      <c r="G2906" t="s">
        <v>3877</v>
      </c>
      <c r="H2906">
        <v>896</v>
      </c>
      <c r="I2906">
        <v>9.76</v>
      </c>
      <c r="J2906">
        <v>9.8000000000000007</v>
      </c>
      <c r="K2906">
        <v>0</v>
      </c>
      <c r="L2906">
        <v>0.98</v>
      </c>
      <c r="M2906" t="s">
        <v>8468</v>
      </c>
      <c r="N2906">
        <v>944.44</v>
      </c>
      <c r="O2906" t="s">
        <v>2647</v>
      </c>
      <c r="P2906">
        <v>9.86</v>
      </c>
      <c r="Q2906">
        <v>9.7100000000000009</v>
      </c>
      <c r="R2906">
        <v>9.81</v>
      </c>
      <c r="S2906">
        <v>9.76</v>
      </c>
      <c r="T2906">
        <v>1.54</v>
      </c>
      <c r="U2906">
        <v>0.49</v>
      </c>
      <c r="V2906">
        <v>-11.42</v>
      </c>
      <c r="W2906">
        <v>-333</v>
      </c>
      <c r="X2906">
        <v>9.76</v>
      </c>
      <c r="Y2906" t="s">
        <v>3238</v>
      </c>
      <c r="Z2906" t="s">
        <v>2089</v>
      </c>
      <c r="AA2906">
        <v>1.51</v>
      </c>
      <c r="AB2906">
        <v>163</v>
      </c>
      <c r="AC2906">
        <v>734</v>
      </c>
      <c r="AD2906">
        <v>2.08</v>
      </c>
      <c r="AE2906" t="s">
        <v>5104</v>
      </c>
      <c r="AF2906" t="s">
        <v>8031</v>
      </c>
      <c r="AG2906" t="s">
        <v>719</v>
      </c>
      <c r="AH2906" t="s">
        <v>3355</v>
      </c>
      <c r="AI2906">
        <v>-2.1</v>
      </c>
      <c r="AJ2906">
        <v>-1.31</v>
      </c>
      <c r="AK2906">
        <v>4.17</v>
      </c>
      <c r="AL2906">
        <v>11.04</v>
      </c>
    </row>
    <row r="2907" spans="1:38" x14ac:dyDescent="0.25">
      <c r="A2907">
        <v>2906</v>
      </c>
      <c r="B2907" t="str">
        <f xml:space="preserve"> "002830"</f>
        <v>002830</v>
      </c>
      <c r="C2907" t="s">
        <v>8469</v>
      </c>
      <c r="D2907">
        <v>28.27</v>
      </c>
      <c r="E2907">
        <v>0.04</v>
      </c>
      <c r="F2907">
        <v>0.01</v>
      </c>
      <c r="G2907" t="s">
        <v>3266</v>
      </c>
      <c r="H2907">
        <v>460</v>
      </c>
      <c r="I2907">
        <v>28.27</v>
      </c>
      <c r="J2907">
        <v>28.28</v>
      </c>
      <c r="K2907">
        <v>0</v>
      </c>
      <c r="L2907">
        <v>7.25</v>
      </c>
      <c r="M2907" t="s">
        <v>8470</v>
      </c>
      <c r="N2907">
        <v>175.22</v>
      </c>
      <c r="O2907" t="s">
        <v>263</v>
      </c>
      <c r="P2907">
        <v>28.47</v>
      </c>
      <c r="Q2907">
        <v>28.09</v>
      </c>
      <c r="R2907">
        <v>28.12</v>
      </c>
      <c r="S2907">
        <v>28.26</v>
      </c>
      <c r="T2907">
        <v>1.34</v>
      </c>
      <c r="U2907">
        <v>0.53</v>
      </c>
      <c r="V2907">
        <v>-51.46</v>
      </c>
      <c r="W2907">
        <v>-530</v>
      </c>
      <c r="X2907">
        <v>28.23</v>
      </c>
      <c r="Y2907" t="s">
        <v>2551</v>
      </c>
      <c r="Z2907" t="s">
        <v>2284</v>
      </c>
      <c r="AA2907">
        <v>1.33</v>
      </c>
      <c r="AB2907">
        <v>30</v>
      </c>
      <c r="AC2907">
        <v>337</v>
      </c>
      <c r="AD2907">
        <v>6.69</v>
      </c>
      <c r="AE2907" t="s">
        <v>333</v>
      </c>
      <c r="AF2907" t="s">
        <v>8031</v>
      </c>
      <c r="AG2907" t="s">
        <v>6778</v>
      </c>
      <c r="AH2907" t="s">
        <v>7506</v>
      </c>
      <c r="AI2907">
        <v>0.96</v>
      </c>
      <c r="AJ2907">
        <v>4.09</v>
      </c>
      <c r="AK2907">
        <v>39.409999999999997</v>
      </c>
      <c r="AL2907">
        <v>75.290000000000006</v>
      </c>
    </row>
    <row r="2908" spans="1:38" x14ac:dyDescent="0.25">
      <c r="A2908">
        <v>2907</v>
      </c>
      <c r="B2908" t="str">
        <f xml:space="preserve"> "300671"</f>
        <v>300671</v>
      </c>
      <c r="C2908" t="s">
        <v>8471</v>
      </c>
      <c r="D2908">
        <v>37.19</v>
      </c>
      <c r="E2908">
        <v>-0.83</v>
      </c>
      <c r="F2908">
        <v>-0.31</v>
      </c>
      <c r="G2908" t="s">
        <v>1705</v>
      </c>
      <c r="H2908">
        <v>872</v>
      </c>
      <c r="I2908">
        <v>37.19</v>
      </c>
      <c r="J2908">
        <v>37.22</v>
      </c>
      <c r="K2908">
        <v>-0.11</v>
      </c>
      <c r="L2908">
        <v>10.68</v>
      </c>
      <c r="M2908" t="s">
        <v>1442</v>
      </c>
      <c r="N2908">
        <v>86</v>
      </c>
      <c r="O2908" t="s">
        <v>380</v>
      </c>
      <c r="P2908">
        <v>37.85</v>
      </c>
      <c r="Q2908">
        <v>36.69</v>
      </c>
      <c r="R2908">
        <v>37.85</v>
      </c>
      <c r="S2908">
        <v>37.5</v>
      </c>
      <c r="T2908">
        <v>3.09</v>
      </c>
      <c r="U2908">
        <v>0.45</v>
      </c>
      <c r="V2908">
        <v>34.020000000000003</v>
      </c>
      <c r="W2908">
        <v>144</v>
      </c>
      <c r="X2908">
        <v>37.270000000000003</v>
      </c>
      <c r="Y2908" t="s">
        <v>4590</v>
      </c>
      <c r="Z2908" t="s">
        <v>2089</v>
      </c>
      <c r="AA2908">
        <v>1.26</v>
      </c>
      <c r="AB2908">
        <v>90</v>
      </c>
      <c r="AC2908">
        <v>14</v>
      </c>
      <c r="AD2908">
        <v>5.92</v>
      </c>
      <c r="AE2908" t="s">
        <v>1442</v>
      </c>
      <c r="AF2908" t="s">
        <v>8031</v>
      </c>
      <c r="AG2908" t="s">
        <v>8472</v>
      </c>
      <c r="AH2908" t="s">
        <v>7506</v>
      </c>
      <c r="AI2908">
        <v>-5.37</v>
      </c>
      <c r="AJ2908">
        <v>-2.29</v>
      </c>
      <c r="AK2908">
        <v>61.19</v>
      </c>
      <c r="AL2908">
        <v>130.38</v>
      </c>
    </row>
    <row r="2909" spans="1:38" x14ac:dyDescent="0.25">
      <c r="A2909">
        <v>2908</v>
      </c>
      <c r="B2909" t="str">
        <f xml:space="preserve"> "002096"</f>
        <v>002096</v>
      </c>
      <c r="C2909" t="s">
        <v>8473</v>
      </c>
      <c r="D2909">
        <v>10.15</v>
      </c>
      <c r="E2909">
        <v>1</v>
      </c>
      <c r="F2909">
        <v>0.1</v>
      </c>
      <c r="G2909" t="s">
        <v>1954</v>
      </c>
      <c r="H2909">
        <v>728</v>
      </c>
      <c r="I2909">
        <v>10.14</v>
      </c>
      <c r="J2909">
        <v>10.15</v>
      </c>
      <c r="K2909">
        <v>0.2</v>
      </c>
      <c r="L2909">
        <v>0.84</v>
      </c>
      <c r="M2909" t="s">
        <v>8474</v>
      </c>
      <c r="N2909">
        <v>124.16</v>
      </c>
      <c r="O2909" t="s">
        <v>667</v>
      </c>
      <c r="P2909">
        <v>10.210000000000001</v>
      </c>
      <c r="Q2909">
        <v>9.9700000000000006</v>
      </c>
      <c r="R2909">
        <v>10.039999999999999</v>
      </c>
      <c r="S2909">
        <v>10.050000000000001</v>
      </c>
      <c r="T2909">
        <v>2.39</v>
      </c>
      <c r="U2909">
        <v>1.62</v>
      </c>
      <c r="V2909">
        <v>-21.52</v>
      </c>
      <c r="W2909">
        <v>-397</v>
      </c>
      <c r="X2909">
        <v>10.119999999999999</v>
      </c>
      <c r="Y2909" t="s">
        <v>1153</v>
      </c>
      <c r="Z2909" t="s">
        <v>1349</v>
      </c>
      <c r="AA2909">
        <v>0.81</v>
      </c>
      <c r="AB2909">
        <v>156</v>
      </c>
      <c r="AC2909">
        <v>400</v>
      </c>
      <c r="AD2909">
        <v>1.87</v>
      </c>
      <c r="AE2909" t="s">
        <v>3022</v>
      </c>
      <c r="AF2909" t="s">
        <v>8031</v>
      </c>
      <c r="AG2909" t="s">
        <v>3022</v>
      </c>
      <c r="AH2909" t="s">
        <v>986</v>
      </c>
      <c r="AI2909">
        <v>1.2</v>
      </c>
      <c r="AJ2909">
        <v>4.53</v>
      </c>
      <c r="AK2909">
        <v>1.94</v>
      </c>
      <c r="AL2909">
        <v>3.44</v>
      </c>
    </row>
    <row r="2910" spans="1:38" x14ac:dyDescent="0.25">
      <c r="A2910">
        <v>2909</v>
      </c>
      <c r="B2910" t="str">
        <f xml:space="preserve"> "002211"</f>
        <v>002211</v>
      </c>
      <c r="C2910" t="s">
        <v>8475</v>
      </c>
      <c r="D2910">
        <v>8.7100000000000009</v>
      </c>
      <c r="E2910">
        <v>0.57999999999999996</v>
      </c>
      <c r="F2910">
        <v>0.05</v>
      </c>
      <c r="G2910" t="s">
        <v>3825</v>
      </c>
      <c r="H2910">
        <v>585</v>
      </c>
      <c r="I2910">
        <v>8.6999999999999993</v>
      </c>
      <c r="J2910">
        <v>8.7100000000000009</v>
      </c>
      <c r="K2910">
        <v>0.23</v>
      </c>
      <c r="L2910">
        <v>0.52</v>
      </c>
      <c r="M2910" t="s">
        <v>8476</v>
      </c>
      <c r="N2910">
        <v>124.44</v>
      </c>
      <c r="O2910" t="s">
        <v>2128</v>
      </c>
      <c r="P2910">
        <v>8.74</v>
      </c>
      <c r="Q2910">
        <v>8.64</v>
      </c>
      <c r="R2910">
        <v>8.69</v>
      </c>
      <c r="S2910">
        <v>8.66</v>
      </c>
      <c r="T2910">
        <v>1.1499999999999999</v>
      </c>
      <c r="U2910">
        <v>0.59</v>
      </c>
      <c r="V2910">
        <v>-14.54</v>
      </c>
      <c r="W2910">
        <v>-771</v>
      </c>
      <c r="X2910">
        <v>8.6999999999999993</v>
      </c>
      <c r="Y2910" t="s">
        <v>2370</v>
      </c>
      <c r="Z2910">
        <v>9771</v>
      </c>
      <c r="AA2910">
        <v>1.31</v>
      </c>
      <c r="AB2910">
        <v>223</v>
      </c>
      <c r="AC2910">
        <v>655</v>
      </c>
      <c r="AD2910">
        <v>4.7699999999999996</v>
      </c>
      <c r="AE2910" t="s">
        <v>5565</v>
      </c>
      <c r="AF2910" t="s">
        <v>8031</v>
      </c>
      <c r="AG2910" t="s">
        <v>5565</v>
      </c>
      <c r="AH2910" t="s">
        <v>986</v>
      </c>
      <c r="AI2910">
        <v>-0.11</v>
      </c>
      <c r="AJ2910">
        <v>4.1900000000000004</v>
      </c>
      <c r="AK2910">
        <v>2.1800000000000002</v>
      </c>
      <c r="AL2910">
        <v>4.97</v>
      </c>
    </row>
    <row r="2911" spans="1:38" x14ac:dyDescent="0.25">
      <c r="A2911">
        <v>2910</v>
      </c>
      <c r="B2911" t="str">
        <f xml:space="preserve"> "002112"</f>
        <v>002112</v>
      </c>
      <c r="C2911" t="s">
        <v>8477</v>
      </c>
      <c r="D2911">
        <v>18.649999999999999</v>
      </c>
      <c r="E2911">
        <v>-1.32</v>
      </c>
      <c r="F2911">
        <v>-0.25</v>
      </c>
      <c r="G2911" t="s">
        <v>1095</v>
      </c>
      <c r="H2911">
        <v>132</v>
      </c>
      <c r="I2911">
        <v>18.579999999999998</v>
      </c>
      <c r="J2911">
        <v>18.649999999999999</v>
      </c>
      <c r="K2911">
        <v>-0.05</v>
      </c>
      <c r="L2911">
        <v>0.69</v>
      </c>
      <c r="M2911" t="s">
        <v>8478</v>
      </c>
      <c r="N2911">
        <v>-61.69</v>
      </c>
      <c r="O2911" t="s">
        <v>680</v>
      </c>
      <c r="P2911">
        <v>18.899999999999999</v>
      </c>
      <c r="Q2911">
        <v>18.5</v>
      </c>
      <c r="R2911">
        <v>18.71</v>
      </c>
      <c r="S2911">
        <v>18.899999999999999</v>
      </c>
      <c r="T2911">
        <v>2.12</v>
      </c>
      <c r="U2911">
        <v>0.61</v>
      </c>
      <c r="V2911">
        <v>-74.319999999999993</v>
      </c>
      <c r="W2911">
        <v>-3039</v>
      </c>
      <c r="X2911">
        <v>18.64</v>
      </c>
      <c r="Y2911">
        <v>7610</v>
      </c>
      <c r="Z2911">
        <v>4908</v>
      </c>
      <c r="AA2911">
        <v>1.55</v>
      </c>
      <c r="AB2911">
        <v>100</v>
      </c>
      <c r="AC2911">
        <v>94</v>
      </c>
      <c r="AD2911">
        <v>7.92</v>
      </c>
      <c r="AE2911" t="s">
        <v>1404</v>
      </c>
      <c r="AF2911" t="s">
        <v>986</v>
      </c>
      <c r="AG2911" t="s">
        <v>1978</v>
      </c>
      <c r="AH2911" t="s">
        <v>4131</v>
      </c>
      <c r="AI2911">
        <v>1.63</v>
      </c>
      <c r="AJ2911">
        <v>0.21</v>
      </c>
      <c r="AK2911">
        <v>3.05</v>
      </c>
      <c r="AL2911">
        <v>6.3</v>
      </c>
    </row>
    <row r="2912" spans="1:38" x14ac:dyDescent="0.25">
      <c r="A2912">
        <v>2911</v>
      </c>
      <c r="B2912" t="str">
        <f xml:space="preserve"> "000721"</f>
        <v>000721</v>
      </c>
      <c r="C2912" t="s">
        <v>8479</v>
      </c>
      <c r="D2912">
        <v>7.53</v>
      </c>
      <c r="E2912">
        <v>0.27</v>
      </c>
      <c r="F2912">
        <v>0.02</v>
      </c>
      <c r="G2912" t="s">
        <v>6551</v>
      </c>
      <c r="H2912">
        <v>859</v>
      </c>
      <c r="I2912">
        <v>7.52</v>
      </c>
      <c r="J2912">
        <v>7.53</v>
      </c>
      <c r="K2912">
        <v>0.27</v>
      </c>
      <c r="L2912">
        <v>1</v>
      </c>
      <c r="M2912" t="s">
        <v>8480</v>
      </c>
      <c r="N2912">
        <v>-1723.22</v>
      </c>
      <c r="O2912" t="s">
        <v>951</v>
      </c>
      <c r="P2912">
        <v>7.53</v>
      </c>
      <c r="Q2912">
        <v>7.43</v>
      </c>
      <c r="R2912">
        <v>7.51</v>
      </c>
      <c r="S2912">
        <v>7.51</v>
      </c>
      <c r="T2912">
        <v>1.33</v>
      </c>
      <c r="U2912">
        <v>0.61</v>
      </c>
      <c r="V2912">
        <v>-24.55</v>
      </c>
      <c r="W2912">
        <v>-1499</v>
      </c>
      <c r="X2912">
        <v>7.49</v>
      </c>
      <c r="Y2912" t="s">
        <v>1285</v>
      </c>
      <c r="Z2912" t="s">
        <v>899</v>
      </c>
      <c r="AA2912">
        <v>1.33</v>
      </c>
      <c r="AB2912">
        <v>32</v>
      </c>
      <c r="AC2912">
        <v>963</v>
      </c>
      <c r="AD2912">
        <v>5.59</v>
      </c>
      <c r="AE2912" t="s">
        <v>1161</v>
      </c>
      <c r="AF2912" t="s">
        <v>986</v>
      </c>
      <c r="AG2912" t="s">
        <v>1136</v>
      </c>
      <c r="AH2912" t="s">
        <v>3830</v>
      </c>
      <c r="AI2912">
        <v>-1.57</v>
      </c>
      <c r="AJ2912">
        <v>-2.59</v>
      </c>
      <c r="AK2912">
        <v>3.87</v>
      </c>
      <c r="AL2912">
        <v>9.17</v>
      </c>
    </row>
    <row r="2913" spans="1:38" x14ac:dyDescent="0.25">
      <c r="A2913">
        <v>2912</v>
      </c>
      <c r="B2913" t="str">
        <f xml:space="preserve"> "601177"</f>
        <v>601177</v>
      </c>
      <c r="C2913" t="s">
        <v>8481</v>
      </c>
      <c r="D2913">
        <v>9.39</v>
      </c>
      <c r="E2913">
        <v>0.11</v>
      </c>
      <c r="F2913">
        <v>0.01</v>
      </c>
      <c r="G2913" t="s">
        <v>2518</v>
      </c>
      <c r="H2913">
        <v>10</v>
      </c>
      <c r="I2913">
        <v>9.3800000000000008</v>
      </c>
      <c r="J2913">
        <v>9.39</v>
      </c>
      <c r="K2913">
        <v>0.21</v>
      </c>
      <c r="L2913">
        <v>0.34</v>
      </c>
      <c r="M2913" t="s">
        <v>8482</v>
      </c>
      <c r="N2913">
        <v>444.02</v>
      </c>
      <c r="O2913" t="s">
        <v>648</v>
      </c>
      <c r="P2913">
        <v>9.44</v>
      </c>
      <c r="Q2913">
        <v>9.32</v>
      </c>
      <c r="R2913">
        <v>9.44</v>
      </c>
      <c r="S2913">
        <v>9.3800000000000008</v>
      </c>
      <c r="T2913">
        <v>1.28</v>
      </c>
      <c r="U2913">
        <v>0.37</v>
      </c>
      <c r="V2913">
        <v>-17.02</v>
      </c>
      <c r="W2913">
        <v>-318</v>
      </c>
      <c r="X2913">
        <v>9.3699999999999992</v>
      </c>
      <c r="Y2913">
        <v>7872</v>
      </c>
      <c r="Z2913">
        <v>5570</v>
      </c>
      <c r="AA2913">
        <v>1.41</v>
      </c>
      <c r="AB2913">
        <v>73</v>
      </c>
      <c r="AC2913">
        <v>29</v>
      </c>
      <c r="AD2913">
        <v>2.34</v>
      </c>
      <c r="AE2913" t="s">
        <v>1000</v>
      </c>
      <c r="AF2913" t="s">
        <v>986</v>
      </c>
      <c r="AG2913" t="s">
        <v>1000</v>
      </c>
      <c r="AH2913" t="s">
        <v>986</v>
      </c>
      <c r="AI2913">
        <v>0.75</v>
      </c>
      <c r="AJ2913">
        <v>4.57</v>
      </c>
      <c r="AK2913">
        <v>2.13</v>
      </c>
      <c r="AL2913">
        <v>4.93</v>
      </c>
    </row>
    <row r="2914" spans="1:38" x14ac:dyDescent="0.25">
      <c r="A2914">
        <v>2913</v>
      </c>
      <c r="B2914" t="str">
        <f xml:space="preserve"> "000613"</f>
        <v>000613</v>
      </c>
      <c r="C2914" t="s">
        <v>8483</v>
      </c>
      <c r="D2914">
        <v>10.31</v>
      </c>
      <c r="E2914">
        <v>1.58</v>
      </c>
      <c r="F2914">
        <v>0.16</v>
      </c>
      <c r="G2914" t="s">
        <v>1786</v>
      </c>
      <c r="H2914">
        <v>1207</v>
      </c>
      <c r="I2914">
        <v>10.31</v>
      </c>
      <c r="J2914">
        <v>10.32</v>
      </c>
      <c r="K2914">
        <v>0.19</v>
      </c>
      <c r="L2914">
        <v>1.45</v>
      </c>
      <c r="M2914" t="s">
        <v>8484</v>
      </c>
      <c r="N2914">
        <v>1091.72</v>
      </c>
      <c r="O2914" t="s">
        <v>951</v>
      </c>
      <c r="P2914">
        <v>10.43</v>
      </c>
      <c r="Q2914">
        <v>10.1</v>
      </c>
      <c r="R2914">
        <v>10.16</v>
      </c>
      <c r="S2914">
        <v>10.15</v>
      </c>
      <c r="T2914">
        <v>3.25</v>
      </c>
      <c r="U2914">
        <v>0.83</v>
      </c>
      <c r="V2914">
        <v>-4.01</v>
      </c>
      <c r="W2914">
        <v>-135</v>
      </c>
      <c r="X2914">
        <v>10.28</v>
      </c>
      <c r="Y2914" t="s">
        <v>3042</v>
      </c>
      <c r="Z2914" t="s">
        <v>3158</v>
      </c>
      <c r="AA2914">
        <v>1.0900000000000001</v>
      </c>
      <c r="AB2914">
        <v>1321</v>
      </c>
      <c r="AC2914">
        <v>232</v>
      </c>
      <c r="AD2914">
        <v>49.4</v>
      </c>
      <c r="AE2914" t="s">
        <v>2063</v>
      </c>
      <c r="AF2914" t="s">
        <v>1394</v>
      </c>
      <c r="AG2914" t="s">
        <v>2504</v>
      </c>
      <c r="AH2914" t="s">
        <v>2608</v>
      </c>
      <c r="AI2914">
        <v>2.38</v>
      </c>
      <c r="AJ2914">
        <v>2.69</v>
      </c>
      <c r="AK2914">
        <v>6.4</v>
      </c>
      <c r="AL2914">
        <v>10.17</v>
      </c>
    </row>
    <row r="2915" spans="1:38" x14ac:dyDescent="0.25">
      <c r="A2915">
        <v>2914</v>
      </c>
      <c r="B2915" t="str">
        <f xml:space="preserve"> "002719"</f>
        <v>002719</v>
      </c>
      <c r="C2915" t="s">
        <v>8485</v>
      </c>
      <c r="D2915">
        <v>34.49</v>
      </c>
      <c r="E2915">
        <v>0.17</v>
      </c>
      <c r="F2915">
        <v>0.06</v>
      </c>
      <c r="G2915" t="s">
        <v>3825</v>
      </c>
      <c r="H2915">
        <v>400</v>
      </c>
      <c r="I2915">
        <v>34.49</v>
      </c>
      <c r="J2915">
        <v>34.5</v>
      </c>
      <c r="K2915">
        <v>0.09</v>
      </c>
      <c r="L2915">
        <v>2.74</v>
      </c>
      <c r="M2915" t="s">
        <v>8486</v>
      </c>
      <c r="N2915">
        <v>165.27</v>
      </c>
      <c r="O2915" t="s">
        <v>406</v>
      </c>
      <c r="P2915">
        <v>35.44</v>
      </c>
      <c r="Q2915">
        <v>34.119999999999997</v>
      </c>
      <c r="R2915">
        <v>34.4</v>
      </c>
      <c r="S2915">
        <v>34.43</v>
      </c>
      <c r="T2915">
        <v>3.83</v>
      </c>
      <c r="U2915">
        <v>0.85</v>
      </c>
      <c r="V2915">
        <v>24.31</v>
      </c>
      <c r="W2915">
        <v>86</v>
      </c>
      <c r="X2915">
        <v>34.71</v>
      </c>
      <c r="Y2915" t="s">
        <v>2089</v>
      </c>
      <c r="Z2915" t="s">
        <v>2800</v>
      </c>
      <c r="AA2915">
        <v>1.1499999999999999</v>
      </c>
      <c r="AB2915">
        <v>14</v>
      </c>
      <c r="AC2915">
        <v>5</v>
      </c>
      <c r="AD2915">
        <v>3.27</v>
      </c>
      <c r="AE2915" t="s">
        <v>4443</v>
      </c>
      <c r="AF2915" t="s">
        <v>1394</v>
      </c>
      <c r="AG2915" t="s">
        <v>8487</v>
      </c>
      <c r="AH2915" t="s">
        <v>2209</v>
      </c>
      <c r="AI2915">
        <v>5.25</v>
      </c>
      <c r="AJ2915">
        <v>7.88</v>
      </c>
      <c r="AK2915">
        <v>13.37</v>
      </c>
      <c r="AL2915">
        <v>18.920000000000002</v>
      </c>
    </row>
    <row r="2916" spans="1:38" x14ac:dyDescent="0.25">
      <c r="A2916">
        <v>2915</v>
      </c>
      <c r="B2916" t="str">
        <f xml:space="preserve"> "603721"</f>
        <v>603721</v>
      </c>
      <c r="C2916" t="s">
        <v>8488</v>
      </c>
      <c r="D2916">
        <v>37.520000000000003</v>
      </c>
      <c r="E2916">
        <v>5.07</v>
      </c>
      <c r="F2916">
        <v>1.81</v>
      </c>
      <c r="G2916" t="s">
        <v>3585</v>
      </c>
      <c r="H2916">
        <v>6</v>
      </c>
      <c r="I2916">
        <v>37.46</v>
      </c>
      <c r="J2916">
        <v>37.479999999999997</v>
      </c>
      <c r="K2916">
        <v>0.35</v>
      </c>
      <c r="L2916">
        <v>14.62</v>
      </c>
      <c r="M2916" t="s">
        <v>3058</v>
      </c>
      <c r="N2916">
        <v>42.46</v>
      </c>
      <c r="O2916" t="s">
        <v>1126</v>
      </c>
      <c r="P2916">
        <v>38.380000000000003</v>
      </c>
      <c r="Q2916">
        <v>35.659999999999997</v>
      </c>
      <c r="R2916">
        <v>35.71</v>
      </c>
      <c r="S2916">
        <v>35.71</v>
      </c>
      <c r="T2916">
        <v>7.62</v>
      </c>
      <c r="U2916">
        <v>1.66</v>
      </c>
      <c r="V2916">
        <v>-70.67</v>
      </c>
      <c r="W2916">
        <v>-106</v>
      </c>
      <c r="X2916">
        <v>37.44</v>
      </c>
      <c r="Y2916" t="s">
        <v>1278</v>
      </c>
      <c r="Z2916" t="s">
        <v>4118</v>
      </c>
      <c r="AA2916">
        <v>0.79</v>
      </c>
      <c r="AB2916">
        <v>4</v>
      </c>
      <c r="AC2916">
        <v>10</v>
      </c>
      <c r="AD2916">
        <v>7.21</v>
      </c>
      <c r="AE2916" t="s">
        <v>4464</v>
      </c>
      <c r="AF2916" t="s">
        <v>1394</v>
      </c>
      <c r="AG2916" t="s">
        <v>5931</v>
      </c>
      <c r="AH2916" t="s">
        <v>214</v>
      </c>
      <c r="AI2916">
        <v>1.1299999999999999</v>
      </c>
      <c r="AJ2916">
        <v>5.36</v>
      </c>
      <c r="AK2916">
        <v>32.96</v>
      </c>
      <c r="AL2916">
        <v>58.76</v>
      </c>
    </row>
    <row r="2917" spans="1:38" x14ac:dyDescent="0.25">
      <c r="A2917">
        <v>2916</v>
      </c>
      <c r="B2917" t="str">
        <f xml:space="preserve"> "000573"</f>
        <v>000573</v>
      </c>
      <c r="C2917" t="s">
        <v>8489</v>
      </c>
      <c r="D2917">
        <v>6.02</v>
      </c>
      <c r="E2917">
        <v>0.17</v>
      </c>
      <c r="F2917">
        <v>0.01</v>
      </c>
      <c r="G2917" t="s">
        <v>2124</v>
      </c>
      <c r="H2917">
        <v>550</v>
      </c>
      <c r="I2917">
        <v>6.02</v>
      </c>
      <c r="J2917">
        <v>6.03</v>
      </c>
      <c r="K2917">
        <v>0</v>
      </c>
      <c r="L2917">
        <v>0.63</v>
      </c>
      <c r="M2917" t="s">
        <v>8490</v>
      </c>
      <c r="N2917">
        <v>26.92</v>
      </c>
      <c r="O2917" t="s">
        <v>244</v>
      </c>
      <c r="P2917">
        <v>6.04</v>
      </c>
      <c r="Q2917">
        <v>5.97</v>
      </c>
      <c r="R2917">
        <v>6</v>
      </c>
      <c r="S2917">
        <v>6.01</v>
      </c>
      <c r="T2917">
        <v>1.1599999999999999</v>
      </c>
      <c r="U2917">
        <v>0.67</v>
      </c>
      <c r="V2917">
        <v>-5.93</v>
      </c>
      <c r="W2917">
        <v>-459</v>
      </c>
      <c r="X2917">
        <v>6</v>
      </c>
      <c r="Y2917" t="s">
        <v>113</v>
      </c>
      <c r="Z2917" t="s">
        <v>1886</v>
      </c>
      <c r="AA2917">
        <v>1.2</v>
      </c>
      <c r="AB2917">
        <v>303</v>
      </c>
      <c r="AC2917">
        <v>819</v>
      </c>
      <c r="AD2917">
        <v>2.19</v>
      </c>
      <c r="AE2917" t="s">
        <v>1337</v>
      </c>
      <c r="AF2917" t="s">
        <v>1394</v>
      </c>
      <c r="AG2917" t="s">
        <v>3470</v>
      </c>
      <c r="AH2917" t="s">
        <v>1394</v>
      </c>
      <c r="AI2917">
        <v>-0.17</v>
      </c>
      <c r="AJ2917">
        <v>1.69</v>
      </c>
      <c r="AK2917">
        <v>2.2599999999999998</v>
      </c>
      <c r="AL2917">
        <v>5.39</v>
      </c>
    </row>
    <row r="2918" spans="1:38" x14ac:dyDescent="0.25">
      <c r="A2918">
        <v>2917</v>
      </c>
      <c r="B2918" t="str">
        <f xml:space="preserve"> "300030"</f>
        <v>300030</v>
      </c>
      <c r="C2918" t="s">
        <v>8491</v>
      </c>
      <c r="D2918">
        <v>12.14</v>
      </c>
      <c r="E2918">
        <v>-1.3</v>
      </c>
      <c r="F2918">
        <v>-0.16</v>
      </c>
      <c r="G2918" t="s">
        <v>4765</v>
      </c>
      <c r="H2918">
        <v>4339</v>
      </c>
      <c r="I2918">
        <v>12.13</v>
      </c>
      <c r="J2918">
        <v>12.14</v>
      </c>
      <c r="K2918">
        <v>-0.08</v>
      </c>
      <c r="L2918">
        <v>9.48</v>
      </c>
      <c r="M2918" t="s">
        <v>6621</v>
      </c>
      <c r="N2918">
        <v>141.69</v>
      </c>
      <c r="O2918" t="s">
        <v>1552</v>
      </c>
      <c r="P2918">
        <v>12.55</v>
      </c>
      <c r="Q2918">
        <v>12.01</v>
      </c>
      <c r="R2918">
        <v>12.15</v>
      </c>
      <c r="S2918">
        <v>12.3</v>
      </c>
      <c r="T2918">
        <v>4.3899999999999997</v>
      </c>
      <c r="U2918">
        <v>1.01</v>
      </c>
      <c r="V2918">
        <v>31.57</v>
      </c>
      <c r="W2918">
        <v>1128</v>
      </c>
      <c r="X2918">
        <v>12.26</v>
      </c>
      <c r="Y2918" t="s">
        <v>132</v>
      </c>
      <c r="Z2918" t="s">
        <v>873</v>
      </c>
      <c r="AA2918">
        <v>0.97</v>
      </c>
      <c r="AB2918">
        <v>233</v>
      </c>
      <c r="AC2918">
        <v>100</v>
      </c>
      <c r="AD2918">
        <v>3.92</v>
      </c>
      <c r="AE2918" t="s">
        <v>3440</v>
      </c>
      <c r="AF2918" t="s">
        <v>1394</v>
      </c>
      <c r="AG2918" t="s">
        <v>5050</v>
      </c>
      <c r="AH2918" t="s">
        <v>2108</v>
      </c>
      <c r="AI2918">
        <v>-2.1</v>
      </c>
      <c r="AJ2918">
        <v>9.07</v>
      </c>
      <c r="AK2918">
        <v>44.52</v>
      </c>
      <c r="AL2918">
        <v>56.3</v>
      </c>
    </row>
    <row r="2919" spans="1:38" x14ac:dyDescent="0.25">
      <c r="A2919">
        <v>2918</v>
      </c>
      <c r="B2919" t="str">
        <f xml:space="preserve"> "002046"</f>
        <v>002046</v>
      </c>
      <c r="C2919" t="s">
        <v>8492</v>
      </c>
      <c r="D2919">
        <v>10.6</v>
      </c>
      <c r="E2919">
        <v>1.34</v>
      </c>
      <c r="F2919">
        <v>0.14000000000000001</v>
      </c>
      <c r="G2919" t="s">
        <v>2416</v>
      </c>
      <c r="H2919">
        <v>1705</v>
      </c>
      <c r="I2919">
        <v>10.6</v>
      </c>
      <c r="J2919">
        <v>10.61</v>
      </c>
      <c r="K2919">
        <v>0</v>
      </c>
      <c r="L2919">
        <v>1.81</v>
      </c>
      <c r="M2919" t="s">
        <v>8493</v>
      </c>
      <c r="N2919">
        <v>-252.28</v>
      </c>
      <c r="O2919" t="s">
        <v>648</v>
      </c>
      <c r="P2919">
        <v>10.77</v>
      </c>
      <c r="Q2919">
        <v>10.5</v>
      </c>
      <c r="R2919">
        <v>10.5</v>
      </c>
      <c r="S2919">
        <v>10.46</v>
      </c>
      <c r="T2919">
        <v>2.58</v>
      </c>
      <c r="U2919">
        <v>1.97</v>
      </c>
      <c r="V2919">
        <v>-12.73</v>
      </c>
      <c r="W2919">
        <v>-456</v>
      </c>
      <c r="X2919">
        <v>10.65</v>
      </c>
      <c r="Y2919" t="s">
        <v>1199</v>
      </c>
      <c r="Z2919" t="s">
        <v>1908</v>
      </c>
      <c r="AA2919">
        <v>0.92</v>
      </c>
      <c r="AB2919">
        <v>205</v>
      </c>
      <c r="AC2919">
        <v>592</v>
      </c>
      <c r="AD2919">
        <v>2.77</v>
      </c>
      <c r="AE2919" t="s">
        <v>4458</v>
      </c>
      <c r="AF2919" t="s">
        <v>1394</v>
      </c>
      <c r="AG2919" t="s">
        <v>1034</v>
      </c>
      <c r="AH2919" t="s">
        <v>3649</v>
      </c>
      <c r="AI2919">
        <v>0.09</v>
      </c>
      <c r="AJ2919">
        <v>2.02</v>
      </c>
      <c r="AK2919">
        <v>3.81</v>
      </c>
      <c r="AL2919">
        <v>6.41</v>
      </c>
    </row>
    <row r="2920" spans="1:38" x14ac:dyDescent="0.25">
      <c r="A2920">
        <v>2919</v>
      </c>
      <c r="B2920" t="str">
        <f xml:space="preserve"> "600810"</f>
        <v>600810</v>
      </c>
      <c r="C2920" t="s">
        <v>8494</v>
      </c>
      <c r="D2920">
        <v>8.4700000000000006</v>
      </c>
      <c r="E2920">
        <v>1.44</v>
      </c>
      <c r="F2920">
        <v>0.12</v>
      </c>
      <c r="G2920" t="s">
        <v>928</v>
      </c>
      <c r="H2920">
        <v>11</v>
      </c>
      <c r="I2920">
        <v>8.4600000000000009</v>
      </c>
      <c r="J2920">
        <v>8.4700000000000006</v>
      </c>
      <c r="K2920">
        <v>0</v>
      </c>
      <c r="L2920">
        <v>0.74</v>
      </c>
      <c r="M2920" t="s">
        <v>8282</v>
      </c>
      <c r="N2920">
        <v>37.31</v>
      </c>
      <c r="O2920" t="s">
        <v>1798</v>
      </c>
      <c r="P2920">
        <v>8.51</v>
      </c>
      <c r="Q2920">
        <v>8.34</v>
      </c>
      <c r="R2920">
        <v>8.3800000000000008</v>
      </c>
      <c r="S2920">
        <v>8.35</v>
      </c>
      <c r="T2920">
        <v>2.04</v>
      </c>
      <c r="U2920">
        <v>1.42</v>
      </c>
      <c r="V2920">
        <v>-4.91</v>
      </c>
      <c r="W2920">
        <v>-246</v>
      </c>
      <c r="X2920">
        <v>8.4499999999999993</v>
      </c>
      <c r="Y2920" t="s">
        <v>3234</v>
      </c>
      <c r="Z2920" t="s">
        <v>2383</v>
      </c>
      <c r="AA2920">
        <v>0.76</v>
      </c>
      <c r="AB2920">
        <v>189</v>
      </c>
      <c r="AC2920">
        <v>196</v>
      </c>
      <c r="AD2920">
        <v>1.49</v>
      </c>
      <c r="AE2920" t="s">
        <v>3259</v>
      </c>
      <c r="AF2920" t="s">
        <v>1394</v>
      </c>
      <c r="AG2920" t="s">
        <v>3259</v>
      </c>
      <c r="AH2920" t="s">
        <v>1394</v>
      </c>
      <c r="AI2920">
        <v>1.07</v>
      </c>
      <c r="AJ2920">
        <v>4.7</v>
      </c>
      <c r="AK2920">
        <v>1.9</v>
      </c>
      <c r="AL2920">
        <v>3.33</v>
      </c>
    </row>
    <row r="2921" spans="1:38" x14ac:dyDescent="0.25">
      <c r="A2921">
        <v>2920</v>
      </c>
      <c r="B2921" t="str">
        <f xml:space="preserve"> "300620"</f>
        <v>300620</v>
      </c>
      <c r="C2921" t="s">
        <v>8495</v>
      </c>
      <c r="D2921">
        <v>42.55</v>
      </c>
      <c r="E2921">
        <v>0.66</v>
      </c>
      <c r="F2921">
        <v>0.28000000000000003</v>
      </c>
      <c r="G2921" t="s">
        <v>124</v>
      </c>
      <c r="H2921">
        <v>221</v>
      </c>
      <c r="I2921">
        <v>42.55</v>
      </c>
      <c r="J2921">
        <v>42.56</v>
      </c>
      <c r="K2921">
        <v>0</v>
      </c>
      <c r="L2921">
        <v>5.74</v>
      </c>
      <c r="M2921" t="s">
        <v>4055</v>
      </c>
      <c r="N2921">
        <v>73.81</v>
      </c>
      <c r="O2921" t="s">
        <v>580</v>
      </c>
      <c r="P2921">
        <v>43.07</v>
      </c>
      <c r="Q2921">
        <v>42.03</v>
      </c>
      <c r="R2921">
        <v>42.43</v>
      </c>
      <c r="S2921">
        <v>42.27</v>
      </c>
      <c r="T2921">
        <v>2.46</v>
      </c>
      <c r="U2921">
        <v>0.54</v>
      </c>
      <c r="V2921">
        <v>52.17</v>
      </c>
      <c r="W2921">
        <v>218</v>
      </c>
      <c r="X2921">
        <v>42.68</v>
      </c>
      <c r="Y2921">
        <v>6544</v>
      </c>
      <c r="Z2921">
        <v>6083</v>
      </c>
      <c r="AA2921">
        <v>1.08</v>
      </c>
      <c r="AB2921">
        <v>116</v>
      </c>
      <c r="AC2921">
        <v>16</v>
      </c>
      <c r="AD2921">
        <v>8.4700000000000006</v>
      </c>
      <c r="AE2921" t="s">
        <v>7464</v>
      </c>
      <c r="AF2921" t="s">
        <v>3933</v>
      </c>
      <c r="AG2921" t="s">
        <v>7465</v>
      </c>
      <c r="AH2921" t="s">
        <v>4943</v>
      </c>
      <c r="AI2921">
        <v>-2.96</v>
      </c>
      <c r="AJ2921">
        <v>-2.7</v>
      </c>
      <c r="AK2921">
        <v>23.07</v>
      </c>
      <c r="AL2921">
        <v>59.41</v>
      </c>
    </row>
    <row r="2922" spans="1:38" x14ac:dyDescent="0.25">
      <c r="A2922">
        <v>2921</v>
      </c>
      <c r="B2922" t="str">
        <f xml:space="preserve"> "603520"</f>
        <v>603520</v>
      </c>
      <c r="C2922" t="s">
        <v>8496</v>
      </c>
      <c r="D2922">
        <v>31.19</v>
      </c>
      <c r="E2922">
        <v>5.55</v>
      </c>
      <c r="F2922">
        <v>1.64</v>
      </c>
      <c r="G2922" t="s">
        <v>3070</v>
      </c>
      <c r="H2922">
        <v>13</v>
      </c>
      <c r="I2922">
        <v>31.17</v>
      </c>
      <c r="J2922">
        <v>31.21</v>
      </c>
      <c r="K2922">
        <v>0.03</v>
      </c>
      <c r="L2922">
        <v>7.22</v>
      </c>
      <c r="M2922" t="s">
        <v>2106</v>
      </c>
      <c r="N2922">
        <v>34.340000000000003</v>
      </c>
      <c r="O2922" t="s">
        <v>392</v>
      </c>
      <c r="P2922">
        <v>31.22</v>
      </c>
      <c r="Q2922">
        <v>29.58</v>
      </c>
      <c r="R2922">
        <v>29.58</v>
      </c>
      <c r="S2922">
        <v>29.55</v>
      </c>
      <c r="T2922">
        <v>5.55</v>
      </c>
      <c r="U2922">
        <v>3.49</v>
      </c>
      <c r="V2922">
        <v>-62.18</v>
      </c>
      <c r="W2922">
        <v>-654</v>
      </c>
      <c r="X2922">
        <v>30.75</v>
      </c>
      <c r="Y2922" t="s">
        <v>1113</v>
      </c>
      <c r="Z2922" t="s">
        <v>4200</v>
      </c>
      <c r="AA2922">
        <v>0.61</v>
      </c>
      <c r="AB2922">
        <v>113</v>
      </c>
      <c r="AC2922">
        <v>36</v>
      </c>
      <c r="AD2922">
        <v>4.5199999999999996</v>
      </c>
      <c r="AE2922" t="s">
        <v>918</v>
      </c>
      <c r="AF2922" t="s">
        <v>3933</v>
      </c>
      <c r="AG2922" t="s">
        <v>8497</v>
      </c>
      <c r="AH2922" t="s">
        <v>809</v>
      </c>
      <c r="AI2922">
        <v>3.86</v>
      </c>
      <c r="AJ2922">
        <v>9.06</v>
      </c>
      <c r="AK2922">
        <v>11.59</v>
      </c>
      <c r="AL2922">
        <v>17.57</v>
      </c>
    </row>
    <row r="2923" spans="1:38" x14ac:dyDescent="0.25">
      <c r="A2923">
        <v>2922</v>
      </c>
      <c r="B2923" t="str">
        <f xml:space="preserve"> "600222"</f>
        <v>600222</v>
      </c>
      <c r="C2923" t="s">
        <v>8498</v>
      </c>
      <c r="D2923">
        <v>6.52</v>
      </c>
      <c r="E2923">
        <v>-0.15</v>
      </c>
      <c r="F2923">
        <v>-0.01</v>
      </c>
      <c r="G2923" t="s">
        <v>4556</v>
      </c>
      <c r="H2923">
        <v>8</v>
      </c>
      <c r="I2923">
        <v>6.5</v>
      </c>
      <c r="J2923">
        <v>6.52</v>
      </c>
      <c r="K2923">
        <v>0</v>
      </c>
      <c r="L2923">
        <v>1.1399999999999999</v>
      </c>
      <c r="M2923" t="s">
        <v>8499</v>
      </c>
      <c r="N2923">
        <v>813.62</v>
      </c>
      <c r="O2923" t="s">
        <v>392</v>
      </c>
      <c r="P2923">
        <v>6.57</v>
      </c>
      <c r="Q2923">
        <v>6.47</v>
      </c>
      <c r="R2923">
        <v>6.53</v>
      </c>
      <c r="S2923">
        <v>6.53</v>
      </c>
      <c r="T2923">
        <v>1.53</v>
      </c>
      <c r="U2923">
        <v>0.91</v>
      </c>
      <c r="V2923">
        <v>-18.3</v>
      </c>
      <c r="W2923">
        <v>-1091</v>
      </c>
      <c r="X2923">
        <v>6.52</v>
      </c>
      <c r="Y2923" t="s">
        <v>3822</v>
      </c>
      <c r="Z2923" t="s">
        <v>2099</v>
      </c>
      <c r="AA2923">
        <v>1.22</v>
      </c>
      <c r="AB2923">
        <v>712</v>
      </c>
      <c r="AC2923">
        <v>37</v>
      </c>
      <c r="AD2923">
        <v>2.52</v>
      </c>
      <c r="AE2923" t="s">
        <v>5873</v>
      </c>
      <c r="AF2923" t="s">
        <v>3933</v>
      </c>
      <c r="AG2923" t="s">
        <v>2024</v>
      </c>
      <c r="AH2923" t="s">
        <v>7340</v>
      </c>
      <c r="AI2923">
        <v>0.93</v>
      </c>
      <c r="AJ2923">
        <v>3.82</v>
      </c>
      <c r="AK2923">
        <v>4.49</v>
      </c>
      <c r="AL2923">
        <v>7.46</v>
      </c>
    </row>
    <row r="2924" spans="1:38" x14ac:dyDescent="0.25">
      <c r="A2924">
        <v>2923</v>
      </c>
      <c r="B2924" t="str">
        <f xml:space="preserve"> "002598"</f>
        <v>002598</v>
      </c>
      <c r="C2924" t="s">
        <v>8500</v>
      </c>
      <c r="D2924">
        <v>11.99</v>
      </c>
      <c r="E2924">
        <v>-0.5</v>
      </c>
      <c r="F2924">
        <v>-0.06</v>
      </c>
      <c r="G2924">
        <v>7891</v>
      </c>
      <c r="H2924">
        <v>149</v>
      </c>
      <c r="I2924">
        <v>11.98</v>
      </c>
      <c r="J2924">
        <v>11.99</v>
      </c>
      <c r="K2924">
        <v>0</v>
      </c>
      <c r="L2924">
        <v>0.3</v>
      </c>
      <c r="M2924" t="s">
        <v>8501</v>
      </c>
      <c r="N2924">
        <v>59.45</v>
      </c>
      <c r="O2924" t="s">
        <v>648</v>
      </c>
      <c r="P2924">
        <v>12.07</v>
      </c>
      <c r="Q2924">
        <v>11.91</v>
      </c>
      <c r="R2924">
        <v>12.07</v>
      </c>
      <c r="S2924">
        <v>12.05</v>
      </c>
      <c r="T2924">
        <v>1.33</v>
      </c>
      <c r="U2924">
        <v>0.46</v>
      </c>
      <c r="V2924">
        <v>15.53</v>
      </c>
      <c r="W2924">
        <v>375</v>
      </c>
      <c r="X2924">
        <v>11.98</v>
      </c>
      <c r="Y2924">
        <v>4225</v>
      </c>
      <c r="Z2924">
        <v>3667</v>
      </c>
      <c r="AA2924">
        <v>1.1499999999999999</v>
      </c>
      <c r="AB2924">
        <v>16</v>
      </c>
      <c r="AC2924">
        <v>267</v>
      </c>
      <c r="AD2924">
        <v>5.21</v>
      </c>
      <c r="AE2924" t="s">
        <v>5539</v>
      </c>
      <c r="AF2924" t="s">
        <v>3933</v>
      </c>
      <c r="AG2924" t="s">
        <v>4143</v>
      </c>
      <c r="AH2924" t="s">
        <v>4298</v>
      </c>
      <c r="AI2924">
        <v>-1.48</v>
      </c>
      <c r="AJ2924">
        <v>2.57</v>
      </c>
      <c r="AK2924">
        <v>1.49</v>
      </c>
      <c r="AL2924">
        <v>3.49</v>
      </c>
    </row>
    <row r="2925" spans="1:38" x14ac:dyDescent="0.25">
      <c r="A2925">
        <v>2924</v>
      </c>
      <c r="B2925" t="str">
        <f xml:space="preserve"> "603828"</f>
        <v>603828</v>
      </c>
      <c r="C2925" t="s">
        <v>8502</v>
      </c>
      <c r="D2925">
        <v>11.32</v>
      </c>
      <c r="E2925">
        <v>0.89</v>
      </c>
      <c r="F2925">
        <v>0.1</v>
      </c>
      <c r="G2925" t="s">
        <v>6749</v>
      </c>
      <c r="H2925">
        <v>20</v>
      </c>
      <c r="I2925">
        <v>11.31</v>
      </c>
      <c r="J2925">
        <v>11.33</v>
      </c>
      <c r="K2925">
        <v>0.09</v>
      </c>
      <c r="L2925">
        <v>2.0499999999999998</v>
      </c>
      <c r="M2925" t="s">
        <v>8503</v>
      </c>
      <c r="N2925">
        <v>89</v>
      </c>
      <c r="O2925" t="s">
        <v>2309</v>
      </c>
      <c r="P2925">
        <v>11.38</v>
      </c>
      <c r="Q2925">
        <v>11.1</v>
      </c>
      <c r="R2925">
        <v>11.35</v>
      </c>
      <c r="S2925">
        <v>11.22</v>
      </c>
      <c r="T2925">
        <v>2.5</v>
      </c>
      <c r="U2925">
        <v>0.82</v>
      </c>
      <c r="V2925">
        <v>18.25</v>
      </c>
      <c r="W2925">
        <v>280</v>
      </c>
      <c r="X2925">
        <v>11.26</v>
      </c>
      <c r="Y2925" t="s">
        <v>2089</v>
      </c>
      <c r="Z2925" t="s">
        <v>75</v>
      </c>
      <c r="AA2925">
        <v>1.18</v>
      </c>
      <c r="AB2925">
        <v>10</v>
      </c>
      <c r="AC2925">
        <v>32</v>
      </c>
      <c r="AD2925">
        <v>3.7</v>
      </c>
      <c r="AE2925" t="s">
        <v>1417</v>
      </c>
      <c r="AF2925" t="s">
        <v>3933</v>
      </c>
      <c r="AG2925" t="s">
        <v>1120</v>
      </c>
      <c r="AH2925" t="s">
        <v>2659</v>
      </c>
      <c r="AI2925">
        <v>1.07</v>
      </c>
      <c r="AJ2925">
        <v>5.79</v>
      </c>
      <c r="AK2925">
        <v>8.4600000000000009</v>
      </c>
      <c r="AL2925">
        <v>14.58</v>
      </c>
    </row>
    <row r="2926" spans="1:38" x14ac:dyDescent="0.25">
      <c r="A2926">
        <v>2925</v>
      </c>
      <c r="B2926" t="str">
        <f xml:space="preserve"> "002492"</f>
        <v>002492</v>
      </c>
      <c r="C2926" t="s">
        <v>8504</v>
      </c>
      <c r="D2926">
        <v>9.2100000000000009</v>
      </c>
      <c r="E2926">
        <v>-0.54</v>
      </c>
      <c r="F2926">
        <v>-0.05</v>
      </c>
      <c r="G2926" t="s">
        <v>2844</v>
      </c>
      <c r="H2926">
        <v>845</v>
      </c>
      <c r="I2926">
        <v>9.1999999999999993</v>
      </c>
      <c r="J2926">
        <v>9.2100000000000009</v>
      </c>
      <c r="K2926">
        <v>-0.11</v>
      </c>
      <c r="L2926">
        <v>1.86</v>
      </c>
      <c r="M2926" t="s">
        <v>8505</v>
      </c>
      <c r="N2926">
        <v>48.07</v>
      </c>
      <c r="O2926" t="s">
        <v>274</v>
      </c>
      <c r="P2926">
        <v>9.34</v>
      </c>
      <c r="Q2926">
        <v>9.1300000000000008</v>
      </c>
      <c r="R2926">
        <v>9.2899999999999991</v>
      </c>
      <c r="S2926">
        <v>9.26</v>
      </c>
      <c r="T2926">
        <v>2.27</v>
      </c>
      <c r="U2926">
        <v>0.86</v>
      </c>
      <c r="V2926">
        <v>30.35</v>
      </c>
      <c r="W2926">
        <v>631</v>
      </c>
      <c r="X2926">
        <v>9.24</v>
      </c>
      <c r="Y2926" t="s">
        <v>2481</v>
      </c>
      <c r="Z2926" t="s">
        <v>2731</v>
      </c>
      <c r="AA2926">
        <v>1.77</v>
      </c>
      <c r="AB2926">
        <v>158</v>
      </c>
      <c r="AC2926">
        <v>18</v>
      </c>
      <c r="AD2926">
        <v>3.17</v>
      </c>
      <c r="AE2926" t="s">
        <v>2626</v>
      </c>
      <c r="AF2926" t="s">
        <v>6791</v>
      </c>
      <c r="AG2926" t="s">
        <v>82</v>
      </c>
      <c r="AH2926" t="s">
        <v>1029</v>
      </c>
      <c r="AI2926">
        <v>1.99</v>
      </c>
      <c r="AJ2926">
        <v>7.09</v>
      </c>
      <c r="AK2926">
        <v>8.44</v>
      </c>
      <c r="AL2926">
        <v>12.73</v>
      </c>
    </row>
    <row r="2927" spans="1:38" x14ac:dyDescent="0.25">
      <c r="A2927">
        <v>2926</v>
      </c>
      <c r="B2927" t="str">
        <f xml:space="preserve"> "002674"</f>
        <v>002674</v>
      </c>
      <c r="C2927" t="s">
        <v>8506</v>
      </c>
      <c r="D2927">
        <v>12.33</v>
      </c>
      <c r="E2927">
        <v>0.82</v>
      </c>
      <c r="F2927">
        <v>0.1</v>
      </c>
      <c r="G2927" t="s">
        <v>3062</v>
      </c>
      <c r="H2927">
        <v>1524</v>
      </c>
      <c r="I2927">
        <v>12.32</v>
      </c>
      <c r="J2927">
        <v>12.33</v>
      </c>
      <c r="K2927">
        <v>0.08</v>
      </c>
      <c r="L2927">
        <v>0.83</v>
      </c>
      <c r="M2927" t="s">
        <v>7861</v>
      </c>
      <c r="N2927">
        <v>77.08</v>
      </c>
      <c r="O2927" t="s">
        <v>1443</v>
      </c>
      <c r="P2927">
        <v>12.33</v>
      </c>
      <c r="Q2927">
        <v>12.2</v>
      </c>
      <c r="R2927">
        <v>12.25</v>
      </c>
      <c r="S2927">
        <v>12.23</v>
      </c>
      <c r="T2927">
        <v>1.06</v>
      </c>
      <c r="U2927">
        <v>1.1599999999999999</v>
      </c>
      <c r="V2927">
        <v>-43.84</v>
      </c>
      <c r="W2927">
        <v>-1238</v>
      </c>
      <c r="X2927">
        <v>12.28</v>
      </c>
      <c r="Y2927">
        <v>8522</v>
      </c>
      <c r="Z2927" t="s">
        <v>1869</v>
      </c>
      <c r="AA2927">
        <v>0.75</v>
      </c>
      <c r="AB2927">
        <v>399</v>
      </c>
      <c r="AC2927">
        <v>716</v>
      </c>
      <c r="AD2927">
        <v>1.6</v>
      </c>
      <c r="AE2927" t="s">
        <v>1857</v>
      </c>
      <c r="AF2927" t="s">
        <v>6791</v>
      </c>
      <c r="AG2927" t="s">
        <v>4129</v>
      </c>
      <c r="AH2927" t="s">
        <v>1850</v>
      </c>
      <c r="AI2927">
        <v>0.65</v>
      </c>
      <c r="AJ2927">
        <v>1.99</v>
      </c>
      <c r="AK2927">
        <v>2.4900000000000002</v>
      </c>
      <c r="AL2927">
        <v>4.3899999999999997</v>
      </c>
    </row>
    <row r="2928" spans="1:38" x14ac:dyDescent="0.25">
      <c r="A2928">
        <v>2927</v>
      </c>
      <c r="B2928" t="str">
        <f xml:space="preserve"> "603926"</f>
        <v>603926</v>
      </c>
      <c r="C2928" t="s">
        <v>8507</v>
      </c>
      <c r="D2928">
        <v>31.01</v>
      </c>
      <c r="E2928">
        <v>1.97</v>
      </c>
      <c r="F2928">
        <v>0.6</v>
      </c>
      <c r="G2928" t="s">
        <v>3387</v>
      </c>
      <c r="H2928">
        <v>1</v>
      </c>
      <c r="I2928">
        <v>30.98</v>
      </c>
      <c r="J2928">
        <v>31.03</v>
      </c>
      <c r="K2928">
        <v>0.03</v>
      </c>
      <c r="L2928">
        <v>6.48</v>
      </c>
      <c r="M2928" t="s">
        <v>8508</v>
      </c>
      <c r="N2928">
        <v>34.659999999999997</v>
      </c>
      <c r="O2928" t="s">
        <v>169</v>
      </c>
      <c r="P2928">
        <v>31.08</v>
      </c>
      <c r="Q2928">
        <v>30.32</v>
      </c>
      <c r="R2928">
        <v>30.5</v>
      </c>
      <c r="S2928">
        <v>30.41</v>
      </c>
      <c r="T2928">
        <v>2.5</v>
      </c>
      <c r="U2928">
        <v>1.71</v>
      </c>
      <c r="V2928">
        <v>-20.399999999999999</v>
      </c>
      <c r="W2928">
        <v>-165</v>
      </c>
      <c r="X2928">
        <v>30.86</v>
      </c>
      <c r="Y2928">
        <v>7870</v>
      </c>
      <c r="Z2928" t="s">
        <v>3095</v>
      </c>
      <c r="AA2928">
        <v>0.68</v>
      </c>
      <c r="AB2928">
        <v>5</v>
      </c>
      <c r="AC2928">
        <v>5</v>
      </c>
      <c r="AD2928">
        <v>3.35</v>
      </c>
      <c r="AE2928" t="s">
        <v>918</v>
      </c>
      <c r="AF2928" t="s">
        <v>1815</v>
      </c>
      <c r="AG2928" t="s">
        <v>3067</v>
      </c>
      <c r="AH2928" t="s">
        <v>1548</v>
      </c>
      <c r="AI2928">
        <v>0.42</v>
      </c>
      <c r="AJ2928">
        <v>5.62</v>
      </c>
      <c r="AK2928">
        <v>13.62</v>
      </c>
      <c r="AL2928">
        <v>25.43</v>
      </c>
    </row>
    <row r="2929" spans="1:38" x14ac:dyDescent="0.25">
      <c r="A2929">
        <v>2928</v>
      </c>
      <c r="B2929" t="str">
        <f xml:space="preserve"> "300541"</f>
        <v>300541</v>
      </c>
      <c r="C2929" t="s">
        <v>8509</v>
      </c>
      <c r="D2929">
        <v>31.01</v>
      </c>
      <c r="E2929">
        <v>-0.93</v>
      </c>
      <c r="F2929">
        <v>-0.28999999999999998</v>
      </c>
      <c r="G2929" t="s">
        <v>2370</v>
      </c>
      <c r="H2929">
        <v>234</v>
      </c>
      <c r="I2929">
        <v>31.01</v>
      </c>
      <c r="J2929">
        <v>31.02</v>
      </c>
      <c r="K2929">
        <v>0.16</v>
      </c>
      <c r="L2929">
        <v>2.5299999999999998</v>
      </c>
      <c r="M2929" t="s">
        <v>8510</v>
      </c>
      <c r="N2929">
        <v>102.5</v>
      </c>
      <c r="O2929" t="s">
        <v>893</v>
      </c>
      <c r="P2929">
        <v>31.1</v>
      </c>
      <c r="Q2929">
        <v>30.46</v>
      </c>
      <c r="R2929">
        <v>31</v>
      </c>
      <c r="S2929">
        <v>31.3</v>
      </c>
      <c r="T2929">
        <v>2.04</v>
      </c>
      <c r="U2929">
        <v>0.87</v>
      </c>
      <c r="V2929">
        <v>6.04</v>
      </c>
      <c r="W2929">
        <v>22</v>
      </c>
      <c r="X2929">
        <v>30.82</v>
      </c>
      <c r="Y2929">
        <v>6396</v>
      </c>
      <c r="Z2929">
        <v>6413</v>
      </c>
      <c r="AA2929">
        <v>1</v>
      </c>
      <c r="AB2929">
        <v>26</v>
      </c>
      <c r="AC2929">
        <v>59</v>
      </c>
      <c r="AD2929">
        <v>5.2</v>
      </c>
      <c r="AE2929" t="s">
        <v>918</v>
      </c>
      <c r="AF2929" t="s">
        <v>1815</v>
      </c>
      <c r="AG2929" t="s">
        <v>8511</v>
      </c>
      <c r="AH2929" t="s">
        <v>2760</v>
      </c>
      <c r="AI2929">
        <v>-5.51</v>
      </c>
      <c r="AJ2929">
        <v>1.34</v>
      </c>
      <c r="AK2929">
        <v>8.11</v>
      </c>
      <c r="AL2929">
        <v>17.010000000000002</v>
      </c>
    </row>
    <row r="2930" spans="1:38" x14ac:dyDescent="0.25">
      <c r="A2930">
        <v>2929</v>
      </c>
      <c r="B2930" t="str">
        <f xml:space="preserve"> "300290"</f>
        <v>300290</v>
      </c>
      <c r="C2930" t="s">
        <v>8512</v>
      </c>
      <c r="D2930">
        <v>11.56</v>
      </c>
      <c r="E2930">
        <v>-0.94</v>
      </c>
      <c r="F2930">
        <v>-0.11</v>
      </c>
      <c r="G2930" t="s">
        <v>3680</v>
      </c>
      <c r="H2930">
        <v>1799</v>
      </c>
      <c r="I2930">
        <v>11.56</v>
      </c>
      <c r="J2930">
        <v>11.57</v>
      </c>
      <c r="K2930">
        <v>0</v>
      </c>
      <c r="L2930">
        <v>4.05</v>
      </c>
      <c r="M2930" t="s">
        <v>8513</v>
      </c>
      <c r="N2930">
        <v>114.47</v>
      </c>
      <c r="O2930" t="s">
        <v>893</v>
      </c>
      <c r="P2930">
        <v>11.66</v>
      </c>
      <c r="Q2930">
        <v>11.36</v>
      </c>
      <c r="R2930">
        <v>11.66</v>
      </c>
      <c r="S2930">
        <v>11.67</v>
      </c>
      <c r="T2930">
        <v>2.57</v>
      </c>
      <c r="U2930">
        <v>0.61</v>
      </c>
      <c r="V2930">
        <v>7.9</v>
      </c>
      <c r="W2930">
        <v>103</v>
      </c>
      <c r="X2930">
        <v>11.53</v>
      </c>
      <c r="Y2930" t="s">
        <v>1276</v>
      </c>
      <c r="Z2930" t="s">
        <v>3272</v>
      </c>
      <c r="AA2930">
        <v>1.1599999999999999</v>
      </c>
      <c r="AB2930">
        <v>281</v>
      </c>
      <c r="AC2930">
        <v>63</v>
      </c>
      <c r="AD2930">
        <v>5.25</v>
      </c>
      <c r="AE2930" t="s">
        <v>5819</v>
      </c>
      <c r="AF2930" t="s">
        <v>1815</v>
      </c>
      <c r="AG2930" t="s">
        <v>3398</v>
      </c>
      <c r="AH2930" t="s">
        <v>2347</v>
      </c>
      <c r="AI2930">
        <v>-4.46</v>
      </c>
      <c r="AJ2930">
        <v>2.39</v>
      </c>
      <c r="AK2930">
        <v>17.05</v>
      </c>
      <c r="AL2930">
        <v>37.409999999999997</v>
      </c>
    </row>
    <row r="2931" spans="1:38" x14ac:dyDescent="0.25">
      <c r="A2931">
        <v>2930</v>
      </c>
      <c r="B2931" t="str">
        <f xml:space="preserve"> "603859"</f>
        <v>603859</v>
      </c>
      <c r="C2931" t="s">
        <v>8514</v>
      </c>
      <c r="D2931">
        <v>32.71</v>
      </c>
      <c r="E2931">
        <v>2</v>
      </c>
      <c r="F2931">
        <v>0.64</v>
      </c>
      <c r="G2931" t="s">
        <v>3585</v>
      </c>
      <c r="H2931">
        <v>50</v>
      </c>
      <c r="I2931">
        <v>32.700000000000003</v>
      </c>
      <c r="J2931">
        <v>32.729999999999997</v>
      </c>
      <c r="K2931">
        <v>0</v>
      </c>
      <c r="L2931">
        <v>12.89</v>
      </c>
      <c r="M2931" t="s">
        <v>60</v>
      </c>
      <c r="N2931">
        <v>271.31</v>
      </c>
      <c r="O2931" t="s">
        <v>680</v>
      </c>
      <c r="P2931">
        <v>32.96</v>
      </c>
      <c r="Q2931">
        <v>31.65</v>
      </c>
      <c r="R2931">
        <v>32.07</v>
      </c>
      <c r="S2931">
        <v>32.07</v>
      </c>
      <c r="T2931">
        <v>4.08</v>
      </c>
      <c r="U2931">
        <v>1.25</v>
      </c>
      <c r="V2931">
        <v>-38.46</v>
      </c>
      <c r="W2931">
        <v>-170</v>
      </c>
      <c r="X2931">
        <v>32.51</v>
      </c>
      <c r="Y2931" t="s">
        <v>1576</v>
      </c>
      <c r="Z2931" t="s">
        <v>1076</v>
      </c>
      <c r="AA2931">
        <v>0.9</v>
      </c>
      <c r="AB2931">
        <v>19</v>
      </c>
      <c r="AC2931">
        <v>194</v>
      </c>
      <c r="AD2931">
        <v>5.88</v>
      </c>
      <c r="AE2931" t="s">
        <v>2706</v>
      </c>
      <c r="AF2931" t="s">
        <v>1817</v>
      </c>
      <c r="AG2931" t="s">
        <v>8515</v>
      </c>
      <c r="AH2931" t="s">
        <v>4771</v>
      </c>
      <c r="AI2931">
        <v>5.14</v>
      </c>
      <c r="AJ2931">
        <v>0.37</v>
      </c>
      <c r="AK2931">
        <v>35.79</v>
      </c>
      <c r="AL2931">
        <v>64.62</v>
      </c>
    </row>
    <row r="2932" spans="1:38" x14ac:dyDescent="0.25">
      <c r="A2932">
        <v>2931</v>
      </c>
      <c r="B2932" t="str">
        <f xml:space="preserve"> "603606"</f>
        <v>603606</v>
      </c>
      <c r="C2932" t="s">
        <v>8516</v>
      </c>
      <c r="D2932">
        <v>11.94</v>
      </c>
      <c r="E2932">
        <v>0.42</v>
      </c>
      <c r="F2932">
        <v>0.05</v>
      </c>
      <c r="G2932">
        <v>9909</v>
      </c>
      <c r="H2932">
        <v>6</v>
      </c>
      <c r="I2932">
        <v>11.93</v>
      </c>
      <c r="J2932">
        <v>11.94</v>
      </c>
      <c r="K2932">
        <v>0.08</v>
      </c>
      <c r="L2932">
        <v>0.71</v>
      </c>
      <c r="M2932" t="s">
        <v>8517</v>
      </c>
      <c r="N2932">
        <v>66.069999999999993</v>
      </c>
      <c r="O2932" t="s">
        <v>680</v>
      </c>
      <c r="P2932">
        <v>12.04</v>
      </c>
      <c r="Q2932">
        <v>11.89</v>
      </c>
      <c r="R2932">
        <v>11.89</v>
      </c>
      <c r="S2932">
        <v>11.89</v>
      </c>
      <c r="T2932">
        <v>1.26</v>
      </c>
      <c r="U2932">
        <v>0.49</v>
      </c>
      <c r="V2932">
        <v>34.409999999999997</v>
      </c>
      <c r="W2932">
        <v>460</v>
      </c>
      <c r="X2932">
        <v>11.96</v>
      </c>
      <c r="Y2932">
        <v>5323</v>
      </c>
      <c r="Z2932">
        <v>4586</v>
      </c>
      <c r="AA2932">
        <v>1.1599999999999999</v>
      </c>
      <c r="AB2932">
        <v>124</v>
      </c>
      <c r="AC2932">
        <v>11</v>
      </c>
      <c r="AD2932">
        <v>4.28</v>
      </c>
      <c r="AE2932" t="s">
        <v>4731</v>
      </c>
      <c r="AF2932" t="s">
        <v>1817</v>
      </c>
      <c r="AG2932" t="s">
        <v>3923</v>
      </c>
      <c r="AH2932" t="s">
        <v>2999</v>
      </c>
      <c r="AI2932">
        <v>-1.24</v>
      </c>
      <c r="AJ2932">
        <v>0.76</v>
      </c>
      <c r="AK2932">
        <v>3.36</v>
      </c>
      <c r="AL2932">
        <v>7.98</v>
      </c>
    </row>
    <row r="2933" spans="1:38" x14ac:dyDescent="0.25">
      <c r="A2933">
        <v>2932</v>
      </c>
      <c r="B2933" t="str">
        <f xml:space="preserve"> "603977"</f>
        <v>603977</v>
      </c>
      <c r="C2933" t="s">
        <v>8518</v>
      </c>
      <c r="D2933" t="s">
        <v>616</v>
      </c>
      <c r="E2933" t="s">
        <v>616</v>
      </c>
      <c r="F2933" t="s">
        <v>616</v>
      </c>
      <c r="G2933" t="s">
        <v>616</v>
      </c>
      <c r="H2933" t="s">
        <v>616</v>
      </c>
      <c r="I2933" t="s">
        <v>616</v>
      </c>
      <c r="J2933" t="s">
        <v>616</v>
      </c>
      <c r="K2933" t="s">
        <v>616</v>
      </c>
      <c r="L2933" t="s">
        <v>616</v>
      </c>
      <c r="M2933" t="s">
        <v>616</v>
      </c>
      <c r="N2933">
        <v>57.23</v>
      </c>
      <c r="O2933" t="s">
        <v>667</v>
      </c>
      <c r="P2933" t="s">
        <v>616</v>
      </c>
      <c r="Q2933" t="s">
        <v>616</v>
      </c>
      <c r="R2933" t="s">
        <v>616</v>
      </c>
      <c r="S2933">
        <v>16.79</v>
      </c>
      <c r="T2933" t="s">
        <v>616</v>
      </c>
      <c r="U2933" t="s">
        <v>616</v>
      </c>
      <c r="V2933" t="s">
        <v>616</v>
      </c>
      <c r="W2933" t="s">
        <v>616</v>
      </c>
      <c r="X2933" t="s">
        <v>616</v>
      </c>
      <c r="Y2933" t="s">
        <v>616</v>
      </c>
      <c r="Z2933" t="s">
        <v>616</v>
      </c>
      <c r="AA2933" t="s">
        <v>616</v>
      </c>
      <c r="AB2933" t="s">
        <v>616</v>
      </c>
      <c r="AC2933" t="s">
        <v>616</v>
      </c>
      <c r="AD2933">
        <v>4.07</v>
      </c>
      <c r="AE2933" t="s">
        <v>439</v>
      </c>
      <c r="AF2933" t="s">
        <v>1817</v>
      </c>
      <c r="AG2933" t="s">
        <v>8519</v>
      </c>
      <c r="AH2933" t="s">
        <v>8520</v>
      </c>
      <c r="AI2933">
        <v>0</v>
      </c>
      <c r="AJ2933">
        <v>0</v>
      </c>
      <c r="AK2933">
        <v>0</v>
      </c>
      <c r="AL2933">
        <v>0</v>
      </c>
    </row>
    <row r="2934" spans="1:38" x14ac:dyDescent="0.25">
      <c r="A2934">
        <v>2933</v>
      </c>
      <c r="B2934" t="str">
        <f xml:space="preserve"> "600985"</f>
        <v>600985</v>
      </c>
      <c r="C2934" t="s">
        <v>8521</v>
      </c>
      <c r="D2934" t="s">
        <v>616</v>
      </c>
      <c r="E2934" t="s">
        <v>616</v>
      </c>
      <c r="F2934" t="s">
        <v>616</v>
      </c>
      <c r="G2934" t="s">
        <v>616</v>
      </c>
      <c r="H2934" t="s">
        <v>616</v>
      </c>
      <c r="I2934" t="s">
        <v>616</v>
      </c>
      <c r="J2934" t="s">
        <v>616</v>
      </c>
      <c r="K2934" t="s">
        <v>616</v>
      </c>
      <c r="L2934" t="s">
        <v>616</v>
      </c>
      <c r="M2934" t="s">
        <v>616</v>
      </c>
      <c r="N2934">
        <v>36.24</v>
      </c>
      <c r="O2934" t="s">
        <v>667</v>
      </c>
      <c r="P2934" t="s">
        <v>616</v>
      </c>
      <c r="Q2934" t="s">
        <v>616</v>
      </c>
      <c r="R2934" t="s">
        <v>616</v>
      </c>
      <c r="S2934">
        <v>12.36</v>
      </c>
      <c r="T2934" t="s">
        <v>616</v>
      </c>
      <c r="U2934" t="s">
        <v>616</v>
      </c>
      <c r="V2934" t="s">
        <v>616</v>
      </c>
      <c r="W2934" t="s">
        <v>616</v>
      </c>
      <c r="X2934" t="s">
        <v>616</v>
      </c>
      <c r="Y2934" t="s">
        <v>616</v>
      </c>
      <c r="Z2934" t="s">
        <v>616</v>
      </c>
      <c r="AA2934" t="s">
        <v>616</v>
      </c>
      <c r="AB2934" t="s">
        <v>616</v>
      </c>
      <c r="AC2934" t="s">
        <v>616</v>
      </c>
      <c r="AD2934">
        <v>2.2599999999999998</v>
      </c>
      <c r="AE2934" t="s">
        <v>950</v>
      </c>
      <c r="AF2934" t="s">
        <v>1817</v>
      </c>
      <c r="AG2934" t="s">
        <v>3888</v>
      </c>
      <c r="AH2934" t="s">
        <v>1029</v>
      </c>
      <c r="AI2934">
        <v>0</v>
      </c>
      <c r="AJ2934">
        <v>0</v>
      </c>
      <c r="AK2934">
        <v>0</v>
      </c>
      <c r="AL2934">
        <v>0</v>
      </c>
    </row>
    <row r="2935" spans="1:38" x14ac:dyDescent="0.25">
      <c r="A2935">
        <v>2934</v>
      </c>
      <c r="B2935" t="str">
        <f xml:space="preserve"> "300604"</f>
        <v>300604</v>
      </c>
      <c r="C2935" t="s">
        <v>8522</v>
      </c>
      <c r="D2935">
        <v>48.68</v>
      </c>
      <c r="E2935">
        <v>1.44</v>
      </c>
      <c r="F2935">
        <v>0.69</v>
      </c>
      <c r="G2935">
        <v>8906</v>
      </c>
      <c r="H2935">
        <v>108</v>
      </c>
      <c r="I2935">
        <v>48.68</v>
      </c>
      <c r="J2935">
        <v>48.69</v>
      </c>
      <c r="K2935">
        <v>-0.06</v>
      </c>
      <c r="L2935">
        <v>4.68</v>
      </c>
      <c r="M2935" t="s">
        <v>8523</v>
      </c>
      <c r="N2935">
        <v>109.45</v>
      </c>
      <c r="O2935" t="s">
        <v>2647</v>
      </c>
      <c r="P2935">
        <v>49.29</v>
      </c>
      <c r="Q2935">
        <v>47.53</v>
      </c>
      <c r="R2935">
        <v>47.7</v>
      </c>
      <c r="S2935">
        <v>47.99</v>
      </c>
      <c r="T2935">
        <v>3.67</v>
      </c>
      <c r="U2935">
        <v>0.4</v>
      </c>
      <c r="V2935">
        <v>-7.29</v>
      </c>
      <c r="W2935">
        <v>-14</v>
      </c>
      <c r="X2935">
        <v>48.62</v>
      </c>
      <c r="Y2935">
        <v>3887</v>
      </c>
      <c r="Z2935">
        <v>5019</v>
      </c>
      <c r="AA2935">
        <v>0.77</v>
      </c>
      <c r="AB2935">
        <v>3</v>
      </c>
      <c r="AC2935">
        <v>5</v>
      </c>
      <c r="AD2935">
        <v>9.69</v>
      </c>
      <c r="AE2935" t="s">
        <v>8524</v>
      </c>
      <c r="AF2935" t="s">
        <v>1817</v>
      </c>
      <c r="AG2935" t="s">
        <v>6557</v>
      </c>
      <c r="AH2935" t="s">
        <v>3333</v>
      </c>
      <c r="AI2935">
        <v>-5.48</v>
      </c>
      <c r="AJ2935">
        <v>-1.85</v>
      </c>
      <c r="AK2935">
        <v>23.52</v>
      </c>
      <c r="AL2935">
        <v>63</v>
      </c>
    </row>
    <row r="2936" spans="1:38" x14ac:dyDescent="0.25">
      <c r="A2936">
        <v>2935</v>
      </c>
      <c r="B2936" t="str">
        <f xml:space="preserve"> "300643"</f>
        <v>300643</v>
      </c>
      <c r="C2936" t="s">
        <v>8525</v>
      </c>
      <c r="D2936">
        <v>18.54</v>
      </c>
      <c r="E2936">
        <v>-1.17</v>
      </c>
      <c r="F2936">
        <v>-0.22</v>
      </c>
      <c r="G2936" t="s">
        <v>8526</v>
      </c>
      <c r="H2936">
        <v>2876</v>
      </c>
      <c r="I2936">
        <v>18.53</v>
      </c>
      <c r="J2936">
        <v>18.54</v>
      </c>
      <c r="K2936">
        <v>-0.05</v>
      </c>
      <c r="L2936">
        <v>19.309999999999999</v>
      </c>
      <c r="M2936" t="s">
        <v>3336</v>
      </c>
      <c r="N2936">
        <v>99.21</v>
      </c>
      <c r="O2936" t="s">
        <v>169</v>
      </c>
      <c r="P2936">
        <v>18.579999999999998</v>
      </c>
      <c r="Q2936">
        <v>17.62</v>
      </c>
      <c r="R2936">
        <v>18.2</v>
      </c>
      <c r="S2936">
        <v>18.760000000000002</v>
      </c>
      <c r="T2936">
        <v>5.12</v>
      </c>
      <c r="U2936">
        <v>1.01</v>
      </c>
      <c r="V2936">
        <v>-40.22</v>
      </c>
      <c r="W2936">
        <v>-744</v>
      </c>
      <c r="X2936">
        <v>18.12</v>
      </c>
      <c r="Y2936" t="s">
        <v>3348</v>
      </c>
      <c r="Z2936" t="s">
        <v>2432</v>
      </c>
      <c r="AA2936">
        <v>1.28</v>
      </c>
      <c r="AB2936">
        <v>124</v>
      </c>
      <c r="AC2936">
        <v>104</v>
      </c>
      <c r="AD2936">
        <v>9.36</v>
      </c>
      <c r="AE2936" t="s">
        <v>1485</v>
      </c>
      <c r="AF2936" t="s">
        <v>1817</v>
      </c>
      <c r="AG2936" t="s">
        <v>3869</v>
      </c>
      <c r="AH2936" t="s">
        <v>3333</v>
      </c>
      <c r="AI2936">
        <v>0.05</v>
      </c>
      <c r="AJ2936">
        <v>9.9600000000000009</v>
      </c>
      <c r="AK2936">
        <v>62.09</v>
      </c>
      <c r="AL2936">
        <v>114.8</v>
      </c>
    </row>
    <row r="2937" spans="1:38" x14ac:dyDescent="0.25">
      <c r="A2937">
        <v>2936</v>
      </c>
      <c r="B2937" t="str">
        <f xml:space="preserve"> "300673"</f>
        <v>300673</v>
      </c>
      <c r="C2937" t="s">
        <v>8527</v>
      </c>
      <c r="D2937">
        <v>46.35</v>
      </c>
      <c r="E2937">
        <v>1.1299999999999999</v>
      </c>
      <c r="F2937">
        <v>0.52</v>
      </c>
      <c r="G2937" t="s">
        <v>2373</v>
      </c>
      <c r="H2937">
        <v>189</v>
      </c>
      <c r="I2937">
        <v>46.34</v>
      </c>
      <c r="J2937">
        <v>46.35</v>
      </c>
      <c r="K2937">
        <v>0</v>
      </c>
      <c r="L2937">
        <v>13.19</v>
      </c>
      <c r="M2937" t="s">
        <v>943</v>
      </c>
      <c r="N2937">
        <v>49.02</v>
      </c>
      <c r="O2937" t="s">
        <v>622</v>
      </c>
      <c r="P2937">
        <v>47.7</v>
      </c>
      <c r="Q2937">
        <v>45.4</v>
      </c>
      <c r="R2937">
        <v>45.88</v>
      </c>
      <c r="S2937">
        <v>45.83</v>
      </c>
      <c r="T2937">
        <v>5.0199999999999996</v>
      </c>
      <c r="U2937">
        <v>1.55</v>
      </c>
      <c r="V2937">
        <v>-37.56</v>
      </c>
      <c r="W2937">
        <v>-83</v>
      </c>
      <c r="X2937">
        <v>46.44</v>
      </c>
      <c r="Y2937" t="s">
        <v>1579</v>
      </c>
      <c r="Z2937" t="s">
        <v>124</v>
      </c>
      <c r="AA2937">
        <v>1.0900000000000001</v>
      </c>
      <c r="AB2937">
        <v>10</v>
      </c>
      <c r="AC2937">
        <v>21</v>
      </c>
      <c r="AD2937">
        <v>4.72</v>
      </c>
      <c r="AE2937" t="s">
        <v>5802</v>
      </c>
      <c r="AF2937" t="s">
        <v>1817</v>
      </c>
      <c r="AG2937" t="s">
        <v>5562</v>
      </c>
      <c r="AH2937" t="s">
        <v>3333</v>
      </c>
      <c r="AI2937">
        <v>3.37</v>
      </c>
      <c r="AJ2937">
        <v>8.57</v>
      </c>
      <c r="AK2937">
        <v>33.07</v>
      </c>
      <c r="AL2937">
        <v>55.61</v>
      </c>
    </row>
    <row r="2938" spans="1:38" x14ac:dyDescent="0.25">
      <c r="A2938">
        <v>2937</v>
      </c>
      <c r="B2938" t="str">
        <f xml:space="preserve"> "002785"</f>
        <v>002785</v>
      </c>
      <c r="C2938" t="s">
        <v>8528</v>
      </c>
      <c r="D2938">
        <v>18.53</v>
      </c>
      <c r="E2938">
        <v>-0.96</v>
      </c>
      <c r="F2938">
        <v>-0.18</v>
      </c>
      <c r="G2938" t="s">
        <v>2088</v>
      </c>
      <c r="H2938">
        <v>371</v>
      </c>
      <c r="I2938">
        <v>18.52</v>
      </c>
      <c r="J2938">
        <v>18.53</v>
      </c>
      <c r="K2938">
        <v>0.05</v>
      </c>
      <c r="L2938">
        <v>2.37</v>
      </c>
      <c r="M2938" t="s">
        <v>8529</v>
      </c>
      <c r="N2938">
        <v>174.35</v>
      </c>
      <c r="O2938" t="s">
        <v>562</v>
      </c>
      <c r="P2938">
        <v>18.760000000000002</v>
      </c>
      <c r="Q2938">
        <v>18.399999999999999</v>
      </c>
      <c r="R2938">
        <v>18.7</v>
      </c>
      <c r="S2938">
        <v>18.71</v>
      </c>
      <c r="T2938">
        <v>1.92</v>
      </c>
      <c r="U2938">
        <v>1.08</v>
      </c>
      <c r="V2938">
        <v>15.27</v>
      </c>
      <c r="W2938">
        <v>298</v>
      </c>
      <c r="X2938">
        <v>18.510000000000002</v>
      </c>
      <c r="Y2938" t="s">
        <v>2453</v>
      </c>
      <c r="Z2938">
        <v>8180</v>
      </c>
      <c r="AA2938">
        <v>1.81</v>
      </c>
      <c r="AB2938">
        <v>167</v>
      </c>
      <c r="AC2938">
        <v>561</v>
      </c>
      <c r="AD2938">
        <v>5.64</v>
      </c>
      <c r="AE2938" t="s">
        <v>1485</v>
      </c>
      <c r="AF2938" t="s">
        <v>1817</v>
      </c>
      <c r="AG2938" t="s">
        <v>8530</v>
      </c>
      <c r="AH2938" t="s">
        <v>2434</v>
      </c>
      <c r="AI2938">
        <v>1.04</v>
      </c>
      <c r="AJ2938">
        <v>4.57</v>
      </c>
      <c r="AK2938">
        <v>8.64</v>
      </c>
      <c r="AL2938">
        <v>13.4</v>
      </c>
    </row>
    <row r="2939" spans="1:38" x14ac:dyDescent="0.25">
      <c r="A2939">
        <v>2938</v>
      </c>
      <c r="B2939" t="str">
        <f xml:space="preserve"> "600243"</f>
        <v>600243</v>
      </c>
      <c r="C2939" t="s">
        <v>8531</v>
      </c>
      <c r="D2939">
        <v>8.44</v>
      </c>
      <c r="E2939">
        <v>0.48</v>
      </c>
      <c r="F2939">
        <v>0.04</v>
      </c>
      <c r="G2939" t="s">
        <v>658</v>
      </c>
      <c r="H2939">
        <v>34</v>
      </c>
      <c r="I2939">
        <v>8.43</v>
      </c>
      <c r="J2939">
        <v>8.44</v>
      </c>
      <c r="K2939">
        <v>0.12</v>
      </c>
      <c r="L2939">
        <v>0.83</v>
      </c>
      <c r="M2939" t="s">
        <v>8532</v>
      </c>
      <c r="N2939">
        <v>39.93</v>
      </c>
      <c r="O2939" t="s">
        <v>648</v>
      </c>
      <c r="P2939">
        <v>8.4499999999999993</v>
      </c>
      <c r="Q2939">
        <v>8.3699999999999992</v>
      </c>
      <c r="R2939">
        <v>8.41</v>
      </c>
      <c r="S2939">
        <v>8.4</v>
      </c>
      <c r="T2939">
        <v>0.95</v>
      </c>
      <c r="U2939">
        <v>0.77</v>
      </c>
      <c r="V2939">
        <v>-8.4499999999999993</v>
      </c>
      <c r="W2939">
        <v>-174</v>
      </c>
      <c r="X2939">
        <v>8.41</v>
      </c>
      <c r="Y2939" t="s">
        <v>2002</v>
      </c>
      <c r="Z2939">
        <v>8571</v>
      </c>
      <c r="AA2939">
        <v>1.3</v>
      </c>
      <c r="AB2939">
        <v>252</v>
      </c>
      <c r="AC2939">
        <v>27</v>
      </c>
      <c r="AD2939">
        <v>2.08</v>
      </c>
      <c r="AE2939" t="s">
        <v>2259</v>
      </c>
      <c r="AF2939" t="s">
        <v>2837</v>
      </c>
      <c r="AG2939" t="s">
        <v>6252</v>
      </c>
      <c r="AH2939" t="s">
        <v>1063</v>
      </c>
      <c r="AI2939">
        <v>-1.06</v>
      </c>
      <c r="AJ2939">
        <v>2.4300000000000002</v>
      </c>
      <c r="AK2939">
        <v>3.09</v>
      </c>
      <c r="AL2939">
        <v>6.24</v>
      </c>
    </row>
    <row r="2940" spans="1:38" x14ac:dyDescent="0.25">
      <c r="A2940">
        <v>2939</v>
      </c>
      <c r="B2940" t="str">
        <f xml:space="preserve"> "002337"</f>
        <v>002337</v>
      </c>
      <c r="C2940" t="s">
        <v>8533</v>
      </c>
      <c r="D2940">
        <v>6.27</v>
      </c>
      <c r="E2940">
        <v>-0.32</v>
      </c>
      <c r="F2940">
        <v>-0.02</v>
      </c>
      <c r="G2940" t="s">
        <v>3524</v>
      </c>
      <c r="H2940">
        <v>497</v>
      </c>
      <c r="I2940">
        <v>6.27</v>
      </c>
      <c r="J2940">
        <v>6.28</v>
      </c>
      <c r="K2940">
        <v>0</v>
      </c>
      <c r="L2940">
        <v>0.66</v>
      </c>
      <c r="M2940" t="s">
        <v>8534</v>
      </c>
      <c r="N2940">
        <v>39.6</v>
      </c>
      <c r="O2940" t="s">
        <v>648</v>
      </c>
      <c r="P2940">
        <v>6.29</v>
      </c>
      <c r="Q2940">
        <v>6.22</v>
      </c>
      <c r="R2940">
        <v>6.27</v>
      </c>
      <c r="S2940">
        <v>6.29</v>
      </c>
      <c r="T2940">
        <v>1.1100000000000001</v>
      </c>
      <c r="U2940">
        <v>0.62</v>
      </c>
      <c r="V2940">
        <v>-33.81</v>
      </c>
      <c r="W2940">
        <v>-1758</v>
      </c>
      <c r="X2940">
        <v>6.25</v>
      </c>
      <c r="Y2940" t="s">
        <v>3230</v>
      </c>
      <c r="Z2940" t="s">
        <v>3798</v>
      </c>
      <c r="AA2940">
        <v>1.59</v>
      </c>
      <c r="AB2940">
        <v>46</v>
      </c>
      <c r="AC2940">
        <v>474</v>
      </c>
      <c r="AD2940">
        <v>3.06</v>
      </c>
      <c r="AE2940" t="s">
        <v>2428</v>
      </c>
      <c r="AF2940" t="s">
        <v>1191</v>
      </c>
      <c r="AG2940" t="s">
        <v>6122</v>
      </c>
      <c r="AH2940" t="s">
        <v>1752</v>
      </c>
      <c r="AI2940">
        <v>-2.0299999999999998</v>
      </c>
      <c r="AJ2940">
        <v>1.1299999999999999</v>
      </c>
      <c r="AK2940">
        <v>2.23</v>
      </c>
      <c r="AL2940">
        <v>5.92</v>
      </c>
    </row>
    <row r="2941" spans="1:38" x14ac:dyDescent="0.25">
      <c r="A2941">
        <v>2940</v>
      </c>
      <c r="B2941" t="str">
        <f xml:space="preserve"> "600982"</f>
        <v>600982</v>
      </c>
      <c r="C2941" t="s">
        <v>8535</v>
      </c>
      <c r="D2941">
        <v>4.9400000000000004</v>
      </c>
      <c r="E2941">
        <v>0.82</v>
      </c>
      <c r="F2941">
        <v>0.04</v>
      </c>
      <c r="G2941" t="s">
        <v>2962</v>
      </c>
      <c r="H2941">
        <v>1</v>
      </c>
      <c r="I2941">
        <v>4.9400000000000004</v>
      </c>
      <c r="J2941">
        <v>4.95</v>
      </c>
      <c r="K2941">
        <v>0.2</v>
      </c>
      <c r="L2941">
        <v>0.65</v>
      </c>
      <c r="M2941" t="s">
        <v>8536</v>
      </c>
      <c r="N2941">
        <v>29.15</v>
      </c>
      <c r="O2941" t="s">
        <v>186</v>
      </c>
      <c r="P2941">
        <v>4.97</v>
      </c>
      <c r="Q2941">
        <v>4.88</v>
      </c>
      <c r="R2941">
        <v>4.91</v>
      </c>
      <c r="S2941">
        <v>4.9000000000000004</v>
      </c>
      <c r="T2941">
        <v>1.84</v>
      </c>
      <c r="U2941">
        <v>1.56</v>
      </c>
      <c r="V2941">
        <v>-43.25</v>
      </c>
      <c r="W2941">
        <v>-9188</v>
      </c>
      <c r="X2941">
        <v>4.93</v>
      </c>
      <c r="Y2941" t="s">
        <v>1114</v>
      </c>
      <c r="Z2941" t="s">
        <v>3834</v>
      </c>
      <c r="AA2941">
        <v>0.43</v>
      </c>
      <c r="AB2941">
        <v>209</v>
      </c>
      <c r="AC2941">
        <v>2174</v>
      </c>
      <c r="AD2941">
        <v>1.5</v>
      </c>
      <c r="AE2941" t="s">
        <v>4471</v>
      </c>
      <c r="AF2941" t="s">
        <v>1191</v>
      </c>
      <c r="AG2941" t="s">
        <v>4471</v>
      </c>
      <c r="AH2941" t="s">
        <v>1191</v>
      </c>
      <c r="AI2941">
        <v>0.61</v>
      </c>
      <c r="AJ2941">
        <v>3.35</v>
      </c>
      <c r="AK2941">
        <v>1.56</v>
      </c>
      <c r="AL2941">
        <v>2.75</v>
      </c>
    </row>
    <row r="2942" spans="1:38" x14ac:dyDescent="0.25">
      <c r="A2942">
        <v>2941</v>
      </c>
      <c r="B2942" t="str">
        <f xml:space="preserve"> "300663"</f>
        <v>300663</v>
      </c>
      <c r="C2942" t="s">
        <v>8537</v>
      </c>
      <c r="D2942">
        <v>28.05</v>
      </c>
      <c r="E2942">
        <v>1.7</v>
      </c>
      <c r="F2942">
        <v>0.47</v>
      </c>
      <c r="G2942" t="s">
        <v>2335</v>
      </c>
      <c r="H2942">
        <v>574</v>
      </c>
      <c r="I2942">
        <v>28.05</v>
      </c>
      <c r="J2942">
        <v>28.06</v>
      </c>
      <c r="K2942">
        <v>-0.04</v>
      </c>
      <c r="L2942">
        <v>12.52</v>
      </c>
      <c r="M2942" t="s">
        <v>2706</v>
      </c>
      <c r="N2942">
        <v>-60.19</v>
      </c>
      <c r="O2942" t="s">
        <v>893</v>
      </c>
      <c r="P2942">
        <v>28.44</v>
      </c>
      <c r="Q2942">
        <v>26.7</v>
      </c>
      <c r="R2942">
        <v>27.3</v>
      </c>
      <c r="S2942">
        <v>27.58</v>
      </c>
      <c r="T2942">
        <v>6.31</v>
      </c>
      <c r="U2942">
        <v>0.96</v>
      </c>
      <c r="V2942">
        <v>-13.03</v>
      </c>
      <c r="W2942">
        <v>-131</v>
      </c>
      <c r="X2942">
        <v>27.73</v>
      </c>
      <c r="Y2942" t="s">
        <v>899</v>
      </c>
      <c r="Z2942" t="s">
        <v>3825</v>
      </c>
      <c r="AA2942">
        <v>0.82</v>
      </c>
      <c r="AB2942">
        <v>227</v>
      </c>
      <c r="AC2942">
        <v>84</v>
      </c>
      <c r="AD2942">
        <v>6.08</v>
      </c>
      <c r="AE2942" t="s">
        <v>2065</v>
      </c>
      <c r="AF2942" t="s">
        <v>1191</v>
      </c>
      <c r="AG2942" t="s">
        <v>8538</v>
      </c>
      <c r="AH2942" t="s">
        <v>8117</v>
      </c>
      <c r="AI2942">
        <v>-2.97</v>
      </c>
      <c r="AJ2942">
        <v>2.2200000000000002</v>
      </c>
      <c r="AK2942">
        <v>37.99</v>
      </c>
      <c r="AL2942">
        <v>77.849999999999994</v>
      </c>
    </row>
    <row r="2943" spans="1:38" x14ac:dyDescent="0.25">
      <c r="A2943">
        <v>2942</v>
      </c>
      <c r="B2943" t="str">
        <f xml:space="preserve"> "600476"</f>
        <v>600476</v>
      </c>
      <c r="C2943" t="s">
        <v>8539</v>
      </c>
      <c r="D2943">
        <v>22.88</v>
      </c>
      <c r="E2943">
        <v>-0.65</v>
      </c>
      <c r="F2943">
        <v>-0.15</v>
      </c>
      <c r="G2943" t="s">
        <v>2453</v>
      </c>
      <c r="H2943">
        <v>3</v>
      </c>
      <c r="I2943">
        <v>22.88</v>
      </c>
      <c r="J2943">
        <v>22.89</v>
      </c>
      <c r="K2943">
        <v>0.09</v>
      </c>
      <c r="L2943">
        <v>0.92</v>
      </c>
      <c r="M2943" t="s">
        <v>8540</v>
      </c>
      <c r="N2943">
        <v>1341.87</v>
      </c>
      <c r="O2943" t="s">
        <v>893</v>
      </c>
      <c r="P2943">
        <v>23.09</v>
      </c>
      <c r="Q2943">
        <v>22.73</v>
      </c>
      <c r="R2943">
        <v>22.85</v>
      </c>
      <c r="S2943">
        <v>23.03</v>
      </c>
      <c r="T2943">
        <v>1.56</v>
      </c>
      <c r="U2943">
        <v>0.65</v>
      </c>
      <c r="V2943">
        <v>10.38</v>
      </c>
      <c r="W2943">
        <v>24</v>
      </c>
      <c r="X2943">
        <v>22.92</v>
      </c>
      <c r="Y2943">
        <v>7882</v>
      </c>
      <c r="Z2943">
        <v>6874</v>
      </c>
      <c r="AA2943">
        <v>1.1499999999999999</v>
      </c>
      <c r="AB2943">
        <v>2</v>
      </c>
      <c r="AC2943">
        <v>6</v>
      </c>
      <c r="AD2943">
        <v>18.48</v>
      </c>
      <c r="AE2943" t="s">
        <v>3976</v>
      </c>
      <c r="AF2943" t="s">
        <v>1191</v>
      </c>
      <c r="AG2943" t="s">
        <v>3976</v>
      </c>
      <c r="AH2943" t="s">
        <v>1191</v>
      </c>
      <c r="AI2943">
        <v>-1.29</v>
      </c>
      <c r="AJ2943">
        <v>2.42</v>
      </c>
      <c r="AK2943">
        <v>4.38</v>
      </c>
      <c r="AL2943">
        <v>8</v>
      </c>
    </row>
    <row r="2944" spans="1:38" x14ac:dyDescent="0.25">
      <c r="A2944">
        <v>2943</v>
      </c>
      <c r="B2944" t="str">
        <f xml:space="preserve"> "300446"</f>
        <v>300446</v>
      </c>
      <c r="C2944" t="s">
        <v>8541</v>
      </c>
      <c r="D2944">
        <v>30.01</v>
      </c>
      <c r="E2944">
        <v>1.39</v>
      </c>
      <c r="F2944">
        <v>0.41</v>
      </c>
      <c r="G2944" t="s">
        <v>1653</v>
      </c>
      <c r="H2944">
        <v>299</v>
      </c>
      <c r="I2944">
        <v>30.01</v>
      </c>
      <c r="J2944">
        <v>30.02</v>
      </c>
      <c r="K2944">
        <v>0.03</v>
      </c>
      <c r="L2944">
        <v>2.61</v>
      </c>
      <c r="M2944" t="s">
        <v>8542</v>
      </c>
      <c r="N2944">
        <v>40.42</v>
      </c>
      <c r="O2944" t="s">
        <v>553</v>
      </c>
      <c r="P2944">
        <v>30.03</v>
      </c>
      <c r="Q2944">
        <v>29.38</v>
      </c>
      <c r="R2944">
        <v>29.6</v>
      </c>
      <c r="S2944">
        <v>29.6</v>
      </c>
      <c r="T2944">
        <v>2.2000000000000002</v>
      </c>
      <c r="U2944">
        <v>1.18</v>
      </c>
      <c r="V2944">
        <v>-39.67</v>
      </c>
      <c r="W2944">
        <v>-205</v>
      </c>
      <c r="X2944">
        <v>29.83</v>
      </c>
      <c r="Y2944">
        <v>8908</v>
      </c>
      <c r="Z2944" t="s">
        <v>3041</v>
      </c>
      <c r="AA2944">
        <v>0.82</v>
      </c>
      <c r="AB2944">
        <v>35</v>
      </c>
      <c r="AC2944">
        <v>139</v>
      </c>
      <c r="AD2944">
        <v>7.28</v>
      </c>
      <c r="AE2944" t="s">
        <v>2442</v>
      </c>
      <c r="AF2944" t="s">
        <v>1191</v>
      </c>
      <c r="AG2944" t="s">
        <v>8543</v>
      </c>
      <c r="AH2944" t="s">
        <v>5418</v>
      </c>
      <c r="AI2944">
        <v>0.91</v>
      </c>
      <c r="AJ2944">
        <v>1.83</v>
      </c>
      <c r="AK2944">
        <v>7.41</v>
      </c>
      <c r="AL2944">
        <v>13.68</v>
      </c>
    </row>
    <row r="2945" spans="1:38" x14ac:dyDescent="0.25">
      <c r="A2945">
        <v>2944</v>
      </c>
      <c r="B2945" t="str">
        <f xml:space="preserve"> "300391"</f>
        <v>300391</v>
      </c>
      <c r="C2945" t="s">
        <v>8544</v>
      </c>
      <c r="D2945">
        <v>18.59</v>
      </c>
      <c r="E2945">
        <v>2.14</v>
      </c>
      <c r="F2945">
        <v>0.39</v>
      </c>
      <c r="G2945" t="s">
        <v>1602</v>
      </c>
      <c r="H2945">
        <v>336</v>
      </c>
      <c r="I2945">
        <v>18.579999999999998</v>
      </c>
      <c r="J2945">
        <v>18.59</v>
      </c>
      <c r="K2945">
        <v>0</v>
      </c>
      <c r="L2945">
        <v>5</v>
      </c>
      <c r="M2945" t="s">
        <v>8545</v>
      </c>
      <c r="N2945">
        <v>56.13</v>
      </c>
      <c r="O2945" t="s">
        <v>648</v>
      </c>
      <c r="P2945">
        <v>18.78</v>
      </c>
      <c r="Q2945">
        <v>18</v>
      </c>
      <c r="R2945">
        <v>18.170000000000002</v>
      </c>
      <c r="S2945">
        <v>18.2</v>
      </c>
      <c r="T2945">
        <v>4.29</v>
      </c>
      <c r="U2945">
        <v>2.6</v>
      </c>
      <c r="V2945">
        <v>-60.47</v>
      </c>
      <c r="W2945">
        <v>-1857</v>
      </c>
      <c r="X2945">
        <v>18.48</v>
      </c>
      <c r="Y2945" t="s">
        <v>2558</v>
      </c>
      <c r="Z2945" t="s">
        <v>530</v>
      </c>
      <c r="AA2945">
        <v>1.07</v>
      </c>
      <c r="AB2945">
        <v>38</v>
      </c>
      <c r="AC2945">
        <v>1377</v>
      </c>
      <c r="AD2945">
        <v>4.07</v>
      </c>
      <c r="AE2945" t="s">
        <v>1965</v>
      </c>
      <c r="AF2945" t="s">
        <v>7077</v>
      </c>
      <c r="AG2945" t="s">
        <v>8546</v>
      </c>
      <c r="AH2945" t="s">
        <v>2388</v>
      </c>
      <c r="AI2945">
        <v>2.88</v>
      </c>
      <c r="AJ2945">
        <v>7.21</v>
      </c>
      <c r="AK2945">
        <v>8.9600000000000009</v>
      </c>
      <c r="AL2945">
        <v>14.6</v>
      </c>
    </row>
    <row r="2946" spans="1:38" x14ac:dyDescent="0.25">
      <c r="A2946">
        <v>2945</v>
      </c>
      <c r="B2946" t="str">
        <f xml:space="preserve"> "603985"</f>
        <v>603985</v>
      </c>
      <c r="C2946" t="s">
        <v>8547</v>
      </c>
      <c r="D2946">
        <v>46.03</v>
      </c>
      <c r="E2946">
        <v>3.88</v>
      </c>
      <c r="F2946">
        <v>1.72</v>
      </c>
      <c r="G2946" t="s">
        <v>4023</v>
      </c>
      <c r="H2946">
        <v>71</v>
      </c>
      <c r="I2946">
        <v>46.03</v>
      </c>
      <c r="J2946">
        <v>46.04</v>
      </c>
      <c r="K2946">
        <v>-0.02</v>
      </c>
      <c r="L2946">
        <v>11.64</v>
      </c>
      <c r="M2946" t="s">
        <v>1635</v>
      </c>
      <c r="N2946">
        <v>38.36</v>
      </c>
      <c r="O2946" t="s">
        <v>1229</v>
      </c>
      <c r="P2946">
        <v>46.3</v>
      </c>
      <c r="Q2946">
        <v>44.13</v>
      </c>
      <c r="R2946">
        <v>44.33</v>
      </c>
      <c r="S2946">
        <v>44.31</v>
      </c>
      <c r="T2946">
        <v>4.9000000000000004</v>
      </c>
      <c r="U2946">
        <v>3.57</v>
      </c>
      <c r="V2946">
        <v>-74.819999999999993</v>
      </c>
      <c r="W2946">
        <v>-333</v>
      </c>
      <c r="X2946">
        <v>45.62</v>
      </c>
      <c r="Y2946" t="s">
        <v>1685</v>
      </c>
      <c r="Z2946" t="s">
        <v>1077</v>
      </c>
      <c r="AA2946">
        <v>0.76</v>
      </c>
      <c r="AB2946">
        <v>11</v>
      </c>
      <c r="AC2946">
        <v>15</v>
      </c>
      <c r="AD2946">
        <v>3.83</v>
      </c>
      <c r="AE2946" t="s">
        <v>5802</v>
      </c>
      <c r="AF2946" t="s">
        <v>7077</v>
      </c>
      <c r="AG2946" t="s">
        <v>5562</v>
      </c>
      <c r="AH2946" t="s">
        <v>3789</v>
      </c>
      <c r="AI2946">
        <v>3.39</v>
      </c>
      <c r="AJ2946">
        <v>8.0299999999999994</v>
      </c>
      <c r="AK2946">
        <v>18.21</v>
      </c>
      <c r="AL2946">
        <v>27.94</v>
      </c>
    </row>
    <row r="2947" spans="1:38" x14ac:dyDescent="0.25">
      <c r="A2947">
        <v>2946</v>
      </c>
      <c r="B2947" t="str">
        <f xml:space="preserve"> "300277"</f>
        <v>300277</v>
      </c>
      <c r="C2947" t="s">
        <v>8548</v>
      </c>
      <c r="D2947" t="s">
        <v>616</v>
      </c>
      <c r="E2947" t="s">
        <v>616</v>
      </c>
      <c r="F2947" t="s">
        <v>616</v>
      </c>
      <c r="G2947" t="s">
        <v>616</v>
      </c>
      <c r="H2947" t="s">
        <v>616</v>
      </c>
      <c r="I2947" t="s">
        <v>616</v>
      </c>
      <c r="J2947" t="s">
        <v>616</v>
      </c>
      <c r="K2947" t="s">
        <v>616</v>
      </c>
      <c r="L2947" t="s">
        <v>616</v>
      </c>
      <c r="M2947" t="s">
        <v>616</v>
      </c>
      <c r="N2947">
        <v>-287.12</v>
      </c>
      <c r="O2947" t="s">
        <v>893</v>
      </c>
      <c r="P2947" t="s">
        <v>616</v>
      </c>
      <c r="Q2947" t="s">
        <v>616</v>
      </c>
      <c r="R2947" t="s">
        <v>616</v>
      </c>
      <c r="S2947">
        <v>10.99</v>
      </c>
      <c r="T2947" t="s">
        <v>616</v>
      </c>
      <c r="U2947" t="s">
        <v>616</v>
      </c>
      <c r="V2947" t="s">
        <v>616</v>
      </c>
      <c r="W2947" t="s">
        <v>616</v>
      </c>
      <c r="X2947" t="s">
        <v>616</v>
      </c>
      <c r="Y2947" t="s">
        <v>616</v>
      </c>
      <c r="Z2947" t="s">
        <v>616</v>
      </c>
      <c r="AA2947" t="s">
        <v>616</v>
      </c>
      <c r="AB2947" t="s">
        <v>616</v>
      </c>
      <c r="AC2947" t="s">
        <v>616</v>
      </c>
      <c r="AD2947">
        <v>7.94</v>
      </c>
      <c r="AE2947" t="s">
        <v>4783</v>
      </c>
      <c r="AF2947" t="s">
        <v>7077</v>
      </c>
      <c r="AG2947" t="s">
        <v>3522</v>
      </c>
      <c r="AH2947" t="s">
        <v>5862</v>
      </c>
      <c r="AI2947">
        <v>0</v>
      </c>
      <c r="AJ2947">
        <v>0</v>
      </c>
      <c r="AK2947">
        <v>0</v>
      </c>
      <c r="AL2947">
        <v>0</v>
      </c>
    </row>
    <row r="2948" spans="1:38" x14ac:dyDescent="0.25">
      <c r="A2948">
        <v>2947</v>
      </c>
      <c r="B2948" t="str">
        <f xml:space="preserve"> "300488"</f>
        <v>300488</v>
      </c>
      <c r="C2948" t="s">
        <v>8549</v>
      </c>
      <c r="D2948">
        <v>35</v>
      </c>
      <c r="E2948">
        <v>2.0099999999999998</v>
      </c>
      <c r="F2948">
        <v>0.69</v>
      </c>
      <c r="G2948" t="s">
        <v>691</v>
      </c>
      <c r="H2948">
        <v>361</v>
      </c>
      <c r="I2948">
        <v>34.96</v>
      </c>
      <c r="J2948">
        <v>35</v>
      </c>
      <c r="K2948">
        <v>-0.03</v>
      </c>
      <c r="L2948">
        <v>4.7699999999999996</v>
      </c>
      <c r="M2948" t="s">
        <v>1472</v>
      </c>
      <c r="N2948">
        <v>40.53</v>
      </c>
      <c r="O2948" t="s">
        <v>1229</v>
      </c>
      <c r="P2948">
        <v>35.24</v>
      </c>
      <c r="Q2948">
        <v>34.200000000000003</v>
      </c>
      <c r="R2948">
        <v>34.46</v>
      </c>
      <c r="S2948">
        <v>34.31</v>
      </c>
      <c r="T2948">
        <v>3.03</v>
      </c>
      <c r="U2948">
        <v>2.44</v>
      </c>
      <c r="V2948">
        <v>-93.35</v>
      </c>
      <c r="W2948">
        <v>-719</v>
      </c>
      <c r="X2948">
        <v>34.82</v>
      </c>
      <c r="Y2948">
        <v>4532</v>
      </c>
      <c r="Z2948">
        <v>7391</v>
      </c>
      <c r="AA2948">
        <v>0.61</v>
      </c>
      <c r="AB2948">
        <v>1</v>
      </c>
      <c r="AC2948">
        <v>540</v>
      </c>
      <c r="AD2948">
        <v>4.32</v>
      </c>
      <c r="AE2948" t="s">
        <v>1907</v>
      </c>
      <c r="AF2948" t="s">
        <v>7077</v>
      </c>
      <c r="AG2948" t="s">
        <v>8550</v>
      </c>
      <c r="AH2948" t="s">
        <v>8551</v>
      </c>
      <c r="AI2948">
        <v>2.37</v>
      </c>
      <c r="AJ2948">
        <v>6.71</v>
      </c>
      <c r="AK2948">
        <v>10.17</v>
      </c>
      <c r="AL2948">
        <v>14.53</v>
      </c>
    </row>
    <row r="2949" spans="1:38" x14ac:dyDescent="0.25">
      <c r="A2949">
        <v>2948</v>
      </c>
      <c r="B2949" t="str">
        <f xml:space="preserve"> "300399"</f>
        <v>300399</v>
      </c>
      <c r="C2949" t="s">
        <v>8552</v>
      </c>
      <c r="D2949">
        <v>24.22</v>
      </c>
      <c r="E2949">
        <v>-1.98</v>
      </c>
      <c r="F2949">
        <v>-0.49</v>
      </c>
      <c r="G2949" t="s">
        <v>1593</v>
      </c>
      <c r="H2949">
        <v>2210</v>
      </c>
      <c r="I2949">
        <v>24.21</v>
      </c>
      <c r="J2949">
        <v>24.22</v>
      </c>
      <c r="K2949">
        <v>-0.28999999999999998</v>
      </c>
      <c r="L2949">
        <v>11.97</v>
      </c>
      <c r="M2949" t="s">
        <v>333</v>
      </c>
      <c r="N2949">
        <v>-1041.95</v>
      </c>
      <c r="O2949" t="s">
        <v>553</v>
      </c>
      <c r="P2949">
        <v>24.95</v>
      </c>
      <c r="Q2949">
        <v>24.05</v>
      </c>
      <c r="R2949">
        <v>24.72</v>
      </c>
      <c r="S2949">
        <v>24.71</v>
      </c>
      <c r="T2949">
        <v>3.64</v>
      </c>
      <c r="U2949">
        <v>1.1200000000000001</v>
      </c>
      <c r="V2949">
        <v>-0.25</v>
      </c>
      <c r="W2949">
        <v>-3</v>
      </c>
      <c r="X2949">
        <v>24.4</v>
      </c>
      <c r="Y2949" t="s">
        <v>3213</v>
      </c>
      <c r="Z2949" t="s">
        <v>3579</v>
      </c>
      <c r="AA2949">
        <v>1.52</v>
      </c>
      <c r="AB2949">
        <v>19</v>
      </c>
      <c r="AC2949">
        <v>335</v>
      </c>
      <c r="AD2949">
        <v>8.6199999999999992</v>
      </c>
      <c r="AE2949" t="s">
        <v>2231</v>
      </c>
      <c r="AF2949" t="s">
        <v>7077</v>
      </c>
      <c r="AG2949" t="s">
        <v>7828</v>
      </c>
      <c r="AH2949" t="s">
        <v>2501</v>
      </c>
      <c r="AI2949">
        <v>-4.3099999999999996</v>
      </c>
      <c r="AJ2949">
        <v>15.89</v>
      </c>
      <c r="AK2949">
        <v>58.82</v>
      </c>
      <c r="AL2949">
        <v>65.650000000000006</v>
      </c>
    </row>
    <row r="2950" spans="1:38" x14ac:dyDescent="0.25">
      <c r="A2950">
        <v>2949</v>
      </c>
      <c r="B2950" t="str">
        <f xml:space="preserve"> "300703"</f>
        <v>300703</v>
      </c>
      <c r="C2950" t="s">
        <v>8553</v>
      </c>
      <c r="D2950">
        <v>46</v>
      </c>
      <c r="E2950">
        <v>0.28000000000000003</v>
      </c>
      <c r="F2950">
        <v>0.13</v>
      </c>
      <c r="G2950" t="s">
        <v>5977</v>
      </c>
      <c r="H2950">
        <v>754</v>
      </c>
      <c r="I2950">
        <v>46</v>
      </c>
      <c r="J2950">
        <v>46.01</v>
      </c>
      <c r="K2950">
        <v>0</v>
      </c>
      <c r="L2950">
        <v>12.34</v>
      </c>
      <c r="M2950" t="s">
        <v>2706</v>
      </c>
      <c r="N2950">
        <v>76.33</v>
      </c>
      <c r="O2950" t="s">
        <v>807</v>
      </c>
      <c r="P2950">
        <v>47.05</v>
      </c>
      <c r="Q2950">
        <v>45.56</v>
      </c>
      <c r="R2950">
        <v>45.6</v>
      </c>
      <c r="S2950">
        <v>45.87</v>
      </c>
      <c r="T2950">
        <v>3.25</v>
      </c>
      <c r="U2950">
        <v>0.44</v>
      </c>
      <c r="V2950">
        <v>-23.44</v>
      </c>
      <c r="W2950">
        <v>-49</v>
      </c>
      <c r="X2950">
        <v>46.27</v>
      </c>
      <c r="Y2950" t="s">
        <v>1259</v>
      </c>
      <c r="Z2950" t="s">
        <v>1095</v>
      </c>
      <c r="AA2950">
        <v>0.98</v>
      </c>
      <c r="AB2950">
        <v>28</v>
      </c>
      <c r="AC2950">
        <v>56</v>
      </c>
      <c r="AD2950">
        <v>6.73</v>
      </c>
      <c r="AE2950" t="s">
        <v>5802</v>
      </c>
      <c r="AF2950" t="s">
        <v>7077</v>
      </c>
      <c r="AG2950" t="s">
        <v>5562</v>
      </c>
      <c r="AH2950" t="s">
        <v>3217</v>
      </c>
      <c r="AI2950">
        <v>-6.88</v>
      </c>
      <c r="AJ2950">
        <v>-17.36</v>
      </c>
      <c r="AK2950">
        <v>51.38</v>
      </c>
      <c r="AL2950">
        <v>151.11000000000001</v>
      </c>
    </row>
    <row r="2951" spans="1:38" x14ac:dyDescent="0.25">
      <c r="A2951">
        <v>2950</v>
      </c>
      <c r="B2951" t="str">
        <f xml:space="preserve"> "300056"</f>
        <v>300056</v>
      </c>
      <c r="C2951" t="s">
        <v>8554</v>
      </c>
      <c r="D2951" t="s">
        <v>616</v>
      </c>
      <c r="E2951" t="s">
        <v>616</v>
      </c>
      <c r="F2951" t="s">
        <v>616</v>
      </c>
      <c r="G2951" t="s">
        <v>616</v>
      </c>
      <c r="H2951" t="s">
        <v>616</v>
      </c>
      <c r="I2951" t="s">
        <v>616</v>
      </c>
      <c r="J2951" t="s">
        <v>616</v>
      </c>
      <c r="K2951" t="s">
        <v>616</v>
      </c>
      <c r="L2951" t="s">
        <v>616</v>
      </c>
      <c r="M2951" t="s">
        <v>616</v>
      </c>
      <c r="N2951">
        <v>-9.82</v>
      </c>
      <c r="O2951" t="s">
        <v>1155</v>
      </c>
      <c r="P2951" t="s">
        <v>616</v>
      </c>
      <c r="Q2951" t="s">
        <v>616</v>
      </c>
      <c r="R2951" t="s">
        <v>616</v>
      </c>
      <c r="S2951">
        <v>9.5399999999999991</v>
      </c>
      <c r="T2951" t="s">
        <v>616</v>
      </c>
      <c r="U2951" t="s">
        <v>616</v>
      </c>
      <c r="V2951" t="s">
        <v>616</v>
      </c>
      <c r="W2951" t="s">
        <v>616</v>
      </c>
      <c r="X2951" t="s">
        <v>616</v>
      </c>
      <c r="Y2951" t="s">
        <v>616</v>
      </c>
      <c r="Z2951" t="s">
        <v>616</v>
      </c>
      <c r="AA2951" t="s">
        <v>616</v>
      </c>
      <c r="AB2951" t="s">
        <v>616</v>
      </c>
      <c r="AC2951" t="s">
        <v>616</v>
      </c>
      <c r="AD2951">
        <v>2.4500000000000002</v>
      </c>
      <c r="AE2951" t="s">
        <v>5104</v>
      </c>
      <c r="AF2951" t="s">
        <v>7077</v>
      </c>
      <c r="AG2951" t="s">
        <v>4296</v>
      </c>
      <c r="AH2951" t="s">
        <v>705</v>
      </c>
      <c r="AI2951">
        <v>0</v>
      </c>
      <c r="AJ2951">
        <v>0</v>
      </c>
      <c r="AK2951">
        <v>0</v>
      </c>
      <c r="AL2951">
        <v>13.39</v>
      </c>
    </row>
    <row r="2952" spans="1:38" x14ac:dyDescent="0.25">
      <c r="A2952">
        <v>2951</v>
      </c>
      <c r="B2952" t="str">
        <f xml:space="preserve"> "300162"</f>
        <v>300162</v>
      </c>
      <c r="C2952" t="s">
        <v>8555</v>
      </c>
      <c r="D2952">
        <v>10.52</v>
      </c>
      <c r="E2952">
        <v>1.06</v>
      </c>
      <c r="F2952">
        <v>0.11</v>
      </c>
      <c r="G2952" t="s">
        <v>1399</v>
      </c>
      <c r="H2952">
        <v>2247</v>
      </c>
      <c r="I2952">
        <v>10.52</v>
      </c>
      <c r="J2952">
        <v>10.53</v>
      </c>
      <c r="K2952">
        <v>0</v>
      </c>
      <c r="L2952">
        <v>2.58</v>
      </c>
      <c r="M2952" t="s">
        <v>1841</v>
      </c>
      <c r="N2952">
        <v>85.18</v>
      </c>
      <c r="O2952" t="s">
        <v>380</v>
      </c>
      <c r="P2952">
        <v>10.55</v>
      </c>
      <c r="Q2952">
        <v>10.25</v>
      </c>
      <c r="R2952">
        <v>10.37</v>
      </c>
      <c r="S2952">
        <v>10.41</v>
      </c>
      <c r="T2952">
        <v>2.88</v>
      </c>
      <c r="U2952">
        <v>0.7</v>
      </c>
      <c r="V2952">
        <v>-35.39</v>
      </c>
      <c r="W2952">
        <v>-1424</v>
      </c>
      <c r="X2952">
        <v>10.41</v>
      </c>
      <c r="Y2952" t="s">
        <v>2846</v>
      </c>
      <c r="Z2952" t="s">
        <v>1199</v>
      </c>
      <c r="AA2952">
        <v>0.91</v>
      </c>
      <c r="AB2952">
        <v>846</v>
      </c>
      <c r="AC2952">
        <v>903</v>
      </c>
      <c r="AD2952">
        <v>3.34</v>
      </c>
      <c r="AE2952" t="s">
        <v>4109</v>
      </c>
      <c r="AF2952" t="s">
        <v>7077</v>
      </c>
      <c r="AG2952" t="s">
        <v>1666</v>
      </c>
      <c r="AH2952" t="s">
        <v>2070</v>
      </c>
      <c r="AI2952">
        <v>0.56999999999999995</v>
      </c>
      <c r="AJ2952">
        <v>7.57</v>
      </c>
      <c r="AK2952">
        <v>11.21</v>
      </c>
      <c r="AL2952">
        <v>21.13</v>
      </c>
    </row>
    <row r="2953" spans="1:38" x14ac:dyDescent="0.25">
      <c r="A2953">
        <v>2952</v>
      </c>
      <c r="B2953" t="str">
        <f xml:space="preserve"> "300490"</f>
        <v>300490</v>
      </c>
      <c r="C2953" t="s">
        <v>8556</v>
      </c>
      <c r="D2953">
        <v>18.05</v>
      </c>
      <c r="E2953">
        <v>2.62</v>
      </c>
      <c r="F2953">
        <v>0.46</v>
      </c>
      <c r="G2953" t="s">
        <v>3603</v>
      </c>
      <c r="H2953">
        <v>462</v>
      </c>
      <c r="I2953">
        <v>18.04</v>
      </c>
      <c r="J2953">
        <v>18.05</v>
      </c>
      <c r="K2953">
        <v>-0.22</v>
      </c>
      <c r="L2953">
        <v>1.92</v>
      </c>
      <c r="M2953" t="s">
        <v>8557</v>
      </c>
      <c r="N2953">
        <v>100.82</v>
      </c>
      <c r="O2953" t="s">
        <v>680</v>
      </c>
      <c r="P2953">
        <v>18.440000000000001</v>
      </c>
      <c r="Q2953">
        <v>17.57</v>
      </c>
      <c r="R2953">
        <v>17.59</v>
      </c>
      <c r="S2953">
        <v>17.59</v>
      </c>
      <c r="T2953">
        <v>4.95</v>
      </c>
      <c r="U2953">
        <v>1.33</v>
      </c>
      <c r="V2953">
        <v>-46.93</v>
      </c>
      <c r="W2953">
        <v>-237</v>
      </c>
      <c r="X2953">
        <v>17.98</v>
      </c>
      <c r="Y2953">
        <v>7822</v>
      </c>
      <c r="Z2953">
        <v>9687</v>
      </c>
      <c r="AA2953">
        <v>0.81</v>
      </c>
      <c r="AB2953">
        <v>62</v>
      </c>
      <c r="AC2953">
        <v>173</v>
      </c>
      <c r="AD2953">
        <v>5.81</v>
      </c>
      <c r="AE2953" t="s">
        <v>7023</v>
      </c>
      <c r="AF2953" t="s">
        <v>7077</v>
      </c>
      <c r="AG2953" t="s">
        <v>8558</v>
      </c>
      <c r="AH2953" t="s">
        <v>1778</v>
      </c>
      <c r="AI2953">
        <v>-0.28000000000000003</v>
      </c>
      <c r="AJ2953">
        <v>4.09</v>
      </c>
      <c r="AK2953">
        <v>5.32</v>
      </c>
      <c r="AL2953">
        <v>9.19</v>
      </c>
    </row>
    <row r="2954" spans="1:38" x14ac:dyDescent="0.25">
      <c r="A2954">
        <v>2953</v>
      </c>
      <c r="B2954" t="str">
        <f xml:space="preserve"> "300547"</f>
        <v>300547</v>
      </c>
      <c r="C2954" t="s">
        <v>8559</v>
      </c>
      <c r="D2954">
        <v>59.9</v>
      </c>
      <c r="E2954">
        <v>1.92</v>
      </c>
      <c r="F2954">
        <v>1.1299999999999999</v>
      </c>
      <c r="G2954">
        <v>5366</v>
      </c>
      <c r="H2954">
        <v>99</v>
      </c>
      <c r="I2954">
        <v>59.88</v>
      </c>
      <c r="J2954">
        <v>59.9</v>
      </c>
      <c r="K2954">
        <v>7.0000000000000007E-2</v>
      </c>
      <c r="L2954">
        <v>1.75</v>
      </c>
      <c r="M2954" t="s">
        <v>8560</v>
      </c>
      <c r="N2954">
        <v>39.770000000000003</v>
      </c>
      <c r="O2954" t="s">
        <v>2128</v>
      </c>
      <c r="P2954">
        <v>59.98</v>
      </c>
      <c r="Q2954">
        <v>58.51</v>
      </c>
      <c r="R2954">
        <v>58.77</v>
      </c>
      <c r="S2954">
        <v>58.77</v>
      </c>
      <c r="T2954">
        <v>2.5</v>
      </c>
      <c r="U2954">
        <v>0.76</v>
      </c>
      <c r="V2954">
        <v>-46.39</v>
      </c>
      <c r="W2954">
        <v>-54</v>
      </c>
      <c r="X2954">
        <v>59.58</v>
      </c>
      <c r="Y2954">
        <v>1947</v>
      </c>
      <c r="Z2954">
        <v>3419</v>
      </c>
      <c r="AA2954">
        <v>0.56999999999999995</v>
      </c>
      <c r="AB2954">
        <v>3</v>
      </c>
      <c r="AC2954">
        <v>4</v>
      </c>
      <c r="AD2954">
        <v>5.46</v>
      </c>
      <c r="AE2954" t="s">
        <v>8561</v>
      </c>
      <c r="AF2954" t="s">
        <v>7077</v>
      </c>
      <c r="AG2954" t="s">
        <v>8562</v>
      </c>
      <c r="AH2954" t="s">
        <v>2856</v>
      </c>
      <c r="AI2954">
        <v>-0.48</v>
      </c>
      <c r="AJ2954">
        <v>1.03</v>
      </c>
      <c r="AK2954">
        <v>5.22</v>
      </c>
      <c r="AL2954">
        <v>13.18</v>
      </c>
    </row>
    <row r="2955" spans="1:38" x14ac:dyDescent="0.25">
      <c r="A2955">
        <v>2954</v>
      </c>
      <c r="B2955" t="str">
        <f xml:space="preserve"> "603665"</f>
        <v>603665</v>
      </c>
      <c r="C2955" t="s">
        <v>8563</v>
      </c>
      <c r="D2955">
        <v>36.72</v>
      </c>
      <c r="E2955">
        <v>1.27</v>
      </c>
      <c r="F2955">
        <v>0.46</v>
      </c>
      <c r="G2955">
        <v>6457</v>
      </c>
      <c r="H2955">
        <v>9</v>
      </c>
      <c r="I2955">
        <v>36.700000000000003</v>
      </c>
      <c r="J2955">
        <v>36.71</v>
      </c>
      <c r="K2955">
        <v>0.05</v>
      </c>
      <c r="L2955">
        <v>2.58</v>
      </c>
      <c r="M2955" t="s">
        <v>8534</v>
      </c>
      <c r="N2955">
        <v>50.23</v>
      </c>
      <c r="O2955" t="s">
        <v>1443</v>
      </c>
      <c r="P2955">
        <v>36.869999999999997</v>
      </c>
      <c r="Q2955">
        <v>36.08</v>
      </c>
      <c r="R2955">
        <v>36.450000000000003</v>
      </c>
      <c r="S2955">
        <v>36.26</v>
      </c>
      <c r="T2955">
        <v>2.1800000000000002</v>
      </c>
      <c r="U2955">
        <v>0.93</v>
      </c>
      <c r="V2955">
        <v>49.6</v>
      </c>
      <c r="W2955">
        <v>93</v>
      </c>
      <c r="X2955">
        <v>36.619999999999997</v>
      </c>
      <c r="Y2955">
        <v>2957</v>
      </c>
      <c r="Z2955">
        <v>3500</v>
      </c>
      <c r="AA2955">
        <v>0.84</v>
      </c>
      <c r="AB2955">
        <v>58</v>
      </c>
      <c r="AC2955">
        <v>3</v>
      </c>
      <c r="AD2955">
        <v>4.0999999999999996</v>
      </c>
      <c r="AE2955" t="s">
        <v>4464</v>
      </c>
      <c r="AF2955" t="s">
        <v>5862</v>
      </c>
      <c r="AG2955" t="s">
        <v>5931</v>
      </c>
      <c r="AH2955" t="s">
        <v>8564</v>
      </c>
      <c r="AI2955">
        <v>-1.02</v>
      </c>
      <c r="AJ2955">
        <v>1.27</v>
      </c>
      <c r="AK2955">
        <v>8.56</v>
      </c>
      <c r="AL2955">
        <v>16.5</v>
      </c>
    </row>
    <row r="2956" spans="1:38" x14ac:dyDescent="0.25">
      <c r="A2956">
        <v>2955</v>
      </c>
      <c r="B2956" t="str">
        <f xml:space="preserve"> "300555"</f>
        <v>300555</v>
      </c>
      <c r="C2956" t="s">
        <v>8565</v>
      </c>
      <c r="D2956">
        <v>18.350000000000001</v>
      </c>
      <c r="E2956">
        <v>0.05</v>
      </c>
      <c r="F2956">
        <v>0.01</v>
      </c>
      <c r="G2956" t="s">
        <v>86</v>
      </c>
      <c r="H2956">
        <v>219</v>
      </c>
      <c r="I2956">
        <v>18.350000000000001</v>
      </c>
      <c r="J2956">
        <v>18.36</v>
      </c>
      <c r="K2956">
        <v>0.27</v>
      </c>
      <c r="L2956">
        <v>4.7300000000000004</v>
      </c>
      <c r="M2956" t="s">
        <v>8566</v>
      </c>
      <c r="N2956">
        <v>87.29</v>
      </c>
      <c r="O2956" t="s">
        <v>580</v>
      </c>
      <c r="P2956">
        <v>18.510000000000002</v>
      </c>
      <c r="Q2956">
        <v>18.02</v>
      </c>
      <c r="R2956">
        <v>18.38</v>
      </c>
      <c r="S2956">
        <v>18.34</v>
      </c>
      <c r="T2956">
        <v>2.67</v>
      </c>
      <c r="U2956">
        <v>0.47</v>
      </c>
      <c r="V2956">
        <v>-4.3</v>
      </c>
      <c r="W2956">
        <v>-48</v>
      </c>
      <c r="X2956">
        <v>18.22</v>
      </c>
      <c r="Y2956" t="s">
        <v>1579</v>
      </c>
      <c r="Z2956">
        <v>9920</v>
      </c>
      <c r="AA2956">
        <v>1.38</v>
      </c>
      <c r="AB2956">
        <v>81</v>
      </c>
      <c r="AC2956">
        <v>200</v>
      </c>
      <c r="AD2956">
        <v>6.03</v>
      </c>
      <c r="AE2956" t="s">
        <v>1485</v>
      </c>
      <c r="AF2956" t="s">
        <v>5862</v>
      </c>
      <c r="AG2956" t="s">
        <v>3869</v>
      </c>
      <c r="AH2956" t="s">
        <v>8564</v>
      </c>
      <c r="AI2956">
        <v>-3.83</v>
      </c>
      <c r="AJ2956">
        <v>-5.41</v>
      </c>
      <c r="AK2956">
        <v>20.36</v>
      </c>
      <c r="AL2956">
        <v>55.11</v>
      </c>
    </row>
    <row r="2957" spans="1:38" x14ac:dyDescent="0.25">
      <c r="A2957">
        <v>2956</v>
      </c>
      <c r="B2957" t="str">
        <f xml:space="preserve"> "600727"</f>
        <v>600727</v>
      </c>
      <c r="C2957" t="s">
        <v>8567</v>
      </c>
      <c r="D2957">
        <v>10.45</v>
      </c>
      <c r="E2957">
        <v>0.87</v>
      </c>
      <c r="F2957">
        <v>0.09</v>
      </c>
      <c r="G2957" t="s">
        <v>1984</v>
      </c>
      <c r="H2957">
        <v>47</v>
      </c>
      <c r="I2957">
        <v>10.45</v>
      </c>
      <c r="J2957">
        <v>10.46</v>
      </c>
      <c r="K2957">
        <v>0.1</v>
      </c>
      <c r="L2957">
        <v>0.96</v>
      </c>
      <c r="M2957" t="s">
        <v>8568</v>
      </c>
      <c r="N2957">
        <v>68.260000000000005</v>
      </c>
      <c r="O2957" t="s">
        <v>1936</v>
      </c>
      <c r="P2957">
        <v>10.51</v>
      </c>
      <c r="Q2957">
        <v>10.36</v>
      </c>
      <c r="R2957">
        <v>10.36</v>
      </c>
      <c r="S2957">
        <v>10.36</v>
      </c>
      <c r="T2957">
        <v>1.45</v>
      </c>
      <c r="U2957">
        <v>0.7</v>
      </c>
      <c r="V2957">
        <v>-31.59</v>
      </c>
      <c r="W2957">
        <v>-952</v>
      </c>
      <c r="X2957">
        <v>10.44</v>
      </c>
      <c r="Y2957" t="s">
        <v>2558</v>
      </c>
      <c r="Z2957" t="s">
        <v>6292</v>
      </c>
      <c r="AA2957">
        <v>0.9</v>
      </c>
      <c r="AB2957">
        <v>168</v>
      </c>
      <c r="AC2957">
        <v>179</v>
      </c>
      <c r="AD2957">
        <v>3.3</v>
      </c>
      <c r="AE2957" t="s">
        <v>3724</v>
      </c>
      <c r="AF2957" t="s">
        <v>5862</v>
      </c>
      <c r="AG2957" t="s">
        <v>3724</v>
      </c>
      <c r="AH2957" t="s">
        <v>5862</v>
      </c>
      <c r="AI2957">
        <v>-0.56999999999999995</v>
      </c>
      <c r="AJ2957">
        <v>2.75</v>
      </c>
      <c r="AK2957">
        <v>3.32</v>
      </c>
      <c r="AL2957">
        <v>7.75</v>
      </c>
    </row>
    <row r="2958" spans="1:38" x14ac:dyDescent="0.25">
      <c r="A2958">
        <v>2957</v>
      </c>
      <c r="B2958" t="str">
        <f xml:space="preserve"> "000692"</f>
        <v>000692</v>
      </c>
      <c r="C2958" t="s">
        <v>8569</v>
      </c>
      <c r="D2958">
        <v>6.88</v>
      </c>
      <c r="E2958">
        <v>-0.57999999999999996</v>
      </c>
      <c r="F2958">
        <v>-0.04</v>
      </c>
      <c r="G2958" t="s">
        <v>2968</v>
      </c>
      <c r="H2958">
        <v>184</v>
      </c>
      <c r="I2958">
        <v>6.88</v>
      </c>
      <c r="J2958">
        <v>6.89</v>
      </c>
      <c r="K2958">
        <v>-0.28999999999999998</v>
      </c>
      <c r="L2958">
        <v>0.31</v>
      </c>
      <c r="M2958" t="s">
        <v>8570</v>
      </c>
      <c r="N2958">
        <v>485.99</v>
      </c>
      <c r="O2958" t="s">
        <v>2085</v>
      </c>
      <c r="P2958">
        <v>6.95</v>
      </c>
      <c r="Q2958">
        <v>6.85</v>
      </c>
      <c r="R2958">
        <v>6.92</v>
      </c>
      <c r="S2958">
        <v>6.92</v>
      </c>
      <c r="T2958">
        <v>1.45</v>
      </c>
      <c r="U2958">
        <v>0.72</v>
      </c>
      <c r="V2958">
        <v>66.75</v>
      </c>
      <c r="W2958">
        <v>2279</v>
      </c>
      <c r="X2958">
        <v>6.91</v>
      </c>
      <c r="Y2958" t="s">
        <v>1685</v>
      </c>
      <c r="Z2958">
        <v>6354</v>
      </c>
      <c r="AA2958">
        <v>1.59</v>
      </c>
      <c r="AB2958">
        <v>140</v>
      </c>
      <c r="AC2958">
        <v>80</v>
      </c>
      <c r="AD2958">
        <v>2.66</v>
      </c>
      <c r="AE2958" t="s">
        <v>4908</v>
      </c>
      <c r="AF2958" t="s">
        <v>5862</v>
      </c>
      <c r="AG2958" t="s">
        <v>4908</v>
      </c>
      <c r="AH2958" t="s">
        <v>5862</v>
      </c>
      <c r="AI2958">
        <v>-1.1499999999999999</v>
      </c>
      <c r="AJ2958">
        <v>2.5299999999999998</v>
      </c>
      <c r="AK2958">
        <v>1.2</v>
      </c>
      <c r="AL2958">
        <v>2.46</v>
      </c>
    </row>
    <row r="2959" spans="1:38" x14ac:dyDescent="0.25">
      <c r="A2959">
        <v>2958</v>
      </c>
      <c r="B2959" t="str">
        <f xml:space="preserve"> "603726"</f>
        <v>603726</v>
      </c>
      <c r="C2959" t="s">
        <v>8571</v>
      </c>
      <c r="D2959">
        <v>38.69</v>
      </c>
      <c r="E2959">
        <v>1.9</v>
      </c>
      <c r="F2959">
        <v>0.72</v>
      </c>
      <c r="G2959" t="s">
        <v>3158</v>
      </c>
      <c r="H2959">
        <v>12</v>
      </c>
      <c r="I2959">
        <v>38.72</v>
      </c>
      <c r="J2959">
        <v>38.729999999999997</v>
      </c>
      <c r="K2959">
        <v>0.26</v>
      </c>
      <c r="L2959">
        <v>7.79</v>
      </c>
      <c r="M2959" t="s">
        <v>4048</v>
      </c>
      <c r="N2959">
        <v>29</v>
      </c>
      <c r="O2959" t="s">
        <v>215</v>
      </c>
      <c r="P2959">
        <v>38.72</v>
      </c>
      <c r="Q2959">
        <v>37.75</v>
      </c>
      <c r="R2959">
        <v>37.93</v>
      </c>
      <c r="S2959">
        <v>37.97</v>
      </c>
      <c r="T2959">
        <v>2.5499999999999998</v>
      </c>
      <c r="U2959">
        <v>2.06</v>
      </c>
      <c r="V2959">
        <v>41.94</v>
      </c>
      <c r="W2959">
        <v>130</v>
      </c>
      <c r="X2959">
        <v>38.200000000000003</v>
      </c>
      <c r="Y2959">
        <v>8589</v>
      </c>
      <c r="Z2959">
        <v>9861</v>
      </c>
      <c r="AA2959">
        <v>0.87</v>
      </c>
      <c r="AB2959">
        <v>3</v>
      </c>
      <c r="AC2959">
        <v>10</v>
      </c>
      <c r="AD2959">
        <v>5.04</v>
      </c>
      <c r="AE2959" t="s">
        <v>8572</v>
      </c>
      <c r="AF2959" t="s">
        <v>1342</v>
      </c>
      <c r="AG2959" t="s">
        <v>8573</v>
      </c>
      <c r="AH2959" t="s">
        <v>5702</v>
      </c>
      <c r="AI2959">
        <v>1.92</v>
      </c>
      <c r="AJ2959">
        <v>5.16</v>
      </c>
      <c r="AK2959">
        <v>15.05</v>
      </c>
      <c r="AL2959">
        <v>26.75</v>
      </c>
    </row>
    <row r="2960" spans="1:38" x14ac:dyDescent="0.25">
      <c r="A2960">
        <v>2959</v>
      </c>
      <c r="B2960" t="str">
        <f xml:space="preserve"> "300689"</f>
        <v>300689</v>
      </c>
      <c r="C2960" t="s">
        <v>8574</v>
      </c>
      <c r="D2960">
        <v>53.88</v>
      </c>
      <c r="E2960">
        <v>1.66</v>
      </c>
      <c r="F2960">
        <v>0.88</v>
      </c>
      <c r="G2960" t="s">
        <v>3387</v>
      </c>
      <c r="H2960">
        <v>1100</v>
      </c>
      <c r="I2960">
        <v>53.88</v>
      </c>
      <c r="J2960">
        <v>53.89</v>
      </c>
      <c r="K2960">
        <v>0.19</v>
      </c>
      <c r="L2960">
        <v>11.43</v>
      </c>
      <c r="M2960" t="s">
        <v>2611</v>
      </c>
      <c r="N2960">
        <v>68.849999999999994</v>
      </c>
      <c r="O2960" t="s">
        <v>380</v>
      </c>
      <c r="P2960">
        <v>53.88</v>
      </c>
      <c r="Q2960">
        <v>52.02</v>
      </c>
      <c r="R2960">
        <v>53</v>
      </c>
      <c r="S2960">
        <v>53</v>
      </c>
      <c r="T2960">
        <v>3.51</v>
      </c>
      <c r="U2960">
        <v>0.89</v>
      </c>
      <c r="V2960">
        <v>64.44</v>
      </c>
      <c r="W2960">
        <v>261</v>
      </c>
      <c r="X2960">
        <v>53.13</v>
      </c>
      <c r="Y2960">
        <v>9575</v>
      </c>
      <c r="Z2960">
        <v>9863</v>
      </c>
      <c r="AA2960">
        <v>0.97</v>
      </c>
      <c r="AB2960">
        <v>17</v>
      </c>
      <c r="AC2960">
        <v>19</v>
      </c>
      <c r="AD2960">
        <v>7.2</v>
      </c>
      <c r="AE2960" t="s">
        <v>7579</v>
      </c>
      <c r="AF2960" t="s">
        <v>1342</v>
      </c>
      <c r="AG2960" t="s">
        <v>6757</v>
      </c>
      <c r="AH2960" t="s">
        <v>5702</v>
      </c>
      <c r="AI2960">
        <v>-1.86</v>
      </c>
      <c r="AJ2960">
        <v>1.37</v>
      </c>
      <c r="AK2960">
        <v>36.04</v>
      </c>
      <c r="AL2960">
        <v>75.38</v>
      </c>
    </row>
    <row r="2961" spans="1:38" x14ac:dyDescent="0.25">
      <c r="A2961">
        <v>2960</v>
      </c>
      <c r="B2961" t="str">
        <f xml:space="preserve"> "000809"</f>
        <v>000809</v>
      </c>
      <c r="C2961" t="s">
        <v>8575</v>
      </c>
      <c r="D2961">
        <v>4.4400000000000004</v>
      </c>
      <c r="E2961">
        <v>0</v>
      </c>
      <c r="F2961">
        <v>0</v>
      </c>
      <c r="G2961" t="s">
        <v>3161</v>
      </c>
      <c r="H2961">
        <v>373</v>
      </c>
      <c r="I2961">
        <v>4.43</v>
      </c>
      <c r="J2961">
        <v>4.4400000000000004</v>
      </c>
      <c r="K2961">
        <v>0.23</v>
      </c>
      <c r="L2961">
        <v>0.55000000000000004</v>
      </c>
      <c r="M2961" t="s">
        <v>6855</v>
      </c>
      <c r="N2961">
        <v>-22.88</v>
      </c>
      <c r="O2961" t="s">
        <v>244</v>
      </c>
      <c r="P2961">
        <v>4.4800000000000004</v>
      </c>
      <c r="Q2961">
        <v>4.4000000000000004</v>
      </c>
      <c r="R2961">
        <v>4.4400000000000004</v>
      </c>
      <c r="S2961">
        <v>4.4400000000000004</v>
      </c>
      <c r="T2961">
        <v>1.8</v>
      </c>
      <c r="U2961">
        <v>0.52</v>
      </c>
      <c r="V2961">
        <v>4.3499999999999996</v>
      </c>
      <c r="W2961">
        <v>664</v>
      </c>
      <c r="X2961">
        <v>4.43</v>
      </c>
      <c r="Y2961" t="s">
        <v>2373</v>
      </c>
      <c r="Z2961" t="s">
        <v>899</v>
      </c>
      <c r="AA2961">
        <v>1.42</v>
      </c>
      <c r="AB2961">
        <v>413</v>
      </c>
      <c r="AC2961">
        <v>1082</v>
      </c>
      <c r="AD2961">
        <v>1.25</v>
      </c>
      <c r="AE2961" t="s">
        <v>4669</v>
      </c>
      <c r="AF2961" t="s">
        <v>1342</v>
      </c>
      <c r="AG2961" t="s">
        <v>4669</v>
      </c>
      <c r="AH2961" t="s">
        <v>1342</v>
      </c>
      <c r="AI2961">
        <v>3.5</v>
      </c>
      <c r="AJ2961">
        <v>4.47</v>
      </c>
      <c r="AK2961">
        <v>3.93</v>
      </c>
      <c r="AL2961">
        <v>5.77</v>
      </c>
    </row>
    <row r="2962" spans="1:38" x14ac:dyDescent="0.25">
      <c r="A2962">
        <v>2961</v>
      </c>
      <c r="B2962" t="str">
        <f xml:space="preserve"> "300404"</f>
        <v>300404</v>
      </c>
      <c r="C2962" t="s">
        <v>8576</v>
      </c>
      <c r="D2962">
        <v>27.27</v>
      </c>
      <c r="E2962">
        <v>-0.62</v>
      </c>
      <c r="F2962">
        <v>-0.17</v>
      </c>
      <c r="G2962" t="s">
        <v>1954</v>
      </c>
      <c r="H2962">
        <v>1101</v>
      </c>
      <c r="I2962">
        <v>27.26</v>
      </c>
      <c r="J2962">
        <v>27.27</v>
      </c>
      <c r="K2962">
        <v>-0.33</v>
      </c>
      <c r="L2962">
        <v>4.8</v>
      </c>
      <c r="M2962" t="s">
        <v>6712</v>
      </c>
      <c r="N2962">
        <v>3985.77</v>
      </c>
      <c r="O2962" t="s">
        <v>392</v>
      </c>
      <c r="P2962">
        <v>27.88</v>
      </c>
      <c r="Q2962">
        <v>26.9</v>
      </c>
      <c r="R2962">
        <v>27.56</v>
      </c>
      <c r="S2962">
        <v>27.44</v>
      </c>
      <c r="T2962">
        <v>3.57</v>
      </c>
      <c r="U2962">
        <v>0.83</v>
      </c>
      <c r="V2962">
        <v>-40.43</v>
      </c>
      <c r="W2962">
        <v>-247</v>
      </c>
      <c r="X2962">
        <v>27.46</v>
      </c>
      <c r="Y2962" t="s">
        <v>1113</v>
      </c>
      <c r="Z2962" t="s">
        <v>1821</v>
      </c>
      <c r="AA2962">
        <v>1.31</v>
      </c>
      <c r="AB2962">
        <v>7</v>
      </c>
      <c r="AC2962">
        <v>270</v>
      </c>
      <c r="AD2962">
        <v>8.23</v>
      </c>
      <c r="AE2962" t="s">
        <v>2973</v>
      </c>
      <c r="AF2962" t="s">
        <v>1342</v>
      </c>
      <c r="AG2962" t="s">
        <v>8577</v>
      </c>
      <c r="AH2962" t="s">
        <v>892</v>
      </c>
      <c r="AI2962">
        <v>-1.98</v>
      </c>
      <c r="AJ2962">
        <v>8.69</v>
      </c>
      <c r="AK2962">
        <v>19.78</v>
      </c>
      <c r="AL2962">
        <v>33.76</v>
      </c>
    </row>
    <row r="2963" spans="1:38" x14ac:dyDescent="0.25">
      <c r="A2963">
        <v>2962</v>
      </c>
      <c r="B2963" t="str">
        <f xml:space="preserve"> "300025"</f>
        <v>300025</v>
      </c>
      <c r="C2963" t="s">
        <v>8578</v>
      </c>
      <c r="D2963">
        <v>8.5299999999999994</v>
      </c>
      <c r="E2963">
        <v>-1.27</v>
      </c>
      <c r="F2963">
        <v>-0.11</v>
      </c>
      <c r="G2963" t="s">
        <v>2150</v>
      </c>
      <c r="H2963">
        <v>2732</v>
      </c>
      <c r="I2963">
        <v>8.52</v>
      </c>
      <c r="J2963">
        <v>8.5299999999999994</v>
      </c>
      <c r="K2963">
        <v>0.12</v>
      </c>
      <c r="L2963">
        <v>5.44</v>
      </c>
      <c r="M2963" t="s">
        <v>1750</v>
      </c>
      <c r="N2963">
        <v>70.680000000000007</v>
      </c>
      <c r="O2963" t="s">
        <v>580</v>
      </c>
      <c r="P2963">
        <v>8.59</v>
      </c>
      <c r="Q2963">
        <v>8.3800000000000008</v>
      </c>
      <c r="R2963">
        <v>8.59</v>
      </c>
      <c r="S2963">
        <v>8.64</v>
      </c>
      <c r="T2963">
        <v>2.4300000000000002</v>
      </c>
      <c r="U2963">
        <v>0.38</v>
      </c>
      <c r="V2963">
        <v>-40.01</v>
      </c>
      <c r="W2963">
        <v>-2046</v>
      </c>
      <c r="X2963">
        <v>8.49</v>
      </c>
      <c r="Y2963" t="s">
        <v>337</v>
      </c>
      <c r="Z2963" t="s">
        <v>876</v>
      </c>
      <c r="AA2963">
        <v>1.55</v>
      </c>
      <c r="AB2963">
        <v>743</v>
      </c>
      <c r="AC2963">
        <v>26</v>
      </c>
      <c r="AD2963">
        <v>4.1100000000000003</v>
      </c>
      <c r="AE2963" t="s">
        <v>5136</v>
      </c>
      <c r="AF2963" t="s">
        <v>1342</v>
      </c>
      <c r="AG2963" t="s">
        <v>935</v>
      </c>
      <c r="AH2963" t="s">
        <v>863</v>
      </c>
      <c r="AI2963">
        <v>-5.22</v>
      </c>
      <c r="AJ2963">
        <v>-0.12</v>
      </c>
      <c r="AK2963">
        <v>27.05</v>
      </c>
      <c r="AL2963">
        <v>76.31</v>
      </c>
    </row>
    <row r="2964" spans="1:38" x14ac:dyDescent="0.25">
      <c r="A2964">
        <v>2963</v>
      </c>
      <c r="B2964" t="str">
        <f xml:space="preserve"> "600706"</f>
        <v>600706</v>
      </c>
      <c r="C2964" t="s">
        <v>8579</v>
      </c>
      <c r="D2964">
        <v>20.329999999999998</v>
      </c>
      <c r="E2964">
        <v>0.3</v>
      </c>
      <c r="F2964">
        <v>0.06</v>
      </c>
      <c r="G2964" t="s">
        <v>1095</v>
      </c>
      <c r="H2964">
        <v>5</v>
      </c>
      <c r="I2964">
        <v>20.34</v>
      </c>
      <c r="J2964">
        <v>20.350000000000001</v>
      </c>
      <c r="K2964">
        <v>0.15</v>
      </c>
      <c r="L2964">
        <v>0.7</v>
      </c>
      <c r="M2964" t="s">
        <v>8580</v>
      </c>
      <c r="N2964">
        <v>35.99</v>
      </c>
      <c r="O2964" t="s">
        <v>951</v>
      </c>
      <c r="P2964">
        <v>20.38</v>
      </c>
      <c r="Q2964">
        <v>20.16</v>
      </c>
      <c r="R2964">
        <v>20.3</v>
      </c>
      <c r="S2964">
        <v>20.27</v>
      </c>
      <c r="T2964">
        <v>1.0900000000000001</v>
      </c>
      <c r="U2964">
        <v>0.53</v>
      </c>
      <c r="V2964">
        <v>-51.09</v>
      </c>
      <c r="W2964">
        <v>-234</v>
      </c>
      <c r="X2964">
        <v>20.28</v>
      </c>
      <c r="Y2964">
        <v>6919</v>
      </c>
      <c r="Z2964">
        <v>5623</v>
      </c>
      <c r="AA2964">
        <v>1.23</v>
      </c>
      <c r="AB2964">
        <v>19</v>
      </c>
      <c r="AC2964">
        <v>53</v>
      </c>
      <c r="AD2964">
        <v>3.9</v>
      </c>
      <c r="AE2964" t="s">
        <v>3119</v>
      </c>
      <c r="AF2964" t="s">
        <v>8581</v>
      </c>
      <c r="AG2964" t="s">
        <v>1710</v>
      </c>
      <c r="AH2964" t="s">
        <v>1752</v>
      </c>
      <c r="AI2964">
        <v>-0.49</v>
      </c>
      <c r="AJ2964">
        <v>0.99</v>
      </c>
      <c r="AK2964">
        <v>2.78</v>
      </c>
      <c r="AL2964">
        <v>7.36</v>
      </c>
    </row>
    <row r="2965" spans="1:38" x14ac:dyDescent="0.25">
      <c r="A2965">
        <v>2964</v>
      </c>
      <c r="B2965" t="str">
        <f xml:space="preserve"> "300525"</f>
        <v>300525</v>
      </c>
      <c r="C2965" t="s">
        <v>8582</v>
      </c>
      <c r="D2965">
        <v>50.63</v>
      </c>
      <c r="E2965">
        <v>1.28</v>
      </c>
      <c r="F2965">
        <v>0.64</v>
      </c>
      <c r="G2965">
        <v>3873</v>
      </c>
      <c r="H2965">
        <v>81</v>
      </c>
      <c r="I2965">
        <v>50.57</v>
      </c>
      <c r="J2965">
        <v>50.63</v>
      </c>
      <c r="K2965">
        <v>-0.16</v>
      </c>
      <c r="L2965">
        <v>0.92</v>
      </c>
      <c r="M2965" t="s">
        <v>3755</v>
      </c>
      <c r="N2965">
        <v>374.82</v>
      </c>
      <c r="O2965" t="s">
        <v>893</v>
      </c>
      <c r="P2965">
        <v>51.65</v>
      </c>
      <c r="Q2965">
        <v>49.7</v>
      </c>
      <c r="R2965">
        <v>49.7</v>
      </c>
      <c r="S2965">
        <v>49.99</v>
      </c>
      <c r="T2965">
        <v>3.9</v>
      </c>
      <c r="U2965">
        <v>0.62</v>
      </c>
      <c r="V2965">
        <v>-7.5</v>
      </c>
      <c r="W2965">
        <v>-6</v>
      </c>
      <c r="X2965">
        <v>50.83</v>
      </c>
      <c r="Y2965">
        <v>2320</v>
      </c>
      <c r="Z2965">
        <v>1553</v>
      </c>
      <c r="AA2965">
        <v>1.49</v>
      </c>
      <c r="AB2965">
        <v>9</v>
      </c>
      <c r="AC2965">
        <v>2</v>
      </c>
      <c r="AD2965">
        <v>6.55</v>
      </c>
      <c r="AE2965" t="s">
        <v>8583</v>
      </c>
      <c r="AF2965" t="s">
        <v>8581</v>
      </c>
      <c r="AG2965" t="s">
        <v>8584</v>
      </c>
      <c r="AH2965" t="s">
        <v>3046</v>
      </c>
      <c r="AI2965">
        <v>-3.56</v>
      </c>
      <c r="AJ2965">
        <v>-1.1499999999999999</v>
      </c>
      <c r="AK2965">
        <v>3.93</v>
      </c>
      <c r="AL2965">
        <v>8.36</v>
      </c>
    </row>
    <row r="2966" spans="1:38" x14ac:dyDescent="0.25">
      <c r="A2966">
        <v>2965</v>
      </c>
      <c r="B2966" t="str">
        <f xml:space="preserve"> "002805"</f>
        <v>002805</v>
      </c>
      <c r="C2966" t="s">
        <v>8585</v>
      </c>
      <c r="D2966">
        <v>37.58</v>
      </c>
      <c r="E2966">
        <v>0.48</v>
      </c>
      <c r="F2966">
        <v>0.18</v>
      </c>
      <c r="G2966" t="s">
        <v>3272</v>
      </c>
      <c r="H2966">
        <v>283</v>
      </c>
      <c r="I2966">
        <v>37.58</v>
      </c>
      <c r="J2966">
        <v>37.6</v>
      </c>
      <c r="K2966">
        <v>0.05</v>
      </c>
      <c r="L2966">
        <v>4.53</v>
      </c>
      <c r="M2966" t="s">
        <v>8586</v>
      </c>
      <c r="N2966">
        <v>128.87</v>
      </c>
      <c r="O2966" t="s">
        <v>667</v>
      </c>
      <c r="P2966">
        <v>38.44</v>
      </c>
      <c r="Q2966">
        <v>37.56</v>
      </c>
      <c r="R2966">
        <v>38.04</v>
      </c>
      <c r="S2966">
        <v>37.4</v>
      </c>
      <c r="T2966">
        <v>2.35</v>
      </c>
      <c r="U2966">
        <v>0.89</v>
      </c>
      <c r="V2966">
        <v>70.489999999999995</v>
      </c>
      <c r="W2966">
        <v>439</v>
      </c>
      <c r="X2966">
        <v>37.96</v>
      </c>
      <c r="Y2966" t="s">
        <v>1821</v>
      </c>
      <c r="Z2966" t="s">
        <v>1836</v>
      </c>
      <c r="AA2966">
        <v>1.24</v>
      </c>
      <c r="AB2966">
        <v>454</v>
      </c>
      <c r="AC2966">
        <v>31</v>
      </c>
      <c r="AD2966">
        <v>6.73</v>
      </c>
      <c r="AE2966" t="s">
        <v>8587</v>
      </c>
      <c r="AF2966" t="s">
        <v>2629</v>
      </c>
      <c r="AG2966" t="s">
        <v>8588</v>
      </c>
      <c r="AH2966" t="s">
        <v>809</v>
      </c>
      <c r="AI2966">
        <v>0.21</v>
      </c>
      <c r="AJ2966">
        <v>-4.5</v>
      </c>
      <c r="AK2966">
        <v>14.4</v>
      </c>
      <c r="AL2966">
        <v>30.03</v>
      </c>
    </row>
    <row r="2967" spans="1:38" x14ac:dyDescent="0.25">
      <c r="A2967">
        <v>2966</v>
      </c>
      <c r="B2967" t="str">
        <f xml:space="preserve"> "002201"</f>
        <v>002201</v>
      </c>
      <c r="C2967" t="s">
        <v>8589</v>
      </c>
      <c r="D2967">
        <v>10.94</v>
      </c>
      <c r="E2967">
        <v>0.55000000000000004</v>
      </c>
      <c r="F2967">
        <v>0.06</v>
      </c>
      <c r="G2967" t="s">
        <v>432</v>
      </c>
      <c r="H2967">
        <v>251</v>
      </c>
      <c r="I2967">
        <v>10.93</v>
      </c>
      <c r="J2967">
        <v>10.94</v>
      </c>
      <c r="K2967">
        <v>0</v>
      </c>
      <c r="L2967">
        <v>0.69</v>
      </c>
      <c r="M2967" t="s">
        <v>8573</v>
      </c>
      <c r="N2967">
        <v>409.99</v>
      </c>
      <c r="O2967" t="s">
        <v>1058</v>
      </c>
      <c r="P2967">
        <v>11.01</v>
      </c>
      <c r="Q2967">
        <v>10.72</v>
      </c>
      <c r="R2967">
        <v>10.85</v>
      </c>
      <c r="S2967">
        <v>10.88</v>
      </c>
      <c r="T2967">
        <v>2.67</v>
      </c>
      <c r="U2967">
        <v>0.71</v>
      </c>
      <c r="V2967">
        <v>-20.010000000000002</v>
      </c>
      <c r="W2967">
        <v>-311</v>
      </c>
      <c r="X2967">
        <v>10.91</v>
      </c>
      <c r="Y2967" t="s">
        <v>1785</v>
      </c>
      <c r="Z2967" t="s">
        <v>1411</v>
      </c>
      <c r="AA2967">
        <v>0.98</v>
      </c>
      <c r="AB2967">
        <v>134</v>
      </c>
      <c r="AC2967">
        <v>274</v>
      </c>
      <c r="AD2967">
        <v>4.0999999999999996</v>
      </c>
      <c r="AE2967" t="s">
        <v>1624</v>
      </c>
      <c r="AF2967" t="s">
        <v>2629</v>
      </c>
      <c r="AG2967" t="s">
        <v>5539</v>
      </c>
      <c r="AH2967" t="s">
        <v>1802</v>
      </c>
      <c r="AI2967">
        <v>1.58</v>
      </c>
      <c r="AJ2967">
        <v>3.01</v>
      </c>
      <c r="AK2967">
        <v>3.15</v>
      </c>
      <c r="AL2967">
        <v>5.55</v>
      </c>
    </row>
    <row r="2968" spans="1:38" x14ac:dyDescent="0.25">
      <c r="A2968">
        <v>2967</v>
      </c>
      <c r="B2968" t="str">
        <f xml:space="preserve"> "601007"</f>
        <v>601007</v>
      </c>
      <c r="C2968" t="s">
        <v>8590</v>
      </c>
      <c r="D2968">
        <v>12.12</v>
      </c>
      <c r="E2968">
        <v>0.92</v>
      </c>
      <c r="F2968">
        <v>0.11</v>
      </c>
      <c r="G2968" t="s">
        <v>1076</v>
      </c>
      <c r="H2968">
        <v>5</v>
      </c>
      <c r="I2968">
        <v>12.11</v>
      </c>
      <c r="J2968">
        <v>12.12</v>
      </c>
      <c r="K2968">
        <v>-0.08</v>
      </c>
      <c r="L2968">
        <v>0.64</v>
      </c>
      <c r="M2968" t="s">
        <v>7036</v>
      </c>
      <c r="N2968">
        <v>37.36</v>
      </c>
      <c r="O2968" t="s">
        <v>951</v>
      </c>
      <c r="P2968">
        <v>12.15</v>
      </c>
      <c r="Q2968">
        <v>11.99</v>
      </c>
      <c r="R2968">
        <v>12.01</v>
      </c>
      <c r="S2968">
        <v>12.01</v>
      </c>
      <c r="T2968">
        <v>1.33</v>
      </c>
      <c r="U2968">
        <v>0.9</v>
      </c>
      <c r="V2968">
        <v>45.43</v>
      </c>
      <c r="W2968">
        <v>3076</v>
      </c>
      <c r="X2968">
        <v>12.08</v>
      </c>
      <c r="Y2968">
        <v>8905</v>
      </c>
      <c r="Z2968" t="s">
        <v>2522</v>
      </c>
      <c r="AA2968">
        <v>0.86</v>
      </c>
      <c r="AB2968">
        <v>100</v>
      </c>
      <c r="AC2968">
        <v>51</v>
      </c>
      <c r="AD2968">
        <v>2.58</v>
      </c>
      <c r="AE2968" t="s">
        <v>950</v>
      </c>
      <c r="AF2968" t="s">
        <v>2629</v>
      </c>
      <c r="AG2968" t="s">
        <v>950</v>
      </c>
      <c r="AH2968" t="s">
        <v>2629</v>
      </c>
      <c r="AI2968">
        <v>0.25</v>
      </c>
      <c r="AJ2968">
        <v>-0.33</v>
      </c>
      <c r="AK2968">
        <v>1.85</v>
      </c>
      <c r="AL2968">
        <v>4.2</v>
      </c>
    </row>
    <row r="2969" spans="1:38" x14ac:dyDescent="0.25">
      <c r="A2969">
        <v>2968</v>
      </c>
      <c r="B2969" t="str">
        <f xml:space="preserve"> "300272"</f>
        <v>300272</v>
      </c>
      <c r="C2969" t="s">
        <v>8591</v>
      </c>
      <c r="D2969" t="s">
        <v>616</v>
      </c>
      <c r="E2969" t="s">
        <v>616</v>
      </c>
      <c r="F2969" t="s">
        <v>616</v>
      </c>
      <c r="G2969" t="s">
        <v>616</v>
      </c>
      <c r="H2969" t="s">
        <v>616</v>
      </c>
      <c r="I2969" t="s">
        <v>616</v>
      </c>
      <c r="J2969" t="s">
        <v>616</v>
      </c>
      <c r="K2969" t="s">
        <v>616</v>
      </c>
      <c r="L2969" t="s">
        <v>616</v>
      </c>
      <c r="M2969" t="s">
        <v>616</v>
      </c>
      <c r="N2969">
        <v>46.78</v>
      </c>
      <c r="O2969" t="s">
        <v>648</v>
      </c>
      <c r="P2969" t="s">
        <v>616</v>
      </c>
      <c r="Q2969" t="s">
        <v>616</v>
      </c>
      <c r="R2969" t="s">
        <v>616</v>
      </c>
      <c r="S2969">
        <v>9.1300000000000008</v>
      </c>
      <c r="T2969" t="s">
        <v>616</v>
      </c>
      <c r="U2969" t="s">
        <v>616</v>
      </c>
      <c r="V2969" t="s">
        <v>616</v>
      </c>
      <c r="W2969" t="s">
        <v>616</v>
      </c>
      <c r="X2969" t="s">
        <v>616</v>
      </c>
      <c r="Y2969" t="s">
        <v>616</v>
      </c>
      <c r="Z2969" t="s">
        <v>616</v>
      </c>
      <c r="AA2969" t="s">
        <v>616</v>
      </c>
      <c r="AB2969" t="s">
        <v>616</v>
      </c>
      <c r="AC2969" t="s">
        <v>616</v>
      </c>
      <c r="AD2969">
        <v>4.55</v>
      </c>
      <c r="AE2969" t="s">
        <v>4736</v>
      </c>
      <c r="AF2969" t="s">
        <v>2629</v>
      </c>
      <c r="AG2969" t="s">
        <v>1197</v>
      </c>
      <c r="AH2969" t="s">
        <v>579</v>
      </c>
      <c r="AI2969">
        <v>0</v>
      </c>
      <c r="AJ2969">
        <v>0</v>
      </c>
      <c r="AK2969">
        <v>0</v>
      </c>
      <c r="AL2969">
        <v>0</v>
      </c>
    </row>
    <row r="2970" spans="1:38" x14ac:dyDescent="0.25">
      <c r="A2970">
        <v>2969</v>
      </c>
      <c r="B2970" t="str">
        <f xml:space="preserve"> "603389"</f>
        <v>603389</v>
      </c>
      <c r="C2970" t="s">
        <v>8592</v>
      </c>
      <c r="D2970">
        <v>16.600000000000001</v>
      </c>
      <c r="E2970">
        <v>0.55000000000000004</v>
      </c>
      <c r="F2970">
        <v>0.09</v>
      </c>
      <c r="G2970" t="s">
        <v>4374</v>
      </c>
      <c r="H2970">
        <v>1</v>
      </c>
      <c r="I2970">
        <v>16.61</v>
      </c>
      <c r="J2970">
        <v>16.62</v>
      </c>
      <c r="K2970">
        <v>0.06</v>
      </c>
      <c r="L2970">
        <v>3.49</v>
      </c>
      <c r="M2970" t="s">
        <v>8593</v>
      </c>
      <c r="N2970">
        <v>79.16</v>
      </c>
      <c r="O2970" t="s">
        <v>1469</v>
      </c>
      <c r="P2970">
        <v>16.68</v>
      </c>
      <c r="Q2970">
        <v>16.329999999999998</v>
      </c>
      <c r="R2970">
        <v>16.440000000000001</v>
      </c>
      <c r="S2970">
        <v>16.510000000000002</v>
      </c>
      <c r="T2970">
        <v>2.12</v>
      </c>
      <c r="U2970">
        <v>0.82</v>
      </c>
      <c r="V2970">
        <v>-22.02</v>
      </c>
      <c r="W2970">
        <v>-170</v>
      </c>
      <c r="X2970">
        <v>16.54</v>
      </c>
      <c r="Y2970">
        <v>8713</v>
      </c>
      <c r="Z2970" t="s">
        <v>2284</v>
      </c>
      <c r="AA2970">
        <v>0.84</v>
      </c>
      <c r="AB2970">
        <v>26</v>
      </c>
      <c r="AC2970">
        <v>20</v>
      </c>
      <c r="AD2970">
        <v>4.3</v>
      </c>
      <c r="AE2970" t="s">
        <v>1666</v>
      </c>
      <c r="AF2970" t="s">
        <v>1249</v>
      </c>
      <c r="AG2970" t="s">
        <v>8594</v>
      </c>
      <c r="AH2970" t="s">
        <v>1542</v>
      </c>
      <c r="AI2970">
        <v>0.67</v>
      </c>
      <c r="AJ2970">
        <v>5.53</v>
      </c>
      <c r="AK2970">
        <v>13.21</v>
      </c>
      <c r="AL2970">
        <v>24.85</v>
      </c>
    </row>
    <row r="2971" spans="1:38" x14ac:dyDescent="0.25">
      <c r="A2971">
        <v>2970</v>
      </c>
      <c r="B2971" t="str">
        <f xml:space="preserve"> "603316"</f>
        <v>603316</v>
      </c>
      <c r="C2971" t="s">
        <v>8595</v>
      </c>
      <c r="D2971">
        <v>17.88</v>
      </c>
      <c r="E2971">
        <v>5.49</v>
      </c>
      <c r="F2971">
        <v>0.93</v>
      </c>
      <c r="G2971" t="s">
        <v>5061</v>
      </c>
      <c r="H2971">
        <v>22</v>
      </c>
      <c r="I2971">
        <v>17.899999999999999</v>
      </c>
      <c r="J2971">
        <v>17.91</v>
      </c>
      <c r="K2971">
        <v>-0.22</v>
      </c>
      <c r="L2971">
        <v>16.11</v>
      </c>
      <c r="M2971" t="s">
        <v>3154</v>
      </c>
      <c r="N2971">
        <v>54.2</v>
      </c>
      <c r="O2971" t="s">
        <v>1221</v>
      </c>
      <c r="P2971">
        <v>18.22</v>
      </c>
      <c r="Q2971">
        <v>16.86</v>
      </c>
      <c r="R2971">
        <v>16.86</v>
      </c>
      <c r="S2971">
        <v>16.95</v>
      </c>
      <c r="T2971">
        <v>8.02</v>
      </c>
      <c r="U2971">
        <v>3.3</v>
      </c>
      <c r="V2971">
        <v>3.31</v>
      </c>
      <c r="W2971">
        <v>52</v>
      </c>
      <c r="X2971">
        <v>17.66</v>
      </c>
      <c r="Y2971" t="s">
        <v>3877</v>
      </c>
      <c r="Z2971" t="s">
        <v>4043</v>
      </c>
      <c r="AA2971">
        <v>0.57999999999999996</v>
      </c>
      <c r="AB2971">
        <v>26</v>
      </c>
      <c r="AC2971">
        <v>65</v>
      </c>
      <c r="AD2971">
        <v>4.75</v>
      </c>
      <c r="AE2971" t="s">
        <v>1075</v>
      </c>
      <c r="AF2971" t="s">
        <v>1249</v>
      </c>
      <c r="AG2971" t="s">
        <v>6866</v>
      </c>
      <c r="AH2971" t="s">
        <v>1542</v>
      </c>
      <c r="AI2971">
        <v>4.99</v>
      </c>
      <c r="AJ2971">
        <v>10.23</v>
      </c>
      <c r="AK2971">
        <v>26.67</v>
      </c>
      <c r="AL2971">
        <v>40.56</v>
      </c>
    </row>
    <row r="2972" spans="1:38" x14ac:dyDescent="0.25">
      <c r="A2972">
        <v>2971</v>
      </c>
      <c r="B2972" t="str">
        <f xml:space="preserve"> "002159"</f>
        <v>002159</v>
      </c>
      <c r="C2972" t="s">
        <v>8596</v>
      </c>
      <c r="D2972">
        <v>26.2</v>
      </c>
      <c r="E2972">
        <v>0.65</v>
      </c>
      <c r="F2972">
        <v>0.17</v>
      </c>
      <c r="G2972">
        <v>8925</v>
      </c>
      <c r="H2972">
        <v>301</v>
      </c>
      <c r="I2972">
        <v>26.17</v>
      </c>
      <c r="J2972">
        <v>26.2</v>
      </c>
      <c r="K2972">
        <v>0.19</v>
      </c>
      <c r="L2972">
        <v>0.67</v>
      </c>
      <c r="M2972" t="s">
        <v>8597</v>
      </c>
      <c r="N2972">
        <v>-54.11</v>
      </c>
      <c r="O2972" t="s">
        <v>951</v>
      </c>
      <c r="P2972">
        <v>26.26</v>
      </c>
      <c r="Q2972">
        <v>25.77</v>
      </c>
      <c r="R2972">
        <v>25.88</v>
      </c>
      <c r="S2972">
        <v>26.03</v>
      </c>
      <c r="T2972">
        <v>1.88</v>
      </c>
      <c r="U2972">
        <v>0.53</v>
      </c>
      <c r="V2972">
        <v>23.61</v>
      </c>
      <c r="W2972">
        <v>200</v>
      </c>
      <c r="X2972">
        <v>26.02</v>
      </c>
      <c r="Y2972">
        <v>6194</v>
      </c>
      <c r="Z2972">
        <v>2731</v>
      </c>
      <c r="AA2972">
        <v>2.27</v>
      </c>
      <c r="AB2972">
        <v>10</v>
      </c>
      <c r="AC2972">
        <v>205</v>
      </c>
      <c r="AD2972">
        <v>4.62</v>
      </c>
      <c r="AE2972" t="s">
        <v>3923</v>
      </c>
      <c r="AF2972" t="s">
        <v>1249</v>
      </c>
      <c r="AG2972" t="s">
        <v>2973</v>
      </c>
      <c r="AH2972" t="s">
        <v>7340</v>
      </c>
      <c r="AI2972">
        <v>2.99</v>
      </c>
      <c r="AJ2972">
        <v>2.83</v>
      </c>
      <c r="AK2972">
        <v>4.4800000000000004</v>
      </c>
      <c r="AL2972">
        <v>6.93</v>
      </c>
    </row>
    <row r="2973" spans="1:38" x14ac:dyDescent="0.25">
      <c r="A2973">
        <v>2972</v>
      </c>
      <c r="B2973" t="str">
        <f xml:space="preserve"> "603002"</f>
        <v>603002</v>
      </c>
      <c r="C2973" t="s">
        <v>8598</v>
      </c>
      <c r="D2973">
        <v>5.91</v>
      </c>
      <c r="E2973">
        <v>2.78</v>
      </c>
      <c r="F2973">
        <v>0.16</v>
      </c>
      <c r="G2973" t="s">
        <v>216</v>
      </c>
      <c r="H2973">
        <v>120</v>
      </c>
      <c r="I2973">
        <v>5.9</v>
      </c>
      <c r="J2973">
        <v>5.91</v>
      </c>
      <c r="K2973">
        <v>0.17</v>
      </c>
      <c r="L2973">
        <v>1.37</v>
      </c>
      <c r="M2973" t="s">
        <v>7569</v>
      </c>
      <c r="N2973">
        <v>103.95</v>
      </c>
      <c r="O2973" t="s">
        <v>667</v>
      </c>
      <c r="P2973">
        <v>5.95</v>
      </c>
      <c r="Q2973">
        <v>5.71</v>
      </c>
      <c r="R2973">
        <v>5.74</v>
      </c>
      <c r="S2973">
        <v>5.75</v>
      </c>
      <c r="T2973">
        <v>4.17</v>
      </c>
      <c r="U2973">
        <v>2.19</v>
      </c>
      <c r="V2973">
        <v>-83.43</v>
      </c>
      <c r="W2973">
        <v>-7246</v>
      </c>
      <c r="X2973">
        <v>5.87</v>
      </c>
      <c r="Y2973" t="s">
        <v>2451</v>
      </c>
      <c r="Z2973" t="s">
        <v>853</v>
      </c>
      <c r="AA2973">
        <v>0.56000000000000005</v>
      </c>
      <c r="AB2973">
        <v>143</v>
      </c>
      <c r="AC2973">
        <v>591</v>
      </c>
      <c r="AD2973">
        <v>3.51</v>
      </c>
      <c r="AE2973" t="s">
        <v>4193</v>
      </c>
      <c r="AF2973" t="s">
        <v>1249</v>
      </c>
      <c r="AG2973" t="s">
        <v>3710</v>
      </c>
      <c r="AH2973" t="s">
        <v>1975</v>
      </c>
      <c r="AI2973">
        <v>1.9</v>
      </c>
      <c r="AJ2973">
        <v>5.16</v>
      </c>
      <c r="AK2973">
        <v>3.05</v>
      </c>
      <c r="AL2973">
        <v>4.4800000000000004</v>
      </c>
    </row>
    <row r="2974" spans="1:38" x14ac:dyDescent="0.25">
      <c r="A2974">
        <v>2973</v>
      </c>
      <c r="B2974" t="str">
        <f xml:space="preserve"> "600854"</f>
        <v>600854</v>
      </c>
      <c r="C2974" t="s">
        <v>8599</v>
      </c>
      <c r="D2974">
        <v>6.99</v>
      </c>
      <c r="E2974">
        <v>-0.28999999999999998</v>
      </c>
      <c r="F2974">
        <v>-0.02</v>
      </c>
      <c r="G2974" t="s">
        <v>272</v>
      </c>
      <c r="H2974">
        <v>16</v>
      </c>
      <c r="I2974">
        <v>6.99</v>
      </c>
      <c r="J2974">
        <v>7</v>
      </c>
      <c r="K2974">
        <v>-0.14000000000000001</v>
      </c>
      <c r="L2974">
        <v>0.95</v>
      </c>
      <c r="M2974" t="s">
        <v>5593</v>
      </c>
      <c r="N2974">
        <v>22.44</v>
      </c>
      <c r="O2974" t="s">
        <v>215</v>
      </c>
      <c r="P2974">
        <v>7.02</v>
      </c>
      <c r="Q2974">
        <v>6.92</v>
      </c>
      <c r="R2974">
        <v>7.01</v>
      </c>
      <c r="S2974">
        <v>7.01</v>
      </c>
      <c r="T2974">
        <v>1.43</v>
      </c>
      <c r="U2974">
        <v>0.68</v>
      </c>
      <c r="V2974">
        <v>-36.729999999999997</v>
      </c>
      <c r="W2974">
        <v>-3314</v>
      </c>
      <c r="X2974">
        <v>6.97</v>
      </c>
      <c r="Y2974" t="s">
        <v>3644</v>
      </c>
      <c r="Z2974" t="s">
        <v>884</v>
      </c>
      <c r="AA2974">
        <v>1.57</v>
      </c>
      <c r="AB2974">
        <v>250</v>
      </c>
      <c r="AC2974">
        <v>1363</v>
      </c>
      <c r="AD2974">
        <v>1.8</v>
      </c>
      <c r="AE2974" t="s">
        <v>3397</v>
      </c>
      <c r="AF2974" t="s">
        <v>1249</v>
      </c>
      <c r="AG2974" t="s">
        <v>3397</v>
      </c>
      <c r="AH2974" t="s">
        <v>1249</v>
      </c>
      <c r="AI2974">
        <v>0.14000000000000001</v>
      </c>
      <c r="AJ2974">
        <v>3.86</v>
      </c>
      <c r="AK2974">
        <v>3.66</v>
      </c>
      <c r="AL2974">
        <v>7.96</v>
      </c>
    </row>
    <row r="2975" spans="1:38" x14ac:dyDescent="0.25">
      <c r="A2975">
        <v>2974</v>
      </c>
      <c r="B2975" t="str">
        <f xml:space="preserve"> "300234"</f>
        <v>300234</v>
      </c>
      <c r="C2975" t="s">
        <v>8600</v>
      </c>
      <c r="D2975">
        <v>12.54</v>
      </c>
      <c r="E2975">
        <v>0.24</v>
      </c>
      <c r="F2975">
        <v>0.03</v>
      </c>
      <c r="G2975" t="s">
        <v>2510</v>
      </c>
      <c r="H2975">
        <v>1260</v>
      </c>
      <c r="I2975">
        <v>12.53</v>
      </c>
      <c r="J2975">
        <v>12.54</v>
      </c>
      <c r="K2975">
        <v>-0.63</v>
      </c>
      <c r="L2975">
        <v>3.76</v>
      </c>
      <c r="M2975" t="s">
        <v>8601</v>
      </c>
      <c r="N2975">
        <v>2946.16</v>
      </c>
      <c r="O2975" t="s">
        <v>859</v>
      </c>
      <c r="P2975">
        <v>12.7</v>
      </c>
      <c r="Q2975">
        <v>12.45</v>
      </c>
      <c r="R2975">
        <v>12.58</v>
      </c>
      <c r="S2975">
        <v>12.51</v>
      </c>
      <c r="T2975">
        <v>2</v>
      </c>
      <c r="U2975">
        <v>0.69</v>
      </c>
      <c r="V2975">
        <v>38.869999999999997</v>
      </c>
      <c r="W2975">
        <v>398</v>
      </c>
      <c r="X2975">
        <v>12.61</v>
      </c>
      <c r="Y2975" t="s">
        <v>3948</v>
      </c>
      <c r="Z2975" t="s">
        <v>2548</v>
      </c>
      <c r="AA2975">
        <v>1.01</v>
      </c>
      <c r="AB2975">
        <v>157</v>
      </c>
      <c r="AC2975">
        <v>194</v>
      </c>
      <c r="AD2975">
        <v>3.62</v>
      </c>
      <c r="AE2975" t="s">
        <v>726</v>
      </c>
      <c r="AF2975" t="s">
        <v>1249</v>
      </c>
      <c r="AG2975" t="s">
        <v>598</v>
      </c>
      <c r="AH2975" t="s">
        <v>4029</v>
      </c>
      <c r="AI2975">
        <v>-1.95</v>
      </c>
      <c r="AJ2975">
        <v>10.97</v>
      </c>
      <c r="AK2975">
        <v>19.149999999999999</v>
      </c>
      <c r="AL2975">
        <v>31.09</v>
      </c>
    </row>
    <row r="2976" spans="1:38" x14ac:dyDescent="0.25">
      <c r="A2976">
        <v>2975</v>
      </c>
      <c r="B2976" t="str">
        <f xml:space="preserve"> "002870"</f>
        <v>002870</v>
      </c>
      <c r="C2976" t="s">
        <v>8602</v>
      </c>
      <c r="D2976">
        <v>32.78</v>
      </c>
      <c r="E2976">
        <v>1.33</v>
      </c>
      <c r="F2976">
        <v>0.43</v>
      </c>
      <c r="G2976" t="s">
        <v>1650</v>
      </c>
      <c r="H2976">
        <v>526</v>
      </c>
      <c r="I2976">
        <v>32.770000000000003</v>
      </c>
      <c r="J2976">
        <v>32.78</v>
      </c>
      <c r="K2976">
        <v>0</v>
      </c>
      <c r="L2976">
        <v>8.64</v>
      </c>
      <c r="M2976" t="s">
        <v>8603</v>
      </c>
      <c r="N2976">
        <v>44.76</v>
      </c>
      <c r="O2976" t="s">
        <v>1372</v>
      </c>
      <c r="P2976">
        <v>32.880000000000003</v>
      </c>
      <c r="Q2976">
        <v>32.15</v>
      </c>
      <c r="R2976">
        <v>32.21</v>
      </c>
      <c r="S2976">
        <v>32.35</v>
      </c>
      <c r="T2976">
        <v>2.2599999999999998</v>
      </c>
      <c r="U2976">
        <v>1.24</v>
      </c>
      <c r="V2976">
        <v>-75.239999999999995</v>
      </c>
      <c r="W2976">
        <v>-453</v>
      </c>
      <c r="X2976">
        <v>32.630000000000003</v>
      </c>
      <c r="Y2976">
        <v>9118</v>
      </c>
      <c r="Z2976" t="s">
        <v>2453</v>
      </c>
      <c r="AA2976">
        <v>0.62</v>
      </c>
      <c r="AB2976">
        <v>23</v>
      </c>
      <c r="AC2976">
        <v>59</v>
      </c>
      <c r="AD2976">
        <v>4.68</v>
      </c>
      <c r="AE2976" t="s">
        <v>4533</v>
      </c>
      <c r="AF2976" t="s">
        <v>1249</v>
      </c>
      <c r="AG2976" t="s">
        <v>8604</v>
      </c>
      <c r="AH2976" t="s">
        <v>2677</v>
      </c>
      <c r="AI2976">
        <v>0.95</v>
      </c>
      <c r="AJ2976">
        <v>4.2</v>
      </c>
      <c r="AK2976">
        <v>24.48</v>
      </c>
      <c r="AL2976">
        <v>43.39</v>
      </c>
    </row>
    <row r="2977" spans="1:38" x14ac:dyDescent="0.25">
      <c r="A2977">
        <v>2976</v>
      </c>
      <c r="B2977" t="str">
        <f xml:space="preserve"> "600097"</f>
        <v>600097</v>
      </c>
      <c r="C2977" t="s">
        <v>8605</v>
      </c>
      <c r="D2977">
        <v>17.899999999999999</v>
      </c>
      <c r="E2977">
        <v>0.34</v>
      </c>
      <c r="F2977">
        <v>0.06</v>
      </c>
      <c r="G2977">
        <v>6994</v>
      </c>
      <c r="H2977">
        <v>33</v>
      </c>
      <c r="I2977">
        <v>17.86</v>
      </c>
      <c r="J2977">
        <v>17.899999999999999</v>
      </c>
      <c r="K2977">
        <v>0.22</v>
      </c>
      <c r="L2977">
        <v>0.35</v>
      </c>
      <c r="M2977" t="s">
        <v>8606</v>
      </c>
      <c r="N2977">
        <v>-66.900000000000006</v>
      </c>
      <c r="O2977" t="s">
        <v>622</v>
      </c>
      <c r="P2977">
        <v>17.91</v>
      </c>
      <c r="Q2977">
        <v>17.77</v>
      </c>
      <c r="R2977">
        <v>17.84</v>
      </c>
      <c r="S2977">
        <v>17.84</v>
      </c>
      <c r="T2977">
        <v>0.78</v>
      </c>
      <c r="U2977">
        <v>0.54</v>
      </c>
      <c r="V2977">
        <v>44.47</v>
      </c>
      <c r="W2977">
        <v>213</v>
      </c>
      <c r="X2977">
        <v>17.84</v>
      </c>
      <c r="Y2977">
        <v>4461</v>
      </c>
      <c r="Z2977">
        <v>2533</v>
      </c>
      <c r="AA2977">
        <v>1.76</v>
      </c>
      <c r="AB2977">
        <v>103</v>
      </c>
      <c r="AC2977">
        <v>16</v>
      </c>
      <c r="AD2977">
        <v>4.5599999999999996</v>
      </c>
      <c r="AE2977" t="s">
        <v>1075</v>
      </c>
      <c r="AF2977" t="s">
        <v>1249</v>
      </c>
      <c r="AG2977" t="s">
        <v>1075</v>
      </c>
      <c r="AH2977" t="s">
        <v>1249</v>
      </c>
      <c r="AI2977">
        <v>1.1299999999999999</v>
      </c>
      <c r="AJ2977">
        <v>2.64</v>
      </c>
      <c r="AK2977">
        <v>2.31</v>
      </c>
      <c r="AL2977">
        <v>3.57</v>
      </c>
    </row>
    <row r="2978" spans="1:38" x14ac:dyDescent="0.25">
      <c r="A2978">
        <v>2977</v>
      </c>
      <c r="B2978" t="str">
        <f xml:space="preserve"> "300521"</f>
        <v>300521</v>
      </c>
      <c r="C2978" t="s">
        <v>8607</v>
      </c>
      <c r="D2978">
        <v>25.18</v>
      </c>
      <c r="E2978">
        <v>4.3899999999999997</v>
      </c>
      <c r="F2978">
        <v>1.06</v>
      </c>
      <c r="G2978" t="s">
        <v>934</v>
      </c>
      <c r="H2978">
        <v>1169</v>
      </c>
      <c r="I2978">
        <v>25.17</v>
      </c>
      <c r="J2978">
        <v>25.18</v>
      </c>
      <c r="K2978">
        <v>-0.08</v>
      </c>
      <c r="L2978">
        <v>15.59</v>
      </c>
      <c r="M2978" t="s">
        <v>4785</v>
      </c>
      <c r="N2978">
        <v>94.74</v>
      </c>
      <c r="O2978" t="s">
        <v>2647</v>
      </c>
      <c r="P2978">
        <v>26.43</v>
      </c>
      <c r="Q2978">
        <v>23.42</v>
      </c>
      <c r="R2978">
        <v>24.26</v>
      </c>
      <c r="S2978">
        <v>24.12</v>
      </c>
      <c r="T2978">
        <v>12.48</v>
      </c>
      <c r="U2978">
        <v>2.81</v>
      </c>
      <c r="V2978">
        <v>-46.08</v>
      </c>
      <c r="W2978">
        <v>-646</v>
      </c>
      <c r="X2978">
        <v>24.99</v>
      </c>
      <c r="Y2978" t="s">
        <v>226</v>
      </c>
      <c r="Z2978" t="s">
        <v>1522</v>
      </c>
      <c r="AA2978">
        <v>0.94</v>
      </c>
      <c r="AB2978">
        <v>91</v>
      </c>
      <c r="AC2978">
        <v>149</v>
      </c>
      <c r="AD2978">
        <v>7.61</v>
      </c>
      <c r="AE2978" t="s">
        <v>2106</v>
      </c>
      <c r="AF2978" t="s">
        <v>1249</v>
      </c>
      <c r="AG2978" t="s">
        <v>8608</v>
      </c>
      <c r="AH2978" t="s">
        <v>1184</v>
      </c>
      <c r="AI2978">
        <v>20.83</v>
      </c>
      <c r="AJ2978">
        <v>17</v>
      </c>
      <c r="AK2978">
        <v>35.31</v>
      </c>
      <c r="AL2978">
        <v>43.33</v>
      </c>
    </row>
    <row r="2979" spans="1:38" x14ac:dyDescent="0.25">
      <c r="A2979">
        <v>2978</v>
      </c>
      <c r="B2979" t="str">
        <f xml:space="preserve"> "300554"</f>
        <v>300554</v>
      </c>
      <c r="C2979" t="s">
        <v>8609</v>
      </c>
      <c r="D2979">
        <v>69.62</v>
      </c>
      <c r="E2979">
        <v>1.21</v>
      </c>
      <c r="F2979">
        <v>0.83</v>
      </c>
      <c r="G2979" t="s">
        <v>2089</v>
      </c>
      <c r="H2979">
        <v>223</v>
      </c>
      <c r="I2979">
        <v>69.62</v>
      </c>
      <c r="J2979">
        <v>69.64</v>
      </c>
      <c r="K2979">
        <v>0.13</v>
      </c>
      <c r="L2979">
        <v>9.26</v>
      </c>
      <c r="M2979" t="s">
        <v>8610</v>
      </c>
      <c r="N2979">
        <v>94.18</v>
      </c>
      <c r="O2979" t="s">
        <v>648</v>
      </c>
      <c r="P2979">
        <v>71.47</v>
      </c>
      <c r="Q2979">
        <v>69.12</v>
      </c>
      <c r="R2979">
        <v>70.02</v>
      </c>
      <c r="S2979">
        <v>68.790000000000006</v>
      </c>
      <c r="T2979">
        <v>3.42</v>
      </c>
      <c r="U2979">
        <v>0.79</v>
      </c>
      <c r="V2979">
        <v>46.5</v>
      </c>
      <c r="W2979">
        <v>113</v>
      </c>
      <c r="X2979">
        <v>70.2</v>
      </c>
      <c r="Y2979">
        <v>5594</v>
      </c>
      <c r="Z2979">
        <v>6438</v>
      </c>
      <c r="AA2979">
        <v>0.87</v>
      </c>
      <c r="AB2979">
        <v>13</v>
      </c>
      <c r="AC2979">
        <v>2</v>
      </c>
      <c r="AD2979">
        <v>8.91</v>
      </c>
      <c r="AE2979" t="s">
        <v>5727</v>
      </c>
      <c r="AF2979" t="s">
        <v>1752</v>
      </c>
      <c r="AG2979" t="s">
        <v>5438</v>
      </c>
      <c r="AH2979" t="s">
        <v>3663</v>
      </c>
      <c r="AI2979">
        <v>-13.42</v>
      </c>
      <c r="AJ2979">
        <v>-13.92</v>
      </c>
      <c r="AK2979">
        <v>42.39</v>
      </c>
      <c r="AL2979">
        <v>68.150000000000006</v>
      </c>
    </row>
    <row r="2980" spans="1:38" x14ac:dyDescent="0.25">
      <c r="A2980">
        <v>2979</v>
      </c>
      <c r="B2980" t="str">
        <f xml:space="preserve"> "603663"</f>
        <v>603663</v>
      </c>
      <c r="C2980" t="s">
        <v>8611</v>
      </c>
      <c r="D2980">
        <v>26.98</v>
      </c>
      <c r="E2980">
        <v>1.39</v>
      </c>
      <c r="F2980">
        <v>0.37</v>
      </c>
      <c r="G2980" t="s">
        <v>3095</v>
      </c>
      <c r="H2980">
        <v>1</v>
      </c>
      <c r="I2980">
        <v>26.99</v>
      </c>
      <c r="J2980">
        <v>27</v>
      </c>
      <c r="K2980">
        <v>0.04</v>
      </c>
      <c r="L2980">
        <v>2.37</v>
      </c>
      <c r="M2980" t="s">
        <v>7914</v>
      </c>
      <c r="N2980">
        <v>76.88</v>
      </c>
      <c r="O2980" t="s">
        <v>859</v>
      </c>
      <c r="P2980">
        <v>27.05</v>
      </c>
      <c r="Q2980">
        <v>26.48</v>
      </c>
      <c r="R2980">
        <v>26.6</v>
      </c>
      <c r="S2980">
        <v>26.61</v>
      </c>
      <c r="T2980">
        <v>2.14</v>
      </c>
      <c r="U2980">
        <v>1.45</v>
      </c>
      <c r="V2980">
        <v>11.57</v>
      </c>
      <c r="W2980">
        <v>39</v>
      </c>
      <c r="X2980">
        <v>26.79</v>
      </c>
      <c r="Y2980">
        <v>4909</v>
      </c>
      <c r="Z2980">
        <v>6698</v>
      </c>
      <c r="AA2980">
        <v>0.73</v>
      </c>
      <c r="AB2980">
        <v>67</v>
      </c>
      <c r="AC2980">
        <v>44</v>
      </c>
      <c r="AD2980">
        <v>8.2899999999999991</v>
      </c>
      <c r="AE2980" t="s">
        <v>2973</v>
      </c>
      <c r="AF2980" t="s">
        <v>1752</v>
      </c>
      <c r="AG2980" t="s">
        <v>8361</v>
      </c>
      <c r="AH2980" t="s">
        <v>1358</v>
      </c>
      <c r="AI2980">
        <v>0.37</v>
      </c>
      <c r="AJ2980">
        <v>3.69</v>
      </c>
      <c r="AK2980">
        <v>6.15</v>
      </c>
      <c r="AL2980">
        <v>10.52</v>
      </c>
    </row>
    <row r="2981" spans="1:38" x14ac:dyDescent="0.25">
      <c r="A2981">
        <v>2980</v>
      </c>
      <c r="B2981" t="str">
        <f xml:space="preserve"> "000637"</f>
        <v>000637</v>
      </c>
      <c r="C2981" t="s">
        <v>8612</v>
      </c>
      <c r="D2981">
        <v>6.96</v>
      </c>
      <c r="E2981">
        <v>0.57999999999999996</v>
      </c>
      <c r="F2981">
        <v>0.04</v>
      </c>
      <c r="G2981" t="s">
        <v>506</v>
      </c>
      <c r="H2981">
        <v>791</v>
      </c>
      <c r="I2981">
        <v>6.95</v>
      </c>
      <c r="J2981">
        <v>6.96</v>
      </c>
      <c r="K2981">
        <v>0</v>
      </c>
      <c r="L2981">
        <v>0.87</v>
      </c>
      <c r="M2981" t="s">
        <v>5440</v>
      </c>
      <c r="N2981">
        <v>34.51</v>
      </c>
      <c r="O2981" t="s">
        <v>61</v>
      </c>
      <c r="P2981">
        <v>6.97</v>
      </c>
      <c r="Q2981">
        <v>6.89</v>
      </c>
      <c r="R2981">
        <v>6.9</v>
      </c>
      <c r="S2981">
        <v>6.92</v>
      </c>
      <c r="T2981">
        <v>1.1599999999999999</v>
      </c>
      <c r="U2981">
        <v>1.02</v>
      </c>
      <c r="V2981">
        <v>-25.89</v>
      </c>
      <c r="W2981">
        <v>-1031</v>
      </c>
      <c r="X2981">
        <v>6.94</v>
      </c>
      <c r="Y2981" t="s">
        <v>603</v>
      </c>
      <c r="Z2981" t="s">
        <v>1113</v>
      </c>
      <c r="AA2981">
        <v>0.81</v>
      </c>
      <c r="AB2981">
        <v>187</v>
      </c>
      <c r="AC2981">
        <v>159</v>
      </c>
      <c r="AD2981">
        <v>4.2300000000000004</v>
      </c>
      <c r="AE2981" t="s">
        <v>1108</v>
      </c>
      <c r="AF2981" t="s">
        <v>1752</v>
      </c>
      <c r="AG2981" t="s">
        <v>1343</v>
      </c>
      <c r="AH2981" t="s">
        <v>2376</v>
      </c>
      <c r="AI2981">
        <v>-0.28999999999999998</v>
      </c>
      <c r="AJ2981">
        <v>2.65</v>
      </c>
      <c r="AK2981">
        <v>2.35</v>
      </c>
      <c r="AL2981">
        <v>5.12</v>
      </c>
    </row>
    <row r="2982" spans="1:38" x14ac:dyDescent="0.25">
      <c r="A2982">
        <v>2981</v>
      </c>
      <c r="B2982" t="str">
        <f xml:space="preserve"> "000955"</f>
        <v>000955</v>
      </c>
      <c r="C2982" t="s">
        <v>8613</v>
      </c>
      <c r="D2982">
        <v>6.72</v>
      </c>
      <c r="E2982">
        <v>-1.9</v>
      </c>
      <c r="F2982">
        <v>-0.13</v>
      </c>
      <c r="G2982" t="s">
        <v>1494</v>
      </c>
      <c r="H2982">
        <v>453</v>
      </c>
      <c r="I2982">
        <v>6.72</v>
      </c>
      <c r="J2982">
        <v>6.73</v>
      </c>
      <c r="K2982">
        <v>0</v>
      </c>
      <c r="L2982">
        <v>0.81</v>
      </c>
      <c r="M2982" t="s">
        <v>7142</v>
      </c>
      <c r="N2982">
        <v>-53.4</v>
      </c>
      <c r="O2982" t="s">
        <v>1798</v>
      </c>
      <c r="P2982">
        <v>6.87</v>
      </c>
      <c r="Q2982">
        <v>6.7</v>
      </c>
      <c r="R2982">
        <v>6.78</v>
      </c>
      <c r="S2982">
        <v>6.85</v>
      </c>
      <c r="T2982">
        <v>2.48</v>
      </c>
      <c r="U2982">
        <v>0.56999999999999995</v>
      </c>
      <c r="V2982">
        <v>53.98</v>
      </c>
      <c r="W2982">
        <v>2432</v>
      </c>
      <c r="X2982">
        <v>6.77</v>
      </c>
      <c r="Y2982" t="s">
        <v>1827</v>
      </c>
      <c r="Z2982" t="s">
        <v>530</v>
      </c>
      <c r="AA2982">
        <v>1.92</v>
      </c>
      <c r="AB2982">
        <v>1304</v>
      </c>
      <c r="AC2982">
        <v>162</v>
      </c>
      <c r="AD2982">
        <v>5.3</v>
      </c>
      <c r="AE2982" t="s">
        <v>2024</v>
      </c>
      <c r="AF2982" t="s">
        <v>1752</v>
      </c>
      <c r="AG2982" t="s">
        <v>2024</v>
      </c>
      <c r="AH2982" t="s">
        <v>1752</v>
      </c>
      <c r="AI2982">
        <v>-1.75</v>
      </c>
      <c r="AJ2982">
        <v>1.51</v>
      </c>
      <c r="AK2982">
        <v>3.06</v>
      </c>
      <c r="AL2982">
        <v>7.86</v>
      </c>
    </row>
    <row r="2983" spans="1:38" x14ac:dyDescent="0.25">
      <c r="A2983">
        <v>2982</v>
      </c>
      <c r="B2983" t="str">
        <f xml:space="preserve"> "600080"</f>
        <v>600080</v>
      </c>
      <c r="C2983" t="s">
        <v>8614</v>
      </c>
      <c r="D2983">
        <v>11.85</v>
      </c>
      <c r="E2983">
        <v>0.51</v>
      </c>
      <c r="F2983">
        <v>0.06</v>
      </c>
      <c r="G2983" t="s">
        <v>713</v>
      </c>
      <c r="H2983">
        <v>1</v>
      </c>
      <c r="I2983">
        <v>11.84</v>
      </c>
      <c r="J2983">
        <v>11.85</v>
      </c>
      <c r="K2983">
        <v>0.25</v>
      </c>
      <c r="L2983">
        <v>0.56000000000000005</v>
      </c>
      <c r="M2983" t="s">
        <v>8615</v>
      </c>
      <c r="N2983">
        <v>130.09</v>
      </c>
      <c r="O2983" t="s">
        <v>392</v>
      </c>
      <c r="P2983">
        <v>11.89</v>
      </c>
      <c r="Q2983">
        <v>11.74</v>
      </c>
      <c r="R2983">
        <v>11.79</v>
      </c>
      <c r="S2983">
        <v>11.79</v>
      </c>
      <c r="T2983">
        <v>1.27</v>
      </c>
      <c r="U2983">
        <v>0.5</v>
      </c>
      <c r="V2983">
        <v>-26.06</v>
      </c>
      <c r="W2983">
        <v>-532</v>
      </c>
      <c r="X2983">
        <v>11.82</v>
      </c>
      <c r="Y2983">
        <v>7711</v>
      </c>
      <c r="Z2983">
        <v>9334</v>
      </c>
      <c r="AA2983">
        <v>0.83</v>
      </c>
      <c r="AB2983">
        <v>346</v>
      </c>
      <c r="AC2983">
        <v>333</v>
      </c>
      <c r="AD2983">
        <v>3.36</v>
      </c>
      <c r="AE2983" t="s">
        <v>4786</v>
      </c>
      <c r="AF2983" t="s">
        <v>1752</v>
      </c>
      <c r="AG2983" t="s">
        <v>4786</v>
      </c>
      <c r="AH2983" t="s">
        <v>1752</v>
      </c>
      <c r="AI2983">
        <v>1.2</v>
      </c>
      <c r="AJ2983">
        <v>2.86</v>
      </c>
      <c r="AK2983">
        <v>2.2400000000000002</v>
      </c>
      <c r="AL2983">
        <v>6.12</v>
      </c>
    </row>
    <row r="2984" spans="1:38" x14ac:dyDescent="0.25">
      <c r="A2984">
        <v>2983</v>
      </c>
      <c r="B2984" t="str">
        <f xml:space="preserve"> "002200"</f>
        <v>002200</v>
      </c>
      <c r="C2984" t="s">
        <v>8616</v>
      </c>
      <c r="D2984">
        <v>19.64</v>
      </c>
      <c r="E2984">
        <v>5.31</v>
      </c>
      <c r="F2984">
        <v>0.99</v>
      </c>
      <c r="G2984" t="s">
        <v>721</v>
      </c>
      <c r="H2984">
        <v>851</v>
      </c>
      <c r="I2984">
        <v>19.63</v>
      </c>
      <c r="J2984">
        <v>19.64</v>
      </c>
      <c r="K2984">
        <v>0.05</v>
      </c>
      <c r="L2984">
        <v>5.5</v>
      </c>
      <c r="M2984" t="s">
        <v>2869</v>
      </c>
      <c r="N2984">
        <v>-66</v>
      </c>
      <c r="O2984" t="s">
        <v>1221</v>
      </c>
      <c r="P2984">
        <v>20.5</v>
      </c>
      <c r="Q2984">
        <v>18.18</v>
      </c>
      <c r="R2984">
        <v>18.649999999999999</v>
      </c>
      <c r="S2984">
        <v>18.649999999999999</v>
      </c>
      <c r="T2984">
        <v>12.44</v>
      </c>
      <c r="U2984">
        <v>3.75</v>
      </c>
      <c r="V2984">
        <v>-46.77</v>
      </c>
      <c r="W2984">
        <v>-362</v>
      </c>
      <c r="X2984">
        <v>19.059999999999999</v>
      </c>
      <c r="Y2984" t="s">
        <v>2950</v>
      </c>
      <c r="Z2984" t="s">
        <v>3814</v>
      </c>
      <c r="AA2984">
        <v>0.94</v>
      </c>
      <c r="AB2984">
        <v>98</v>
      </c>
      <c r="AC2984">
        <v>299</v>
      </c>
      <c r="AD2984">
        <v>4.4000000000000004</v>
      </c>
      <c r="AE2984" t="s">
        <v>2267</v>
      </c>
      <c r="AF2984" t="s">
        <v>1752</v>
      </c>
      <c r="AG2984" t="s">
        <v>1120</v>
      </c>
      <c r="AH2984" t="s">
        <v>1896</v>
      </c>
      <c r="AI2984">
        <v>6.16</v>
      </c>
      <c r="AJ2984">
        <v>10.59</v>
      </c>
      <c r="AK2984">
        <v>9.09</v>
      </c>
      <c r="AL2984">
        <v>12.83</v>
      </c>
    </row>
    <row r="2985" spans="1:38" x14ac:dyDescent="0.25">
      <c r="A2985">
        <v>2984</v>
      </c>
      <c r="B2985" t="str">
        <f xml:space="preserve"> "600137"</f>
        <v>600137</v>
      </c>
      <c r="C2985" t="s">
        <v>8617</v>
      </c>
      <c r="D2985">
        <v>37.15</v>
      </c>
      <c r="E2985">
        <v>-0.4</v>
      </c>
      <c r="F2985">
        <v>-0.15</v>
      </c>
      <c r="G2985">
        <v>2265</v>
      </c>
      <c r="H2985">
        <v>9</v>
      </c>
      <c r="I2985">
        <v>37.15</v>
      </c>
      <c r="J2985">
        <v>37.159999999999997</v>
      </c>
      <c r="K2985">
        <v>0</v>
      </c>
      <c r="L2985">
        <v>0.23</v>
      </c>
      <c r="M2985" t="s">
        <v>8618</v>
      </c>
      <c r="N2985">
        <v>180.88</v>
      </c>
      <c r="O2985" t="s">
        <v>1443</v>
      </c>
      <c r="P2985">
        <v>37.700000000000003</v>
      </c>
      <c r="Q2985">
        <v>37.090000000000003</v>
      </c>
      <c r="R2985">
        <v>37.270000000000003</v>
      </c>
      <c r="S2985">
        <v>37.299999999999997</v>
      </c>
      <c r="T2985">
        <v>1.64</v>
      </c>
      <c r="U2985">
        <v>0.81</v>
      </c>
      <c r="V2985">
        <v>4.2699999999999996</v>
      </c>
      <c r="W2985">
        <v>9</v>
      </c>
      <c r="X2985">
        <v>37.22</v>
      </c>
      <c r="Y2985">
        <v>1110</v>
      </c>
      <c r="Z2985">
        <v>1155</v>
      </c>
      <c r="AA2985">
        <v>0.96</v>
      </c>
      <c r="AB2985">
        <v>11</v>
      </c>
      <c r="AC2985">
        <v>19</v>
      </c>
      <c r="AD2985">
        <v>7.79</v>
      </c>
      <c r="AE2985" t="s">
        <v>8619</v>
      </c>
      <c r="AF2985" t="s">
        <v>3649</v>
      </c>
      <c r="AG2985" t="s">
        <v>8619</v>
      </c>
      <c r="AH2985" t="s">
        <v>3649</v>
      </c>
      <c r="AI2985">
        <v>-0.62</v>
      </c>
      <c r="AJ2985">
        <v>-1.93</v>
      </c>
      <c r="AK2985">
        <v>0.86</v>
      </c>
      <c r="AL2985">
        <v>1.68</v>
      </c>
    </row>
    <row r="2986" spans="1:38" x14ac:dyDescent="0.25">
      <c r="A2986">
        <v>2985</v>
      </c>
      <c r="B2986" t="str">
        <f xml:space="preserve"> "300611"</f>
        <v>300611</v>
      </c>
      <c r="C2986" t="s">
        <v>8620</v>
      </c>
      <c r="D2986">
        <v>20.18</v>
      </c>
      <c r="E2986">
        <v>-0.84</v>
      </c>
      <c r="F2986">
        <v>-0.17</v>
      </c>
      <c r="G2986" t="s">
        <v>4917</v>
      </c>
      <c r="H2986">
        <v>1114</v>
      </c>
      <c r="I2986">
        <v>20.18</v>
      </c>
      <c r="J2986">
        <v>20.190000000000001</v>
      </c>
      <c r="K2986">
        <v>0</v>
      </c>
      <c r="L2986">
        <v>16.440000000000001</v>
      </c>
      <c r="M2986" t="s">
        <v>2878</v>
      </c>
      <c r="N2986">
        <v>84.52</v>
      </c>
      <c r="O2986" t="s">
        <v>253</v>
      </c>
      <c r="P2986">
        <v>20.88</v>
      </c>
      <c r="Q2986">
        <v>20.13</v>
      </c>
      <c r="R2986">
        <v>20.65</v>
      </c>
      <c r="S2986">
        <v>20.350000000000001</v>
      </c>
      <c r="T2986">
        <v>3.69</v>
      </c>
      <c r="U2986">
        <v>1.75</v>
      </c>
      <c r="V2986">
        <v>42.84</v>
      </c>
      <c r="W2986">
        <v>712</v>
      </c>
      <c r="X2986">
        <v>20.56</v>
      </c>
      <c r="Y2986" t="s">
        <v>2409</v>
      </c>
      <c r="Z2986" t="s">
        <v>1090</v>
      </c>
      <c r="AA2986">
        <v>0.99</v>
      </c>
      <c r="AB2986">
        <v>322</v>
      </c>
      <c r="AC2986">
        <v>119</v>
      </c>
      <c r="AD2986">
        <v>5.6</v>
      </c>
      <c r="AE2986" t="s">
        <v>7355</v>
      </c>
      <c r="AF2986" t="s">
        <v>3649</v>
      </c>
      <c r="AG2986" t="s">
        <v>8621</v>
      </c>
      <c r="AH2986" t="s">
        <v>2133</v>
      </c>
      <c r="AI2986">
        <v>3.91</v>
      </c>
      <c r="AJ2986">
        <v>9.9700000000000006</v>
      </c>
      <c r="AK2986">
        <v>48.82</v>
      </c>
      <c r="AL2986">
        <v>63.54</v>
      </c>
    </row>
    <row r="2987" spans="1:38" x14ac:dyDescent="0.25">
      <c r="A2987">
        <v>2986</v>
      </c>
      <c r="B2987" t="str">
        <f xml:space="preserve"> "002825"</f>
        <v>002825</v>
      </c>
      <c r="C2987" t="s">
        <v>8622</v>
      </c>
      <c r="D2987">
        <v>35.99</v>
      </c>
      <c r="E2987">
        <v>3.57</v>
      </c>
      <c r="F2987">
        <v>1.24</v>
      </c>
      <c r="G2987" t="s">
        <v>2279</v>
      </c>
      <c r="H2987">
        <v>739</v>
      </c>
      <c r="I2987">
        <v>35.99</v>
      </c>
      <c r="J2987">
        <v>36</v>
      </c>
      <c r="K2987">
        <v>0</v>
      </c>
      <c r="L2987">
        <v>13.27</v>
      </c>
      <c r="M2987" t="s">
        <v>1606</v>
      </c>
      <c r="N2987">
        <v>93.91</v>
      </c>
      <c r="O2987" t="s">
        <v>859</v>
      </c>
      <c r="P2987">
        <v>36.479999999999997</v>
      </c>
      <c r="Q2987">
        <v>34.53</v>
      </c>
      <c r="R2987">
        <v>34.78</v>
      </c>
      <c r="S2987">
        <v>34.75</v>
      </c>
      <c r="T2987">
        <v>5.61</v>
      </c>
      <c r="U2987">
        <v>1.66</v>
      </c>
      <c r="V2987">
        <v>-7.64</v>
      </c>
      <c r="W2987">
        <v>-62</v>
      </c>
      <c r="X2987">
        <v>35.520000000000003</v>
      </c>
      <c r="Y2987" t="s">
        <v>2551</v>
      </c>
      <c r="Z2987" t="s">
        <v>884</v>
      </c>
      <c r="AA2987">
        <v>0.71</v>
      </c>
      <c r="AB2987">
        <v>209</v>
      </c>
      <c r="AC2987">
        <v>260</v>
      </c>
      <c r="AD2987">
        <v>6.42</v>
      </c>
      <c r="AE2987" t="s">
        <v>4464</v>
      </c>
      <c r="AF2987" t="s">
        <v>3649</v>
      </c>
      <c r="AG2987" t="s">
        <v>5931</v>
      </c>
      <c r="AH2987" t="s">
        <v>8623</v>
      </c>
      <c r="AI2987">
        <v>1.98</v>
      </c>
      <c r="AJ2987">
        <v>10.3</v>
      </c>
      <c r="AK2987">
        <v>32.22</v>
      </c>
      <c r="AL2987">
        <v>53.33</v>
      </c>
    </row>
    <row r="2988" spans="1:38" x14ac:dyDescent="0.25">
      <c r="A2988">
        <v>2987</v>
      </c>
      <c r="B2988" t="str">
        <f xml:space="preserve"> "002835"</f>
        <v>002835</v>
      </c>
      <c r="C2988" t="s">
        <v>8624</v>
      </c>
      <c r="D2988">
        <v>16.71</v>
      </c>
      <c r="E2988">
        <v>-1.1200000000000001</v>
      </c>
      <c r="F2988">
        <v>-0.19</v>
      </c>
      <c r="G2988" t="s">
        <v>344</v>
      </c>
      <c r="H2988">
        <v>965</v>
      </c>
      <c r="I2988">
        <v>16.71</v>
      </c>
      <c r="J2988">
        <v>16.72</v>
      </c>
      <c r="K2988">
        <v>-0.06</v>
      </c>
      <c r="L2988">
        <v>10.5</v>
      </c>
      <c r="M2988" t="s">
        <v>7140</v>
      </c>
      <c r="N2988">
        <v>91.45</v>
      </c>
      <c r="O2988" t="s">
        <v>553</v>
      </c>
      <c r="P2988">
        <v>16.95</v>
      </c>
      <c r="Q2988">
        <v>16.510000000000002</v>
      </c>
      <c r="R2988">
        <v>16.68</v>
      </c>
      <c r="S2988">
        <v>16.899999999999999</v>
      </c>
      <c r="T2988">
        <v>2.6</v>
      </c>
      <c r="U2988">
        <v>1.1200000000000001</v>
      </c>
      <c r="V2988">
        <v>-0.7</v>
      </c>
      <c r="W2988">
        <v>-12</v>
      </c>
      <c r="X2988">
        <v>16.670000000000002</v>
      </c>
      <c r="Y2988" t="s">
        <v>3834</v>
      </c>
      <c r="Z2988" t="s">
        <v>394</v>
      </c>
      <c r="AA2988">
        <v>1.5</v>
      </c>
      <c r="AB2988">
        <v>434</v>
      </c>
      <c r="AC2988">
        <v>540</v>
      </c>
      <c r="AD2988">
        <v>5.55</v>
      </c>
      <c r="AE2988" t="s">
        <v>1914</v>
      </c>
      <c r="AF2988" t="s">
        <v>3649</v>
      </c>
      <c r="AG2988" t="s">
        <v>8625</v>
      </c>
      <c r="AH2988" t="s">
        <v>2295</v>
      </c>
      <c r="AI2988">
        <v>3.02</v>
      </c>
      <c r="AJ2988">
        <v>9.5</v>
      </c>
      <c r="AK2988">
        <v>35.409999999999997</v>
      </c>
      <c r="AL2988">
        <v>57.37</v>
      </c>
    </row>
    <row r="2989" spans="1:38" x14ac:dyDescent="0.25">
      <c r="A2989">
        <v>2988</v>
      </c>
      <c r="B2989" t="str">
        <f xml:space="preserve"> "603538"</f>
        <v>603538</v>
      </c>
      <c r="C2989" t="s">
        <v>8626</v>
      </c>
      <c r="D2989">
        <v>30.06</v>
      </c>
      <c r="E2989">
        <v>1.69</v>
      </c>
      <c r="F2989">
        <v>0.5</v>
      </c>
      <c r="G2989" t="s">
        <v>2313</v>
      </c>
      <c r="H2989">
        <v>11</v>
      </c>
      <c r="I2989">
        <v>30.08</v>
      </c>
      <c r="J2989">
        <v>30.09</v>
      </c>
      <c r="K2989">
        <v>0</v>
      </c>
      <c r="L2989">
        <v>5.25</v>
      </c>
      <c r="M2989" t="s">
        <v>8627</v>
      </c>
      <c r="N2989">
        <v>54.94</v>
      </c>
      <c r="O2989" t="s">
        <v>392</v>
      </c>
      <c r="P2989">
        <v>30.77</v>
      </c>
      <c r="Q2989">
        <v>29.56</v>
      </c>
      <c r="R2989">
        <v>29.61</v>
      </c>
      <c r="S2989">
        <v>29.56</v>
      </c>
      <c r="T2989">
        <v>4.09</v>
      </c>
      <c r="U2989">
        <v>1.24</v>
      </c>
      <c r="V2989">
        <v>-6.12</v>
      </c>
      <c r="W2989">
        <v>-12</v>
      </c>
      <c r="X2989">
        <v>30.22</v>
      </c>
      <c r="Y2989">
        <v>7063</v>
      </c>
      <c r="Z2989">
        <v>8681</v>
      </c>
      <c r="AA2989">
        <v>0.81</v>
      </c>
      <c r="AB2989">
        <v>45</v>
      </c>
      <c r="AC2989">
        <v>36</v>
      </c>
      <c r="AD2989">
        <v>3.26</v>
      </c>
      <c r="AE2989" t="s">
        <v>918</v>
      </c>
      <c r="AF2989" t="s">
        <v>3649</v>
      </c>
      <c r="AG2989" t="s">
        <v>3067</v>
      </c>
      <c r="AH2989" t="s">
        <v>2295</v>
      </c>
      <c r="AI2989">
        <v>0.4</v>
      </c>
      <c r="AJ2989">
        <v>4.45</v>
      </c>
      <c r="AK2989">
        <v>17.52</v>
      </c>
      <c r="AL2989">
        <v>26.46</v>
      </c>
    </row>
    <row r="2990" spans="1:38" x14ac:dyDescent="0.25">
      <c r="A2990">
        <v>2989</v>
      </c>
      <c r="B2990" t="str">
        <f xml:space="preserve"> "300486"</f>
        <v>300486</v>
      </c>
      <c r="C2990" t="s">
        <v>8628</v>
      </c>
      <c r="D2990">
        <v>25.71</v>
      </c>
      <c r="E2990">
        <v>-1.95</v>
      </c>
      <c r="F2990">
        <v>-0.51</v>
      </c>
      <c r="G2990" t="s">
        <v>5376</v>
      </c>
      <c r="H2990">
        <v>723</v>
      </c>
      <c r="I2990">
        <v>25.71</v>
      </c>
      <c r="J2990">
        <v>25.72</v>
      </c>
      <c r="K2990">
        <v>-0.12</v>
      </c>
      <c r="L2990">
        <v>5.71</v>
      </c>
      <c r="M2990" t="s">
        <v>734</v>
      </c>
      <c r="N2990">
        <v>66.680000000000007</v>
      </c>
      <c r="O2990" t="s">
        <v>2647</v>
      </c>
      <c r="P2990">
        <v>26.21</v>
      </c>
      <c r="Q2990">
        <v>25.5</v>
      </c>
      <c r="R2990">
        <v>26.03</v>
      </c>
      <c r="S2990">
        <v>26.22</v>
      </c>
      <c r="T2990">
        <v>2.71</v>
      </c>
      <c r="U2990">
        <v>1.18</v>
      </c>
      <c r="V2990">
        <v>49.66</v>
      </c>
      <c r="W2990">
        <v>364</v>
      </c>
      <c r="X2990">
        <v>25.74</v>
      </c>
      <c r="Y2990" t="s">
        <v>2451</v>
      </c>
      <c r="Z2990" t="s">
        <v>3158</v>
      </c>
      <c r="AA2990">
        <v>1.61</v>
      </c>
      <c r="AB2990">
        <v>304</v>
      </c>
      <c r="AC2990">
        <v>27</v>
      </c>
      <c r="AD2990">
        <v>5.52</v>
      </c>
      <c r="AE2990" t="s">
        <v>3110</v>
      </c>
      <c r="AF2990" t="s">
        <v>3649</v>
      </c>
      <c r="AG2990" t="s">
        <v>8629</v>
      </c>
      <c r="AH2990" t="s">
        <v>579</v>
      </c>
      <c r="AI2990">
        <v>2.4300000000000002</v>
      </c>
      <c r="AJ2990">
        <v>10.49</v>
      </c>
      <c r="AK2990">
        <v>22.84</v>
      </c>
      <c r="AL2990">
        <v>29.79</v>
      </c>
    </row>
    <row r="2991" spans="1:38" x14ac:dyDescent="0.25">
      <c r="A2991">
        <v>2990</v>
      </c>
      <c r="B2991" t="str">
        <f xml:space="preserve"> "002184"</f>
        <v>002184</v>
      </c>
      <c r="C2991" t="s">
        <v>8630</v>
      </c>
      <c r="D2991">
        <v>14.85</v>
      </c>
      <c r="E2991">
        <v>0.34</v>
      </c>
      <c r="F2991">
        <v>0.05</v>
      </c>
      <c r="G2991">
        <v>9469</v>
      </c>
      <c r="H2991">
        <v>389</v>
      </c>
      <c r="I2991">
        <v>14.84</v>
      </c>
      <c r="J2991">
        <v>14.85</v>
      </c>
      <c r="K2991">
        <v>7.0000000000000007E-2</v>
      </c>
      <c r="L2991">
        <v>0.7</v>
      </c>
      <c r="M2991" t="s">
        <v>8631</v>
      </c>
      <c r="N2991">
        <v>658.52</v>
      </c>
      <c r="O2991" t="s">
        <v>553</v>
      </c>
      <c r="P2991">
        <v>14.94</v>
      </c>
      <c r="Q2991">
        <v>14.71</v>
      </c>
      <c r="R2991">
        <v>14.78</v>
      </c>
      <c r="S2991">
        <v>14.8</v>
      </c>
      <c r="T2991">
        <v>1.55</v>
      </c>
      <c r="U2991">
        <v>0.69</v>
      </c>
      <c r="V2991">
        <v>-57.75</v>
      </c>
      <c r="W2991">
        <v>-216</v>
      </c>
      <c r="X2991">
        <v>14.85</v>
      </c>
      <c r="Y2991">
        <v>4928</v>
      </c>
      <c r="Z2991">
        <v>4541</v>
      </c>
      <c r="AA2991">
        <v>1.0900000000000001</v>
      </c>
      <c r="AB2991">
        <v>16</v>
      </c>
      <c r="AC2991">
        <v>69</v>
      </c>
      <c r="AD2991">
        <v>3.3</v>
      </c>
      <c r="AE2991" t="s">
        <v>5158</v>
      </c>
      <c r="AF2991" t="s">
        <v>3649</v>
      </c>
      <c r="AG2991" t="s">
        <v>1757</v>
      </c>
      <c r="AH2991" t="s">
        <v>809</v>
      </c>
      <c r="AI2991">
        <v>-1.07</v>
      </c>
      <c r="AJ2991">
        <v>3.7</v>
      </c>
      <c r="AK2991">
        <v>2.8</v>
      </c>
      <c r="AL2991">
        <v>5.77</v>
      </c>
    </row>
    <row r="2992" spans="1:38" x14ac:dyDescent="0.25">
      <c r="A2992">
        <v>2991</v>
      </c>
      <c r="B2992" t="str">
        <f xml:space="preserve"> "300161"</f>
        <v>300161</v>
      </c>
      <c r="C2992" t="s">
        <v>8632</v>
      </c>
      <c r="D2992">
        <v>20.86</v>
      </c>
      <c r="E2992">
        <v>2.71</v>
      </c>
      <c r="F2992">
        <v>0.55000000000000004</v>
      </c>
      <c r="G2992" t="s">
        <v>1861</v>
      </c>
      <c r="H2992">
        <v>1671</v>
      </c>
      <c r="I2992">
        <v>20.85</v>
      </c>
      <c r="J2992">
        <v>20.86</v>
      </c>
      <c r="K2992">
        <v>0</v>
      </c>
      <c r="L2992">
        <v>9.64</v>
      </c>
      <c r="M2992" t="s">
        <v>7034</v>
      </c>
      <c r="N2992">
        <v>585.19000000000005</v>
      </c>
      <c r="O2992" t="s">
        <v>648</v>
      </c>
      <c r="P2992">
        <v>22.26</v>
      </c>
      <c r="Q2992">
        <v>20.100000000000001</v>
      </c>
      <c r="R2992">
        <v>20.64</v>
      </c>
      <c r="S2992">
        <v>20.309999999999999</v>
      </c>
      <c r="T2992">
        <v>10.64</v>
      </c>
      <c r="U2992">
        <v>2.63</v>
      </c>
      <c r="V2992">
        <v>-31.12</v>
      </c>
      <c r="W2992">
        <v>-455</v>
      </c>
      <c r="X2992">
        <v>21.24</v>
      </c>
      <c r="Y2992" t="s">
        <v>1765</v>
      </c>
      <c r="Z2992" t="s">
        <v>3735</v>
      </c>
      <c r="AA2992">
        <v>1.2</v>
      </c>
      <c r="AB2992">
        <v>226</v>
      </c>
      <c r="AC2992">
        <v>134</v>
      </c>
      <c r="AD2992">
        <v>3.23</v>
      </c>
      <c r="AE2992" t="s">
        <v>4916</v>
      </c>
      <c r="AF2992" t="s">
        <v>1845</v>
      </c>
      <c r="AG2992" t="s">
        <v>514</v>
      </c>
      <c r="AH2992" t="s">
        <v>3223</v>
      </c>
      <c r="AI2992">
        <v>7.97</v>
      </c>
      <c r="AJ2992">
        <v>13.68</v>
      </c>
      <c r="AK2992">
        <v>22.11</v>
      </c>
      <c r="AL2992">
        <v>27.93</v>
      </c>
    </row>
    <row r="2993" spans="1:38" x14ac:dyDescent="0.25">
      <c r="A2993">
        <v>2992</v>
      </c>
      <c r="B2993" t="str">
        <f xml:space="preserve"> "002552"</f>
        <v>002552</v>
      </c>
      <c r="C2993" t="s">
        <v>8633</v>
      </c>
      <c r="D2993">
        <v>11.77</v>
      </c>
      <c r="E2993">
        <v>0.17</v>
      </c>
      <c r="F2993">
        <v>0.02</v>
      </c>
      <c r="G2993" t="s">
        <v>2741</v>
      </c>
      <c r="H2993">
        <v>969</v>
      </c>
      <c r="I2993">
        <v>11.76</v>
      </c>
      <c r="J2993">
        <v>11.77</v>
      </c>
      <c r="K2993">
        <v>0.26</v>
      </c>
      <c r="L2993">
        <v>1.37</v>
      </c>
      <c r="M2993" t="s">
        <v>8634</v>
      </c>
      <c r="N2993">
        <v>-218.62</v>
      </c>
      <c r="O2993" t="s">
        <v>635</v>
      </c>
      <c r="P2993">
        <v>11.81</v>
      </c>
      <c r="Q2993">
        <v>11.64</v>
      </c>
      <c r="R2993">
        <v>11.75</v>
      </c>
      <c r="S2993">
        <v>11.75</v>
      </c>
      <c r="T2993">
        <v>1.45</v>
      </c>
      <c r="U2993">
        <v>1.1200000000000001</v>
      </c>
      <c r="V2993">
        <v>-52.32</v>
      </c>
      <c r="W2993">
        <v>-1455</v>
      </c>
      <c r="X2993">
        <v>11.75</v>
      </c>
      <c r="Y2993" t="s">
        <v>1732</v>
      </c>
      <c r="Z2993" t="s">
        <v>545</v>
      </c>
      <c r="AA2993">
        <v>1.1299999999999999</v>
      </c>
      <c r="AB2993">
        <v>20</v>
      </c>
      <c r="AC2993">
        <v>62</v>
      </c>
      <c r="AD2993">
        <v>5.09</v>
      </c>
      <c r="AE2993" t="s">
        <v>3548</v>
      </c>
      <c r="AF2993" t="s">
        <v>1845</v>
      </c>
      <c r="AG2993" t="s">
        <v>1485</v>
      </c>
      <c r="AH2993" t="s">
        <v>3762</v>
      </c>
      <c r="AI2993">
        <v>0.77</v>
      </c>
      <c r="AJ2993">
        <v>4.07</v>
      </c>
      <c r="AK2993">
        <v>4.42</v>
      </c>
      <c r="AL2993">
        <v>7.48</v>
      </c>
    </row>
    <row r="2994" spans="1:38" x14ac:dyDescent="0.25">
      <c r="A2994">
        <v>2993</v>
      </c>
      <c r="B2994" t="str">
        <f xml:space="preserve"> "300163"</f>
        <v>300163</v>
      </c>
      <c r="C2994" t="s">
        <v>8635</v>
      </c>
      <c r="D2994" t="s">
        <v>616</v>
      </c>
      <c r="E2994" t="s">
        <v>616</v>
      </c>
      <c r="F2994" t="s">
        <v>616</v>
      </c>
      <c r="G2994" t="s">
        <v>616</v>
      </c>
      <c r="H2994" t="s">
        <v>616</v>
      </c>
      <c r="I2994" t="s">
        <v>616</v>
      </c>
      <c r="J2994" t="s">
        <v>616</v>
      </c>
      <c r="K2994" t="s">
        <v>616</v>
      </c>
      <c r="L2994" t="s">
        <v>616</v>
      </c>
      <c r="M2994" t="s">
        <v>616</v>
      </c>
      <c r="N2994">
        <v>705.95</v>
      </c>
      <c r="O2994" t="s">
        <v>859</v>
      </c>
      <c r="P2994" t="s">
        <v>616</v>
      </c>
      <c r="Q2994" t="s">
        <v>616</v>
      </c>
      <c r="R2994" t="s">
        <v>616</v>
      </c>
      <c r="S2994">
        <v>7.6</v>
      </c>
      <c r="T2994" t="s">
        <v>616</v>
      </c>
      <c r="U2994" t="s">
        <v>616</v>
      </c>
      <c r="V2994" t="s">
        <v>616</v>
      </c>
      <c r="W2994" t="s">
        <v>616</v>
      </c>
      <c r="X2994" t="s">
        <v>616</v>
      </c>
      <c r="Y2994" t="s">
        <v>616</v>
      </c>
      <c r="Z2994" t="s">
        <v>616</v>
      </c>
      <c r="AA2994" t="s">
        <v>616</v>
      </c>
      <c r="AB2994" t="s">
        <v>616</v>
      </c>
      <c r="AC2994" t="s">
        <v>616</v>
      </c>
      <c r="AD2994">
        <v>5</v>
      </c>
      <c r="AE2994" t="s">
        <v>1082</v>
      </c>
      <c r="AF2994" t="s">
        <v>1845</v>
      </c>
      <c r="AG2994" t="s">
        <v>1417</v>
      </c>
      <c r="AH2994" t="s">
        <v>1061</v>
      </c>
      <c r="AI2994">
        <v>0</v>
      </c>
      <c r="AJ2994">
        <v>0</v>
      </c>
      <c r="AK2994">
        <v>0</v>
      </c>
      <c r="AL2994">
        <v>0</v>
      </c>
    </row>
    <row r="2995" spans="1:38" x14ac:dyDescent="0.25">
      <c r="A2995">
        <v>2994</v>
      </c>
      <c r="B2995" t="str">
        <f xml:space="preserve"> "002189"</f>
        <v>002189</v>
      </c>
      <c r="C2995" t="s">
        <v>8636</v>
      </c>
      <c r="D2995" t="s">
        <v>616</v>
      </c>
      <c r="E2995" t="s">
        <v>616</v>
      </c>
      <c r="F2995" t="s">
        <v>616</v>
      </c>
      <c r="G2995" t="s">
        <v>616</v>
      </c>
      <c r="H2995" t="s">
        <v>616</v>
      </c>
      <c r="I2995" t="s">
        <v>616</v>
      </c>
      <c r="J2995" t="s">
        <v>616</v>
      </c>
      <c r="K2995" t="s">
        <v>616</v>
      </c>
      <c r="L2995" t="s">
        <v>616</v>
      </c>
      <c r="M2995" t="s">
        <v>616</v>
      </c>
      <c r="N2995">
        <v>213.07</v>
      </c>
      <c r="O2995" t="s">
        <v>380</v>
      </c>
      <c r="P2995" t="s">
        <v>616</v>
      </c>
      <c r="Q2995" t="s">
        <v>616</v>
      </c>
      <c r="R2995" t="s">
        <v>616</v>
      </c>
      <c r="S2995">
        <v>18.079999999999998</v>
      </c>
      <c r="T2995" t="s">
        <v>616</v>
      </c>
      <c r="U2995" t="s">
        <v>616</v>
      </c>
      <c r="V2995" t="s">
        <v>616</v>
      </c>
      <c r="W2995" t="s">
        <v>616</v>
      </c>
      <c r="X2995" t="s">
        <v>616</v>
      </c>
      <c r="Y2995" t="s">
        <v>616</v>
      </c>
      <c r="Z2995" t="s">
        <v>616</v>
      </c>
      <c r="AA2995" t="s">
        <v>616</v>
      </c>
      <c r="AB2995" t="s">
        <v>616</v>
      </c>
      <c r="AC2995" t="s">
        <v>616</v>
      </c>
      <c r="AD2995">
        <v>6.66</v>
      </c>
      <c r="AE2995" t="s">
        <v>3339</v>
      </c>
      <c r="AF2995" t="s">
        <v>1845</v>
      </c>
      <c r="AG2995" t="s">
        <v>3339</v>
      </c>
      <c r="AH2995" t="s">
        <v>8637</v>
      </c>
      <c r="AI2995">
        <v>0</v>
      </c>
      <c r="AJ2995">
        <v>0</v>
      </c>
      <c r="AK2995">
        <v>0</v>
      </c>
      <c r="AL2995">
        <v>0</v>
      </c>
    </row>
    <row r="2996" spans="1:38" x14ac:dyDescent="0.25">
      <c r="A2996">
        <v>2995</v>
      </c>
      <c r="B2996" t="str">
        <f xml:space="preserve"> "603037"</f>
        <v>603037</v>
      </c>
      <c r="C2996" t="s">
        <v>8638</v>
      </c>
      <c r="D2996">
        <v>34.619999999999997</v>
      </c>
      <c r="E2996">
        <v>0.73</v>
      </c>
      <c r="F2996">
        <v>0.25</v>
      </c>
      <c r="G2996" t="s">
        <v>603</v>
      </c>
      <c r="H2996">
        <v>3</v>
      </c>
      <c r="I2996">
        <v>34.590000000000003</v>
      </c>
      <c r="J2996">
        <v>34.6</v>
      </c>
      <c r="K2996">
        <v>-0.14000000000000001</v>
      </c>
      <c r="L2996">
        <v>5.47</v>
      </c>
      <c r="M2996" t="s">
        <v>8639</v>
      </c>
      <c r="N2996">
        <v>26.67</v>
      </c>
      <c r="O2996" t="s">
        <v>169</v>
      </c>
      <c r="P2996">
        <v>34.68</v>
      </c>
      <c r="Q2996">
        <v>34.01</v>
      </c>
      <c r="R2996">
        <v>34.33</v>
      </c>
      <c r="S2996">
        <v>34.369999999999997</v>
      </c>
      <c r="T2996">
        <v>1.95</v>
      </c>
      <c r="U2996">
        <v>1.19</v>
      </c>
      <c r="V2996">
        <v>-28.86</v>
      </c>
      <c r="W2996">
        <v>-88</v>
      </c>
      <c r="X2996">
        <v>34.409999999999997</v>
      </c>
      <c r="Y2996">
        <v>7111</v>
      </c>
      <c r="Z2996">
        <v>7103</v>
      </c>
      <c r="AA2996">
        <v>1</v>
      </c>
      <c r="AB2996">
        <v>5</v>
      </c>
      <c r="AC2996">
        <v>49</v>
      </c>
      <c r="AD2996">
        <v>5.07</v>
      </c>
      <c r="AE2996" t="s">
        <v>1718</v>
      </c>
      <c r="AF2996" t="s">
        <v>1845</v>
      </c>
      <c r="AG2996" t="s">
        <v>6886</v>
      </c>
      <c r="AH2996" t="s">
        <v>8623</v>
      </c>
      <c r="AI2996">
        <v>0.55000000000000004</v>
      </c>
      <c r="AJ2996">
        <v>2.52</v>
      </c>
      <c r="AK2996">
        <v>15.65</v>
      </c>
      <c r="AL2996">
        <v>28.44</v>
      </c>
    </row>
    <row r="2997" spans="1:38" x14ac:dyDescent="0.25">
      <c r="A2997">
        <v>2996</v>
      </c>
      <c r="B2997" t="str">
        <f xml:space="preserve"> "002006"</f>
        <v>002006</v>
      </c>
      <c r="C2997" t="s">
        <v>8640</v>
      </c>
      <c r="D2997" t="s">
        <v>616</v>
      </c>
      <c r="E2997" t="s">
        <v>616</v>
      </c>
      <c r="F2997" t="s">
        <v>616</v>
      </c>
      <c r="G2997" t="s">
        <v>616</v>
      </c>
      <c r="H2997" t="s">
        <v>616</v>
      </c>
      <c r="I2997" t="s">
        <v>616</v>
      </c>
      <c r="J2997" t="s">
        <v>616</v>
      </c>
      <c r="K2997" t="s">
        <v>616</v>
      </c>
      <c r="L2997" t="s">
        <v>616</v>
      </c>
      <c r="M2997" t="s">
        <v>616</v>
      </c>
      <c r="N2997">
        <v>65.19</v>
      </c>
      <c r="O2997" t="s">
        <v>648</v>
      </c>
      <c r="P2997" t="s">
        <v>616</v>
      </c>
      <c r="Q2997" t="s">
        <v>616</v>
      </c>
      <c r="R2997" t="s">
        <v>616</v>
      </c>
      <c r="S2997">
        <v>7.91</v>
      </c>
      <c r="T2997" t="s">
        <v>616</v>
      </c>
      <c r="U2997" t="s">
        <v>616</v>
      </c>
      <c r="V2997" t="s">
        <v>616</v>
      </c>
      <c r="W2997" t="s">
        <v>616</v>
      </c>
      <c r="X2997" t="s">
        <v>616</v>
      </c>
      <c r="Y2997" t="s">
        <v>616</v>
      </c>
      <c r="Z2997" t="s">
        <v>616</v>
      </c>
      <c r="AA2997" t="s">
        <v>616</v>
      </c>
      <c r="AB2997" t="s">
        <v>616</v>
      </c>
      <c r="AC2997" t="s">
        <v>616</v>
      </c>
      <c r="AD2997">
        <v>3.79</v>
      </c>
      <c r="AE2997" t="s">
        <v>369</v>
      </c>
      <c r="AF2997" t="s">
        <v>1845</v>
      </c>
      <c r="AG2997" t="s">
        <v>369</v>
      </c>
      <c r="AH2997" t="s">
        <v>1845</v>
      </c>
      <c r="AI2997">
        <v>0</v>
      </c>
      <c r="AJ2997">
        <v>0</v>
      </c>
      <c r="AK2997">
        <v>0</v>
      </c>
      <c r="AL2997">
        <v>0</v>
      </c>
    </row>
    <row r="2998" spans="1:38" x14ac:dyDescent="0.25">
      <c r="A2998">
        <v>2997</v>
      </c>
      <c r="B2998" t="str">
        <f xml:space="preserve"> "603909"</f>
        <v>603909</v>
      </c>
      <c r="C2998" t="s">
        <v>8641</v>
      </c>
      <c r="D2998">
        <v>35.99</v>
      </c>
      <c r="E2998">
        <v>-0.69</v>
      </c>
      <c r="F2998">
        <v>-0.25</v>
      </c>
      <c r="G2998">
        <v>8830</v>
      </c>
      <c r="H2998">
        <v>7</v>
      </c>
      <c r="I2998">
        <v>35.97</v>
      </c>
      <c r="J2998">
        <v>36</v>
      </c>
      <c r="K2998">
        <v>-0.11</v>
      </c>
      <c r="L2998">
        <v>3.53</v>
      </c>
      <c r="M2998" t="s">
        <v>8642</v>
      </c>
      <c r="N2998">
        <v>61.41</v>
      </c>
      <c r="O2998" t="s">
        <v>263</v>
      </c>
      <c r="P2998">
        <v>36.35</v>
      </c>
      <c r="Q2998">
        <v>35.5</v>
      </c>
      <c r="R2998">
        <v>36.04</v>
      </c>
      <c r="S2998">
        <v>36.24</v>
      </c>
      <c r="T2998">
        <v>2.35</v>
      </c>
      <c r="U2998">
        <v>0.67</v>
      </c>
      <c r="V2998">
        <v>54.84</v>
      </c>
      <c r="W2998">
        <v>102</v>
      </c>
      <c r="X2998">
        <v>35.78</v>
      </c>
      <c r="Y2998">
        <v>5488</v>
      </c>
      <c r="Z2998">
        <v>3342</v>
      </c>
      <c r="AA2998">
        <v>1.64</v>
      </c>
      <c r="AB2998">
        <v>45</v>
      </c>
      <c r="AC2998">
        <v>20</v>
      </c>
      <c r="AD2998">
        <v>6.02</v>
      </c>
      <c r="AE2998" t="s">
        <v>4464</v>
      </c>
      <c r="AF2998" t="s">
        <v>1845</v>
      </c>
      <c r="AG2998" t="s">
        <v>5931</v>
      </c>
      <c r="AH2998" t="s">
        <v>8623</v>
      </c>
      <c r="AI2998">
        <v>2.2400000000000002</v>
      </c>
      <c r="AJ2998">
        <v>7.05</v>
      </c>
      <c r="AK2998">
        <v>13.5</v>
      </c>
      <c r="AL2998">
        <v>29.88</v>
      </c>
    </row>
    <row r="2999" spans="1:38" x14ac:dyDescent="0.25">
      <c r="A2999">
        <v>2998</v>
      </c>
      <c r="B2999" t="str">
        <f xml:space="preserve"> "603738"</f>
        <v>603738</v>
      </c>
      <c r="C2999" t="s">
        <v>8643</v>
      </c>
      <c r="D2999">
        <v>31.7</v>
      </c>
      <c r="E2999">
        <v>0.09</v>
      </c>
      <c r="F2999">
        <v>0.03</v>
      </c>
      <c r="G2999">
        <v>6720</v>
      </c>
      <c r="H2999">
        <v>12</v>
      </c>
      <c r="I2999">
        <v>31.69</v>
      </c>
      <c r="J2999">
        <v>31.74</v>
      </c>
      <c r="K2999">
        <v>0.03</v>
      </c>
      <c r="L2999">
        <v>2.37</v>
      </c>
      <c r="M2999" t="s">
        <v>6832</v>
      </c>
      <c r="N2999">
        <v>59.86</v>
      </c>
      <c r="O2999" t="s">
        <v>380</v>
      </c>
      <c r="P2999">
        <v>31.79</v>
      </c>
      <c r="Q2999">
        <v>31.01</v>
      </c>
      <c r="R2999">
        <v>31.7</v>
      </c>
      <c r="S2999">
        <v>31.67</v>
      </c>
      <c r="T2999">
        <v>2.46</v>
      </c>
      <c r="U2999">
        <v>0.69</v>
      </c>
      <c r="V2999">
        <v>-5.65</v>
      </c>
      <c r="W2999">
        <v>-22</v>
      </c>
      <c r="X2999">
        <v>31.42</v>
      </c>
      <c r="Y2999">
        <v>3418</v>
      </c>
      <c r="Z2999">
        <v>3302</v>
      </c>
      <c r="AA2999">
        <v>1.03</v>
      </c>
      <c r="AB2999">
        <v>37</v>
      </c>
      <c r="AC2999">
        <v>26</v>
      </c>
      <c r="AD2999">
        <v>6.48</v>
      </c>
      <c r="AE2999" t="s">
        <v>2869</v>
      </c>
      <c r="AF2999" t="s">
        <v>8637</v>
      </c>
      <c r="AG2999" t="s">
        <v>8644</v>
      </c>
      <c r="AH2999" t="s">
        <v>2890</v>
      </c>
      <c r="AI2999">
        <v>-3.44</v>
      </c>
      <c r="AJ2999">
        <v>2.3199999999999998</v>
      </c>
      <c r="AK2999">
        <v>9.81</v>
      </c>
      <c r="AL2999">
        <v>19.53</v>
      </c>
    </row>
    <row r="3000" spans="1:38" x14ac:dyDescent="0.25">
      <c r="A3000">
        <v>2999</v>
      </c>
      <c r="B3000" t="str">
        <f xml:space="preserve"> "000705"</f>
        <v>000705</v>
      </c>
      <c r="C3000" t="s">
        <v>8645</v>
      </c>
      <c r="D3000">
        <v>10.75</v>
      </c>
      <c r="E3000">
        <v>1.42</v>
      </c>
      <c r="F3000">
        <v>0.15</v>
      </c>
      <c r="G3000" t="s">
        <v>656</v>
      </c>
      <c r="H3000">
        <v>240</v>
      </c>
      <c r="I3000">
        <v>10.75</v>
      </c>
      <c r="J3000">
        <v>10.76</v>
      </c>
      <c r="K3000">
        <v>0.09</v>
      </c>
      <c r="L3000">
        <v>1.77</v>
      </c>
      <c r="M3000" t="s">
        <v>8646</v>
      </c>
      <c r="N3000">
        <v>42.07</v>
      </c>
      <c r="O3000" t="s">
        <v>392</v>
      </c>
      <c r="P3000">
        <v>10.81</v>
      </c>
      <c r="Q3000">
        <v>10.58</v>
      </c>
      <c r="R3000">
        <v>10.63</v>
      </c>
      <c r="S3000">
        <v>10.6</v>
      </c>
      <c r="T3000">
        <v>2.17</v>
      </c>
      <c r="U3000">
        <v>1.44</v>
      </c>
      <c r="V3000">
        <v>-48.45</v>
      </c>
      <c r="W3000">
        <v>-2111</v>
      </c>
      <c r="X3000">
        <v>10.73</v>
      </c>
      <c r="Y3000" t="s">
        <v>432</v>
      </c>
      <c r="Z3000" t="s">
        <v>2548</v>
      </c>
      <c r="AA3000">
        <v>0.77</v>
      </c>
      <c r="AB3000">
        <v>63</v>
      </c>
      <c r="AC3000">
        <v>220</v>
      </c>
      <c r="AD3000">
        <v>2.67</v>
      </c>
      <c r="AE3000" t="s">
        <v>3522</v>
      </c>
      <c r="AF3000" t="s">
        <v>8637</v>
      </c>
      <c r="AG3000" t="s">
        <v>1320</v>
      </c>
      <c r="AH3000" t="s">
        <v>3615</v>
      </c>
      <c r="AI3000">
        <v>0.94</v>
      </c>
      <c r="AJ3000">
        <v>4.78</v>
      </c>
      <c r="AK3000">
        <v>4.1399999999999997</v>
      </c>
      <c r="AL3000">
        <v>7.9</v>
      </c>
    </row>
    <row r="3001" spans="1:38" x14ac:dyDescent="0.25">
      <c r="A3001">
        <v>3000</v>
      </c>
      <c r="B3001" t="str">
        <f xml:space="preserve"> "600287"</f>
        <v>600287</v>
      </c>
      <c r="C3001" t="s">
        <v>8647</v>
      </c>
      <c r="D3001">
        <v>8.2200000000000006</v>
      </c>
      <c r="E3001">
        <v>-0.24</v>
      </c>
      <c r="F3001">
        <v>-0.02</v>
      </c>
      <c r="G3001" t="s">
        <v>1661</v>
      </c>
      <c r="H3001">
        <v>10</v>
      </c>
      <c r="I3001">
        <v>8.2200000000000006</v>
      </c>
      <c r="J3001">
        <v>8.23</v>
      </c>
      <c r="K3001">
        <v>-0.12</v>
      </c>
      <c r="L3001">
        <v>0.89</v>
      </c>
      <c r="M3001" t="s">
        <v>8648</v>
      </c>
      <c r="N3001">
        <v>45.62</v>
      </c>
      <c r="O3001" t="s">
        <v>532</v>
      </c>
      <c r="P3001">
        <v>8.26</v>
      </c>
      <c r="Q3001">
        <v>8.17</v>
      </c>
      <c r="R3001">
        <v>8.23</v>
      </c>
      <c r="S3001">
        <v>8.24</v>
      </c>
      <c r="T3001">
        <v>1.0900000000000001</v>
      </c>
      <c r="U3001">
        <v>0.98</v>
      </c>
      <c r="V3001">
        <v>0.75</v>
      </c>
      <c r="W3001">
        <v>21</v>
      </c>
      <c r="X3001">
        <v>8.2100000000000009</v>
      </c>
      <c r="Y3001" t="s">
        <v>1416</v>
      </c>
      <c r="Z3001" t="s">
        <v>1950</v>
      </c>
      <c r="AA3001">
        <v>1.28</v>
      </c>
      <c r="AB3001">
        <v>198</v>
      </c>
      <c r="AC3001">
        <v>148</v>
      </c>
      <c r="AD3001">
        <v>1.88</v>
      </c>
      <c r="AE3001" t="s">
        <v>6142</v>
      </c>
      <c r="AF3001" t="s">
        <v>8637</v>
      </c>
      <c r="AG3001" t="s">
        <v>6142</v>
      </c>
      <c r="AH3001" t="s">
        <v>8637</v>
      </c>
      <c r="AI3001">
        <v>-0.96</v>
      </c>
      <c r="AJ3001">
        <v>3.14</v>
      </c>
      <c r="AK3001">
        <v>3.39</v>
      </c>
      <c r="AL3001">
        <v>5.46</v>
      </c>
    </row>
    <row r="3002" spans="1:38" x14ac:dyDescent="0.25">
      <c r="A3002">
        <v>3001</v>
      </c>
      <c r="B3002" t="str">
        <f xml:space="preserve"> "600281"</f>
        <v>600281</v>
      </c>
      <c r="C3002" t="s">
        <v>8649</v>
      </c>
      <c r="D3002">
        <v>6.97</v>
      </c>
      <c r="E3002">
        <v>0.28999999999999998</v>
      </c>
      <c r="F3002">
        <v>0.02</v>
      </c>
      <c r="G3002" t="s">
        <v>1286</v>
      </c>
      <c r="H3002">
        <v>38</v>
      </c>
      <c r="I3002">
        <v>6.96</v>
      </c>
      <c r="J3002">
        <v>6.97</v>
      </c>
      <c r="K3002">
        <v>0.14000000000000001</v>
      </c>
      <c r="L3002">
        <v>0.68</v>
      </c>
      <c r="M3002" t="s">
        <v>8650</v>
      </c>
      <c r="N3002">
        <v>-57.53</v>
      </c>
      <c r="O3002" t="s">
        <v>667</v>
      </c>
      <c r="P3002">
        <v>6.99</v>
      </c>
      <c r="Q3002">
        <v>6.85</v>
      </c>
      <c r="R3002">
        <v>6.91</v>
      </c>
      <c r="S3002">
        <v>6.95</v>
      </c>
      <c r="T3002">
        <v>2.0099999999999998</v>
      </c>
      <c r="U3002">
        <v>1.1599999999999999</v>
      </c>
      <c r="V3002">
        <v>-31.54</v>
      </c>
      <c r="W3002">
        <v>-704</v>
      </c>
      <c r="X3002">
        <v>6.91</v>
      </c>
      <c r="Y3002" t="s">
        <v>1076</v>
      </c>
      <c r="Z3002" t="s">
        <v>2558</v>
      </c>
      <c r="AA3002">
        <v>1.2</v>
      </c>
      <c r="AB3002">
        <v>55</v>
      </c>
      <c r="AC3002">
        <v>504</v>
      </c>
      <c r="AD3002">
        <v>6.89</v>
      </c>
      <c r="AE3002" t="s">
        <v>6705</v>
      </c>
      <c r="AF3002" t="s">
        <v>8637</v>
      </c>
      <c r="AG3002" t="s">
        <v>6705</v>
      </c>
      <c r="AH3002" t="s">
        <v>8637</v>
      </c>
      <c r="AI3002">
        <v>-2.11</v>
      </c>
      <c r="AJ3002">
        <v>-0.85</v>
      </c>
      <c r="AK3002">
        <v>1.99</v>
      </c>
      <c r="AL3002">
        <v>3.62</v>
      </c>
    </row>
    <row r="3003" spans="1:38" x14ac:dyDescent="0.25">
      <c r="A3003">
        <v>3002</v>
      </c>
      <c r="B3003" t="str">
        <f xml:space="preserve"> "300179"</f>
        <v>300179</v>
      </c>
      <c r="C3003" t="s">
        <v>8651</v>
      </c>
      <c r="D3003">
        <v>7.51</v>
      </c>
      <c r="E3003">
        <v>0.94</v>
      </c>
      <c r="F3003">
        <v>7.0000000000000007E-2</v>
      </c>
      <c r="G3003" t="s">
        <v>3864</v>
      </c>
      <c r="H3003">
        <v>1484</v>
      </c>
      <c r="I3003">
        <v>7.5</v>
      </c>
      <c r="J3003">
        <v>7.51</v>
      </c>
      <c r="K3003">
        <v>0.13</v>
      </c>
      <c r="L3003">
        <v>1.57</v>
      </c>
      <c r="M3003" t="s">
        <v>8652</v>
      </c>
      <c r="N3003">
        <v>43.8</v>
      </c>
      <c r="O3003" t="s">
        <v>859</v>
      </c>
      <c r="P3003">
        <v>7.52</v>
      </c>
      <c r="Q3003">
        <v>7.36</v>
      </c>
      <c r="R3003">
        <v>7.41</v>
      </c>
      <c r="S3003">
        <v>7.44</v>
      </c>
      <c r="T3003">
        <v>2.15</v>
      </c>
      <c r="U3003">
        <v>1.02</v>
      </c>
      <c r="V3003">
        <v>-73.45</v>
      </c>
      <c r="W3003">
        <v>-5818</v>
      </c>
      <c r="X3003">
        <v>7.45</v>
      </c>
      <c r="Y3003" t="s">
        <v>394</v>
      </c>
      <c r="Z3003" t="s">
        <v>3948</v>
      </c>
      <c r="AA3003">
        <v>0.8</v>
      </c>
      <c r="AB3003">
        <v>383</v>
      </c>
      <c r="AC3003">
        <v>237</v>
      </c>
      <c r="AD3003">
        <v>4.58</v>
      </c>
      <c r="AE3003" t="s">
        <v>1994</v>
      </c>
      <c r="AF3003" t="s">
        <v>8637</v>
      </c>
      <c r="AG3003" t="s">
        <v>981</v>
      </c>
      <c r="AH3003" t="s">
        <v>903</v>
      </c>
      <c r="AI3003">
        <v>0.13</v>
      </c>
      <c r="AJ3003">
        <v>4.45</v>
      </c>
      <c r="AK3003">
        <v>4.7</v>
      </c>
      <c r="AL3003">
        <v>9.31</v>
      </c>
    </row>
    <row r="3004" spans="1:38" x14ac:dyDescent="0.25">
      <c r="A3004">
        <v>3003</v>
      </c>
      <c r="B3004" t="str">
        <f xml:space="preserve"> "300416"</f>
        <v>300416</v>
      </c>
      <c r="C3004" t="s">
        <v>8653</v>
      </c>
      <c r="D3004">
        <v>28.54</v>
      </c>
      <c r="E3004">
        <v>1.75</v>
      </c>
      <c r="F3004">
        <v>0.49</v>
      </c>
      <c r="G3004">
        <v>5471</v>
      </c>
      <c r="H3004">
        <v>71</v>
      </c>
      <c r="I3004">
        <v>28.53</v>
      </c>
      <c r="J3004">
        <v>28.54</v>
      </c>
      <c r="K3004">
        <v>-0.04</v>
      </c>
      <c r="L3004">
        <v>0.86</v>
      </c>
      <c r="M3004" t="s">
        <v>8654</v>
      </c>
      <c r="N3004">
        <v>77.52</v>
      </c>
      <c r="O3004" t="s">
        <v>380</v>
      </c>
      <c r="P3004">
        <v>28.69</v>
      </c>
      <c r="Q3004">
        <v>27.88</v>
      </c>
      <c r="R3004">
        <v>28.01</v>
      </c>
      <c r="S3004">
        <v>28.05</v>
      </c>
      <c r="T3004">
        <v>2.89</v>
      </c>
      <c r="U3004">
        <v>0.57999999999999996</v>
      </c>
      <c r="V3004">
        <v>-80.25</v>
      </c>
      <c r="W3004">
        <v>-252</v>
      </c>
      <c r="X3004">
        <v>28.28</v>
      </c>
      <c r="Y3004">
        <v>2749</v>
      </c>
      <c r="Z3004">
        <v>2722</v>
      </c>
      <c r="AA3004">
        <v>1.01</v>
      </c>
      <c r="AB3004">
        <v>10</v>
      </c>
      <c r="AC3004">
        <v>26</v>
      </c>
      <c r="AD3004">
        <v>7.25</v>
      </c>
      <c r="AE3004" t="s">
        <v>3361</v>
      </c>
      <c r="AF3004" t="s">
        <v>1975</v>
      </c>
      <c r="AG3004" t="s">
        <v>8655</v>
      </c>
      <c r="AH3004" t="s">
        <v>3289</v>
      </c>
      <c r="AI3004">
        <v>0.11</v>
      </c>
      <c r="AJ3004">
        <v>-0.17</v>
      </c>
      <c r="AK3004">
        <v>3.36</v>
      </c>
      <c r="AL3004">
        <v>8.18</v>
      </c>
    </row>
    <row r="3005" spans="1:38" x14ac:dyDescent="0.25">
      <c r="A3005">
        <v>3004</v>
      </c>
      <c r="B3005" t="str">
        <f xml:space="preserve"> "300686"</f>
        <v>300686</v>
      </c>
      <c r="C3005" t="s">
        <v>8656</v>
      </c>
      <c r="D3005">
        <v>28.63</v>
      </c>
      <c r="E3005">
        <v>0.88</v>
      </c>
      <c r="F3005">
        <v>0.25</v>
      </c>
      <c r="G3005" t="s">
        <v>3158</v>
      </c>
      <c r="H3005">
        <v>216</v>
      </c>
      <c r="I3005">
        <v>28.63</v>
      </c>
      <c r="J3005">
        <v>28.64</v>
      </c>
      <c r="K3005">
        <v>0.03</v>
      </c>
      <c r="L3005">
        <v>5.86</v>
      </c>
      <c r="M3005" t="s">
        <v>4675</v>
      </c>
      <c r="N3005">
        <v>86.1</v>
      </c>
      <c r="O3005" t="s">
        <v>380</v>
      </c>
      <c r="P3005">
        <v>28.95</v>
      </c>
      <c r="Q3005">
        <v>28.1</v>
      </c>
      <c r="R3005">
        <v>28.28</v>
      </c>
      <c r="S3005">
        <v>28.38</v>
      </c>
      <c r="T3005">
        <v>3</v>
      </c>
      <c r="U3005">
        <v>0.6</v>
      </c>
      <c r="V3005">
        <v>13.48</v>
      </c>
      <c r="W3005">
        <v>57</v>
      </c>
      <c r="X3005">
        <v>28.69</v>
      </c>
      <c r="Y3005">
        <v>8475</v>
      </c>
      <c r="Z3005">
        <v>9877</v>
      </c>
      <c r="AA3005">
        <v>0.86</v>
      </c>
      <c r="AB3005">
        <v>67</v>
      </c>
      <c r="AC3005">
        <v>140</v>
      </c>
      <c r="AD3005">
        <v>5.97</v>
      </c>
      <c r="AE3005" t="s">
        <v>640</v>
      </c>
      <c r="AF3005" t="s">
        <v>1975</v>
      </c>
      <c r="AG3005" t="s">
        <v>8027</v>
      </c>
      <c r="AH3005" t="s">
        <v>3367</v>
      </c>
      <c r="AI3005">
        <v>-3.41</v>
      </c>
      <c r="AJ3005">
        <v>-2.29</v>
      </c>
      <c r="AK3005">
        <v>25.11</v>
      </c>
      <c r="AL3005">
        <v>55.17</v>
      </c>
    </row>
    <row r="3006" spans="1:38" x14ac:dyDescent="0.25">
      <c r="A3006">
        <v>3005</v>
      </c>
      <c r="B3006" t="str">
        <f xml:space="preserve"> "300453"</f>
        <v>300453</v>
      </c>
      <c r="C3006" t="s">
        <v>8657</v>
      </c>
      <c r="D3006">
        <v>22.56</v>
      </c>
      <c r="E3006">
        <v>2.31</v>
      </c>
      <c r="F3006">
        <v>0.51</v>
      </c>
      <c r="G3006" t="s">
        <v>1276</v>
      </c>
      <c r="H3006">
        <v>381</v>
      </c>
      <c r="I3006">
        <v>22.55</v>
      </c>
      <c r="J3006">
        <v>22.56</v>
      </c>
      <c r="K3006">
        <v>0.27</v>
      </c>
      <c r="L3006">
        <v>3.98</v>
      </c>
      <c r="M3006" t="s">
        <v>5910</v>
      </c>
      <c r="N3006">
        <v>89.21</v>
      </c>
      <c r="O3006" t="s">
        <v>1552</v>
      </c>
      <c r="P3006">
        <v>22.97</v>
      </c>
      <c r="Q3006">
        <v>21.88</v>
      </c>
      <c r="R3006">
        <v>21.9</v>
      </c>
      <c r="S3006">
        <v>22.05</v>
      </c>
      <c r="T3006">
        <v>4.9400000000000004</v>
      </c>
      <c r="U3006">
        <v>1.52</v>
      </c>
      <c r="V3006">
        <v>32.94</v>
      </c>
      <c r="W3006">
        <v>170</v>
      </c>
      <c r="X3006">
        <v>22.64</v>
      </c>
      <c r="Y3006" t="s">
        <v>124</v>
      </c>
      <c r="Z3006" t="s">
        <v>2313</v>
      </c>
      <c r="AA3006">
        <v>0.8</v>
      </c>
      <c r="AB3006">
        <v>16</v>
      </c>
      <c r="AC3006">
        <v>54</v>
      </c>
      <c r="AD3006">
        <v>6.43</v>
      </c>
      <c r="AE3006" t="s">
        <v>1820</v>
      </c>
      <c r="AF3006" t="s">
        <v>1975</v>
      </c>
      <c r="AG3006" t="s">
        <v>8658</v>
      </c>
      <c r="AH3006" t="s">
        <v>3071</v>
      </c>
      <c r="AI3006">
        <v>-1.91</v>
      </c>
      <c r="AJ3006">
        <v>9.36</v>
      </c>
      <c r="AK3006">
        <v>11.07</v>
      </c>
      <c r="AL3006">
        <v>17.05</v>
      </c>
    </row>
    <row r="3007" spans="1:38" x14ac:dyDescent="0.25">
      <c r="A3007">
        <v>3006</v>
      </c>
      <c r="B3007" t="str">
        <f xml:space="preserve"> "002702"</f>
        <v>002702</v>
      </c>
      <c r="C3007" t="s">
        <v>8659</v>
      </c>
      <c r="D3007">
        <v>7.06</v>
      </c>
      <c r="E3007">
        <v>-0.84</v>
      </c>
      <c r="F3007">
        <v>-0.06</v>
      </c>
      <c r="G3007" t="s">
        <v>1222</v>
      </c>
      <c r="H3007">
        <v>2710</v>
      </c>
      <c r="I3007">
        <v>7.06</v>
      </c>
      <c r="J3007">
        <v>7.07</v>
      </c>
      <c r="K3007">
        <v>0.28000000000000003</v>
      </c>
      <c r="L3007">
        <v>3.17</v>
      </c>
      <c r="M3007" t="s">
        <v>8660</v>
      </c>
      <c r="N3007">
        <v>-103.62</v>
      </c>
      <c r="O3007" t="s">
        <v>406</v>
      </c>
      <c r="P3007">
        <v>7.15</v>
      </c>
      <c r="Q3007">
        <v>7.02</v>
      </c>
      <c r="R3007">
        <v>7.1</v>
      </c>
      <c r="S3007">
        <v>7.12</v>
      </c>
      <c r="T3007">
        <v>1.83</v>
      </c>
      <c r="U3007">
        <v>0.72</v>
      </c>
      <c r="V3007">
        <v>32.79</v>
      </c>
      <c r="W3007">
        <v>3459</v>
      </c>
      <c r="X3007">
        <v>7.06</v>
      </c>
      <c r="Y3007" t="s">
        <v>1557</v>
      </c>
      <c r="Z3007" t="s">
        <v>2543</v>
      </c>
      <c r="AA3007">
        <v>1.82</v>
      </c>
      <c r="AB3007">
        <v>954</v>
      </c>
      <c r="AC3007">
        <v>1815</v>
      </c>
      <c r="AD3007">
        <v>4.62</v>
      </c>
      <c r="AE3007" t="s">
        <v>4321</v>
      </c>
      <c r="AF3007" t="s">
        <v>1975</v>
      </c>
      <c r="AG3007" t="s">
        <v>5819</v>
      </c>
      <c r="AH3007" t="s">
        <v>5418</v>
      </c>
      <c r="AI3007">
        <v>-0.56000000000000005</v>
      </c>
      <c r="AJ3007">
        <v>3.52</v>
      </c>
      <c r="AK3007">
        <v>16.309999999999999</v>
      </c>
      <c r="AL3007">
        <v>25.23</v>
      </c>
    </row>
    <row r="3008" spans="1:38" x14ac:dyDescent="0.25">
      <c r="A3008">
        <v>3007</v>
      </c>
      <c r="B3008" t="str">
        <f xml:space="preserve"> "600127"</f>
        <v>600127</v>
      </c>
      <c r="C3008" t="s">
        <v>8661</v>
      </c>
      <c r="D3008">
        <v>5.57</v>
      </c>
      <c r="E3008">
        <v>0.54</v>
      </c>
      <c r="F3008">
        <v>0.03</v>
      </c>
      <c r="G3008" t="s">
        <v>699</v>
      </c>
      <c r="H3008">
        <v>37</v>
      </c>
      <c r="I3008">
        <v>5.56</v>
      </c>
      <c r="J3008">
        <v>5.57</v>
      </c>
      <c r="K3008">
        <v>0.18</v>
      </c>
      <c r="L3008">
        <v>0.68</v>
      </c>
      <c r="M3008" t="s">
        <v>8662</v>
      </c>
      <c r="N3008">
        <v>255.79</v>
      </c>
      <c r="O3008" t="s">
        <v>622</v>
      </c>
      <c r="P3008">
        <v>5.57</v>
      </c>
      <c r="Q3008">
        <v>5.52</v>
      </c>
      <c r="R3008">
        <v>5.54</v>
      </c>
      <c r="S3008">
        <v>5.54</v>
      </c>
      <c r="T3008">
        <v>0.9</v>
      </c>
      <c r="U3008">
        <v>0.7</v>
      </c>
      <c r="V3008">
        <v>-28.87</v>
      </c>
      <c r="W3008">
        <v>-3728</v>
      </c>
      <c r="X3008">
        <v>5.54</v>
      </c>
      <c r="Y3008" t="s">
        <v>3892</v>
      </c>
      <c r="Z3008" t="s">
        <v>3272</v>
      </c>
      <c r="AA3008">
        <v>0.81</v>
      </c>
      <c r="AB3008">
        <v>764</v>
      </c>
      <c r="AC3008">
        <v>2599</v>
      </c>
      <c r="AD3008">
        <v>4.76</v>
      </c>
      <c r="AE3008" t="s">
        <v>8663</v>
      </c>
      <c r="AF3008" t="s">
        <v>6368</v>
      </c>
      <c r="AG3008" t="s">
        <v>8663</v>
      </c>
      <c r="AH3008" t="s">
        <v>6368</v>
      </c>
      <c r="AI3008">
        <v>-0.36</v>
      </c>
      <c r="AJ3008">
        <v>2.77</v>
      </c>
      <c r="AK3008">
        <v>2.81</v>
      </c>
      <c r="AL3008">
        <v>5.6</v>
      </c>
    </row>
    <row r="3009" spans="1:38" x14ac:dyDescent="0.25">
      <c r="A3009">
        <v>3008</v>
      </c>
      <c r="B3009" t="str">
        <f xml:space="preserve"> "002819"</f>
        <v>002819</v>
      </c>
      <c r="C3009" t="s">
        <v>8664</v>
      </c>
      <c r="D3009">
        <v>31.53</v>
      </c>
      <c r="E3009">
        <v>1.38</v>
      </c>
      <c r="F3009">
        <v>0.43</v>
      </c>
      <c r="G3009" t="s">
        <v>1259</v>
      </c>
      <c r="H3009">
        <v>151</v>
      </c>
      <c r="I3009">
        <v>31.53</v>
      </c>
      <c r="J3009">
        <v>31.54</v>
      </c>
      <c r="K3009">
        <v>-0.06</v>
      </c>
      <c r="L3009">
        <v>4.32</v>
      </c>
      <c r="M3009" t="s">
        <v>8665</v>
      </c>
      <c r="N3009">
        <v>258.7</v>
      </c>
      <c r="O3009" t="s">
        <v>1372</v>
      </c>
      <c r="P3009">
        <v>31.99</v>
      </c>
      <c r="Q3009">
        <v>31.02</v>
      </c>
      <c r="R3009">
        <v>31.29</v>
      </c>
      <c r="S3009">
        <v>31.1</v>
      </c>
      <c r="T3009">
        <v>3.12</v>
      </c>
      <c r="U3009">
        <v>0.95</v>
      </c>
      <c r="V3009">
        <v>-20.2</v>
      </c>
      <c r="W3009">
        <v>-40</v>
      </c>
      <c r="X3009">
        <v>31.63</v>
      </c>
      <c r="Y3009">
        <v>5411</v>
      </c>
      <c r="Z3009">
        <v>6836</v>
      </c>
      <c r="AA3009">
        <v>0.79</v>
      </c>
      <c r="AB3009">
        <v>26</v>
      </c>
      <c r="AC3009">
        <v>1</v>
      </c>
      <c r="AD3009">
        <v>8.5299999999999994</v>
      </c>
      <c r="AE3009" t="s">
        <v>2869</v>
      </c>
      <c r="AF3009" t="s">
        <v>6368</v>
      </c>
      <c r="AG3009" t="s">
        <v>8666</v>
      </c>
      <c r="AH3009" t="s">
        <v>2531</v>
      </c>
      <c r="AI3009">
        <v>-1.62</v>
      </c>
      <c r="AJ3009">
        <v>3.04</v>
      </c>
      <c r="AK3009">
        <v>11.2</v>
      </c>
      <c r="AL3009">
        <v>27.11</v>
      </c>
    </row>
    <row r="3010" spans="1:38" x14ac:dyDescent="0.25">
      <c r="A3010">
        <v>3009</v>
      </c>
      <c r="B3010" t="str">
        <f xml:space="preserve"> "002136"</f>
        <v>002136</v>
      </c>
      <c r="C3010" t="s">
        <v>8667</v>
      </c>
      <c r="D3010">
        <v>16.61</v>
      </c>
      <c r="E3010">
        <v>0</v>
      </c>
      <c r="F3010">
        <v>0</v>
      </c>
      <c r="G3010" t="s">
        <v>3881</v>
      </c>
      <c r="H3010">
        <v>202</v>
      </c>
      <c r="I3010">
        <v>16.600000000000001</v>
      </c>
      <c r="J3010">
        <v>16.61</v>
      </c>
      <c r="K3010">
        <v>0.06</v>
      </c>
      <c r="L3010">
        <v>1.67</v>
      </c>
      <c r="M3010" t="s">
        <v>8668</v>
      </c>
      <c r="N3010">
        <v>22</v>
      </c>
      <c r="O3010" t="s">
        <v>667</v>
      </c>
      <c r="P3010">
        <v>16.739999999999998</v>
      </c>
      <c r="Q3010">
        <v>16.510000000000002</v>
      </c>
      <c r="R3010">
        <v>16.670000000000002</v>
      </c>
      <c r="S3010">
        <v>16.61</v>
      </c>
      <c r="T3010">
        <v>1.38</v>
      </c>
      <c r="U3010">
        <v>0.56000000000000005</v>
      </c>
      <c r="V3010">
        <v>-5.4</v>
      </c>
      <c r="W3010">
        <v>-61</v>
      </c>
      <c r="X3010">
        <v>16.63</v>
      </c>
      <c r="Y3010" t="s">
        <v>507</v>
      </c>
      <c r="Z3010" t="s">
        <v>3519</v>
      </c>
      <c r="AA3010">
        <v>1.21</v>
      </c>
      <c r="AB3010">
        <v>280</v>
      </c>
      <c r="AC3010">
        <v>29</v>
      </c>
      <c r="AD3010">
        <v>6.1</v>
      </c>
      <c r="AE3010" t="s">
        <v>185</v>
      </c>
      <c r="AF3010" t="s">
        <v>6368</v>
      </c>
      <c r="AG3010" t="s">
        <v>4728</v>
      </c>
      <c r="AH3010" t="s">
        <v>861</v>
      </c>
      <c r="AI3010">
        <v>0.36</v>
      </c>
      <c r="AJ3010">
        <v>-2.29</v>
      </c>
      <c r="AK3010">
        <v>5.94</v>
      </c>
      <c r="AL3010">
        <v>16.559999999999999</v>
      </c>
    </row>
    <row r="3011" spans="1:38" x14ac:dyDescent="0.25">
      <c r="A3011">
        <v>3010</v>
      </c>
      <c r="B3011" t="str">
        <f xml:space="preserve"> "600866"</f>
        <v>600866</v>
      </c>
      <c r="C3011" t="s">
        <v>8669</v>
      </c>
      <c r="D3011">
        <v>5.53</v>
      </c>
      <c r="E3011">
        <v>0.36</v>
      </c>
      <c r="F3011">
        <v>0.02</v>
      </c>
      <c r="G3011" t="s">
        <v>2754</v>
      </c>
      <c r="H3011">
        <v>4</v>
      </c>
      <c r="I3011">
        <v>5.53</v>
      </c>
      <c r="J3011">
        <v>5.54</v>
      </c>
      <c r="K3011">
        <v>0.18</v>
      </c>
      <c r="L3011">
        <v>0.5</v>
      </c>
      <c r="M3011" t="s">
        <v>8670</v>
      </c>
      <c r="N3011">
        <v>-43.5</v>
      </c>
      <c r="O3011" t="s">
        <v>406</v>
      </c>
      <c r="P3011">
        <v>5.54</v>
      </c>
      <c r="Q3011">
        <v>5.43</v>
      </c>
      <c r="R3011">
        <v>5.51</v>
      </c>
      <c r="S3011">
        <v>5.51</v>
      </c>
      <c r="T3011">
        <v>2</v>
      </c>
      <c r="U3011">
        <v>0.69</v>
      </c>
      <c r="V3011">
        <v>-45.19</v>
      </c>
      <c r="W3011">
        <v>-2618</v>
      </c>
      <c r="X3011">
        <v>5.5</v>
      </c>
      <c r="Y3011" t="s">
        <v>5621</v>
      </c>
      <c r="Z3011" t="s">
        <v>4112</v>
      </c>
      <c r="AA3011">
        <v>0.98</v>
      </c>
      <c r="AB3011">
        <v>190</v>
      </c>
      <c r="AC3011">
        <v>926</v>
      </c>
      <c r="AD3011">
        <v>3.46</v>
      </c>
      <c r="AE3011" t="s">
        <v>3544</v>
      </c>
      <c r="AF3011" t="s">
        <v>6368</v>
      </c>
      <c r="AG3011" t="s">
        <v>4993</v>
      </c>
      <c r="AH3011" t="s">
        <v>4063</v>
      </c>
      <c r="AI3011">
        <v>1.1000000000000001</v>
      </c>
      <c r="AJ3011">
        <v>3.75</v>
      </c>
      <c r="AK3011">
        <v>2.17</v>
      </c>
      <c r="AL3011">
        <v>4.09</v>
      </c>
    </row>
    <row r="3012" spans="1:38" x14ac:dyDescent="0.25">
      <c r="A3012">
        <v>3011</v>
      </c>
      <c r="B3012" t="str">
        <f xml:space="preserve"> "600257"</f>
        <v>600257</v>
      </c>
      <c r="C3012" t="s">
        <v>8671</v>
      </c>
      <c r="D3012" t="s">
        <v>616</v>
      </c>
      <c r="E3012" t="s">
        <v>616</v>
      </c>
      <c r="F3012" t="s">
        <v>616</v>
      </c>
      <c r="G3012" t="s">
        <v>616</v>
      </c>
      <c r="H3012" t="s">
        <v>616</v>
      </c>
      <c r="I3012" t="s">
        <v>616</v>
      </c>
      <c r="J3012" t="s">
        <v>616</v>
      </c>
      <c r="K3012" t="s">
        <v>616</v>
      </c>
      <c r="L3012" t="s">
        <v>616</v>
      </c>
      <c r="M3012" t="s">
        <v>616</v>
      </c>
      <c r="N3012">
        <v>228.09</v>
      </c>
      <c r="O3012" t="s">
        <v>622</v>
      </c>
      <c r="P3012" t="s">
        <v>616</v>
      </c>
      <c r="Q3012" t="s">
        <v>616</v>
      </c>
      <c r="R3012" t="s">
        <v>616</v>
      </c>
      <c r="S3012">
        <v>7.4</v>
      </c>
      <c r="T3012" t="s">
        <v>616</v>
      </c>
      <c r="U3012" t="s">
        <v>616</v>
      </c>
      <c r="V3012" t="s">
        <v>616</v>
      </c>
      <c r="W3012" t="s">
        <v>616</v>
      </c>
      <c r="X3012" t="s">
        <v>616</v>
      </c>
      <c r="Y3012" t="s">
        <v>616</v>
      </c>
      <c r="Z3012" t="s">
        <v>616</v>
      </c>
      <c r="AA3012" t="s">
        <v>616</v>
      </c>
      <c r="AB3012" t="s">
        <v>616</v>
      </c>
      <c r="AC3012" t="s">
        <v>616</v>
      </c>
      <c r="AD3012">
        <v>2.77</v>
      </c>
      <c r="AE3012" t="s">
        <v>2852</v>
      </c>
      <c r="AF3012" t="s">
        <v>1406</v>
      </c>
      <c r="AG3012" t="s">
        <v>4998</v>
      </c>
      <c r="AH3012" t="s">
        <v>2516</v>
      </c>
      <c r="AI3012">
        <v>0</v>
      </c>
      <c r="AJ3012">
        <v>0</v>
      </c>
      <c r="AK3012">
        <v>0</v>
      </c>
      <c r="AL3012">
        <v>0</v>
      </c>
    </row>
    <row r="3013" spans="1:38" x14ac:dyDescent="0.25">
      <c r="A3013">
        <v>3012</v>
      </c>
      <c r="B3013" t="str">
        <f xml:space="preserve"> "603326"</f>
        <v>603326</v>
      </c>
      <c r="C3013" t="s">
        <v>8672</v>
      </c>
      <c r="D3013">
        <v>22.23</v>
      </c>
      <c r="E3013">
        <v>0</v>
      </c>
      <c r="F3013">
        <v>0</v>
      </c>
      <c r="G3013" t="s">
        <v>2058</v>
      </c>
      <c r="H3013">
        <v>2</v>
      </c>
      <c r="I3013">
        <v>22.24</v>
      </c>
      <c r="J3013">
        <v>22.25</v>
      </c>
      <c r="K3013">
        <v>-0.04</v>
      </c>
      <c r="L3013">
        <v>10.34</v>
      </c>
      <c r="M3013" t="s">
        <v>7256</v>
      </c>
      <c r="N3013">
        <v>143.47999999999999</v>
      </c>
      <c r="O3013" t="s">
        <v>1469</v>
      </c>
      <c r="P3013">
        <v>22.63</v>
      </c>
      <c r="Q3013">
        <v>22.02</v>
      </c>
      <c r="R3013">
        <v>22.22</v>
      </c>
      <c r="S3013">
        <v>22.23</v>
      </c>
      <c r="T3013">
        <v>2.74</v>
      </c>
      <c r="U3013">
        <v>0.9</v>
      </c>
      <c r="V3013">
        <v>-66.319999999999993</v>
      </c>
      <c r="W3013">
        <v>-705</v>
      </c>
      <c r="X3013">
        <v>22.3</v>
      </c>
      <c r="Y3013" t="s">
        <v>2202</v>
      </c>
      <c r="Z3013" t="s">
        <v>1886</v>
      </c>
      <c r="AA3013">
        <v>1.31</v>
      </c>
      <c r="AB3013">
        <v>26</v>
      </c>
      <c r="AC3013">
        <v>67</v>
      </c>
      <c r="AD3013">
        <v>5.29</v>
      </c>
      <c r="AE3013" t="s">
        <v>4326</v>
      </c>
      <c r="AF3013" t="s">
        <v>1406</v>
      </c>
      <c r="AG3013" t="s">
        <v>6081</v>
      </c>
      <c r="AH3013" t="s">
        <v>4620</v>
      </c>
      <c r="AI3013">
        <v>2.44</v>
      </c>
      <c r="AJ3013">
        <v>7.81</v>
      </c>
      <c r="AK3013">
        <v>45.03</v>
      </c>
      <c r="AL3013">
        <v>67.97</v>
      </c>
    </row>
    <row r="3014" spans="1:38" x14ac:dyDescent="0.25">
      <c r="A3014">
        <v>3013</v>
      </c>
      <c r="B3014" t="str">
        <f xml:space="preserve"> "600671"</f>
        <v>600671</v>
      </c>
      <c r="C3014" t="s">
        <v>8673</v>
      </c>
      <c r="D3014">
        <v>29.19</v>
      </c>
      <c r="E3014">
        <v>3.33</v>
      </c>
      <c r="F3014">
        <v>0.94</v>
      </c>
      <c r="G3014" t="s">
        <v>1578</v>
      </c>
      <c r="H3014">
        <v>13</v>
      </c>
      <c r="I3014">
        <v>29.19</v>
      </c>
      <c r="J3014">
        <v>29.2</v>
      </c>
      <c r="K3014">
        <v>-7.0000000000000007E-2</v>
      </c>
      <c r="L3014">
        <v>1.37</v>
      </c>
      <c r="M3014" t="s">
        <v>8674</v>
      </c>
      <c r="N3014">
        <v>-245.88</v>
      </c>
      <c r="O3014" t="s">
        <v>392</v>
      </c>
      <c r="P3014">
        <v>29.31</v>
      </c>
      <c r="Q3014">
        <v>28.39</v>
      </c>
      <c r="R3014">
        <v>28.39</v>
      </c>
      <c r="S3014">
        <v>28.25</v>
      </c>
      <c r="T3014">
        <v>3.26</v>
      </c>
      <c r="U3014">
        <v>1.04</v>
      </c>
      <c r="V3014">
        <v>-17.2</v>
      </c>
      <c r="W3014">
        <v>-64</v>
      </c>
      <c r="X3014">
        <v>29.02</v>
      </c>
      <c r="Y3014">
        <v>6327</v>
      </c>
      <c r="Z3014" t="s">
        <v>2522</v>
      </c>
      <c r="AA3014">
        <v>0.61</v>
      </c>
      <c r="AB3014">
        <v>48</v>
      </c>
      <c r="AC3014">
        <v>81</v>
      </c>
      <c r="AD3014">
        <v>68.7</v>
      </c>
      <c r="AE3014" t="s">
        <v>943</v>
      </c>
      <c r="AF3014" t="s">
        <v>626</v>
      </c>
      <c r="AG3014" t="s">
        <v>943</v>
      </c>
      <c r="AH3014" t="s">
        <v>626</v>
      </c>
      <c r="AI3014">
        <v>0.55000000000000004</v>
      </c>
      <c r="AJ3014">
        <v>3.99</v>
      </c>
      <c r="AK3014">
        <v>3.91</v>
      </c>
      <c r="AL3014">
        <v>7.92</v>
      </c>
    </row>
    <row r="3015" spans="1:38" x14ac:dyDescent="0.25">
      <c r="A3015">
        <v>3014</v>
      </c>
      <c r="B3015" t="str">
        <f xml:space="preserve"> "002566"</f>
        <v>002566</v>
      </c>
      <c r="C3015" t="s">
        <v>8675</v>
      </c>
      <c r="D3015">
        <v>10.74</v>
      </c>
      <c r="E3015">
        <v>1.51</v>
      </c>
      <c r="F3015">
        <v>0.16</v>
      </c>
      <c r="G3015" t="s">
        <v>2695</v>
      </c>
      <c r="H3015">
        <v>587</v>
      </c>
      <c r="I3015">
        <v>10.73</v>
      </c>
      <c r="J3015">
        <v>10.74</v>
      </c>
      <c r="K3015">
        <v>0.09</v>
      </c>
      <c r="L3015">
        <v>1.19</v>
      </c>
      <c r="M3015" t="s">
        <v>7458</v>
      </c>
      <c r="N3015">
        <v>60.54</v>
      </c>
      <c r="O3015" t="s">
        <v>392</v>
      </c>
      <c r="P3015">
        <v>10.76</v>
      </c>
      <c r="Q3015">
        <v>10.5</v>
      </c>
      <c r="R3015">
        <v>10.52</v>
      </c>
      <c r="S3015">
        <v>10.58</v>
      </c>
      <c r="T3015">
        <v>2.46</v>
      </c>
      <c r="U3015">
        <v>0.65</v>
      </c>
      <c r="V3015">
        <v>-60.99</v>
      </c>
      <c r="W3015">
        <v>-1154</v>
      </c>
      <c r="X3015">
        <v>10.63</v>
      </c>
      <c r="Y3015" t="s">
        <v>1411</v>
      </c>
      <c r="Z3015" t="s">
        <v>603</v>
      </c>
      <c r="AA3015">
        <v>0.77</v>
      </c>
      <c r="AB3015">
        <v>30</v>
      </c>
      <c r="AC3015">
        <v>182</v>
      </c>
      <c r="AD3015">
        <v>2.0099999999999998</v>
      </c>
      <c r="AE3015" t="s">
        <v>7034</v>
      </c>
      <c r="AF3015" t="s">
        <v>626</v>
      </c>
      <c r="AG3015" t="s">
        <v>1853</v>
      </c>
      <c r="AH3015" t="s">
        <v>5418</v>
      </c>
      <c r="AI3015">
        <v>0</v>
      </c>
      <c r="AJ3015">
        <v>5.81</v>
      </c>
      <c r="AK3015">
        <v>3.52</v>
      </c>
      <c r="AL3015">
        <v>10.33</v>
      </c>
    </row>
    <row r="3016" spans="1:38" x14ac:dyDescent="0.25">
      <c r="A3016">
        <v>3015</v>
      </c>
      <c r="B3016" t="str">
        <f xml:space="preserve"> "600228"</f>
        <v>600228</v>
      </c>
      <c r="C3016" t="s">
        <v>8676</v>
      </c>
      <c r="D3016">
        <v>14.72</v>
      </c>
      <c r="E3016">
        <v>4.99</v>
      </c>
      <c r="F3016">
        <v>0.7</v>
      </c>
      <c r="G3016" t="s">
        <v>623</v>
      </c>
      <c r="H3016">
        <v>2</v>
      </c>
      <c r="I3016">
        <v>14.72</v>
      </c>
      <c r="J3016" t="s">
        <v>616</v>
      </c>
      <c r="K3016">
        <v>0</v>
      </c>
      <c r="L3016">
        <v>1.1100000000000001</v>
      </c>
      <c r="M3016" t="s">
        <v>8677</v>
      </c>
      <c r="N3016">
        <v>-125.37</v>
      </c>
      <c r="O3016" t="s">
        <v>667</v>
      </c>
      <c r="P3016">
        <v>14.72</v>
      </c>
      <c r="Q3016">
        <v>14.26</v>
      </c>
      <c r="R3016">
        <v>14.28</v>
      </c>
      <c r="S3016">
        <v>14.02</v>
      </c>
      <c r="T3016">
        <v>3.28</v>
      </c>
      <c r="U3016">
        <v>0.5</v>
      </c>
      <c r="V3016">
        <v>100</v>
      </c>
      <c r="W3016">
        <v>9696</v>
      </c>
      <c r="X3016">
        <v>14.61</v>
      </c>
      <c r="Y3016" t="s">
        <v>5621</v>
      </c>
      <c r="Z3016" t="s">
        <v>480</v>
      </c>
      <c r="AA3016">
        <v>1.02</v>
      </c>
      <c r="AB3016">
        <v>9603</v>
      </c>
      <c r="AC3016">
        <v>0</v>
      </c>
      <c r="AD3016">
        <v>303.23</v>
      </c>
      <c r="AE3016" t="s">
        <v>4129</v>
      </c>
      <c r="AF3016" t="s">
        <v>626</v>
      </c>
      <c r="AG3016" t="s">
        <v>4129</v>
      </c>
      <c r="AH3016" t="s">
        <v>626</v>
      </c>
      <c r="AI3016">
        <v>3.66</v>
      </c>
      <c r="AJ3016">
        <v>19.97</v>
      </c>
      <c r="AK3016">
        <v>7.17</v>
      </c>
      <c r="AL3016">
        <v>12.33</v>
      </c>
    </row>
    <row r="3017" spans="1:38" x14ac:dyDescent="0.25">
      <c r="A3017">
        <v>3016</v>
      </c>
      <c r="B3017" t="str">
        <f xml:space="preserve"> "000633"</f>
        <v>000633</v>
      </c>
      <c r="C3017" t="s">
        <v>8678</v>
      </c>
      <c r="D3017">
        <v>9.2200000000000006</v>
      </c>
      <c r="E3017">
        <v>-1.39</v>
      </c>
      <c r="F3017">
        <v>-0.13</v>
      </c>
      <c r="G3017" t="s">
        <v>3343</v>
      </c>
      <c r="H3017">
        <v>2075</v>
      </c>
      <c r="I3017">
        <v>9.2100000000000009</v>
      </c>
      <c r="J3017">
        <v>9.2200000000000006</v>
      </c>
      <c r="K3017">
        <v>0.44</v>
      </c>
      <c r="L3017">
        <v>1.7</v>
      </c>
      <c r="M3017" t="s">
        <v>8679</v>
      </c>
      <c r="N3017">
        <v>-121.13</v>
      </c>
      <c r="O3017" t="s">
        <v>449</v>
      </c>
      <c r="P3017">
        <v>9.48</v>
      </c>
      <c r="Q3017">
        <v>9.01</v>
      </c>
      <c r="R3017">
        <v>9.3000000000000007</v>
      </c>
      <c r="S3017">
        <v>9.35</v>
      </c>
      <c r="T3017">
        <v>5.03</v>
      </c>
      <c r="U3017">
        <v>0.9</v>
      </c>
      <c r="V3017">
        <v>-10.66</v>
      </c>
      <c r="W3017">
        <v>-190</v>
      </c>
      <c r="X3017">
        <v>9.15</v>
      </c>
      <c r="Y3017" t="s">
        <v>3180</v>
      </c>
      <c r="Z3017" t="s">
        <v>1705</v>
      </c>
      <c r="AA3017">
        <v>1.41</v>
      </c>
      <c r="AB3017">
        <v>119</v>
      </c>
      <c r="AC3017">
        <v>24</v>
      </c>
      <c r="AD3017">
        <v>21.2</v>
      </c>
      <c r="AE3017" t="s">
        <v>5104</v>
      </c>
      <c r="AF3017" t="s">
        <v>626</v>
      </c>
      <c r="AG3017" t="s">
        <v>5104</v>
      </c>
      <c r="AH3017" t="s">
        <v>626</v>
      </c>
      <c r="AI3017">
        <v>12.44</v>
      </c>
      <c r="AJ3017">
        <v>6.22</v>
      </c>
      <c r="AK3017">
        <v>7.71</v>
      </c>
      <c r="AL3017">
        <v>11.1</v>
      </c>
    </row>
    <row r="3018" spans="1:38" x14ac:dyDescent="0.25">
      <c r="A3018">
        <v>3017</v>
      </c>
      <c r="B3018" t="str">
        <f xml:space="preserve"> "002877"</f>
        <v>002877</v>
      </c>
      <c r="C3018" t="s">
        <v>8680</v>
      </c>
      <c r="D3018">
        <v>29.02</v>
      </c>
      <c r="E3018">
        <v>2.73</v>
      </c>
      <c r="F3018">
        <v>0.77</v>
      </c>
      <c r="G3018" t="s">
        <v>8681</v>
      </c>
      <c r="H3018">
        <v>2087</v>
      </c>
      <c r="I3018">
        <v>29.02</v>
      </c>
      <c r="J3018">
        <v>29.03</v>
      </c>
      <c r="K3018">
        <v>7.0000000000000007E-2</v>
      </c>
      <c r="L3018">
        <v>27.5</v>
      </c>
      <c r="M3018" t="s">
        <v>2521</v>
      </c>
      <c r="N3018">
        <v>80.27</v>
      </c>
      <c r="O3018" t="s">
        <v>1372</v>
      </c>
      <c r="P3018">
        <v>29.36</v>
      </c>
      <c r="Q3018">
        <v>27.55</v>
      </c>
      <c r="R3018">
        <v>28.12</v>
      </c>
      <c r="S3018">
        <v>28.25</v>
      </c>
      <c r="T3018">
        <v>6.41</v>
      </c>
      <c r="U3018">
        <v>1.64</v>
      </c>
      <c r="V3018">
        <v>89.05</v>
      </c>
      <c r="W3018">
        <v>2585</v>
      </c>
      <c r="X3018">
        <v>28.5</v>
      </c>
      <c r="Y3018" t="s">
        <v>2409</v>
      </c>
      <c r="Z3018" t="s">
        <v>2346</v>
      </c>
      <c r="AA3018">
        <v>0.77</v>
      </c>
      <c r="AB3018">
        <v>1204</v>
      </c>
      <c r="AC3018">
        <v>16</v>
      </c>
      <c r="AD3018">
        <v>6.34</v>
      </c>
      <c r="AE3018" t="s">
        <v>943</v>
      </c>
      <c r="AF3018" t="s">
        <v>626</v>
      </c>
      <c r="AG3018" t="s">
        <v>8682</v>
      </c>
      <c r="AH3018" t="s">
        <v>2111</v>
      </c>
      <c r="AI3018">
        <v>3.87</v>
      </c>
      <c r="AJ3018">
        <v>9.8000000000000007</v>
      </c>
      <c r="AK3018">
        <v>68.709999999999994</v>
      </c>
      <c r="AL3018">
        <v>111.39</v>
      </c>
    </row>
    <row r="3019" spans="1:38" x14ac:dyDescent="0.25">
      <c r="A3019">
        <v>3018</v>
      </c>
      <c r="B3019" t="str">
        <f xml:space="preserve"> "300469"</f>
        <v>300469</v>
      </c>
      <c r="C3019" t="s">
        <v>8683</v>
      </c>
      <c r="D3019">
        <v>51.87</v>
      </c>
      <c r="E3019">
        <v>1.49</v>
      </c>
      <c r="F3019">
        <v>0.76</v>
      </c>
      <c r="G3019">
        <v>6851</v>
      </c>
      <c r="H3019">
        <v>139</v>
      </c>
      <c r="I3019">
        <v>51.87</v>
      </c>
      <c r="J3019">
        <v>51.88</v>
      </c>
      <c r="K3019">
        <v>0.02</v>
      </c>
      <c r="L3019">
        <v>2.4</v>
      </c>
      <c r="M3019" t="s">
        <v>8684</v>
      </c>
      <c r="N3019">
        <v>-168.04</v>
      </c>
      <c r="O3019" t="s">
        <v>893</v>
      </c>
      <c r="P3019">
        <v>51.95</v>
      </c>
      <c r="Q3019">
        <v>50.85</v>
      </c>
      <c r="R3019">
        <v>51.29</v>
      </c>
      <c r="S3019">
        <v>51.11</v>
      </c>
      <c r="T3019">
        <v>2.15</v>
      </c>
      <c r="U3019">
        <v>0.83</v>
      </c>
      <c r="V3019">
        <v>-6.83</v>
      </c>
      <c r="W3019">
        <v>-11</v>
      </c>
      <c r="X3019">
        <v>51.59</v>
      </c>
      <c r="Y3019">
        <v>3505</v>
      </c>
      <c r="Z3019">
        <v>3347</v>
      </c>
      <c r="AA3019">
        <v>1.05</v>
      </c>
      <c r="AB3019">
        <v>13</v>
      </c>
      <c r="AC3019">
        <v>36</v>
      </c>
      <c r="AD3019">
        <v>8.0399999999999991</v>
      </c>
      <c r="AE3019" t="s">
        <v>8685</v>
      </c>
      <c r="AF3019" t="s">
        <v>861</v>
      </c>
      <c r="AG3019" t="s">
        <v>8686</v>
      </c>
      <c r="AH3019" t="s">
        <v>2033</v>
      </c>
      <c r="AI3019">
        <v>-2</v>
      </c>
      <c r="AJ3019">
        <v>5.21</v>
      </c>
      <c r="AK3019">
        <v>7.75</v>
      </c>
      <c r="AL3019">
        <v>16.75</v>
      </c>
    </row>
    <row r="3020" spans="1:38" x14ac:dyDescent="0.25">
      <c r="A3020">
        <v>3019</v>
      </c>
      <c r="B3020" t="str">
        <f xml:space="preserve"> "603238"</f>
        <v>603238</v>
      </c>
      <c r="C3020" t="s">
        <v>8687</v>
      </c>
      <c r="D3020">
        <v>29.52</v>
      </c>
      <c r="E3020">
        <v>0.27</v>
      </c>
      <c r="F3020">
        <v>0.08</v>
      </c>
      <c r="G3020">
        <v>8187</v>
      </c>
      <c r="H3020">
        <v>9</v>
      </c>
      <c r="I3020">
        <v>29.5</v>
      </c>
      <c r="J3020">
        <v>29.52</v>
      </c>
      <c r="K3020">
        <v>7.0000000000000007E-2</v>
      </c>
      <c r="L3020">
        <v>2.73</v>
      </c>
      <c r="M3020" t="s">
        <v>8688</v>
      </c>
      <c r="N3020">
        <v>84.35</v>
      </c>
      <c r="O3020" t="s">
        <v>1443</v>
      </c>
      <c r="P3020">
        <v>29.67</v>
      </c>
      <c r="Q3020">
        <v>29.16</v>
      </c>
      <c r="R3020">
        <v>29.2</v>
      </c>
      <c r="S3020">
        <v>29.44</v>
      </c>
      <c r="T3020">
        <v>1.73</v>
      </c>
      <c r="U3020">
        <v>0.93</v>
      </c>
      <c r="V3020">
        <v>-32.69</v>
      </c>
      <c r="W3020">
        <v>-126</v>
      </c>
      <c r="X3020">
        <v>29.54</v>
      </c>
      <c r="Y3020">
        <v>3715</v>
      </c>
      <c r="Z3020">
        <v>4472</v>
      </c>
      <c r="AA3020">
        <v>0.83</v>
      </c>
      <c r="AB3020">
        <v>7</v>
      </c>
      <c r="AC3020">
        <v>36</v>
      </c>
      <c r="AD3020">
        <v>4.7300000000000004</v>
      </c>
      <c r="AE3020" t="s">
        <v>918</v>
      </c>
      <c r="AF3020" t="s">
        <v>861</v>
      </c>
      <c r="AG3020" t="s">
        <v>3067</v>
      </c>
      <c r="AH3020" t="s">
        <v>3716</v>
      </c>
      <c r="AI3020">
        <v>0.2</v>
      </c>
      <c r="AJ3020">
        <v>4.87</v>
      </c>
      <c r="AK3020">
        <v>9.6999999999999993</v>
      </c>
      <c r="AL3020">
        <v>17.47</v>
      </c>
    </row>
    <row r="3021" spans="1:38" x14ac:dyDescent="0.25">
      <c r="A3021">
        <v>3020</v>
      </c>
      <c r="B3021" t="str">
        <f xml:space="preserve"> "600358"</f>
        <v>600358</v>
      </c>
      <c r="C3021" t="s">
        <v>8689</v>
      </c>
      <c r="D3021" t="s">
        <v>616</v>
      </c>
      <c r="E3021" t="s">
        <v>616</v>
      </c>
      <c r="F3021" t="s">
        <v>616</v>
      </c>
      <c r="G3021" t="s">
        <v>616</v>
      </c>
      <c r="H3021" t="s">
        <v>616</v>
      </c>
      <c r="I3021" t="s">
        <v>616</v>
      </c>
      <c r="J3021" t="s">
        <v>616</v>
      </c>
      <c r="K3021" t="s">
        <v>616</v>
      </c>
      <c r="L3021" t="s">
        <v>616</v>
      </c>
      <c r="M3021" t="s">
        <v>616</v>
      </c>
      <c r="N3021">
        <v>-77.209999999999994</v>
      </c>
      <c r="O3021" t="s">
        <v>951</v>
      </c>
      <c r="P3021" t="s">
        <v>616</v>
      </c>
      <c r="Q3021" t="s">
        <v>616</v>
      </c>
      <c r="R3021" t="s">
        <v>616</v>
      </c>
      <c r="S3021">
        <v>7</v>
      </c>
      <c r="T3021" t="s">
        <v>616</v>
      </c>
      <c r="U3021" t="s">
        <v>616</v>
      </c>
      <c r="V3021" t="s">
        <v>616</v>
      </c>
      <c r="W3021" t="s">
        <v>616</v>
      </c>
      <c r="X3021" t="s">
        <v>616</v>
      </c>
      <c r="Y3021" t="s">
        <v>616</v>
      </c>
      <c r="Z3021" t="s">
        <v>616</v>
      </c>
      <c r="AA3021" t="s">
        <v>616</v>
      </c>
      <c r="AB3021" t="s">
        <v>616</v>
      </c>
      <c r="AC3021" t="s">
        <v>616</v>
      </c>
      <c r="AD3021">
        <v>7.53</v>
      </c>
      <c r="AE3021" t="s">
        <v>2320</v>
      </c>
      <c r="AF3021" t="s">
        <v>2794</v>
      </c>
      <c r="AG3021" t="s">
        <v>5565</v>
      </c>
      <c r="AH3021" t="s">
        <v>1968</v>
      </c>
      <c r="AI3021">
        <v>0</v>
      </c>
      <c r="AJ3021">
        <v>0</v>
      </c>
      <c r="AK3021">
        <v>0</v>
      </c>
      <c r="AL3021">
        <v>0</v>
      </c>
    </row>
    <row r="3022" spans="1:38" x14ac:dyDescent="0.25">
      <c r="A3022">
        <v>3021</v>
      </c>
      <c r="B3022" t="str">
        <f xml:space="preserve"> "603887"</f>
        <v>603887</v>
      </c>
      <c r="C3022" t="s">
        <v>8690</v>
      </c>
      <c r="D3022">
        <v>34.270000000000003</v>
      </c>
      <c r="E3022">
        <v>0.56000000000000005</v>
      </c>
      <c r="F3022">
        <v>0.19</v>
      </c>
      <c r="G3022" t="s">
        <v>3590</v>
      </c>
      <c r="H3022">
        <v>5</v>
      </c>
      <c r="I3022">
        <v>34.25</v>
      </c>
      <c r="J3022">
        <v>34.28</v>
      </c>
      <c r="K3022">
        <v>0.2</v>
      </c>
      <c r="L3022">
        <v>2.96</v>
      </c>
      <c r="M3022" t="s">
        <v>6417</v>
      </c>
      <c r="N3022">
        <v>43.45</v>
      </c>
      <c r="O3022" t="s">
        <v>263</v>
      </c>
      <c r="P3022">
        <v>34.47</v>
      </c>
      <c r="Q3022">
        <v>33.700000000000003</v>
      </c>
      <c r="R3022">
        <v>34.08</v>
      </c>
      <c r="S3022">
        <v>34.08</v>
      </c>
      <c r="T3022">
        <v>2.2599999999999998</v>
      </c>
      <c r="U3022">
        <v>1.65</v>
      </c>
      <c r="V3022">
        <v>-77.430000000000007</v>
      </c>
      <c r="W3022">
        <v>-446</v>
      </c>
      <c r="X3022">
        <v>34.28</v>
      </c>
      <c r="Y3022">
        <v>6655</v>
      </c>
      <c r="Z3022">
        <v>9888</v>
      </c>
      <c r="AA3022">
        <v>0.67</v>
      </c>
      <c r="AB3022">
        <v>38</v>
      </c>
      <c r="AC3022">
        <v>22</v>
      </c>
      <c r="AD3022">
        <v>4.43</v>
      </c>
      <c r="AE3022" t="s">
        <v>2611</v>
      </c>
      <c r="AF3022" t="s">
        <v>2794</v>
      </c>
      <c r="AG3022" t="s">
        <v>8691</v>
      </c>
      <c r="AH3022" t="s">
        <v>784</v>
      </c>
      <c r="AI3022">
        <v>0.23</v>
      </c>
      <c r="AJ3022">
        <v>7.23</v>
      </c>
      <c r="AK3022">
        <v>6.39</v>
      </c>
      <c r="AL3022">
        <v>11.95</v>
      </c>
    </row>
    <row r="3023" spans="1:38" x14ac:dyDescent="0.25">
      <c r="A3023">
        <v>3022</v>
      </c>
      <c r="B3023" t="str">
        <f xml:space="preserve"> "300550"</f>
        <v>300550</v>
      </c>
      <c r="C3023" t="s">
        <v>8692</v>
      </c>
      <c r="D3023">
        <v>44.11</v>
      </c>
      <c r="E3023">
        <v>0.11</v>
      </c>
      <c r="F3023">
        <v>0.05</v>
      </c>
      <c r="G3023" t="s">
        <v>1986</v>
      </c>
      <c r="H3023">
        <v>638</v>
      </c>
      <c r="I3023">
        <v>44.11</v>
      </c>
      <c r="J3023">
        <v>44.18</v>
      </c>
      <c r="K3023">
        <v>-0.41</v>
      </c>
      <c r="L3023">
        <v>10.08</v>
      </c>
      <c r="M3023" t="s">
        <v>8693</v>
      </c>
      <c r="N3023">
        <v>141.07</v>
      </c>
      <c r="O3023" t="s">
        <v>893</v>
      </c>
      <c r="P3023">
        <v>44.97</v>
      </c>
      <c r="Q3023">
        <v>43.57</v>
      </c>
      <c r="R3023">
        <v>44.15</v>
      </c>
      <c r="S3023">
        <v>44.06</v>
      </c>
      <c r="T3023">
        <v>3.18</v>
      </c>
      <c r="U3023">
        <v>0.83</v>
      </c>
      <c r="V3023">
        <v>60.67</v>
      </c>
      <c r="W3023">
        <v>59</v>
      </c>
      <c r="X3023">
        <v>44.39</v>
      </c>
      <c r="Y3023" t="s">
        <v>1411</v>
      </c>
      <c r="Z3023">
        <v>9120</v>
      </c>
      <c r="AA3023">
        <v>1.21</v>
      </c>
      <c r="AB3023">
        <v>53</v>
      </c>
      <c r="AC3023">
        <v>2</v>
      </c>
      <c r="AD3023">
        <v>7.28</v>
      </c>
      <c r="AE3023" t="s">
        <v>5802</v>
      </c>
      <c r="AF3023" t="s">
        <v>2794</v>
      </c>
      <c r="AG3023" t="s">
        <v>5562</v>
      </c>
      <c r="AH3023" t="s">
        <v>1987</v>
      </c>
      <c r="AI3023">
        <v>-2.39</v>
      </c>
      <c r="AJ3023">
        <v>8.35</v>
      </c>
      <c r="AK3023">
        <v>46.29</v>
      </c>
      <c r="AL3023">
        <v>70.77</v>
      </c>
    </row>
    <row r="3024" spans="1:38" x14ac:dyDescent="0.25">
      <c r="A3024">
        <v>3023</v>
      </c>
      <c r="B3024" t="str">
        <f xml:space="preserve"> "000526"</f>
        <v>000526</v>
      </c>
      <c r="C3024" t="s">
        <v>8694</v>
      </c>
      <c r="D3024">
        <v>36.68</v>
      </c>
      <c r="E3024">
        <v>1.89</v>
      </c>
      <c r="F3024">
        <v>0.68</v>
      </c>
      <c r="G3024">
        <v>9042</v>
      </c>
      <c r="H3024">
        <v>187</v>
      </c>
      <c r="I3024">
        <v>36.56</v>
      </c>
      <c r="J3024">
        <v>36.68</v>
      </c>
      <c r="K3024">
        <v>0</v>
      </c>
      <c r="L3024">
        <v>0.94</v>
      </c>
      <c r="M3024" t="s">
        <v>8695</v>
      </c>
      <c r="N3024">
        <v>17.57</v>
      </c>
      <c r="O3024" t="s">
        <v>807</v>
      </c>
      <c r="P3024">
        <v>37.11</v>
      </c>
      <c r="Q3024">
        <v>35.9</v>
      </c>
      <c r="R3024">
        <v>36.299999999999997</v>
      </c>
      <c r="S3024">
        <v>36</v>
      </c>
      <c r="T3024">
        <v>3.36</v>
      </c>
      <c r="U3024">
        <v>1.36</v>
      </c>
      <c r="V3024">
        <v>-9.5500000000000007</v>
      </c>
      <c r="W3024">
        <v>-16</v>
      </c>
      <c r="X3024">
        <v>36.64</v>
      </c>
      <c r="Y3024">
        <v>3497</v>
      </c>
      <c r="Z3024">
        <v>5545</v>
      </c>
      <c r="AA3024">
        <v>0.63</v>
      </c>
      <c r="AB3024">
        <v>2</v>
      </c>
      <c r="AC3024">
        <v>6</v>
      </c>
      <c r="AD3024">
        <v>24.68</v>
      </c>
      <c r="AE3024" t="s">
        <v>8191</v>
      </c>
      <c r="AF3024" t="s">
        <v>2794</v>
      </c>
      <c r="AG3024" t="s">
        <v>8191</v>
      </c>
      <c r="AH3024" t="s">
        <v>2794</v>
      </c>
      <c r="AI3024">
        <v>3.32</v>
      </c>
      <c r="AJ3024">
        <v>5.49</v>
      </c>
      <c r="AK3024">
        <v>2.4700000000000002</v>
      </c>
      <c r="AL3024">
        <v>4.3899999999999997</v>
      </c>
    </row>
    <row r="3025" spans="1:38" x14ac:dyDescent="0.25">
      <c r="A3025">
        <v>3024</v>
      </c>
      <c r="B3025" t="str">
        <f xml:space="preserve"> "600774"</f>
        <v>600774</v>
      </c>
      <c r="C3025" t="s">
        <v>8696</v>
      </c>
      <c r="D3025">
        <v>20.21</v>
      </c>
      <c r="E3025">
        <v>0.6</v>
      </c>
      <c r="F3025">
        <v>0.12</v>
      </c>
      <c r="G3025" t="s">
        <v>316</v>
      </c>
      <c r="H3025">
        <v>13</v>
      </c>
      <c r="I3025">
        <v>20.2</v>
      </c>
      <c r="J3025">
        <v>20.239999999999998</v>
      </c>
      <c r="K3025">
        <v>0.15</v>
      </c>
      <c r="L3025">
        <v>0.67</v>
      </c>
      <c r="M3025" t="s">
        <v>8697</v>
      </c>
      <c r="N3025">
        <v>241.59</v>
      </c>
      <c r="O3025" t="s">
        <v>532</v>
      </c>
      <c r="P3025">
        <v>20.23</v>
      </c>
      <c r="Q3025">
        <v>19.899999999999999</v>
      </c>
      <c r="R3025">
        <v>20.02</v>
      </c>
      <c r="S3025">
        <v>20.09</v>
      </c>
      <c r="T3025">
        <v>1.64</v>
      </c>
      <c r="U3025">
        <v>0.56000000000000005</v>
      </c>
      <c r="V3025">
        <v>32.72</v>
      </c>
      <c r="W3025">
        <v>247</v>
      </c>
      <c r="X3025">
        <v>20.05</v>
      </c>
      <c r="Y3025">
        <v>6334</v>
      </c>
      <c r="Z3025">
        <v>5336</v>
      </c>
      <c r="AA3025">
        <v>1.19</v>
      </c>
      <c r="AB3025">
        <v>68</v>
      </c>
      <c r="AC3025">
        <v>42</v>
      </c>
      <c r="AD3025">
        <v>6.14</v>
      </c>
      <c r="AE3025" t="s">
        <v>3336</v>
      </c>
      <c r="AF3025" t="s">
        <v>2794</v>
      </c>
      <c r="AG3025" t="s">
        <v>1067</v>
      </c>
      <c r="AH3025" t="s">
        <v>2794</v>
      </c>
      <c r="AI3025">
        <v>-2.98</v>
      </c>
      <c r="AJ3025">
        <v>11.72</v>
      </c>
      <c r="AK3025">
        <v>2.92</v>
      </c>
      <c r="AL3025">
        <v>6.18</v>
      </c>
    </row>
    <row r="3026" spans="1:38" x14ac:dyDescent="0.25">
      <c r="A3026">
        <v>3025</v>
      </c>
      <c r="B3026" t="str">
        <f xml:space="preserve"> "002885"</f>
        <v>002885</v>
      </c>
      <c r="C3026" t="s">
        <v>8698</v>
      </c>
      <c r="D3026">
        <v>44.06</v>
      </c>
      <c r="E3026">
        <v>-3.9</v>
      </c>
      <c r="F3026">
        <v>-1.79</v>
      </c>
      <c r="G3026" t="s">
        <v>2870</v>
      </c>
      <c r="H3026">
        <v>642</v>
      </c>
      <c r="I3026">
        <v>44.06</v>
      </c>
      <c r="J3026">
        <v>44.07</v>
      </c>
      <c r="K3026">
        <v>0</v>
      </c>
      <c r="L3026">
        <v>19.309999999999999</v>
      </c>
      <c r="M3026" t="s">
        <v>1067</v>
      </c>
      <c r="N3026">
        <v>50.46</v>
      </c>
      <c r="O3026" t="s">
        <v>380</v>
      </c>
      <c r="P3026">
        <v>46.98</v>
      </c>
      <c r="Q3026">
        <v>43.69</v>
      </c>
      <c r="R3026">
        <v>45.55</v>
      </c>
      <c r="S3026">
        <v>45.85</v>
      </c>
      <c r="T3026">
        <v>7.18</v>
      </c>
      <c r="U3026">
        <v>0.86</v>
      </c>
      <c r="V3026">
        <v>0.64</v>
      </c>
      <c r="W3026">
        <v>5</v>
      </c>
      <c r="X3026">
        <v>44.95</v>
      </c>
      <c r="Y3026" t="s">
        <v>2088</v>
      </c>
      <c r="Z3026" t="s">
        <v>1508</v>
      </c>
      <c r="AA3026">
        <v>1.47</v>
      </c>
      <c r="AB3026">
        <v>70</v>
      </c>
      <c r="AC3026">
        <v>17</v>
      </c>
      <c r="AD3026">
        <v>5.51</v>
      </c>
      <c r="AE3026" t="s">
        <v>5802</v>
      </c>
      <c r="AF3026" t="s">
        <v>8699</v>
      </c>
      <c r="AG3026" t="s">
        <v>5562</v>
      </c>
      <c r="AH3026" t="s">
        <v>5676</v>
      </c>
      <c r="AI3026">
        <v>-7.51</v>
      </c>
      <c r="AJ3026">
        <v>1.17</v>
      </c>
      <c r="AK3026">
        <v>59.33</v>
      </c>
      <c r="AL3026">
        <v>132.22</v>
      </c>
    </row>
    <row r="3027" spans="1:38" x14ac:dyDescent="0.25">
      <c r="A3027">
        <v>3026</v>
      </c>
      <c r="B3027" t="str">
        <f xml:space="preserve"> "600802"</f>
        <v>600802</v>
      </c>
      <c r="C3027" t="s">
        <v>8700</v>
      </c>
      <c r="D3027">
        <v>9.23</v>
      </c>
      <c r="E3027">
        <v>0.33</v>
      </c>
      <c r="F3027">
        <v>0.03</v>
      </c>
      <c r="G3027" t="s">
        <v>272</v>
      </c>
      <c r="H3027">
        <v>10</v>
      </c>
      <c r="I3027">
        <v>9.2200000000000006</v>
      </c>
      <c r="J3027">
        <v>9.23</v>
      </c>
      <c r="K3027">
        <v>0.11</v>
      </c>
      <c r="L3027">
        <v>1.3</v>
      </c>
      <c r="M3027" t="s">
        <v>8701</v>
      </c>
      <c r="N3027">
        <v>-40.93</v>
      </c>
      <c r="O3027" t="s">
        <v>562</v>
      </c>
      <c r="P3027">
        <v>9.2899999999999991</v>
      </c>
      <c r="Q3027">
        <v>9.08</v>
      </c>
      <c r="R3027">
        <v>9.14</v>
      </c>
      <c r="S3027">
        <v>9.1999999999999993</v>
      </c>
      <c r="T3027">
        <v>2.2799999999999998</v>
      </c>
      <c r="U3027">
        <v>0.64</v>
      </c>
      <c r="V3027">
        <v>-32.56</v>
      </c>
      <c r="W3027">
        <v>-887</v>
      </c>
      <c r="X3027">
        <v>9.17</v>
      </c>
      <c r="Y3027" t="s">
        <v>2862</v>
      </c>
      <c r="Z3027" t="s">
        <v>86</v>
      </c>
      <c r="AA3027">
        <v>1.1100000000000001</v>
      </c>
      <c r="AB3027">
        <v>144</v>
      </c>
      <c r="AC3027">
        <v>104</v>
      </c>
      <c r="AD3027">
        <v>4.9800000000000004</v>
      </c>
      <c r="AE3027" t="s">
        <v>6069</v>
      </c>
      <c r="AF3027" t="s">
        <v>8699</v>
      </c>
      <c r="AG3027" t="s">
        <v>6069</v>
      </c>
      <c r="AH3027" t="s">
        <v>8699</v>
      </c>
      <c r="AI3027">
        <v>-1.81</v>
      </c>
      <c r="AJ3027">
        <v>2.21</v>
      </c>
      <c r="AK3027">
        <v>4.5999999999999996</v>
      </c>
      <c r="AL3027">
        <v>11.49</v>
      </c>
    </row>
    <row r="3028" spans="1:38" x14ac:dyDescent="0.25">
      <c r="A3028">
        <v>3027</v>
      </c>
      <c r="B3028" t="str">
        <f xml:space="preserve"> "002634"</f>
        <v>002634</v>
      </c>
      <c r="C3028" t="s">
        <v>8702</v>
      </c>
      <c r="D3028">
        <v>7.64</v>
      </c>
      <c r="E3028">
        <v>-0.39</v>
      </c>
      <c r="F3028">
        <v>-0.03</v>
      </c>
      <c r="G3028" t="s">
        <v>3695</v>
      </c>
      <c r="H3028">
        <v>911</v>
      </c>
      <c r="I3028">
        <v>7.64</v>
      </c>
      <c r="J3028">
        <v>7.66</v>
      </c>
      <c r="K3028">
        <v>-0.13</v>
      </c>
      <c r="L3028">
        <v>0.91</v>
      </c>
      <c r="M3028" t="s">
        <v>7337</v>
      </c>
      <c r="N3028">
        <v>77.760000000000005</v>
      </c>
      <c r="O3028" t="s">
        <v>1443</v>
      </c>
      <c r="P3028">
        <v>7.7</v>
      </c>
      <c r="Q3028">
        <v>7.61</v>
      </c>
      <c r="R3028">
        <v>7.68</v>
      </c>
      <c r="S3028">
        <v>7.67</v>
      </c>
      <c r="T3028">
        <v>1.17</v>
      </c>
      <c r="U3028">
        <v>0.4</v>
      </c>
      <c r="V3028">
        <v>53.21</v>
      </c>
      <c r="W3028">
        <v>3148</v>
      </c>
      <c r="X3028">
        <v>7.65</v>
      </c>
      <c r="Y3028" t="s">
        <v>1683</v>
      </c>
      <c r="Z3028">
        <v>8485</v>
      </c>
      <c r="AA3028">
        <v>1.89</v>
      </c>
      <c r="AB3028">
        <v>402</v>
      </c>
      <c r="AC3028">
        <v>185</v>
      </c>
      <c r="AD3028">
        <v>5.29</v>
      </c>
      <c r="AE3028" t="s">
        <v>4190</v>
      </c>
      <c r="AF3028" t="s">
        <v>8699</v>
      </c>
      <c r="AG3028" t="s">
        <v>4296</v>
      </c>
      <c r="AH3028" t="s">
        <v>2797</v>
      </c>
      <c r="AI3028">
        <v>-0.39</v>
      </c>
      <c r="AJ3028">
        <v>3.95</v>
      </c>
      <c r="AK3028">
        <v>7.15</v>
      </c>
      <c r="AL3028">
        <v>12.13</v>
      </c>
    </row>
    <row r="3029" spans="1:38" x14ac:dyDescent="0.25">
      <c r="A3029">
        <v>3028</v>
      </c>
      <c r="B3029" t="str">
        <f xml:space="preserve"> "600725"</f>
        <v>600725</v>
      </c>
      <c r="C3029" t="s">
        <v>8703</v>
      </c>
      <c r="D3029" t="s">
        <v>616</v>
      </c>
      <c r="E3029" t="s">
        <v>616</v>
      </c>
      <c r="F3029" t="s">
        <v>616</v>
      </c>
      <c r="G3029" t="s">
        <v>616</v>
      </c>
      <c r="H3029" t="s">
        <v>616</v>
      </c>
      <c r="I3029" t="s">
        <v>616</v>
      </c>
      <c r="J3029" t="s">
        <v>616</v>
      </c>
      <c r="K3029" t="s">
        <v>616</v>
      </c>
      <c r="L3029" t="s">
        <v>616</v>
      </c>
      <c r="M3029" t="s">
        <v>616</v>
      </c>
      <c r="N3029">
        <v>831.78</v>
      </c>
      <c r="O3029" t="s">
        <v>667</v>
      </c>
      <c r="P3029" t="s">
        <v>616</v>
      </c>
      <c r="Q3029" t="s">
        <v>616</v>
      </c>
      <c r="R3029" t="s">
        <v>616</v>
      </c>
      <c r="S3029">
        <v>2.85</v>
      </c>
      <c r="T3029" t="s">
        <v>616</v>
      </c>
      <c r="U3029" t="s">
        <v>616</v>
      </c>
      <c r="V3029" t="s">
        <v>616</v>
      </c>
      <c r="W3029" t="s">
        <v>616</v>
      </c>
      <c r="X3029" t="s">
        <v>616</v>
      </c>
      <c r="Y3029" t="s">
        <v>616</v>
      </c>
      <c r="Z3029" t="s">
        <v>616</v>
      </c>
      <c r="AA3029" t="s">
        <v>616</v>
      </c>
      <c r="AB3029" t="s">
        <v>616</v>
      </c>
      <c r="AC3029" t="s">
        <v>616</v>
      </c>
      <c r="AD3029">
        <v>13.04</v>
      </c>
      <c r="AE3029" t="s">
        <v>2659</v>
      </c>
      <c r="AF3029" t="s">
        <v>7340</v>
      </c>
      <c r="AG3029" t="s">
        <v>2659</v>
      </c>
      <c r="AH3029" t="s">
        <v>7340</v>
      </c>
      <c r="AI3029">
        <v>0</v>
      </c>
      <c r="AJ3029">
        <v>0</v>
      </c>
      <c r="AK3029">
        <v>0</v>
      </c>
      <c r="AL3029">
        <v>0</v>
      </c>
    </row>
    <row r="3030" spans="1:38" x14ac:dyDescent="0.25">
      <c r="A3030">
        <v>3029</v>
      </c>
      <c r="B3030" t="str">
        <f xml:space="preserve"> "002860"</f>
        <v>002860</v>
      </c>
      <c r="C3030" t="s">
        <v>8704</v>
      </c>
      <c r="D3030">
        <v>46.23</v>
      </c>
      <c r="E3030">
        <v>2.69</v>
      </c>
      <c r="F3030">
        <v>1.21</v>
      </c>
      <c r="G3030" t="s">
        <v>2968</v>
      </c>
      <c r="H3030">
        <v>258</v>
      </c>
      <c r="I3030">
        <v>46.23</v>
      </c>
      <c r="J3030">
        <v>46.25</v>
      </c>
      <c r="K3030">
        <v>-0.22</v>
      </c>
      <c r="L3030">
        <v>10.76</v>
      </c>
      <c r="M3030" t="s">
        <v>6053</v>
      </c>
      <c r="N3030">
        <v>40.4</v>
      </c>
      <c r="O3030" t="s">
        <v>215</v>
      </c>
      <c r="P3030">
        <v>46.6</v>
      </c>
      <c r="Q3030">
        <v>44.76</v>
      </c>
      <c r="R3030">
        <v>44.88</v>
      </c>
      <c r="S3030">
        <v>45.02</v>
      </c>
      <c r="T3030">
        <v>4.09</v>
      </c>
      <c r="U3030">
        <v>2.98</v>
      </c>
      <c r="V3030">
        <v>7.14</v>
      </c>
      <c r="W3030">
        <v>20</v>
      </c>
      <c r="X3030">
        <v>46</v>
      </c>
      <c r="Y3030">
        <v>6971</v>
      </c>
      <c r="Z3030">
        <v>9385</v>
      </c>
      <c r="AA3030">
        <v>0.74</v>
      </c>
      <c r="AB3030">
        <v>112</v>
      </c>
      <c r="AC3030">
        <v>29</v>
      </c>
      <c r="AD3030">
        <v>5.96</v>
      </c>
      <c r="AE3030" t="s">
        <v>8705</v>
      </c>
      <c r="AF3030" t="s">
        <v>7340</v>
      </c>
      <c r="AG3030" t="s">
        <v>2410</v>
      </c>
      <c r="AH3030" t="s">
        <v>448</v>
      </c>
      <c r="AI3030">
        <v>1.23</v>
      </c>
      <c r="AJ3030">
        <v>6.55</v>
      </c>
      <c r="AK3030">
        <v>18.48</v>
      </c>
      <c r="AL3030">
        <v>28.79</v>
      </c>
    </row>
    <row r="3031" spans="1:38" x14ac:dyDescent="0.25">
      <c r="A3031">
        <v>3030</v>
      </c>
      <c r="B3031" t="str">
        <f xml:space="preserve"> "603232"</f>
        <v>603232</v>
      </c>
      <c r="C3031" t="s">
        <v>8706</v>
      </c>
      <c r="D3031">
        <v>57.57</v>
      </c>
      <c r="E3031">
        <v>0.93</v>
      </c>
      <c r="F3031">
        <v>0.53</v>
      </c>
      <c r="G3031">
        <v>6195</v>
      </c>
      <c r="H3031">
        <v>12</v>
      </c>
      <c r="I3031">
        <v>57.57</v>
      </c>
      <c r="J3031">
        <v>57.58</v>
      </c>
      <c r="K3031">
        <v>0.12</v>
      </c>
      <c r="L3031">
        <v>4.0599999999999996</v>
      </c>
      <c r="M3031" t="s">
        <v>8707</v>
      </c>
      <c r="N3031">
        <v>195.52</v>
      </c>
      <c r="O3031" t="s">
        <v>893</v>
      </c>
      <c r="P3031">
        <v>57.74</v>
      </c>
      <c r="Q3031">
        <v>56.37</v>
      </c>
      <c r="R3031">
        <v>56.9</v>
      </c>
      <c r="S3031">
        <v>57.04</v>
      </c>
      <c r="T3031">
        <v>2.4</v>
      </c>
      <c r="U3031">
        <v>0.62</v>
      </c>
      <c r="V3031">
        <v>4.92</v>
      </c>
      <c r="W3031">
        <v>6</v>
      </c>
      <c r="X3031">
        <v>57.23</v>
      </c>
      <c r="Y3031">
        <v>3403</v>
      </c>
      <c r="Z3031">
        <v>2793</v>
      </c>
      <c r="AA3031">
        <v>1.22</v>
      </c>
      <c r="AB3031">
        <v>2</v>
      </c>
      <c r="AC3031">
        <v>3</v>
      </c>
      <c r="AD3031">
        <v>6.84</v>
      </c>
      <c r="AE3031" t="s">
        <v>8708</v>
      </c>
      <c r="AF3031" t="s">
        <v>7340</v>
      </c>
      <c r="AG3031" t="s">
        <v>8709</v>
      </c>
      <c r="AH3031" t="s">
        <v>2399</v>
      </c>
      <c r="AI3031">
        <v>-2.42</v>
      </c>
      <c r="AJ3031">
        <v>3.15</v>
      </c>
      <c r="AK3031">
        <v>17.14</v>
      </c>
      <c r="AL3031">
        <v>36.909999999999997</v>
      </c>
    </row>
    <row r="3032" spans="1:38" x14ac:dyDescent="0.25">
      <c r="A3032">
        <v>3031</v>
      </c>
      <c r="B3032" t="str">
        <f xml:space="preserve"> "300658"</f>
        <v>300658</v>
      </c>
      <c r="C3032" t="s">
        <v>8710</v>
      </c>
      <c r="D3032">
        <v>35.11</v>
      </c>
      <c r="E3032">
        <v>0.92</v>
      </c>
      <c r="F3032">
        <v>0.32</v>
      </c>
      <c r="G3032" t="s">
        <v>5621</v>
      </c>
      <c r="H3032">
        <v>144</v>
      </c>
      <c r="I3032">
        <v>35.1</v>
      </c>
      <c r="J3032">
        <v>35.11</v>
      </c>
      <c r="K3032">
        <v>0.03</v>
      </c>
      <c r="L3032">
        <v>5.43</v>
      </c>
      <c r="M3032" t="s">
        <v>8711</v>
      </c>
      <c r="N3032">
        <v>40.29</v>
      </c>
      <c r="O3032" t="s">
        <v>1443</v>
      </c>
      <c r="P3032">
        <v>35.56</v>
      </c>
      <c r="Q3032">
        <v>34.909999999999997</v>
      </c>
      <c r="R3032">
        <v>34.97</v>
      </c>
      <c r="S3032">
        <v>34.79</v>
      </c>
      <c r="T3032">
        <v>1.87</v>
      </c>
      <c r="U3032">
        <v>1.79</v>
      </c>
      <c r="V3032">
        <v>-53.21</v>
      </c>
      <c r="W3032">
        <v>-145</v>
      </c>
      <c r="X3032">
        <v>35.28</v>
      </c>
      <c r="Y3032">
        <v>6535</v>
      </c>
      <c r="Z3032">
        <v>7038</v>
      </c>
      <c r="AA3032">
        <v>0.93</v>
      </c>
      <c r="AB3032">
        <v>20</v>
      </c>
      <c r="AC3032">
        <v>50</v>
      </c>
      <c r="AD3032">
        <v>5</v>
      </c>
      <c r="AE3032" t="s">
        <v>4464</v>
      </c>
      <c r="AF3032" t="s">
        <v>7340</v>
      </c>
      <c r="AG3032" t="s">
        <v>5931</v>
      </c>
      <c r="AH3032" t="s">
        <v>2399</v>
      </c>
      <c r="AI3032">
        <v>0.92</v>
      </c>
      <c r="AJ3032">
        <v>5.44</v>
      </c>
      <c r="AK3032">
        <v>11.89</v>
      </c>
      <c r="AL3032">
        <v>20.56</v>
      </c>
    </row>
    <row r="3033" spans="1:38" x14ac:dyDescent="0.25">
      <c r="A3033">
        <v>3032</v>
      </c>
      <c r="B3033" t="str">
        <f xml:space="preserve"> "603178"</f>
        <v>603178</v>
      </c>
      <c r="C3033" t="s">
        <v>8712</v>
      </c>
      <c r="D3033">
        <v>17.54</v>
      </c>
      <c r="E3033">
        <v>-0.23</v>
      </c>
      <c r="F3033">
        <v>-0.04</v>
      </c>
      <c r="G3033" t="s">
        <v>1525</v>
      </c>
      <c r="H3033">
        <v>2</v>
      </c>
      <c r="I3033">
        <v>17.54</v>
      </c>
      <c r="J3033">
        <v>17.55</v>
      </c>
      <c r="K3033">
        <v>-0.17</v>
      </c>
      <c r="L3033">
        <v>6.33</v>
      </c>
      <c r="M3033" t="s">
        <v>8713</v>
      </c>
      <c r="N3033">
        <v>49.97</v>
      </c>
      <c r="O3033" t="s">
        <v>169</v>
      </c>
      <c r="P3033">
        <v>17.75</v>
      </c>
      <c r="Q3033">
        <v>17.39</v>
      </c>
      <c r="R3033">
        <v>17.53</v>
      </c>
      <c r="S3033">
        <v>17.579999999999998</v>
      </c>
      <c r="T3033">
        <v>2.0499999999999998</v>
      </c>
      <c r="U3033">
        <v>0.56999999999999995</v>
      </c>
      <c r="V3033">
        <v>11.07</v>
      </c>
      <c r="W3033">
        <v>86</v>
      </c>
      <c r="X3033">
        <v>17.579999999999998</v>
      </c>
      <c r="Y3033" t="s">
        <v>1683</v>
      </c>
      <c r="Z3033" t="s">
        <v>1508</v>
      </c>
      <c r="AA3033">
        <v>1.03</v>
      </c>
      <c r="AB3033">
        <v>1</v>
      </c>
      <c r="AC3033">
        <v>209</v>
      </c>
      <c r="AD3033">
        <v>4.6100000000000003</v>
      </c>
      <c r="AE3033" t="s">
        <v>1485</v>
      </c>
      <c r="AF3033" t="s">
        <v>7340</v>
      </c>
      <c r="AG3033" t="s">
        <v>3869</v>
      </c>
      <c r="AH3033" t="s">
        <v>4037</v>
      </c>
      <c r="AI3033">
        <v>-1.52</v>
      </c>
      <c r="AJ3033">
        <v>8.81</v>
      </c>
      <c r="AK3033">
        <v>22.39</v>
      </c>
      <c r="AL3033">
        <v>62.2</v>
      </c>
    </row>
    <row r="3034" spans="1:38" x14ac:dyDescent="0.25">
      <c r="A3034">
        <v>3033</v>
      </c>
      <c r="B3034" t="str">
        <f xml:space="preserve"> "002731"</f>
        <v>002731</v>
      </c>
      <c r="C3034" t="s">
        <v>8714</v>
      </c>
      <c r="D3034">
        <v>23.23</v>
      </c>
      <c r="E3034">
        <v>0.65</v>
      </c>
      <c r="F3034">
        <v>0.15</v>
      </c>
      <c r="G3034">
        <v>4813</v>
      </c>
      <c r="H3034">
        <v>163</v>
      </c>
      <c r="I3034">
        <v>23.2</v>
      </c>
      <c r="J3034">
        <v>23.23</v>
      </c>
      <c r="K3034">
        <v>0.04</v>
      </c>
      <c r="L3034">
        <v>0.9</v>
      </c>
      <c r="M3034" t="s">
        <v>8715</v>
      </c>
      <c r="N3034">
        <v>40.28</v>
      </c>
      <c r="O3034" t="s">
        <v>2984</v>
      </c>
      <c r="P3034">
        <v>23.27</v>
      </c>
      <c r="Q3034">
        <v>23.01</v>
      </c>
      <c r="R3034">
        <v>23.12</v>
      </c>
      <c r="S3034">
        <v>23.08</v>
      </c>
      <c r="T3034">
        <v>1.1299999999999999</v>
      </c>
      <c r="U3034">
        <v>0.75</v>
      </c>
      <c r="V3034">
        <v>-78.040000000000006</v>
      </c>
      <c r="W3034">
        <v>-277</v>
      </c>
      <c r="X3034">
        <v>23.17</v>
      </c>
      <c r="Y3034">
        <v>2096</v>
      </c>
      <c r="Z3034">
        <v>2717</v>
      </c>
      <c r="AA3034">
        <v>0.77</v>
      </c>
      <c r="AB3034">
        <v>2</v>
      </c>
      <c r="AC3034">
        <v>184</v>
      </c>
      <c r="AD3034">
        <v>3.02</v>
      </c>
      <c r="AE3034" t="s">
        <v>2878</v>
      </c>
      <c r="AF3034" t="s">
        <v>1239</v>
      </c>
      <c r="AG3034" t="s">
        <v>7767</v>
      </c>
      <c r="AH3034" t="s">
        <v>361</v>
      </c>
      <c r="AI3034">
        <v>0.87</v>
      </c>
      <c r="AJ3034">
        <v>4.22</v>
      </c>
      <c r="AK3034">
        <v>4.17</v>
      </c>
      <c r="AL3034">
        <v>6.89</v>
      </c>
    </row>
    <row r="3035" spans="1:38" x14ac:dyDescent="0.25">
      <c r="A3035">
        <v>3034</v>
      </c>
      <c r="B3035" t="str">
        <f xml:space="preserve"> "603315"</f>
        <v>603315</v>
      </c>
      <c r="C3035" t="s">
        <v>8716</v>
      </c>
      <c r="D3035">
        <v>17.489999999999998</v>
      </c>
      <c r="E3035">
        <v>-0.96</v>
      </c>
      <c r="F3035">
        <v>-0.17</v>
      </c>
      <c r="G3035" t="s">
        <v>2284</v>
      </c>
      <c r="H3035">
        <v>18</v>
      </c>
      <c r="I3035">
        <v>17.47</v>
      </c>
      <c r="J3035">
        <v>17.510000000000002</v>
      </c>
      <c r="K3035">
        <v>0.06</v>
      </c>
      <c r="L3035">
        <v>1.33</v>
      </c>
      <c r="M3035" t="s">
        <v>8717</v>
      </c>
      <c r="N3035">
        <v>174.22</v>
      </c>
      <c r="O3035" t="s">
        <v>648</v>
      </c>
      <c r="P3035">
        <v>17.7</v>
      </c>
      <c r="Q3035">
        <v>17.45</v>
      </c>
      <c r="R3035">
        <v>17.7</v>
      </c>
      <c r="S3035">
        <v>17.66</v>
      </c>
      <c r="T3035">
        <v>1.42</v>
      </c>
      <c r="U3035">
        <v>0.75</v>
      </c>
      <c r="V3035">
        <v>9.23</v>
      </c>
      <c r="W3035">
        <v>50</v>
      </c>
      <c r="X3035">
        <v>17.53</v>
      </c>
      <c r="Y3035">
        <v>7026</v>
      </c>
      <c r="Z3035">
        <v>3353</v>
      </c>
      <c r="AA3035">
        <v>2.1</v>
      </c>
      <c r="AB3035">
        <v>7</v>
      </c>
      <c r="AC3035">
        <v>27</v>
      </c>
      <c r="AD3035">
        <v>5.37</v>
      </c>
      <c r="AE3035" t="s">
        <v>1485</v>
      </c>
      <c r="AF3035" t="s">
        <v>1239</v>
      </c>
      <c r="AG3035" t="s">
        <v>8718</v>
      </c>
      <c r="AH3035" t="s">
        <v>1434</v>
      </c>
      <c r="AI3035">
        <v>-2.73</v>
      </c>
      <c r="AJ3035">
        <v>0.75</v>
      </c>
      <c r="AK3035">
        <v>4.37</v>
      </c>
      <c r="AL3035">
        <v>10.220000000000001</v>
      </c>
    </row>
    <row r="3036" spans="1:38" x14ac:dyDescent="0.25">
      <c r="A3036">
        <v>3035</v>
      </c>
      <c r="B3036" t="str">
        <f xml:space="preserve"> "002806"</f>
        <v>002806</v>
      </c>
      <c r="C3036" t="s">
        <v>8719</v>
      </c>
      <c r="D3036" t="s">
        <v>616</v>
      </c>
      <c r="E3036" t="s">
        <v>616</v>
      </c>
      <c r="F3036" t="s">
        <v>616</v>
      </c>
      <c r="G3036" t="s">
        <v>616</v>
      </c>
      <c r="H3036" t="s">
        <v>616</v>
      </c>
      <c r="I3036" t="s">
        <v>616</v>
      </c>
      <c r="J3036" t="s">
        <v>616</v>
      </c>
      <c r="K3036" t="s">
        <v>616</v>
      </c>
      <c r="L3036" t="s">
        <v>616</v>
      </c>
      <c r="M3036" t="s">
        <v>616</v>
      </c>
      <c r="N3036">
        <v>160.29</v>
      </c>
      <c r="O3036" t="s">
        <v>380</v>
      </c>
      <c r="P3036" t="s">
        <v>616</v>
      </c>
      <c r="Q3036" t="s">
        <v>616</v>
      </c>
      <c r="R3036" t="s">
        <v>616</v>
      </c>
      <c r="S3036">
        <v>25.71</v>
      </c>
      <c r="T3036" t="s">
        <v>616</v>
      </c>
      <c r="U3036" t="s">
        <v>616</v>
      </c>
      <c r="V3036" t="s">
        <v>616</v>
      </c>
      <c r="W3036" t="s">
        <v>616</v>
      </c>
      <c r="X3036" t="s">
        <v>616</v>
      </c>
      <c r="Y3036" t="s">
        <v>616</v>
      </c>
      <c r="Z3036" t="s">
        <v>616</v>
      </c>
      <c r="AA3036" t="s">
        <v>616</v>
      </c>
      <c r="AB3036" t="s">
        <v>616</v>
      </c>
      <c r="AC3036" t="s">
        <v>616</v>
      </c>
      <c r="AD3036">
        <v>9.85</v>
      </c>
      <c r="AE3036" t="s">
        <v>1757</v>
      </c>
      <c r="AF3036" t="s">
        <v>1239</v>
      </c>
      <c r="AG3036" t="s">
        <v>7899</v>
      </c>
      <c r="AH3036" t="s">
        <v>2100</v>
      </c>
      <c r="AI3036">
        <v>0</v>
      </c>
      <c r="AJ3036">
        <v>0</v>
      </c>
      <c r="AK3036">
        <v>0</v>
      </c>
      <c r="AL3036">
        <v>0</v>
      </c>
    </row>
    <row r="3037" spans="1:38" x14ac:dyDescent="0.25">
      <c r="A3037">
        <v>3036</v>
      </c>
      <c r="B3037" t="str">
        <f xml:space="preserve"> "600753"</f>
        <v>600753</v>
      </c>
      <c r="C3037" t="s">
        <v>8720</v>
      </c>
      <c r="D3037">
        <v>27.28</v>
      </c>
      <c r="E3037">
        <v>-7.0000000000000007E-2</v>
      </c>
      <c r="F3037">
        <v>-0.02</v>
      </c>
      <c r="G3037">
        <v>1609</v>
      </c>
      <c r="H3037">
        <v>6</v>
      </c>
      <c r="I3037">
        <v>27.2</v>
      </c>
      <c r="J3037">
        <v>27.28</v>
      </c>
      <c r="K3037">
        <v>-0.04</v>
      </c>
      <c r="L3037">
        <v>0.13</v>
      </c>
      <c r="M3037" t="s">
        <v>8721</v>
      </c>
      <c r="N3037">
        <v>854.6</v>
      </c>
      <c r="O3037" t="s">
        <v>244</v>
      </c>
      <c r="P3037">
        <v>27.37</v>
      </c>
      <c r="Q3037">
        <v>27.12</v>
      </c>
      <c r="R3037">
        <v>27.35</v>
      </c>
      <c r="S3037">
        <v>27.3</v>
      </c>
      <c r="T3037">
        <v>0.92</v>
      </c>
      <c r="U3037">
        <v>0.28000000000000003</v>
      </c>
      <c r="V3037">
        <v>-45.66</v>
      </c>
      <c r="W3037">
        <v>-242</v>
      </c>
      <c r="X3037">
        <v>27.21</v>
      </c>
      <c r="Y3037">
        <v>925</v>
      </c>
      <c r="Z3037">
        <v>684</v>
      </c>
      <c r="AA3037">
        <v>1.35</v>
      </c>
      <c r="AB3037">
        <v>8</v>
      </c>
      <c r="AC3037">
        <v>10</v>
      </c>
      <c r="AD3037">
        <v>24.14</v>
      </c>
      <c r="AE3037" t="s">
        <v>2239</v>
      </c>
      <c r="AF3037" t="s">
        <v>4682</v>
      </c>
      <c r="AG3037" t="s">
        <v>2239</v>
      </c>
      <c r="AH3037" t="s">
        <v>4682</v>
      </c>
      <c r="AI3037">
        <v>-0.55000000000000004</v>
      </c>
      <c r="AJ3037">
        <v>0.04</v>
      </c>
      <c r="AK3037">
        <v>1.1100000000000001</v>
      </c>
      <c r="AL3037">
        <v>2.39</v>
      </c>
    </row>
    <row r="3038" spans="1:38" x14ac:dyDescent="0.25">
      <c r="A3038">
        <v>3037</v>
      </c>
      <c r="B3038" t="str">
        <f xml:space="preserve"> "601313"</f>
        <v>601313</v>
      </c>
      <c r="C3038" t="s">
        <v>8722</v>
      </c>
      <c r="D3038" t="s">
        <v>616</v>
      </c>
      <c r="E3038" t="s">
        <v>616</v>
      </c>
      <c r="F3038" t="s">
        <v>616</v>
      </c>
      <c r="G3038" t="s">
        <v>616</v>
      </c>
      <c r="H3038" t="s">
        <v>616</v>
      </c>
      <c r="I3038" t="s">
        <v>616</v>
      </c>
      <c r="J3038" t="s">
        <v>616</v>
      </c>
      <c r="K3038" t="s">
        <v>616</v>
      </c>
      <c r="L3038" t="s">
        <v>616</v>
      </c>
      <c r="M3038" t="s">
        <v>616</v>
      </c>
      <c r="N3038">
        <v>66.8</v>
      </c>
      <c r="O3038" t="s">
        <v>648</v>
      </c>
      <c r="P3038" t="s">
        <v>616</v>
      </c>
      <c r="Q3038" t="s">
        <v>616</v>
      </c>
      <c r="R3038" t="s">
        <v>616</v>
      </c>
      <c r="S3038">
        <v>8.7899999999999991</v>
      </c>
      <c r="T3038" t="s">
        <v>616</v>
      </c>
      <c r="U3038" t="s">
        <v>616</v>
      </c>
      <c r="V3038" t="s">
        <v>616</v>
      </c>
      <c r="W3038" t="s">
        <v>616</v>
      </c>
      <c r="X3038" t="s">
        <v>616</v>
      </c>
      <c r="Y3038" t="s">
        <v>616</v>
      </c>
      <c r="Z3038" t="s">
        <v>616</v>
      </c>
      <c r="AA3038" t="s">
        <v>616</v>
      </c>
      <c r="AB3038" t="s">
        <v>616</v>
      </c>
      <c r="AC3038" t="s">
        <v>616</v>
      </c>
      <c r="AD3038">
        <v>2.12</v>
      </c>
      <c r="AE3038" t="s">
        <v>3245</v>
      </c>
      <c r="AF3038" t="s">
        <v>4682</v>
      </c>
      <c r="AG3038" t="s">
        <v>3245</v>
      </c>
      <c r="AH3038" t="s">
        <v>4682</v>
      </c>
      <c r="AI3038">
        <v>0</v>
      </c>
      <c r="AJ3038">
        <v>0</v>
      </c>
      <c r="AK3038">
        <v>0</v>
      </c>
      <c r="AL3038">
        <v>0</v>
      </c>
    </row>
    <row r="3039" spans="1:38" x14ac:dyDescent="0.25">
      <c r="A3039">
        <v>3038</v>
      </c>
      <c r="B3039" t="str">
        <f xml:space="preserve"> "002524"</f>
        <v>002524</v>
      </c>
      <c r="C3039" t="s">
        <v>8723</v>
      </c>
      <c r="D3039">
        <v>6.92</v>
      </c>
      <c r="E3039">
        <v>0.28999999999999998</v>
      </c>
      <c r="F3039">
        <v>0.02</v>
      </c>
      <c r="G3039" t="s">
        <v>3077</v>
      </c>
      <c r="H3039">
        <v>937</v>
      </c>
      <c r="I3039">
        <v>6.91</v>
      </c>
      <c r="J3039">
        <v>6.92</v>
      </c>
      <c r="K3039">
        <v>0</v>
      </c>
      <c r="L3039">
        <v>0.71</v>
      </c>
      <c r="M3039" t="s">
        <v>3511</v>
      </c>
      <c r="N3039">
        <v>-50.46</v>
      </c>
      <c r="O3039" t="s">
        <v>61</v>
      </c>
      <c r="P3039">
        <v>6.93</v>
      </c>
      <c r="Q3039">
        <v>6.86</v>
      </c>
      <c r="R3039">
        <v>6.91</v>
      </c>
      <c r="S3039">
        <v>6.9</v>
      </c>
      <c r="T3039">
        <v>1.01</v>
      </c>
      <c r="U3039">
        <v>0.73</v>
      </c>
      <c r="V3039">
        <v>9.74</v>
      </c>
      <c r="W3039">
        <v>338</v>
      </c>
      <c r="X3039">
        <v>6.89</v>
      </c>
      <c r="Y3039" t="s">
        <v>4118</v>
      </c>
      <c r="Z3039" t="s">
        <v>2365</v>
      </c>
      <c r="AA3039">
        <v>1.37</v>
      </c>
      <c r="AB3039">
        <v>263</v>
      </c>
      <c r="AC3039">
        <v>20</v>
      </c>
      <c r="AD3039">
        <v>4.8499999999999996</v>
      </c>
      <c r="AE3039" t="s">
        <v>1613</v>
      </c>
      <c r="AF3039" t="s">
        <v>3829</v>
      </c>
      <c r="AG3039" t="s">
        <v>2700</v>
      </c>
      <c r="AH3039" t="s">
        <v>6486</v>
      </c>
      <c r="AI3039">
        <v>-0.14000000000000001</v>
      </c>
      <c r="AJ3039">
        <v>1.32</v>
      </c>
      <c r="AK3039">
        <v>3.1</v>
      </c>
      <c r="AL3039">
        <v>5.53</v>
      </c>
    </row>
    <row r="3040" spans="1:38" x14ac:dyDescent="0.25">
      <c r="A3040">
        <v>3039</v>
      </c>
      <c r="B3040" t="str">
        <f xml:space="preserve"> "603787"</f>
        <v>603787</v>
      </c>
      <c r="C3040" t="s">
        <v>8724</v>
      </c>
      <c r="D3040">
        <v>17.07</v>
      </c>
      <c r="E3040">
        <v>2.77</v>
      </c>
      <c r="F3040">
        <v>0.46</v>
      </c>
      <c r="G3040" t="s">
        <v>3481</v>
      </c>
      <c r="H3040">
        <v>43</v>
      </c>
      <c r="I3040">
        <v>17.05</v>
      </c>
      <c r="J3040">
        <v>17.059999999999999</v>
      </c>
      <c r="K3040">
        <v>0.41</v>
      </c>
      <c r="L3040">
        <v>10.31</v>
      </c>
      <c r="M3040" t="s">
        <v>8725</v>
      </c>
      <c r="N3040">
        <v>47.39</v>
      </c>
      <c r="O3040" t="s">
        <v>253</v>
      </c>
      <c r="P3040">
        <v>17.079999999999998</v>
      </c>
      <c r="Q3040">
        <v>16.54</v>
      </c>
      <c r="R3040">
        <v>16.54</v>
      </c>
      <c r="S3040">
        <v>16.61</v>
      </c>
      <c r="T3040">
        <v>3.25</v>
      </c>
      <c r="U3040">
        <v>1.66</v>
      </c>
      <c r="V3040">
        <v>-66.25</v>
      </c>
      <c r="W3040">
        <v>-1118</v>
      </c>
      <c r="X3040">
        <v>16.850000000000001</v>
      </c>
      <c r="Y3040" t="s">
        <v>2731</v>
      </c>
      <c r="Z3040" t="s">
        <v>2950</v>
      </c>
      <c r="AA3040">
        <v>0.82</v>
      </c>
      <c r="AB3040">
        <v>84</v>
      </c>
      <c r="AC3040">
        <v>301</v>
      </c>
      <c r="AD3040">
        <v>4.13</v>
      </c>
      <c r="AE3040" t="s">
        <v>7023</v>
      </c>
      <c r="AF3040" t="s">
        <v>3829</v>
      </c>
      <c r="AG3040" t="s">
        <v>4059</v>
      </c>
      <c r="AH3040" t="s">
        <v>5761</v>
      </c>
      <c r="AI3040">
        <v>2.52</v>
      </c>
      <c r="AJ3040">
        <v>9.92</v>
      </c>
      <c r="AK3040">
        <v>23.49</v>
      </c>
      <c r="AL3040">
        <v>41.32</v>
      </c>
    </row>
    <row r="3041" spans="1:38" x14ac:dyDescent="0.25">
      <c r="A3041">
        <v>3040</v>
      </c>
      <c r="B3041" t="str">
        <f xml:space="preserve"> "603200"</f>
        <v>603200</v>
      </c>
      <c r="C3041" t="s">
        <v>8726</v>
      </c>
      <c r="D3041">
        <v>47.18</v>
      </c>
      <c r="E3041">
        <v>10</v>
      </c>
      <c r="F3041">
        <v>4.29</v>
      </c>
      <c r="G3041" t="s">
        <v>659</v>
      </c>
      <c r="H3041">
        <v>2</v>
      </c>
      <c r="I3041">
        <v>47.18</v>
      </c>
      <c r="J3041" t="s">
        <v>616</v>
      </c>
      <c r="K3041">
        <v>0</v>
      </c>
      <c r="L3041">
        <v>16.32</v>
      </c>
      <c r="M3041" t="s">
        <v>3058</v>
      </c>
      <c r="N3041">
        <v>60.95</v>
      </c>
      <c r="O3041" t="s">
        <v>1155</v>
      </c>
      <c r="P3041">
        <v>47.18</v>
      </c>
      <c r="Q3041">
        <v>42.5</v>
      </c>
      <c r="R3041">
        <v>42.52</v>
      </c>
      <c r="S3041">
        <v>42.89</v>
      </c>
      <c r="T3041">
        <v>10.91</v>
      </c>
      <c r="U3041">
        <v>2.4300000000000002</v>
      </c>
      <c r="V3041">
        <v>100</v>
      </c>
      <c r="W3041" t="s">
        <v>2284</v>
      </c>
      <c r="X3041">
        <v>45.53</v>
      </c>
      <c r="Y3041" t="s">
        <v>1508</v>
      </c>
      <c r="Z3041" t="s">
        <v>999</v>
      </c>
      <c r="AA3041">
        <v>1.08</v>
      </c>
      <c r="AB3041" t="s">
        <v>2284</v>
      </c>
      <c r="AC3041">
        <v>0</v>
      </c>
      <c r="AD3041">
        <v>5.0999999999999996</v>
      </c>
      <c r="AE3041" t="s">
        <v>8727</v>
      </c>
      <c r="AF3041" t="s">
        <v>3829</v>
      </c>
      <c r="AG3041" t="s">
        <v>8728</v>
      </c>
      <c r="AH3041" t="s">
        <v>305</v>
      </c>
      <c r="AI3041">
        <v>4.7300000000000004</v>
      </c>
      <c r="AJ3041">
        <v>6.89</v>
      </c>
      <c r="AK3041">
        <v>31.49</v>
      </c>
      <c r="AL3041">
        <v>49.94</v>
      </c>
    </row>
    <row r="3042" spans="1:38" x14ac:dyDescent="0.25">
      <c r="A3042">
        <v>3041</v>
      </c>
      <c r="B3042" t="str">
        <f xml:space="preserve"> "603577"</f>
        <v>603577</v>
      </c>
      <c r="C3042" t="s">
        <v>8729</v>
      </c>
      <c r="D3042">
        <v>19.850000000000001</v>
      </c>
      <c r="E3042">
        <v>1.95</v>
      </c>
      <c r="F3042">
        <v>0.38</v>
      </c>
      <c r="G3042" t="s">
        <v>1189</v>
      </c>
      <c r="H3042">
        <v>9</v>
      </c>
      <c r="I3042">
        <v>19.829999999999998</v>
      </c>
      <c r="J3042">
        <v>19.84</v>
      </c>
      <c r="K3042">
        <v>-0.2</v>
      </c>
      <c r="L3042">
        <v>6.51</v>
      </c>
      <c r="M3042" t="s">
        <v>8730</v>
      </c>
      <c r="N3042">
        <v>80.86</v>
      </c>
      <c r="O3042" t="s">
        <v>1229</v>
      </c>
      <c r="P3042">
        <v>19.899999999999999</v>
      </c>
      <c r="Q3042">
        <v>19.46</v>
      </c>
      <c r="R3042">
        <v>19.47</v>
      </c>
      <c r="S3042">
        <v>19.47</v>
      </c>
      <c r="T3042">
        <v>2.2599999999999998</v>
      </c>
      <c r="U3042">
        <v>1.08</v>
      </c>
      <c r="V3042">
        <v>-51.07</v>
      </c>
      <c r="W3042">
        <v>-214</v>
      </c>
      <c r="X3042">
        <v>19.72</v>
      </c>
      <c r="Y3042" t="s">
        <v>2991</v>
      </c>
      <c r="Z3042" t="s">
        <v>4303</v>
      </c>
      <c r="AA3042">
        <v>0.7</v>
      </c>
      <c r="AB3042">
        <v>34</v>
      </c>
      <c r="AC3042">
        <v>22</v>
      </c>
      <c r="AD3042">
        <v>4.2300000000000004</v>
      </c>
      <c r="AE3042" t="s">
        <v>3336</v>
      </c>
      <c r="AF3042" t="s">
        <v>6486</v>
      </c>
      <c r="AG3042" t="s">
        <v>8731</v>
      </c>
      <c r="AH3042" t="s">
        <v>1535</v>
      </c>
      <c r="AI3042">
        <v>1.22</v>
      </c>
      <c r="AJ3042">
        <v>8.5299999999999994</v>
      </c>
      <c r="AK3042">
        <v>19.809999999999999</v>
      </c>
      <c r="AL3042">
        <v>36.75</v>
      </c>
    </row>
    <row r="3043" spans="1:38" x14ac:dyDescent="0.25">
      <c r="A3043">
        <v>3042</v>
      </c>
      <c r="B3043" t="str">
        <f xml:space="preserve"> "002799"</f>
        <v>002799</v>
      </c>
      <c r="C3043" t="s">
        <v>8732</v>
      </c>
      <c r="D3043">
        <v>23.16</v>
      </c>
      <c r="E3043">
        <v>-0.34</v>
      </c>
      <c r="F3043">
        <v>-0.08</v>
      </c>
      <c r="G3043">
        <v>6593</v>
      </c>
      <c r="H3043">
        <v>242</v>
      </c>
      <c r="I3043">
        <v>23.16</v>
      </c>
      <c r="J3043">
        <v>23.17</v>
      </c>
      <c r="K3043">
        <v>0.04</v>
      </c>
      <c r="L3043">
        <v>0.86</v>
      </c>
      <c r="M3043" t="s">
        <v>8733</v>
      </c>
      <c r="N3043">
        <v>134.1</v>
      </c>
      <c r="O3043" t="s">
        <v>1874</v>
      </c>
      <c r="P3043">
        <v>23.38</v>
      </c>
      <c r="Q3043">
        <v>23.05</v>
      </c>
      <c r="R3043">
        <v>23.06</v>
      </c>
      <c r="S3043">
        <v>23.24</v>
      </c>
      <c r="T3043">
        <v>1.42</v>
      </c>
      <c r="U3043">
        <v>0.5</v>
      </c>
      <c r="V3043">
        <v>15.16</v>
      </c>
      <c r="W3043">
        <v>48</v>
      </c>
      <c r="X3043">
        <v>23.21</v>
      </c>
      <c r="Y3043">
        <v>3069</v>
      </c>
      <c r="Z3043">
        <v>3524</v>
      </c>
      <c r="AA3043">
        <v>0.87</v>
      </c>
      <c r="AB3043">
        <v>56</v>
      </c>
      <c r="AC3043">
        <v>107</v>
      </c>
      <c r="AD3043">
        <v>6.82</v>
      </c>
      <c r="AE3043" t="s">
        <v>598</v>
      </c>
      <c r="AF3043" t="s">
        <v>6486</v>
      </c>
      <c r="AG3043" t="s">
        <v>8274</v>
      </c>
      <c r="AH3043" t="s">
        <v>1713</v>
      </c>
      <c r="AI3043">
        <v>-3.42</v>
      </c>
      <c r="AJ3043">
        <v>3.95</v>
      </c>
      <c r="AK3043">
        <v>4.0199999999999996</v>
      </c>
      <c r="AL3043">
        <v>9.5299999999999994</v>
      </c>
    </row>
    <row r="3044" spans="1:38" x14ac:dyDescent="0.25">
      <c r="A3044">
        <v>3043</v>
      </c>
      <c r="B3044" t="str">
        <f xml:space="preserve"> "300200"</f>
        <v>300200</v>
      </c>
      <c r="C3044" t="s">
        <v>8734</v>
      </c>
      <c r="D3044">
        <v>13.32</v>
      </c>
      <c r="E3044">
        <v>1.37</v>
      </c>
      <c r="F3044">
        <v>0.18</v>
      </c>
      <c r="G3044">
        <v>8131</v>
      </c>
      <c r="H3044">
        <v>383</v>
      </c>
      <c r="I3044">
        <v>13.31</v>
      </c>
      <c r="J3044">
        <v>13.32</v>
      </c>
      <c r="K3044">
        <v>0.08</v>
      </c>
      <c r="L3044">
        <v>0.4</v>
      </c>
      <c r="M3044" t="s">
        <v>8735</v>
      </c>
      <c r="N3044">
        <v>98.66</v>
      </c>
      <c r="O3044" t="s">
        <v>859</v>
      </c>
      <c r="P3044">
        <v>13.34</v>
      </c>
      <c r="Q3044">
        <v>13.16</v>
      </c>
      <c r="R3044">
        <v>13.16</v>
      </c>
      <c r="S3044">
        <v>13.14</v>
      </c>
      <c r="T3044">
        <v>1.37</v>
      </c>
      <c r="U3044">
        <v>0.5</v>
      </c>
      <c r="V3044">
        <v>-51.97</v>
      </c>
      <c r="W3044">
        <v>-1110</v>
      </c>
      <c r="X3044">
        <v>13.24</v>
      </c>
      <c r="Y3044">
        <v>4426</v>
      </c>
      <c r="Z3044">
        <v>3705</v>
      </c>
      <c r="AA3044">
        <v>1.19</v>
      </c>
      <c r="AB3044">
        <v>168</v>
      </c>
      <c r="AC3044">
        <v>1158</v>
      </c>
      <c r="AD3044">
        <v>2.4300000000000002</v>
      </c>
      <c r="AE3044" t="s">
        <v>1770</v>
      </c>
      <c r="AF3044" t="s">
        <v>6486</v>
      </c>
      <c r="AG3044" t="s">
        <v>1075</v>
      </c>
      <c r="AH3044" t="s">
        <v>6810</v>
      </c>
      <c r="AI3044">
        <v>-1.99</v>
      </c>
      <c r="AJ3044">
        <v>2.46</v>
      </c>
      <c r="AK3044">
        <v>1.95</v>
      </c>
      <c r="AL3044">
        <v>4.37</v>
      </c>
    </row>
    <row r="3045" spans="1:38" x14ac:dyDescent="0.25">
      <c r="A3045">
        <v>3044</v>
      </c>
      <c r="B3045" t="str">
        <f xml:space="preserve"> "002817"</f>
        <v>002817</v>
      </c>
      <c r="C3045" t="s">
        <v>8736</v>
      </c>
      <c r="D3045">
        <v>40.049999999999997</v>
      </c>
      <c r="E3045">
        <v>1.57</v>
      </c>
      <c r="F3045">
        <v>0.62</v>
      </c>
      <c r="G3045" t="s">
        <v>2614</v>
      </c>
      <c r="H3045">
        <v>392</v>
      </c>
      <c r="I3045">
        <v>40.049999999999997</v>
      </c>
      <c r="J3045">
        <v>40.06</v>
      </c>
      <c r="K3045">
        <v>0.02</v>
      </c>
      <c r="L3045">
        <v>11.97</v>
      </c>
      <c r="M3045" t="s">
        <v>1718</v>
      </c>
      <c r="N3045">
        <v>63.33</v>
      </c>
      <c r="O3045" t="s">
        <v>392</v>
      </c>
      <c r="P3045">
        <v>40.869999999999997</v>
      </c>
      <c r="Q3045">
        <v>38.799999999999997</v>
      </c>
      <c r="R3045">
        <v>39.159999999999997</v>
      </c>
      <c r="S3045">
        <v>39.43</v>
      </c>
      <c r="T3045">
        <v>5.25</v>
      </c>
      <c r="U3045">
        <v>1.37</v>
      </c>
      <c r="V3045">
        <v>83.06</v>
      </c>
      <c r="W3045">
        <v>1000</v>
      </c>
      <c r="X3045">
        <v>40.04</v>
      </c>
      <c r="Y3045" t="s">
        <v>1726</v>
      </c>
      <c r="Z3045" t="s">
        <v>1726</v>
      </c>
      <c r="AA3045">
        <v>1</v>
      </c>
      <c r="AB3045">
        <v>606</v>
      </c>
      <c r="AC3045">
        <v>10</v>
      </c>
      <c r="AD3045">
        <v>5.36</v>
      </c>
      <c r="AE3045" t="s">
        <v>7961</v>
      </c>
      <c r="AF3045" t="s">
        <v>6486</v>
      </c>
      <c r="AG3045" t="s">
        <v>8737</v>
      </c>
      <c r="AH3045" t="s">
        <v>1324</v>
      </c>
      <c r="AI3045">
        <v>0.6</v>
      </c>
      <c r="AJ3045">
        <v>11.19</v>
      </c>
      <c r="AK3045">
        <v>32.69</v>
      </c>
      <c r="AL3045">
        <v>55.6</v>
      </c>
    </row>
    <row r="3046" spans="1:38" x14ac:dyDescent="0.25">
      <c r="A3046">
        <v>3045</v>
      </c>
      <c r="B3046" t="str">
        <f xml:space="preserve"> "002560"</f>
        <v>002560</v>
      </c>
      <c r="C3046" t="s">
        <v>8738</v>
      </c>
      <c r="D3046">
        <v>8.08</v>
      </c>
      <c r="E3046">
        <v>-0.12</v>
      </c>
      <c r="F3046">
        <v>-0.01</v>
      </c>
      <c r="G3046" t="s">
        <v>1285</v>
      </c>
      <c r="H3046">
        <v>133</v>
      </c>
      <c r="I3046">
        <v>8.07</v>
      </c>
      <c r="J3046">
        <v>8.08</v>
      </c>
      <c r="K3046">
        <v>0</v>
      </c>
      <c r="L3046">
        <v>0.91</v>
      </c>
      <c r="M3046" t="s">
        <v>8739</v>
      </c>
      <c r="N3046">
        <v>193.66</v>
      </c>
      <c r="O3046" t="s">
        <v>680</v>
      </c>
      <c r="P3046">
        <v>8.1</v>
      </c>
      <c r="Q3046">
        <v>8.02</v>
      </c>
      <c r="R3046">
        <v>8.0500000000000007</v>
      </c>
      <c r="S3046">
        <v>8.09</v>
      </c>
      <c r="T3046">
        <v>0.99</v>
      </c>
      <c r="U3046">
        <v>0.69</v>
      </c>
      <c r="V3046">
        <v>-38.1</v>
      </c>
      <c r="W3046">
        <v>-1901</v>
      </c>
      <c r="X3046">
        <v>8.06</v>
      </c>
      <c r="Y3046" t="s">
        <v>125</v>
      </c>
      <c r="Z3046">
        <v>9571</v>
      </c>
      <c r="AA3046">
        <v>1.6</v>
      </c>
      <c r="AB3046">
        <v>401</v>
      </c>
      <c r="AC3046">
        <v>239</v>
      </c>
      <c r="AD3046">
        <v>2.3199999999999998</v>
      </c>
      <c r="AE3046" t="s">
        <v>5136</v>
      </c>
      <c r="AF3046" t="s">
        <v>6486</v>
      </c>
      <c r="AG3046" t="s">
        <v>1463</v>
      </c>
      <c r="AH3046" t="s">
        <v>662</v>
      </c>
      <c r="AI3046">
        <v>-0.86</v>
      </c>
      <c r="AJ3046">
        <v>2.41</v>
      </c>
      <c r="AK3046">
        <v>3.47</v>
      </c>
      <c r="AL3046">
        <v>7.48</v>
      </c>
    </row>
    <row r="3047" spans="1:38" x14ac:dyDescent="0.25">
      <c r="A3047">
        <v>3046</v>
      </c>
      <c r="B3047" t="str">
        <f xml:space="preserve"> "300445"</f>
        <v>300445</v>
      </c>
      <c r="C3047" t="s">
        <v>8740</v>
      </c>
      <c r="D3047">
        <v>20.92</v>
      </c>
      <c r="E3047">
        <v>1.21</v>
      </c>
      <c r="F3047">
        <v>0.25</v>
      </c>
      <c r="G3047" t="s">
        <v>3042</v>
      </c>
      <c r="H3047">
        <v>255</v>
      </c>
      <c r="I3047">
        <v>20.91</v>
      </c>
      <c r="J3047">
        <v>20.92</v>
      </c>
      <c r="K3047">
        <v>0.05</v>
      </c>
      <c r="L3047">
        <v>4.8099999999999996</v>
      </c>
      <c r="M3047" t="s">
        <v>8741</v>
      </c>
      <c r="N3047">
        <v>93.93</v>
      </c>
      <c r="O3047" t="s">
        <v>1372</v>
      </c>
      <c r="P3047">
        <v>20.98</v>
      </c>
      <c r="Q3047">
        <v>20.309999999999999</v>
      </c>
      <c r="R3047">
        <v>20.46</v>
      </c>
      <c r="S3047">
        <v>20.67</v>
      </c>
      <c r="T3047">
        <v>3.24</v>
      </c>
      <c r="U3047">
        <v>0.67</v>
      </c>
      <c r="V3047">
        <v>-12.02</v>
      </c>
      <c r="W3047">
        <v>-100</v>
      </c>
      <c r="X3047">
        <v>20.68</v>
      </c>
      <c r="Y3047" t="s">
        <v>2522</v>
      </c>
      <c r="Z3047">
        <v>9646</v>
      </c>
      <c r="AA3047">
        <v>1.07</v>
      </c>
      <c r="AB3047">
        <v>38</v>
      </c>
      <c r="AC3047">
        <v>182</v>
      </c>
      <c r="AD3047">
        <v>8.17</v>
      </c>
      <c r="AE3047" t="s">
        <v>3697</v>
      </c>
      <c r="AF3047" t="s">
        <v>6486</v>
      </c>
      <c r="AG3047" t="s">
        <v>8742</v>
      </c>
      <c r="AH3047" t="s">
        <v>1535</v>
      </c>
      <c r="AI3047">
        <v>-1.18</v>
      </c>
      <c r="AJ3047">
        <v>1.1100000000000001</v>
      </c>
      <c r="AK3047">
        <v>14.77</v>
      </c>
      <c r="AL3047">
        <v>40.99</v>
      </c>
    </row>
    <row r="3048" spans="1:38" x14ac:dyDescent="0.25">
      <c r="A3048">
        <v>3047</v>
      </c>
      <c r="B3048" t="str">
        <f xml:space="preserve"> "300653"</f>
        <v>300653</v>
      </c>
      <c r="C3048" t="s">
        <v>8743</v>
      </c>
      <c r="D3048">
        <v>43.3</v>
      </c>
      <c r="E3048">
        <v>5.61</v>
      </c>
      <c r="F3048">
        <v>2.2999999999999998</v>
      </c>
      <c r="G3048" t="s">
        <v>2181</v>
      </c>
      <c r="H3048">
        <v>591</v>
      </c>
      <c r="I3048">
        <v>43.25</v>
      </c>
      <c r="J3048">
        <v>43.3</v>
      </c>
      <c r="K3048">
        <v>-0.25</v>
      </c>
      <c r="L3048">
        <v>22.16</v>
      </c>
      <c r="M3048" t="s">
        <v>2146</v>
      </c>
      <c r="N3048">
        <v>82.92</v>
      </c>
      <c r="O3048" t="s">
        <v>1552</v>
      </c>
      <c r="P3048">
        <v>43.98</v>
      </c>
      <c r="Q3048">
        <v>41</v>
      </c>
      <c r="R3048">
        <v>41.6</v>
      </c>
      <c r="S3048">
        <v>41</v>
      </c>
      <c r="T3048">
        <v>7.27</v>
      </c>
      <c r="U3048">
        <v>1.66</v>
      </c>
      <c r="V3048">
        <v>-44.01</v>
      </c>
      <c r="W3048">
        <v>-283</v>
      </c>
      <c r="X3048">
        <v>42.75</v>
      </c>
      <c r="Y3048" t="s">
        <v>3251</v>
      </c>
      <c r="Z3048" t="s">
        <v>5033</v>
      </c>
      <c r="AA3048">
        <v>0.74</v>
      </c>
      <c r="AB3048">
        <v>23</v>
      </c>
      <c r="AC3048">
        <v>433</v>
      </c>
      <c r="AD3048">
        <v>7.83</v>
      </c>
      <c r="AE3048" t="s">
        <v>5802</v>
      </c>
      <c r="AF3048" t="s">
        <v>1083</v>
      </c>
      <c r="AG3048" t="s">
        <v>5562</v>
      </c>
      <c r="AH3048" t="s">
        <v>1438</v>
      </c>
      <c r="AI3048">
        <v>4.79</v>
      </c>
      <c r="AJ3048">
        <v>13.65</v>
      </c>
      <c r="AK3048">
        <v>59.24</v>
      </c>
      <c r="AL3048">
        <v>89.03</v>
      </c>
    </row>
    <row r="3049" spans="1:38" x14ac:dyDescent="0.25">
      <c r="A3049">
        <v>3048</v>
      </c>
      <c r="B3049" t="str">
        <f xml:space="preserve"> "000737"</f>
        <v>000737</v>
      </c>
      <c r="C3049" t="s">
        <v>8744</v>
      </c>
      <c r="D3049">
        <v>6.31</v>
      </c>
      <c r="E3049">
        <v>-0.94</v>
      </c>
      <c r="F3049">
        <v>-0.06</v>
      </c>
      <c r="G3049" t="s">
        <v>516</v>
      </c>
      <c r="H3049">
        <v>1487</v>
      </c>
      <c r="I3049">
        <v>6.3</v>
      </c>
      <c r="J3049">
        <v>6.31</v>
      </c>
      <c r="K3049">
        <v>0.16</v>
      </c>
      <c r="L3049">
        <v>2.2400000000000002</v>
      </c>
      <c r="M3049" t="s">
        <v>8745</v>
      </c>
      <c r="N3049">
        <v>-10.82</v>
      </c>
      <c r="O3049" t="s">
        <v>667</v>
      </c>
      <c r="P3049">
        <v>6.35</v>
      </c>
      <c r="Q3049">
        <v>6.18</v>
      </c>
      <c r="R3049">
        <v>6.29</v>
      </c>
      <c r="S3049">
        <v>6.37</v>
      </c>
      <c r="T3049">
        <v>2.67</v>
      </c>
      <c r="U3049">
        <v>0.75</v>
      </c>
      <c r="V3049">
        <v>29.85</v>
      </c>
      <c r="W3049">
        <v>3187</v>
      </c>
      <c r="X3049">
        <v>6.28</v>
      </c>
      <c r="Y3049" t="s">
        <v>6634</v>
      </c>
      <c r="Z3049" t="s">
        <v>7948</v>
      </c>
      <c r="AA3049">
        <v>1.29</v>
      </c>
      <c r="AB3049">
        <v>1230</v>
      </c>
      <c r="AC3049">
        <v>938</v>
      </c>
      <c r="AD3049">
        <v>350.23</v>
      </c>
      <c r="AE3049" t="s">
        <v>1809</v>
      </c>
      <c r="AF3049" t="s">
        <v>1083</v>
      </c>
      <c r="AG3049" t="s">
        <v>1809</v>
      </c>
      <c r="AH3049" t="s">
        <v>1083</v>
      </c>
      <c r="AI3049">
        <v>-6.38</v>
      </c>
      <c r="AJ3049">
        <v>-10.75</v>
      </c>
      <c r="AK3049">
        <v>8.91</v>
      </c>
      <c r="AL3049">
        <v>17.07</v>
      </c>
    </row>
    <row r="3050" spans="1:38" x14ac:dyDescent="0.25">
      <c r="A3050">
        <v>3049</v>
      </c>
      <c r="B3050" t="str">
        <f xml:space="preserve"> "000978"</f>
        <v>000978</v>
      </c>
      <c r="C3050" t="s">
        <v>8746</v>
      </c>
      <c r="D3050">
        <v>9.61</v>
      </c>
      <c r="E3050">
        <v>0.31</v>
      </c>
      <c r="F3050">
        <v>0.03</v>
      </c>
      <c r="G3050" t="s">
        <v>2360</v>
      </c>
      <c r="H3050">
        <v>286</v>
      </c>
      <c r="I3050">
        <v>9.6</v>
      </c>
      <c r="J3050">
        <v>9.61</v>
      </c>
      <c r="K3050">
        <v>0.1</v>
      </c>
      <c r="L3050">
        <v>0.61</v>
      </c>
      <c r="M3050" t="s">
        <v>8747</v>
      </c>
      <c r="N3050">
        <v>59.41</v>
      </c>
      <c r="O3050" t="s">
        <v>951</v>
      </c>
      <c r="P3050">
        <v>9.65</v>
      </c>
      <c r="Q3050">
        <v>9.57</v>
      </c>
      <c r="R3050">
        <v>9.6</v>
      </c>
      <c r="S3050">
        <v>9.58</v>
      </c>
      <c r="T3050">
        <v>0.84</v>
      </c>
      <c r="U3050">
        <v>0.5</v>
      </c>
      <c r="V3050">
        <v>-29.99</v>
      </c>
      <c r="W3050">
        <v>-593</v>
      </c>
      <c r="X3050">
        <v>9.61</v>
      </c>
      <c r="Y3050" t="s">
        <v>2370</v>
      </c>
      <c r="Z3050">
        <v>9325</v>
      </c>
      <c r="AA3050">
        <v>1.37</v>
      </c>
      <c r="AB3050">
        <v>114</v>
      </c>
      <c r="AC3050">
        <v>20</v>
      </c>
      <c r="AD3050">
        <v>2.3199999999999998</v>
      </c>
      <c r="AE3050" t="s">
        <v>852</v>
      </c>
      <c r="AF3050" t="s">
        <v>1083</v>
      </c>
      <c r="AG3050" t="s">
        <v>852</v>
      </c>
      <c r="AH3050" t="s">
        <v>1083</v>
      </c>
      <c r="AI3050">
        <v>-0.93</v>
      </c>
      <c r="AJ3050">
        <v>-2.04</v>
      </c>
      <c r="AK3050">
        <v>2.69</v>
      </c>
      <c r="AL3050">
        <v>6.79</v>
      </c>
    </row>
    <row r="3051" spans="1:38" x14ac:dyDescent="0.25">
      <c r="A3051">
        <v>3050</v>
      </c>
      <c r="B3051" t="str">
        <f xml:space="preserve"> "300264"</f>
        <v>300264</v>
      </c>
      <c r="C3051" t="s">
        <v>8748</v>
      </c>
      <c r="D3051">
        <v>8.35</v>
      </c>
      <c r="E3051">
        <v>0.6</v>
      </c>
      <c r="F3051">
        <v>0.05</v>
      </c>
      <c r="G3051" t="s">
        <v>1683</v>
      </c>
      <c r="H3051">
        <v>194</v>
      </c>
      <c r="I3051">
        <v>8.35</v>
      </c>
      <c r="J3051">
        <v>8.36</v>
      </c>
      <c r="K3051">
        <v>0</v>
      </c>
      <c r="L3051">
        <v>0.5</v>
      </c>
      <c r="M3051" t="s">
        <v>8749</v>
      </c>
      <c r="N3051">
        <v>-89.32</v>
      </c>
      <c r="O3051" t="s">
        <v>893</v>
      </c>
      <c r="P3051">
        <v>8.3699999999999992</v>
      </c>
      <c r="Q3051">
        <v>8.25</v>
      </c>
      <c r="R3051">
        <v>8.31</v>
      </c>
      <c r="S3051">
        <v>8.3000000000000007</v>
      </c>
      <c r="T3051">
        <v>1.45</v>
      </c>
      <c r="U3051">
        <v>0.45</v>
      </c>
      <c r="V3051">
        <v>6.54</v>
      </c>
      <c r="W3051">
        <v>219</v>
      </c>
      <c r="X3051">
        <v>8.32</v>
      </c>
      <c r="Y3051">
        <v>7982</v>
      </c>
      <c r="Z3051">
        <v>8062</v>
      </c>
      <c r="AA3051">
        <v>0.99</v>
      </c>
      <c r="AB3051">
        <v>280</v>
      </c>
      <c r="AC3051">
        <v>334</v>
      </c>
      <c r="AD3051">
        <v>5.79</v>
      </c>
      <c r="AE3051" t="s">
        <v>1310</v>
      </c>
      <c r="AF3051" t="s">
        <v>1855</v>
      </c>
      <c r="AG3051" t="s">
        <v>103</v>
      </c>
      <c r="AH3051" t="s">
        <v>3224</v>
      </c>
      <c r="AI3051">
        <v>-1.18</v>
      </c>
      <c r="AJ3051">
        <v>3.6</v>
      </c>
      <c r="AK3051">
        <v>2.74</v>
      </c>
      <c r="AL3051">
        <v>6.14</v>
      </c>
    </row>
    <row r="3052" spans="1:38" x14ac:dyDescent="0.25">
      <c r="A3052">
        <v>3051</v>
      </c>
      <c r="B3052" t="str">
        <f xml:space="preserve"> "000638"</f>
        <v>000638</v>
      </c>
      <c r="C3052" t="s">
        <v>8750</v>
      </c>
      <c r="D3052" t="s">
        <v>616</v>
      </c>
      <c r="E3052" t="s">
        <v>616</v>
      </c>
      <c r="F3052" t="s">
        <v>616</v>
      </c>
      <c r="G3052" t="s">
        <v>616</v>
      </c>
      <c r="H3052" t="s">
        <v>616</v>
      </c>
      <c r="I3052" t="s">
        <v>616</v>
      </c>
      <c r="J3052" t="s">
        <v>616</v>
      </c>
      <c r="K3052" t="s">
        <v>616</v>
      </c>
      <c r="L3052" t="s">
        <v>616</v>
      </c>
      <c r="M3052" t="s">
        <v>616</v>
      </c>
      <c r="N3052">
        <v>331.01</v>
      </c>
      <c r="O3052" t="s">
        <v>244</v>
      </c>
      <c r="P3052" t="s">
        <v>616</v>
      </c>
      <c r="Q3052" t="s">
        <v>616</v>
      </c>
      <c r="R3052" t="s">
        <v>616</v>
      </c>
      <c r="S3052">
        <v>11.14</v>
      </c>
      <c r="T3052" t="s">
        <v>616</v>
      </c>
      <c r="U3052" t="s">
        <v>616</v>
      </c>
      <c r="V3052" t="s">
        <v>616</v>
      </c>
      <c r="W3052" t="s">
        <v>616</v>
      </c>
      <c r="X3052" t="s">
        <v>616</v>
      </c>
      <c r="Y3052" t="s">
        <v>616</v>
      </c>
      <c r="Z3052" t="s">
        <v>616</v>
      </c>
      <c r="AA3052" t="s">
        <v>616</v>
      </c>
      <c r="AB3052" t="s">
        <v>616</v>
      </c>
      <c r="AC3052" t="s">
        <v>616</v>
      </c>
      <c r="AD3052">
        <v>15.23</v>
      </c>
      <c r="AE3052" t="s">
        <v>3440</v>
      </c>
      <c r="AF3052" t="s">
        <v>1855</v>
      </c>
      <c r="AG3052" t="s">
        <v>3440</v>
      </c>
      <c r="AH3052" t="s">
        <v>1855</v>
      </c>
      <c r="AI3052">
        <v>0</v>
      </c>
      <c r="AJ3052">
        <v>0</v>
      </c>
      <c r="AK3052">
        <v>0</v>
      </c>
      <c r="AL3052">
        <v>0</v>
      </c>
    </row>
    <row r="3053" spans="1:38" x14ac:dyDescent="0.25">
      <c r="A3053">
        <v>3052</v>
      </c>
      <c r="B3053" t="str">
        <f xml:space="preserve"> "300421"</f>
        <v>300421</v>
      </c>
      <c r="C3053" t="s">
        <v>8751</v>
      </c>
      <c r="D3053">
        <v>26.4</v>
      </c>
      <c r="E3053">
        <v>1.73</v>
      </c>
      <c r="F3053">
        <v>0.45</v>
      </c>
      <c r="G3053" t="s">
        <v>2313</v>
      </c>
      <c r="H3053">
        <v>468</v>
      </c>
      <c r="I3053">
        <v>26.35</v>
      </c>
      <c r="J3053">
        <v>26.4</v>
      </c>
      <c r="K3053">
        <v>0.23</v>
      </c>
      <c r="L3053">
        <v>3.73</v>
      </c>
      <c r="M3053" t="s">
        <v>7954</v>
      </c>
      <c r="N3053">
        <v>47.29</v>
      </c>
      <c r="O3053" t="s">
        <v>1229</v>
      </c>
      <c r="P3053">
        <v>27.12</v>
      </c>
      <c r="Q3053">
        <v>25.82</v>
      </c>
      <c r="R3053">
        <v>25.92</v>
      </c>
      <c r="S3053">
        <v>25.95</v>
      </c>
      <c r="T3053">
        <v>5.01</v>
      </c>
      <c r="U3053">
        <v>1.33</v>
      </c>
      <c r="V3053">
        <v>-10.61</v>
      </c>
      <c r="W3053">
        <v>-64</v>
      </c>
      <c r="X3053">
        <v>26.47</v>
      </c>
      <c r="Y3053">
        <v>7638</v>
      </c>
      <c r="Z3053">
        <v>8025</v>
      </c>
      <c r="AA3053">
        <v>0.95</v>
      </c>
      <c r="AB3053">
        <v>66</v>
      </c>
      <c r="AC3053">
        <v>70</v>
      </c>
      <c r="AD3053">
        <v>3.04</v>
      </c>
      <c r="AE3053" t="s">
        <v>2065</v>
      </c>
      <c r="AF3053" t="s">
        <v>1855</v>
      </c>
      <c r="AG3053" t="s">
        <v>3231</v>
      </c>
      <c r="AH3053" t="s">
        <v>204</v>
      </c>
      <c r="AI3053">
        <v>0.15</v>
      </c>
      <c r="AJ3053">
        <v>2.52</v>
      </c>
      <c r="AK3053">
        <v>9.01</v>
      </c>
      <c r="AL3053">
        <v>17.72</v>
      </c>
    </row>
    <row r="3054" spans="1:38" x14ac:dyDescent="0.25">
      <c r="A3054">
        <v>3053</v>
      </c>
      <c r="B3054" t="str">
        <f xml:space="preserve"> "002868"</f>
        <v>002868</v>
      </c>
      <c r="C3054" t="s">
        <v>8752</v>
      </c>
      <c r="D3054">
        <v>28.72</v>
      </c>
      <c r="E3054">
        <v>3.46</v>
      </c>
      <c r="F3054">
        <v>0.96</v>
      </c>
      <c r="G3054" t="s">
        <v>3585</v>
      </c>
      <c r="H3054">
        <v>980</v>
      </c>
      <c r="I3054">
        <v>28.71</v>
      </c>
      <c r="J3054">
        <v>28.72</v>
      </c>
      <c r="K3054">
        <v>0.03</v>
      </c>
      <c r="L3054">
        <v>12.2</v>
      </c>
      <c r="M3054" t="s">
        <v>1718</v>
      </c>
      <c r="N3054">
        <v>36.85</v>
      </c>
      <c r="O3054" t="s">
        <v>2060</v>
      </c>
      <c r="P3054">
        <v>28.76</v>
      </c>
      <c r="Q3054">
        <v>27.66</v>
      </c>
      <c r="R3054">
        <v>27.8</v>
      </c>
      <c r="S3054">
        <v>27.76</v>
      </c>
      <c r="T3054">
        <v>3.96</v>
      </c>
      <c r="U3054">
        <v>3.08</v>
      </c>
      <c r="V3054">
        <v>-20.350000000000001</v>
      </c>
      <c r="W3054">
        <v>-183</v>
      </c>
      <c r="X3054">
        <v>28.34</v>
      </c>
      <c r="Y3054" t="s">
        <v>2089</v>
      </c>
      <c r="Z3054" t="s">
        <v>275</v>
      </c>
      <c r="AA3054">
        <v>0.49</v>
      </c>
      <c r="AB3054">
        <v>219</v>
      </c>
      <c r="AC3054">
        <v>105</v>
      </c>
      <c r="AD3054">
        <v>5.25</v>
      </c>
      <c r="AE3054" t="s">
        <v>918</v>
      </c>
      <c r="AF3054" t="s">
        <v>1855</v>
      </c>
      <c r="AG3054" t="s">
        <v>3067</v>
      </c>
      <c r="AH3054" t="s">
        <v>3879</v>
      </c>
      <c r="AI3054">
        <v>2.2799999999999998</v>
      </c>
      <c r="AJ3054">
        <v>7.36</v>
      </c>
      <c r="AK3054">
        <v>21.09</v>
      </c>
      <c r="AL3054">
        <v>31.99</v>
      </c>
    </row>
    <row r="3055" spans="1:38" x14ac:dyDescent="0.25">
      <c r="A3055">
        <v>3054</v>
      </c>
      <c r="B3055" t="str">
        <f xml:space="preserve"> "603488"</f>
        <v>603488</v>
      </c>
      <c r="C3055" t="s">
        <v>8753</v>
      </c>
      <c r="D3055">
        <v>16.559999999999999</v>
      </c>
      <c r="E3055">
        <v>1.47</v>
      </c>
      <c r="F3055">
        <v>0.24</v>
      </c>
      <c r="G3055" t="s">
        <v>1181</v>
      </c>
      <c r="H3055">
        <v>5</v>
      </c>
      <c r="I3055">
        <v>16.559999999999999</v>
      </c>
      <c r="J3055">
        <v>16.57</v>
      </c>
      <c r="K3055">
        <v>-0.06</v>
      </c>
      <c r="L3055">
        <v>6.74</v>
      </c>
      <c r="M3055" t="s">
        <v>8754</v>
      </c>
      <c r="N3055">
        <v>59.19</v>
      </c>
      <c r="O3055" t="s">
        <v>648</v>
      </c>
      <c r="P3055">
        <v>16.649999999999999</v>
      </c>
      <c r="Q3055">
        <v>16.21</v>
      </c>
      <c r="R3055">
        <v>16.21</v>
      </c>
      <c r="S3055">
        <v>16.32</v>
      </c>
      <c r="T3055">
        <v>2.7</v>
      </c>
      <c r="U3055">
        <v>2.11</v>
      </c>
      <c r="V3055">
        <v>-19.54</v>
      </c>
      <c r="W3055">
        <v>-169</v>
      </c>
      <c r="X3055">
        <v>16.52</v>
      </c>
      <c r="Y3055" t="s">
        <v>2453</v>
      </c>
      <c r="Z3055" t="s">
        <v>2509</v>
      </c>
      <c r="AA3055">
        <v>0.73</v>
      </c>
      <c r="AB3055">
        <v>32</v>
      </c>
      <c r="AC3055">
        <v>150</v>
      </c>
      <c r="AD3055">
        <v>4.55</v>
      </c>
      <c r="AE3055" t="s">
        <v>2964</v>
      </c>
      <c r="AF3055" t="s">
        <v>4625</v>
      </c>
      <c r="AG3055" t="s">
        <v>5727</v>
      </c>
      <c r="AH3055" t="s">
        <v>1168</v>
      </c>
      <c r="AI3055">
        <v>1.97</v>
      </c>
      <c r="AJ3055">
        <v>7.05</v>
      </c>
      <c r="AK3055">
        <v>15.18</v>
      </c>
      <c r="AL3055">
        <v>22.71</v>
      </c>
    </row>
    <row r="3056" spans="1:38" x14ac:dyDescent="0.25">
      <c r="A3056">
        <v>3055</v>
      </c>
      <c r="B3056" t="str">
        <f xml:space="preserve"> "603089"</f>
        <v>603089</v>
      </c>
      <c r="C3056" t="s">
        <v>8755</v>
      </c>
      <c r="D3056">
        <v>32.270000000000003</v>
      </c>
      <c r="E3056">
        <v>-0.37</v>
      </c>
      <c r="F3056">
        <v>-0.12</v>
      </c>
      <c r="G3056" t="s">
        <v>2800</v>
      </c>
      <c r="H3056">
        <v>1</v>
      </c>
      <c r="I3056">
        <v>32.25</v>
      </c>
      <c r="J3056">
        <v>32.26</v>
      </c>
      <c r="K3056">
        <v>0.03</v>
      </c>
      <c r="L3056">
        <v>3.94</v>
      </c>
      <c r="M3056" t="s">
        <v>8214</v>
      </c>
      <c r="N3056">
        <v>37.770000000000003</v>
      </c>
      <c r="O3056" t="s">
        <v>169</v>
      </c>
      <c r="P3056">
        <v>32.450000000000003</v>
      </c>
      <c r="Q3056">
        <v>31.92</v>
      </c>
      <c r="R3056">
        <v>32.44</v>
      </c>
      <c r="S3056">
        <v>32.39</v>
      </c>
      <c r="T3056">
        <v>1.64</v>
      </c>
      <c r="U3056">
        <v>0.42</v>
      </c>
      <c r="V3056">
        <v>65.11</v>
      </c>
      <c r="W3056">
        <v>209</v>
      </c>
      <c r="X3056">
        <v>32.26</v>
      </c>
      <c r="Y3056">
        <v>5535</v>
      </c>
      <c r="Z3056">
        <v>4981</v>
      </c>
      <c r="AA3056">
        <v>1.1100000000000001</v>
      </c>
      <c r="AB3056">
        <v>36</v>
      </c>
      <c r="AC3056">
        <v>5</v>
      </c>
      <c r="AD3056">
        <v>5.03</v>
      </c>
      <c r="AE3056" t="s">
        <v>1314</v>
      </c>
      <c r="AF3056" t="s">
        <v>4625</v>
      </c>
      <c r="AG3056" t="s">
        <v>7087</v>
      </c>
      <c r="AH3056" t="s">
        <v>1168</v>
      </c>
      <c r="AI3056">
        <v>-1.38</v>
      </c>
      <c r="AJ3056">
        <v>4.37</v>
      </c>
      <c r="AK3056">
        <v>15.14</v>
      </c>
      <c r="AL3056">
        <v>50.6</v>
      </c>
    </row>
    <row r="3057" spans="1:38" x14ac:dyDescent="0.25">
      <c r="A3057">
        <v>3056</v>
      </c>
      <c r="B3057" t="str">
        <f xml:space="preserve"> "000757"</f>
        <v>000757</v>
      </c>
      <c r="C3057" t="s">
        <v>8756</v>
      </c>
      <c r="D3057">
        <v>7.62</v>
      </c>
      <c r="E3057">
        <v>-0.26</v>
      </c>
      <c r="F3057">
        <v>-0.02</v>
      </c>
      <c r="G3057" t="s">
        <v>4689</v>
      </c>
      <c r="H3057">
        <v>872</v>
      </c>
      <c r="I3057">
        <v>7.62</v>
      </c>
      <c r="J3057">
        <v>7.63</v>
      </c>
      <c r="K3057">
        <v>0</v>
      </c>
      <c r="L3057">
        <v>1.21</v>
      </c>
      <c r="M3057" t="s">
        <v>8757</v>
      </c>
      <c r="N3057">
        <v>79.48</v>
      </c>
      <c r="O3057" t="s">
        <v>169</v>
      </c>
      <c r="P3057">
        <v>7.73</v>
      </c>
      <c r="Q3057">
        <v>7.54</v>
      </c>
      <c r="R3057">
        <v>7.59</v>
      </c>
      <c r="S3057">
        <v>7.64</v>
      </c>
      <c r="T3057">
        <v>2.4900000000000002</v>
      </c>
      <c r="U3057">
        <v>0.78</v>
      </c>
      <c r="V3057">
        <v>29.53</v>
      </c>
      <c r="W3057">
        <v>995</v>
      </c>
      <c r="X3057">
        <v>7.63</v>
      </c>
      <c r="Y3057" t="s">
        <v>2515</v>
      </c>
      <c r="Z3057" t="s">
        <v>2202</v>
      </c>
      <c r="AA3057">
        <v>1.32</v>
      </c>
      <c r="AB3057">
        <v>215</v>
      </c>
      <c r="AC3057">
        <v>318</v>
      </c>
      <c r="AD3057">
        <v>5.79</v>
      </c>
      <c r="AE3057" t="s">
        <v>3242</v>
      </c>
      <c r="AF3057" t="s">
        <v>4625</v>
      </c>
      <c r="AG3057" t="s">
        <v>3242</v>
      </c>
      <c r="AH3057" t="s">
        <v>4625</v>
      </c>
      <c r="AI3057">
        <v>2.56</v>
      </c>
      <c r="AJ3057">
        <v>3.25</v>
      </c>
      <c r="AK3057">
        <v>6.43</v>
      </c>
      <c r="AL3057">
        <v>9</v>
      </c>
    </row>
    <row r="3058" spans="1:38" x14ac:dyDescent="0.25">
      <c r="A3058">
        <v>3057</v>
      </c>
      <c r="B3058" t="str">
        <f xml:space="preserve"> "603335"</f>
        <v>603335</v>
      </c>
      <c r="C3058" t="s">
        <v>8758</v>
      </c>
      <c r="D3058">
        <v>13.58</v>
      </c>
      <c r="E3058">
        <v>1.65</v>
      </c>
      <c r="F3058">
        <v>0.22</v>
      </c>
      <c r="G3058" t="s">
        <v>1121</v>
      </c>
      <c r="H3058">
        <v>52</v>
      </c>
      <c r="I3058">
        <v>13.58</v>
      </c>
      <c r="J3058">
        <v>13.59</v>
      </c>
      <c r="K3058">
        <v>7.0000000000000007E-2</v>
      </c>
      <c r="L3058">
        <v>5.48</v>
      </c>
      <c r="M3058" t="s">
        <v>8759</v>
      </c>
      <c r="N3058">
        <v>57.19</v>
      </c>
      <c r="O3058" t="s">
        <v>169</v>
      </c>
      <c r="P3058">
        <v>13.65</v>
      </c>
      <c r="Q3058">
        <v>13.31</v>
      </c>
      <c r="R3058">
        <v>13.31</v>
      </c>
      <c r="S3058">
        <v>13.36</v>
      </c>
      <c r="T3058">
        <v>2.54</v>
      </c>
      <c r="U3058">
        <v>1.27</v>
      </c>
      <c r="V3058">
        <v>-52.61</v>
      </c>
      <c r="W3058">
        <v>-648</v>
      </c>
      <c r="X3058">
        <v>13.51</v>
      </c>
      <c r="Y3058" t="s">
        <v>2551</v>
      </c>
      <c r="Z3058" t="s">
        <v>1724</v>
      </c>
      <c r="AA3058">
        <v>0.66</v>
      </c>
      <c r="AB3058">
        <v>130</v>
      </c>
      <c r="AC3058">
        <v>108</v>
      </c>
      <c r="AD3058">
        <v>5.99</v>
      </c>
      <c r="AE3058" t="s">
        <v>424</v>
      </c>
      <c r="AF3058" t="s">
        <v>4625</v>
      </c>
      <c r="AG3058" t="s">
        <v>8760</v>
      </c>
      <c r="AH3058" t="s">
        <v>130</v>
      </c>
      <c r="AI3058">
        <v>0.74</v>
      </c>
      <c r="AJ3058">
        <v>6.01</v>
      </c>
      <c r="AK3058">
        <v>14.51</v>
      </c>
      <c r="AL3058">
        <v>27.15</v>
      </c>
    </row>
    <row r="3059" spans="1:38" x14ac:dyDescent="0.25">
      <c r="A3059">
        <v>3058</v>
      </c>
      <c r="B3059" t="str">
        <f xml:space="preserve"> "600714"</f>
        <v>600714</v>
      </c>
      <c r="C3059" t="s">
        <v>8761</v>
      </c>
      <c r="D3059">
        <v>11.93</v>
      </c>
      <c r="E3059">
        <v>-0.08</v>
      </c>
      <c r="F3059">
        <v>-0.01</v>
      </c>
      <c r="G3059" t="s">
        <v>1285</v>
      </c>
      <c r="H3059">
        <v>10</v>
      </c>
      <c r="I3059">
        <v>11.93</v>
      </c>
      <c r="J3059">
        <v>11.94</v>
      </c>
      <c r="K3059">
        <v>0</v>
      </c>
      <c r="L3059">
        <v>0.87</v>
      </c>
      <c r="M3059" t="s">
        <v>8762</v>
      </c>
      <c r="N3059">
        <v>183.19</v>
      </c>
      <c r="O3059" t="s">
        <v>859</v>
      </c>
      <c r="P3059">
        <v>11.99</v>
      </c>
      <c r="Q3059">
        <v>11.85</v>
      </c>
      <c r="R3059">
        <v>11.97</v>
      </c>
      <c r="S3059">
        <v>11.94</v>
      </c>
      <c r="T3059">
        <v>1.17</v>
      </c>
      <c r="U3059">
        <v>1.1599999999999999</v>
      </c>
      <c r="V3059">
        <v>-54.74</v>
      </c>
      <c r="W3059">
        <v>-707</v>
      </c>
      <c r="X3059">
        <v>11.91</v>
      </c>
      <c r="Y3059" t="s">
        <v>1579</v>
      </c>
      <c r="Z3059" t="s">
        <v>2002</v>
      </c>
      <c r="AA3059">
        <v>1.22</v>
      </c>
      <c r="AB3059">
        <v>169</v>
      </c>
      <c r="AC3059">
        <v>196</v>
      </c>
      <c r="AD3059">
        <v>5.74</v>
      </c>
      <c r="AE3059" t="s">
        <v>2668</v>
      </c>
      <c r="AF3059" t="s">
        <v>4625</v>
      </c>
      <c r="AG3059" t="s">
        <v>6216</v>
      </c>
      <c r="AH3059" t="s">
        <v>4488</v>
      </c>
      <c r="AI3059">
        <v>-1.97</v>
      </c>
      <c r="AJ3059">
        <v>-0.08</v>
      </c>
      <c r="AK3059">
        <v>2.6</v>
      </c>
      <c r="AL3059">
        <v>4.6100000000000003</v>
      </c>
    </row>
    <row r="3060" spans="1:38" x14ac:dyDescent="0.25">
      <c r="A3060">
        <v>3059</v>
      </c>
      <c r="B3060" t="str">
        <f xml:space="preserve"> "002347"</f>
        <v>002347</v>
      </c>
      <c r="C3060" t="s">
        <v>8763</v>
      </c>
      <c r="D3060">
        <v>7.65</v>
      </c>
      <c r="E3060">
        <v>-2.5499999999999998</v>
      </c>
      <c r="F3060">
        <v>-0.2</v>
      </c>
      <c r="G3060" t="s">
        <v>2955</v>
      </c>
      <c r="H3060">
        <v>3425</v>
      </c>
      <c r="I3060">
        <v>7.65</v>
      </c>
      <c r="J3060">
        <v>7.66</v>
      </c>
      <c r="K3060">
        <v>0.13</v>
      </c>
      <c r="L3060">
        <v>5.78</v>
      </c>
      <c r="M3060" t="s">
        <v>1862</v>
      </c>
      <c r="N3060">
        <v>200.13</v>
      </c>
      <c r="O3060" t="s">
        <v>648</v>
      </c>
      <c r="P3060">
        <v>7.87</v>
      </c>
      <c r="Q3060">
        <v>7.58</v>
      </c>
      <c r="R3060">
        <v>7.84</v>
      </c>
      <c r="S3060">
        <v>7.85</v>
      </c>
      <c r="T3060">
        <v>3.69</v>
      </c>
      <c r="U3060">
        <v>1.02</v>
      </c>
      <c r="V3060">
        <v>59.99</v>
      </c>
      <c r="W3060">
        <v>3230</v>
      </c>
      <c r="X3060">
        <v>7.69</v>
      </c>
      <c r="Y3060" t="s">
        <v>3073</v>
      </c>
      <c r="Z3060" t="s">
        <v>5511</v>
      </c>
      <c r="AA3060">
        <v>1.69</v>
      </c>
      <c r="AB3060">
        <v>1788</v>
      </c>
      <c r="AC3060">
        <v>84</v>
      </c>
      <c r="AD3060">
        <v>2.79</v>
      </c>
      <c r="AE3060" t="s">
        <v>1676</v>
      </c>
      <c r="AF3060" t="s">
        <v>4625</v>
      </c>
      <c r="AG3060" t="s">
        <v>3728</v>
      </c>
      <c r="AH3060" t="s">
        <v>1061</v>
      </c>
      <c r="AI3060">
        <v>-5.56</v>
      </c>
      <c r="AJ3060">
        <v>3.94</v>
      </c>
      <c r="AK3060">
        <v>25.99</v>
      </c>
      <c r="AL3060">
        <v>29.36</v>
      </c>
    </row>
    <row r="3061" spans="1:38" x14ac:dyDescent="0.25">
      <c r="A3061">
        <v>3060</v>
      </c>
      <c r="B3061" t="str">
        <f xml:space="preserve"> "600319"</f>
        <v>600319</v>
      </c>
      <c r="C3061" t="s">
        <v>8764</v>
      </c>
      <c r="D3061">
        <v>10.89</v>
      </c>
      <c r="E3061">
        <v>4.71</v>
      </c>
      <c r="F3061">
        <v>0.49</v>
      </c>
      <c r="G3061" t="s">
        <v>2944</v>
      </c>
      <c r="H3061">
        <v>10</v>
      </c>
      <c r="I3061">
        <v>10.87</v>
      </c>
      <c r="J3061">
        <v>10.89</v>
      </c>
      <c r="K3061">
        <v>0</v>
      </c>
      <c r="L3061">
        <v>1.65</v>
      </c>
      <c r="M3061" t="s">
        <v>8765</v>
      </c>
      <c r="N3061">
        <v>230.82</v>
      </c>
      <c r="O3061" t="s">
        <v>667</v>
      </c>
      <c r="P3061">
        <v>11.07</v>
      </c>
      <c r="Q3061">
        <v>10.38</v>
      </c>
      <c r="R3061">
        <v>10.43</v>
      </c>
      <c r="S3061">
        <v>10.4</v>
      </c>
      <c r="T3061">
        <v>6.63</v>
      </c>
      <c r="U3061">
        <v>3.73</v>
      </c>
      <c r="V3061">
        <v>-23.06</v>
      </c>
      <c r="W3061">
        <v>-572</v>
      </c>
      <c r="X3061">
        <v>10.82</v>
      </c>
      <c r="Y3061" t="s">
        <v>2558</v>
      </c>
      <c r="Z3061" t="s">
        <v>2543</v>
      </c>
      <c r="AA3061">
        <v>0.44</v>
      </c>
      <c r="AB3061">
        <v>192</v>
      </c>
      <c r="AC3061">
        <v>190</v>
      </c>
      <c r="AD3061">
        <v>223.65</v>
      </c>
      <c r="AE3061" t="s">
        <v>2471</v>
      </c>
      <c r="AF3061" t="s">
        <v>4625</v>
      </c>
      <c r="AG3061" t="s">
        <v>2471</v>
      </c>
      <c r="AH3061" t="s">
        <v>4625</v>
      </c>
      <c r="AI3061">
        <v>4.91</v>
      </c>
      <c r="AJ3061">
        <v>5.22</v>
      </c>
      <c r="AK3061">
        <v>2.68</v>
      </c>
      <c r="AL3061">
        <v>3.85</v>
      </c>
    </row>
    <row r="3062" spans="1:38" x14ac:dyDescent="0.25">
      <c r="A3062">
        <v>3061</v>
      </c>
      <c r="B3062" t="str">
        <f xml:space="preserve"> "300132"</f>
        <v>300132</v>
      </c>
      <c r="C3062" t="s">
        <v>8766</v>
      </c>
      <c r="D3062">
        <v>8.9</v>
      </c>
      <c r="E3062">
        <v>1.1399999999999999</v>
      </c>
      <c r="F3062">
        <v>0.1</v>
      </c>
      <c r="G3062" t="s">
        <v>2088</v>
      </c>
      <c r="H3062">
        <v>275</v>
      </c>
      <c r="I3062">
        <v>8.9</v>
      </c>
      <c r="J3062">
        <v>8.91</v>
      </c>
      <c r="K3062">
        <v>0</v>
      </c>
      <c r="L3062">
        <v>0.8</v>
      </c>
      <c r="M3062" t="s">
        <v>8767</v>
      </c>
      <c r="N3062">
        <v>41.79</v>
      </c>
      <c r="O3062" t="s">
        <v>667</v>
      </c>
      <c r="P3062">
        <v>8.91</v>
      </c>
      <c r="Q3062">
        <v>8.76</v>
      </c>
      <c r="R3062">
        <v>8.77</v>
      </c>
      <c r="S3062">
        <v>8.8000000000000007</v>
      </c>
      <c r="T3062">
        <v>1.7</v>
      </c>
      <c r="U3062">
        <v>1.04</v>
      </c>
      <c r="V3062">
        <v>-68.11</v>
      </c>
      <c r="W3062">
        <v>-2285</v>
      </c>
      <c r="X3062">
        <v>8.8699999999999992</v>
      </c>
      <c r="Y3062">
        <v>8909</v>
      </c>
      <c r="Z3062" t="s">
        <v>3234</v>
      </c>
      <c r="AA3062">
        <v>0.63</v>
      </c>
      <c r="AB3062">
        <v>104</v>
      </c>
      <c r="AC3062">
        <v>1636</v>
      </c>
      <c r="AD3062">
        <v>5.09</v>
      </c>
      <c r="AE3062" t="s">
        <v>787</v>
      </c>
      <c r="AF3062" t="s">
        <v>585</v>
      </c>
      <c r="AG3062" t="s">
        <v>726</v>
      </c>
      <c r="AH3062" t="s">
        <v>705</v>
      </c>
      <c r="AI3062">
        <v>0.68</v>
      </c>
      <c r="AJ3062">
        <v>5.2</v>
      </c>
      <c r="AK3062">
        <v>2.38</v>
      </c>
      <c r="AL3062">
        <v>4.62</v>
      </c>
    </row>
    <row r="3063" spans="1:38" x14ac:dyDescent="0.25">
      <c r="A3063">
        <v>3062</v>
      </c>
      <c r="B3063" t="str">
        <f xml:space="preserve"> "300589"</f>
        <v>300589</v>
      </c>
      <c r="C3063" t="s">
        <v>8768</v>
      </c>
      <c r="D3063">
        <v>30.48</v>
      </c>
      <c r="E3063">
        <v>-2.31</v>
      </c>
      <c r="F3063">
        <v>-0.72</v>
      </c>
      <c r="G3063" t="s">
        <v>1560</v>
      </c>
      <c r="H3063">
        <v>827</v>
      </c>
      <c r="I3063">
        <v>30.47</v>
      </c>
      <c r="J3063">
        <v>30.48</v>
      </c>
      <c r="K3063">
        <v>0.03</v>
      </c>
      <c r="L3063">
        <v>15.75</v>
      </c>
      <c r="M3063" t="s">
        <v>1985</v>
      </c>
      <c r="N3063">
        <v>110.08</v>
      </c>
      <c r="O3063" t="s">
        <v>635</v>
      </c>
      <c r="P3063">
        <v>31</v>
      </c>
      <c r="Q3063">
        <v>30.2</v>
      </c>
      <c r="R3063">
        <v>31</v>
      </c>
      <c r="S3063">
        <v>31.2</v>
      </c>
      <c r="T3063">
        <v>2.56</v>
      </c>
      <c r="U3063">
        <v>0.51</v>
      </c>
      <c r="V3063">
        <v>29.24</v>
      </c>
      <c r="W3063">
        <v>287</v>
      </c>
      <c r="X3063">
        <v>30.41</v>
      </c>
      <c r="Y3063" t="s">
        <v>2115</v>
      </c>
      <c r="Z3063" t="s">
        <v>3950</v>
      </c>
      <c r="AA3063">
        <v>1.88</v>
      </c>
      <c r="AB3063">
        <v>29</v>
      </c>
      <c r="AC3063">
        <v>149</v>
      </c>
      <c r="AD3063">
        <v>11.8</v>
      </c>
      <c r="AE3063" t="s">
        <v>2869</v>
      </c>
      <c r="AF3063" t="s">
        <v>585</v>
      </c>
      <c r="AG3063" t="s">
        <v>8769</v>
      </c>
      <c r="AH3063" t="s">
        <v>2249</v>
      </c>
      <c r="AI3063">
        <v>-0.62</v>
      </c>
      <c r="AJ3063">
        <v>-2.4</v>
      </c>
      <c r="AK3063">
        <v>61.88</v>
      </c>
      <c r="AL3063">
        <v>169.84</v>
      </c>
    </row>
    <row r="3064" spans="1:38" x14ac:dyDescent="0.25">
      <c r="A3064">
        <v>3063</v>
      </c>
      <c r="B3064" t="str">
        <f xml:space="preserve"> "002863"</f>
        <v>002863</v>
      </c>
      <c r="C3064" t="s">
        <v>8770</v>
      </c>
      <c r="D3064">
        <v>15.5</v>
      </c>
      <c r="E3064">
        <v>1.91</v>
      </c>
      <c r="F3064">
        <v>0.28999999999999998</v>
      </c>
      <c r="G3064" t="s">
        <v>1090</v>
      </c>
      <c r="H3064">
        <v>1501</v>
      </c>
      <c r="I3064">
        <v>15.5</v>
      </c>
      <c r="J3064">
        <v>15.51</v>
      </c>
      <c r="K3064">
        <v>0.06</v>
      </c>
      <c r="L3064">
        <v>6.66</v>
      </c>
      <c r="M3064" t="s">
        <v>8771</v>
      </c>
      <c r="N3064">
        <v>50.31</v>
      </c>
      <c r="O3064" t="s">
        <v>169</v>
      </c>
      <c r="P3064">
        <v>15.52</v>
      </c>
      <c r="Q3064">
        <v>15.16</v>
      </c>
      <c r="R3064">
        <v>15.16</v>
      </c>
      <c r="S3064">
        <v>15.21</v>
      </c>
      <c r="T3064">
        <v>2.37</v>
      </c>
      <c r="U3064">
        <v>1.51</v>
      </c>
      <c r="V3064">
        <v>-24.43</v>
      </c>
      <c r="W3064">
        <v>-547</v>
      </c>
      <c r="X3064">
        <v>15.41</v>
      </c>
      <c r="Y3064" t="s">
        <v>1799</v>
      </c>
      <c r="Z3064" t="s">
        <v>3272</v>
      </c>
      <c r="AA3064">
        <v>0.52</v>
      </c>
      <c r="AB3064">
        <v>445</v>
      </c>
      <c r="AC3064">
        <v>275</v>
      </c>
      <c r="AD3064">
        <v>3.9</v>
      </c>
      <c r="AE3064" t="s">
        <v>439</v>
      </c>
      <c r="AF3064" t="s">
        <v>585</v>
      </c>
      <c r="AG3064" t="s">
        <v>8772</v>
      </c>
      <c r="AH3064" t="s">
        <v>130</v>
      </c>
      <c r="AI3064">
        <v>1.1100000000000001</v>
      </c>
      <c r="AJ3064">
        <v>3.54</v>
      </c>
      <c r="AK3064">
        <v>15.97</v>
      </c>
      <c r="AL3064">
        <v>28.71</v>
      </c>
    </row>
    <row r="3065" spans="1:38" x14ac:dyDescent="0.25">
      <c r="A3065">
        <v>3064</v>
      </c>
      <c r="B3065" t="str">
        <f xml:space="preserve"> "603223"</f>
        <v>603223</v>
      </c>
      <c r="C3065" t="s">
        <v>8773</v>
      </c>
      <c r="D3065">
        <v>28.61</v>
      </c>
      <c r="E3065">
        <v>1.49</v>
      </c>
      <c r="F3065">
        <v>0.42</v>
      </c>
      <c r="G3065" t="s">
        <v>1189</v>
      </c>
      <c r="H3065">
        <v>25</v>
      </c>
      <c r="I3065">
        <v>28.64</v>
      </c>
      <c r="J3065">
        <v>28.65</v>
      </c>
      <c r="K3065">
        <v>-0.31</v>
      </c>
      <c r="L3065">
        <v>3.6</v>
      </c>
      <c r="M3065" t="s">
        <v>6259</v>
      </c>
      <c r="N3065">
        <v>56.98</v>
      </c>
      <c r="O3065" t="s">
        <v>274</v>
      </c>
      <c r="P3065">
        <v>28.98</v>
      </c>
      <c r="Q3065">
        <v>28</v>
      </c>
      <c r="R3065">
        <v>28</v>
      </c>
      <c r="S3065">
        <v>28.19</v>
      </c>
      <c r="T3065">
        <v>3.48</v>
      </c>
      <c r="U3065">
        <v>0.78</v>
      </c>
      <c r="V3065">
        <v>19.68</v>
      </c>
      <c r="W3065">
        <v>73</v>
      </c>
      <c r="X3065">
        <v>28.63</v>
      </c>
      <c r="Y3065" t="s">
        <v>1077</v>
      </c>
      <c r="Z3065" t="s">
        <v>125</v>
      </c>
      <c r="AA3065">
        <v>0.86</v>
      </c>
      <c r="AB3065">
        <v>5</v>
      </c>
      <c r="AC3065">
        <v>18</v>
      </c>
      <c r="AD3065">
        <v>5.35</v>
      </c>
      <c r="AE3065" t="s">
        <v>918</v>
      </c>
      <c r="AF3065" t="s">
        <v>585</v>
      </c>
      <c r="AG3065" t="s">
        <v>8774</v>
      </c>
      <c r="AH3065" t="s">
        <v>1720</v>
      </c>
      <c r="AI3065">
        <v>5.18</v>
      </c>
      <c r="AJ3065">
        <v>8.33</v>
      </c>
      <c r="AK3065">
        <v>17.149999999999999</v>
      </c>
      <c r="AL3065">
        <v>26.59</v>
      </c>
    </row>
    <row r="3066" spans="1:38" x14ac:dyDescent="0.25">
      <c r="A3066">
        <v>3065</v>
      </c>
      <c r="B3066" t="str">
        <f xml:space="preserve"> "600101"</f>
        <v>600101</v>
      </c>
      <c r="C3066" t="s">
        <v>8775</v>
      </c>
      <c r="D3066">
        <v>10.58</v>
      </c>
      <c r="E3066">
        <v>-0.09</v>
      </c>
      <c r="F3066">
        <v>-0.01</v>
      </c>
      <c r="G3066" t="s">
        <v>1692</v>
      </c>
      <c r="H3066">
        <v>20</v>
      </c>
      <c r="I3066">
        <v>10.57</v>
      </c>
      <c r="J3066">
        <v>10.58</v>
      </c>
      <c r="K3066">
        <v>0.19</v>
      </c>
      <c r="L3066">
        <v>1.18</v>
      </c>
      <c r="M3066" t="s">
        <v>8776</v>
      </c>
      <c r="N3066">
        <v>39.799999999999997</v>
      </c>
      <c r="O3066" t="s">
        <v>186</v>
      </c>
      <c r="P3066">
        <v>10.65</v>
      </c>
      <c r="Q3066">
        <v>10.52</v>
      </c>
      <c r="R3066">
        <v>10.59</v>
      </c>
      <c r="S3066">
        <v>10.59</v>
      </c>
      <c r="T3066">
        <v>1.23</v>
      </c>
      <c r="U3066">
        <v>0.69</v>
      </c>
      <c r="V3066">
        <v>-19.059999999999999</v>
      </c>
      <c r="W3066">
        <v>-576</v>
      </c>
      <c r="X3066">
        <v>10.57</v>
      </c>
      <c r="Y3066" t="s">
        <v>1887</v>
      </c>
      <c r="Z3066" t="s">
        <v>125</v>
      </c>
      <c r="AA3066">
        <v>1.49</v>
      </c>
      <c r="AB3066">
        <v>333</v>
      </c>
      <c r="AC3066">
        <v>20</v>
      </c>
      <c r="AD3066">
        <v>1.71</v>
      </c>
      <c r="AE3066" t="s">
        <v>3682</v>
      </c>
      <c r="AF3066" t="s">
        <v>585</v>
      </c>
      <c r="AG3066" t="s">
        <v>3682</v>
      </c>
      <c r="AH3066" t="s">
        <v>585</v>
      </c>
      <c r="AI3066">
        <v>-0.09</v>
      </c>
      <c r="AJ3066">
        <v>1.44</v>
      </c>
      <c r="AK3066">
        <v>5.99</v>
      </c>
      <c r="AL3066">
        <v>9.65</v>
      </c>
    </row>
    <row r="3067" spans="1:38" x14ac:dyDescent="0.25">
      <c r="A3067">
        <v>3066</v>
      </c>
      <c r="B3067" t="str">
        <f xml:space="preserve"> "300668"</f>
        <v>300668</v>
      </c>
      <c r="C3067" t="s">
        <v>8777</v>
      </c>
      <c r="D3067">
        <v>81.31</v>
      </c>
      <c r="E3067">
        <v>4.4000000000000004</v>
      </c>
      <c r="F3067">
        <v>3.43</v>
      </c>
      <c r="G3067" t="s">
        <v>5621</v>
      </c>
      <c r="H3067">
        <v>138</v>
      </c>
      <c r="I3067">
        <v>81.27</v>
      </c>
      <c r="J3067">
        <v>81.31</v>
      </c>
      <c r="K3067">
        <v>0.06</v>
      </c>
      <c r="L3067">
        <v>12.86</v>
      </c>
      <c r="M3067" t="s">
        <v>4443</v>
      </c>
      <c r="N3067">
        <v>65.88</v>
      </c>
      <c r="O3067" t="s">
        <v>2309</v>
      </c>
      <c r="P3067">
        <v>81.8</v>
      </c>
      <c r="Q3067">
        <v>78.05</v>
      </c>
      <c r="R3067">
        <v>79.19</v>
      </c>
      <c r="S3067">
        <v>77.88</v>
      </c>
      <c r="T3067">
        <v>4.82</v>
      </c>
      <c r="U3067">
        <v>1.22</v>
      </c>
      <c r="V3067">
        <v>-39.130000000000003</v>
      </c>
      <c r="W3067">
        <v>-36</v>
      </c>
      <c r="X3067">
        <v>80.36</v>
      </c>
      <c r="Y3067">
        <v>5920</v>
      </c>
      <c r="Z3067">
        <v>7683</v>
      </c>
      <c r="AA3067">
        <v>0.77</v>
      </c>
      <c r="AB3067">
        <v>3</v>
      </c>
      <c r="AC3067">
        <v>7</v>
      </c>
      <c r="AD3067">
        <v>9.85</v>
      </c>
      <c r="AE3067" t="s">
        <v>5071</v>
      </c>
      <c r="AF3067" t="s">
        <v>585</v>
      </c>
      <c r="AG3067" t="s">
        <v>8778</v>
      </c>
      <c r="AH3067" t="s">
        <v>130</v>
      </c>
      <c r="AI3067">
        <v>0.56999999999999995</v>
      </c>
      <c r="AJ3067">
        <v>7.11</v>
      </c>
      <c r="AK3067">
        <v>33.020000000000003</v>
      </c>
      <c r="AL3067">
        <v>65.510000000000005</v>
      </c>
    </row>
    <row r="3068" spans="1:38" x14ac:dyDescent="0.25">
      <c r="A3068">
        <v>3067</v>
      </c>
      <c r="B3068" t="str">
        <f xml:space="preserve"> "002655"</f>
        <v>002655</v>
      </c>
      <c r="C3068" t="s">
        <v>8779</v>
      </c>
      <c r="D3068">
        <v>9.52</v>
      </c>
      <c r="E3068">
        <v>-1.65</v>
      </c>
      <c r="F3068">
        <v>-0.16</v>
      </c>
      <c r="G3068" t="s">
        <v>2943</v>
      </c>
      <c r="H3068">
        <v>1648</v>
      </c>
      <c r="I3068">
        <v>9.52</v>
      </c>
      <c r="J3068">
        <v>9.5299999999999994</v>
      </c>
      <c r="K3068">
        <v>-0.1</v>
      </c>
      <c r="L3068">
        <v>2.78</v>
      </c>
      <c r="M3068" t="s">
        <v>5965</v>
      </c>
      <c r="N3068">
        <v>362.71</v>
      </c>
      <c r="O3068" t="s">
        <v>380</v>
      </c>
      <c r="P3068">
        <v>9.66</v>
      </c>
      <c r="Q3068">
        <v>9.48</v>
      </c>
      <c r="R3068">
        <v>9.66</v>
      </c>
      <c r="S3068">
        <v>9.68</v>
      </c>
      <c r="T3068">
        <v>1.86</v>
      </c>
      <c r="U3068">
        <v>0.9</v>
      </c>
      <c r="V3068">
        <v>2.46</v>
      </c>
      <c r="W3068">
        <v>113</v>
      </c>
      <c r="X3068">
        <v>9.5500000000000007</v>
      </c>
      <c r="Y3068" t="s">
        <v>264</v>
      </c>
      <c r="Z3068" t="s">
        <v>2476</v>
      </c>
      <c r="AA3068">
        <v>1.68</v>
      </c>
      <c r="AB3068">
        <v>209</v>
      </c>
      <c r="AC3068">
        <v>799</v>
      </c>
      <c r="AD3068">
        <v>5.3</v>
      </c>
      <c r="AE3068" t="s">
        <v>852</v>
      </c>
      <c r="AF3068" t="s">
        <v>585</v>
      </c>
      <c r="AG3068" t="s">
        <v>852</v>
      </c>
      <c r="AH3068" t="s">
        <v>585</v>
      </c>
      <c r="AI3068">
        <v>1.28</v>
      </c>
      <c r="AJ3068">
        <v>5.08</v>
      </c>
      <c r="AK3068">
        <v>9.64</v>
      </c>
      <c r="AL3068">
        <v>18.27</v>
      </c>
    </row>
    <row r="3069" spans="1:38" x14ac:dyDescent="0.25">
      <c r="A3069">
        <v>3068</v>
      </c>
      <c r="B3069" t="str">
        <f xml:space="preserve"> "300375"</f>
        <v>300375</v>
      </c>
      <c r="C3069" t="s">
        <v>8780</v>
      </c>
      <c r="D3069">
        <v>18.45</v>
      </c>
      <c r="E3069">
        <v>1.26</v>
      </c>
      <c r="F3069">
        <v>0.23</v>
      </c>
      <c r="G3069">
        <v>8455</v>
      </c>
      <c r="H3069">
        <v>53</v>
      </c>
      <c r="I3069">
        <v>18.45</v>
      </c>
      <c r="J3069">
        <v>18.46</v>
      </c>
      <c r="K3069">
        <v>-0.05</v>
      </c>
      <c r="L3069">
        <v>0.63</v>
      </c>
      <c r="M3069" t="s">
        <v>8781</v>
      </c>
      <c r="N3069">
        <v>26.37</v>
      </c>
      <c r="O3069" t="s">
        <v>169</v>
      </c>
      <c r="P3069">
        <v>18.47</v>
      </c>
      <c r="Q3069">
        <v>18.170000000000002</v>
      </c>
      <c r="R3069">
        <v>18.170000000000002</v>
      </c>
      <c r="S3069">
        <v>18.22</v>
      </c>
      <c r="T3069">
        <v>1.65</v>
      </c>
      <c r="U3069">
        <v>1.0900000000000001</v>
      </c>
      <c r="V3069">
        <v>-65.709999999999994</v>
      </c>
      <c r="W3069">
        <v>-621</v>
      </c>
      <c r="X3069">
        <v>18.38</v>
      </c>
      <c r="Y3069">
        <v>3182</v>
      </c>
      <c r="Z3069">
        <v>5273</v>
      </c>
      <c r="AA3069">
        <v>0.6</v>
      </c>
      <c r="AB3069">
        <v>16</v>
      </c>
      <c r="AC3069">
        <v>167</v>
      </c>
      <c r="AD3069">
        <v>2.65</v>
      </c>
      <c r="AE3069" t="s">
        <v>823</v>
      </c>
      <c r="AF3069" t="s">
        <v>585</v>
      </c>
      <c r="AG3069" t="s">
        <v>2973</v>
      </c>
      <c r="AH3069" t="s">
        <v>2716</v>
      </c>
      <c r="AI3069">
        <v>0.16</v>
      </c>
      <c r="AJ3069">
        <v>3.83</v>
      </c>
      <c r="AK3069">
        <v>1.71</v>
      </c>
      <c r="AL3069">
        <v>3.53</v>
      </c>
    </row>
    <row r="3070" spans="1:38" x14ac:dyDescent="0.25">
      <c r="A3070">
        <v>3069</v>
      </c>
      <c r="B3070" t="str">
        <f xml:space="preserve"> "600806"</f>
        <v>600806</v>
      </c>
      <c r="C3070" t="s">
        <v>8782</v>
      </c>
      <c r="D3070" t="s">
        <v>616</v>
      </c>
      <c r="E3070" t="s">
        <v>616</v>
      </c>
      <c r="F3070" t="s">
        <v>616</v>
      </c>
      <c r="G3070" t="s">
        <v>616</v>
      </c>
      <c r="H3070" t="s">
        <v>616</v>
      </c>
      <c r="I3070" t="s">
        <v>616</v>
      </c>
      <c r="J3070" t="s">
        <v>616</v>
      </c>
      <c r="K3070" t="s">
        <v>616</v>
      </c>
      <c r="L3070" t="s">
        <v>616</v>
      </c>
      <c r="M3070" t="s">
        <v>616</v>
      </c>
      <c r="N3070">
        <v>-11.06</v>
      </c>
      <c r="O3070" t="s">
        <v>648</v>
      </c>
      <c r="P3070" t="s">
        <v>616</v>
      </c>
      <c r="Q3070" t="s">
        <v>616</v>
      </c>
      <c r="R3070" t="s">
        <v>616</v>
      </c>
      <c r="S3070">
        <v>6.44</v>
      </c>
      <c r="T3070" t="s">
        <v>616</v>
      </c>
      <c r="U3070" t="s">
        <v>616</v>
      </c>
      <c r="V3070" t="s">
        <v>616</v>
      </c>
      <c r="W3070" t="s">
        <v>616</v>
      </c>
      <c r="X3070" t="s">
        <v>616</v>
      </c>
      <c r="Y3070" t="s">
        <v>616</v>
      </c>
      <c r="Z3070" t="s">
        <v>616</v>
      </c>
      <c r="AA3070" t="s">
        <v>616</v>
      </c>
      <c r="AB3070" t="s">
        <v>616</v>
      </c>
      <c r="AC3070" t="s">
        <v>616</v>
      </c>
      <c r="AD3070">
        <v>12.98</v>
      </c>
      <c r="AE3070" t="s">
        <v>1220</v>
      </c>
      <c r="AF3070" t="s">
        <v>1802</v>
      </c>
      <c r="AG3070" t="s">
        <v>431</v>
      </c>
      <c r="AH3070" t="s">
        <v>1061</v>
      </c>
      <c r="AI3070">
        <v>0</v>
      </c>
      <c r="AJ3070">
        <v>0</v>
      </c>
      <c r="AK3070">
        <v>0</v>
      </c>
      <c r="AL3070">
        <v>0</v>
      </c>
    </row>
    <row r="3071" spans="1:38" x14ac:dyDescent="0.25">
      <c r="A3071">
        <v>3070</v>
      </c>
      <c r="B3071" t="str">
        <f xml:space="preserve"> "300608"</f>
        <v>300608</v>
      </c>
      <c r="C3071" t="s">
        <v>8783</v>
      </c>
      <c r="D3071">
        <v>38.96</v>
      </c>
      <c r="E3071">
        <v>-1.72</v>
      </c>
      <c r="F3071">
        <v>-0.68</v>
      </c>
      <c r="G3071" t="s">
        <v>1381</v>
      </c>
      <c r="H3071">
        <v>356</v>
      </c>
      <c r="I3071">
        <v>38.950000000000003</v>
      </c>
      <c r="J3071">
        <v>38.99</v>
      </c>
      <c r="K3071">
        <v>0.08</v>
      </c>
      <c r="L3071">
        <v>9.18</v>
      </c>
      <c r="M3071" t="s">
        <v>8784</v>
      </c>
      <c r="N3071">
        <v>-212.99</v>
      </c>
      <c r="O3071" t="s">
        <v>553</v>
      </c>
      <c r="P3071">
        <v>39.47</v>
      </c>
      <c r="Q3071">
        <v>38.549999999999997</v>
      </c>
      <c r="R3071">
        <v>39.47</v>
      </c>
      <c r="S3071">
        <v>39.64</v>
      </c>
      <c r="T3071">
        <v>2.3199999999999998</v>
      </c>
      <c r="U3071">
        <v>0.56999999999999995</v>
      </c>
      <c r="V3071">
        <v>55.46</v>
      </c>
      <c r="W3071">
        <v>254</v>
      </c>
      <c r="X3071">
        <v>39.04</v>
      </c>
      <c r="Y3071" t="s">
        <v>3095</v>
      </c>
      <c r="Z3071">
        <v>8506</v>
      </c>
      <c r="AA3071">
        <v>1.36</v>
      </c>
      <c r="AB3071">
        <v>153</v>
      </c>
      <c r="AC3071">
        <v>4</v>
      </c>
      <c r="AD3071">
        <v>5.91</v>
      </c>
      <c r="AE3071" t="s">
        <v>8785</v>
      </c>
      <c r="AF3071" t="s">
        <v>4131</v>
      </c>
      <c r="AG3071" t="s">
        <v>8786</v>
      </c>
      <c r="AH3071" t="s">
        <v>3681</v>
      </c>
      <c r="AI3071">
        <v>-0.69</v>
      </c>
      <c r="AJ3071">
        <v>5.35</v>
      </c>
      <c r="AK3071">
        <v>35.020000000000003</v>
      </c>
      <c r="AL3071">
        <v>90.07</v>
      </c>
    </row>
    <row r="3072" spans="1:38" x14ac:dyDescent="0.25">
      <c r="A3072">
        <v>3071</v>
      </c>
      <c r="B3072" t="str">
        <f xml:space="preserve"> "300076"</f>
        <v>300076</v>
      </c>
      <c r="C3072" t="s">
        <v>8787</v>
      </c>
      <c r="D3072">
        <v>8.0500000000000007</v>
      </c>
      <c r="E3072">
        <v>-8.2100000000000009</v>
      </c>
      <c r="F3072">
        <v>-0.72</v>
      </c>
      <c r="G3072" t="s">
        <v>8788</v>
      </c>
      <c r="H3072">
        <v>8608</v>
      </c>
      <c r="I3072">
        <v>8.0500000000000007</v>
      </c>
      <c r="J3072">
        <v>8.06</v>
      </c>
      <c r="K3072">
        <v>0</v>
      </c>
      <c r="L3072">
        <v>9.58</v>
      </c>
      <c r="M3072" t="s">
        <v>2268</v>
      </c>
      <c r="N3072">
        <v>-91.35</v>
      </c>
      <c r="O3072" t="s">
        <v>205</v>
      </c>
      <c r="P3072">
        <v>8.86</v>
      </c>
      <c r="Q3072">
        <v>8.0399999999999991</v>
      </c>
      <c r="R3072">
        <v>8.7100000000000009</v>
      </c>
      <c r="S3072">
        <v>8.77</v>
      </c>
      <c r="T3072">
        <v>9.35</v>
      </c>
      <c r="U3072">
        <v>1.7</v>
      </c>
      <c r="V3072">
        <v>53.54</v>
      </c>
      <c r="W3072">
        <v>5507</v>
      </c>
      <c r="X3072">
        <v>8.33</v>
      </c>
      <c r="Y3072" t="s">
        <v>3256</v>
      </c>
      <c r="Z3072" t="s">
        <v>689</v>
      </c>
      <c r="AA3072">
        <v>1.48</v>
      </c>
      <c r="AB3072">
        <v>3558</v>
      </c>
      <c r="AC3072">
        <v>489</v>
      </c>
      <c r="AD3072">
        <v>3.17</v>
      </c>
      <c r="AE3072" t="s">
        <v>5006</v>
      </c>
      <c r="AF3072" t="s">
        <v>4131</v>
      </c>
      <c r="AG3072" t="s">
        <v>2591</v>
      </c>
      <c r="AH3072" t="s">
        <v>1123</v>
      </c>
      <c r="AI3072">
        <v>-11.05</v>
      </c>
      <c r="AJ3072">
        <v>-4.7300000000000004</v>
      </c>
      <c r="AK3072">
        <v>19.78</v>
      </c>
      <c r="AL3072">
        <v>37.799999999999997</v>
      </c>
    </row>
    <row r="3073" spans="1:38" x14ac:dyDescent="0.25">
      <c r="A3073">
        <v>3072</v>
      </c>
      <c r="B3073" t="str">
        <f xml:space="preserve"> "600248"</f>
        <v>600248</v>
      </c>
      <c r="C3073" t="s">
        <v>8789</v>
      </c>
      <c r="D3073" t="s">
        <v>616</v>
      </c>
      <c r="E3073" t="s">
        <v>616</v>
      </c>
      <c r="F3073" t="s">
        <v>616</v>
      </c>
      <c r="G3073" t="s">
        <v>616</v>
      </c>
      <c r="H3073" t="s">
        <v>616</v>
      </c>
      <c r="I3073" t="s">
        <v>616</v>
      </c>
      <c r="J3073" t="s">
        <v>616</v>
      </c>
      <c r="K3073" t="s">
        <v>616</v>
      </c>
      <c r="L3073" t="s">
        <v>616</v>
      </c>
      <c r="M3073" t="s">
        <v>616</v>
      </c>
      <c r="N3073">
        <v>27.49</v>
      </c>
      <c r="O3073" t="s">
        <v>61</v>
      </c>
      <c r="P3073" t="s">
        <v>616</v>
      </c>
      <c r="Q3073" t="s">
        <v>616</v>
      </c>
      <c r="R3073" t="s">
        <v>616</v>
      </c>
      <c r="S3073">
        <v>5.54</v>
      </c>
      <c r="T3073" t="s">
        <v>616</v>
      </c>
      <c r="U3073" t="s">
        <v>616</v>
      </c>
      <c r="V3073" t="s">
        <v>616</v>
      </c>
      <c r="W3073" t="s">
        <v>616</v>
      </c>
      <c r="X3073" t="s">
        <v>616</v>
      </c>
      <c r="Y3073" t="s">
        <v>616</v>
      </c>
      <c r="Z3073" t="s">
        <v>616</v>
      </c>
      <c r="AA3073" t="s">
        <v>616</v>
      </c>
      <c r="AB3073" t="s">
        <v>616</v>
      </c>
      <c r="AC3073" t="s">
        <v>616</v>
      </c>
      <c r="AD3073">
        <v>1.72</v>
      </c>
      <c r="AE3073" t="s">
        <v>4447</v>
      </c>
      <c r="AF3073" t="s">
        <v>4131</v>
      </c>
      <c r="AG3073" t="s">
        <v>8790</v>
      </c>
      <c r="AH3073" t="s">
        <v>3223</v>
      </c>
      <c r="AI3073">
        <v>0</v>
      </c>
      <c r="AJ3073">
        <v>0</v>
      </c>
      <c r="AK3073">
        <v>0</v>
      </c>
      <c r="AL3073">
        <v>0</v>
      </c>
    </row>
    <row r="3074" spans="1:38" x14ac:dyDescent="0.25">
      <c r="A3074">
        <v>3073</v>
      </c>
      <c r="B3074" t="str">
        <f xml:space="preserve"> "002849"</f>
        <v>002849</v>
      </c>
      <c r="C3074" t="s">
        <v>8791</v>
      </c>
      <c r="D3074">
        <v>39.35</v>
      </c>
      <c r="E3074">
        <v>-1.43</v>
      </c>
      <c r="F3074">
        <v>-0.56999999999999995</v>
      </c>
      <c r="G3074" t="s">
        <v>999</v>
      </c>
      <c r="H3074">
        <v>471</v>
      </c>
      <c r="I3074">
        <v>39.35</v>
      </c>
      <c r="J3074">
        <v>39.36</v>
      </c>
      <c r="K3074">
        <v>-0.1</v>
      </c>
      <c r="L3074">
        <v>6.65</v>
      </c>
      <c r="M3074" t="s">
        <v>8792</v>
      </c>
      <c r="N3074">
        <v>87.42</v>
      </c>
      <c r="O3074" t="s">
        <v>1372</v>
      </c>
      <c r="P3074">
        <v>40.380000000000003</v>
      </c>
      <c r="Q3074">
        <v>39.32</v>
      </c>
      <c r="R3074">
        <v>40.380000000000003</v>
      </c>
      <c r="S3074">
        <v>39.92</v>
      </c>
      <c r="T3074">
        <v>2.66</v>
      </c>
      <c r="U3074">
        <v>0.8</v>
      </c>
      <c r="V3074">
        <v>16.059999999999999</v>
      </c>
      <c r="W3074">
        <v>102</v>
      </c>
      <c r="X3074">
        <v>39.67</v>
      </c>
      <c r="Y3074">
        <v>8844</v>
      </c>
      <c r="Z3074">
        <v>5561</v>
      </c>
      <c r="AA3074">
        <v>1.59</v>
      </c>
      <c r="AB3074">
        <v>256</v>
      </c>
      <c r="AC3074">
        <v>5</v>
      </c>
      <c r="AD3074">
        <v>6.6</v>
      </c>
      <c r="AE3074" t="s">
        <v>7961</v>
      </c>
      <c r="AF3074" t="s">
        <v>4131</v>
      </c>
      <c r="AG3074" t="s">
        <v>8737</v>
      </c>
      <c r="AH3074" t="s">
        <v>5903</v>
      </c>
      <c r="AI3074">
        <v>-1.97</v>
      </c>
      <c r="AJ3074">
        <v>-0.66</v>
      </c>
      <c r="AK3074">
        <v>19.34</v>
      </c>
      <c r="AL3074">
        <v>47.98</v>
      </c>
    </row>
    <row r="3075" spans="1:38" x14ac:dyDescent="0.25">
      <c r="A3075">
        <v>3074</v>
      </c>
      <c r="B3075" t="str">
        <f xml:space="preserve"> "300631"</f>
        <v>300631</v>
      </c>
      <c r="C3075" t="s">
        <v>8793</v>
      </c>
      <c r="D3075">
        <v>33.229999999999997</v>
      </c>
      <c r="E3075">
        <v>4.53</v>
      </c>
      <c r="F3075">
        <v>1.44</v>
      </c>
      <c r="G3075" t="s">
        <v>4672</v>
      </c>
      <c r="H3075">
        <v>1425</v>
      </c>
      <c r="I3075">
        <v>33.22</v>
      </c>
      <c r="J3075">
        <v>33.229999999999997</v>
      </c>
      <c r="K3075">
        <v>0</v>
      </c>
      <c r="L3075">
        <v>35.090000000000003</v>
      </c>
      <c r="M3075" t="s">
        <v>5328</v>
      </c>
      <c r="N3075">
        <v>205.67</v>
      </c>
      <c r="O3075" t="s">
        <v>2647</v>
      </c>
      <c r="P3075">
        <v>34.299999999999997</v>
      </c>
      <c r="Q3075">
        <v>31.25</v>
      </c>
      <c r="R3075">
        <v>31.25</v>
      </c>
      <c r="S3075">
        <v>31.79</v>
      </c>
      <c r="T3075">
        <v>9.59</v>
      </c>
      <c r="U3075">
        <v>1.51</v>
      </c>
      <c r="V3075">
        <v>-13.35</v>
      </c>
      <c r="W3075">
        <v>-172</v>
      </c>
      <c r="X3075">
        <v>32.78</v>
      </c>
      <c r="Y3075" t="s">
        <v>3885</v>
      </c>
      <c r="Z3075" t="s">
        <v>4198</v>
      </c>
      <c r="AA3075">
        <v>0.83</v>
      </c>
      <c r="AB3075">
        <v>314</v>
      </c>
      <c r="AC3075">
        <v>539</v>
      </c>
      <c r="AD3075">
        <v>6.42</v>
      </c>
      <c r="AE3075" t="s">
        <v>2611</v>
      </c>
      <c r="AF3075" t="s">
        <v>4131</v>
      </c>
      <c r="AG3075" t="s">
        <v>8794</v>
      </c>
      <c r="AH3075" t="s">
        <v>2980</v>
      </c>
      <c r="AI3075">
        <v>2.09</v>
      </c>
      <c r="AJ3075">
        <v>-5.0599999999999996</v>
      </c>
      <c r="AK3075">
        <v>71.75</v>
      </c>
      <c r="AL3075">
        <v>151.12</v>
      </c>
    </row>
    <row r="3076" spans="1:38" x14ac:dyDescent="0.25">
      <c r="A3076">
        <v>3075</v>
      </c>
      <c r="B3076" t="str">
        <f xml:space="preserve"> "000023"</f>
        <v>000023</v>
      </c>
      <c r="C3076" t="s">
        <v>8795</v>
      </c>
      <c r="D3076">
        <v>24.56</v>
      </c>
      <c r="E3076">
        <v>0.16</v>
      </c>
      <c r="F3076">
        <v>0.04</v>
      </c>
      <c r="G3076">
        <v>5045</v>
      </c>
      <c r="H3076">
        <v>164</v>
      </c>
      <c r="I3076">
        <v>24.55</v>
      </c>
      <c r="J3076">
        <v>24.56</v>
      </c>
      <c r="K3076">
        <v>0.04</v>
      </c>
      <c r="L3076">
        <v>0.36</v>
      </c>
      <c r="M3076" t="s">
        <v>8796</v>
      </c>
      <c r="N3076">
        <v>88.84</v>
      </c>
      <c r="O3076" t="s">
        <v>562</v>
      </c>
      <c r="P3076">
        <v>24.88</v>
      </c>
      <c r="Q3076">
        <v>24.42</v>
      </c>
      <c r="R3076">
        <v>24.55</v>
      </c>
      <c r="S3076">
        <v>24.52</v>
      </c>
      <c r="T3076">
        <v>1.88</v>
      </c>
      <c r="U3076">
        <v>0.77</v>
      </c>
      <c r="V3076">
        <v>-34.17</v>
      </c>
      <c r="W3076">
        <v>-200</v>
      </c>
      <c r="X3076">
        <v>24.55</v>
      </c>
      <c r="Y3076">
        <v>2660</v>
      </c>
      <c r="Z3076">
        <v>2386</v>
      </c>
      <c r="AA3076">
        <v>1.1100000000000001</v>
      </c>
      <c r="AB3076">
        <v>7</v>
      </c>
      <c r="AC3076">
        <v>148</v>
      </c>
      <c r="AD3076">
        <v>8.6199999999999992</v>
      </c>
      <c r="AE3076" t="s">
        <v>3923</v>
      </c>
      <c r="AF3076" t="s">
        <v>4131</v>
      </c>
      <c r="AG3076" t="s">
        <v>3923</v>
      </c>
      <c r="AH3076" t="s">
        <v>4131</v>
      </c>
      <c r="AI3076">
        <v>-0.12</v>
      </c>
      <c r="AJ3076">
        <v>2.25</v>
      </c>
      <c r="AK3076">
        <v>1.37</v>
      </c>
      <c r="AL3076">
        <v>2.72</v>
      </c>
    </row>
    <row r="3077" spans="1:38" x14ac:dyDescent="0.25">
      <c r="A3077">
        <v>3076</v>
      </c>
      <c r="B3077" t="str">
        <f xml:space="preserve"> "600470"</f>
        <v>600470</v>
      </c>
      <c r="C3077" t="s">
        <v>8797</v>
      </c>
      <c r="D3077">
        <v>6.53</v>
      </c>
      <c r="E3077">
        <v>0.93</v>
      </c>
      <c r="F3077">
        <v>0.06</v>
      </c>
      <c r="G3077" t="s">
        <v>1373</v>
      </c>
      <c r="H3077">
        <v>14</v>
      </c>
      <c r="I3077">
        <v>6.53</v>
      </c>
      <c r="J3077">
        <v>6.54</v>
      </c>
      <c r="K3077">
        <v>0.15</v>
      </c>
      <c r="L3077">
        <v>0.71</v>
      </c>
      <c r="M3077" t="s">
        <v>6532</v>
      </c>
      <c r="N3077">
        <v>-196.23</v>
      </c>
      <c r="O3077" t="s">
        <v>1936</v>
      </c>
      <c r="P3077">
        <v>6.54</v>
      </c>
      <c r="Q3077">
        <v>6.45</v>
      </c>
      <c r="R3077">
        <v>6.49</v>
      </c>
      <c r="S3077">
        <v>6.47</v>
      </c>
      <c r="T3077">
        <v>1.39</v>
      </c>
      <c r="U3077">
        <v>0.42</v>
      </c>
      <c r="V3077">
        <v>-18.510000000000002</v>
      </c>
      <c r="W3077">
        <v>-1004</v>
      </c>
      <c r="X3077">
        <v>6.5</v>
      </c>
      <c r="Y3077" t="s">
        <v>1416</v>
      </c>
      <c r="Z3077" t="s">
        <v>2365</v>
      </c>
      <c r="AA3077">
        <v>1.46</v>
      </c>
      <c r="AB3077">
        <v>182</v>
      </c>
      <c r="AC3077">
        <v>642</v>
      </c>
      <c r="AD3077">
        <v>1.71</v>
      </c>
      <c r="AE3077" t="s">
        <v>4417</v>
      </c>
      <c r="AF3077" t="s">
        <v>4131</v>
      </c>
      <c r="AG3077" t="s">
        <v>4417</v>
      </c>
      <c r="AH3077" t="s">
        <v>4131</v>
      </c>
      <c r="AI3077">
        <v>-1.51</v>
      </c>
      <c r="AJ3077">
        <v>-2.39</v>
      </c>
      <c r="AK3077">
        <v>2.87</v>
      </c>
      <c r="AL3077">
        <v>9.1300000000000008</v>
      </c>
    </row>
    <row r="3078" spans="1:38" x14ac:dyDescent="0.25">
      <c r="A3078">
        <v>3077</v>
      </c>
      <c r="B3078" t="str">
        <f xml:space="preserve"> "600232"</f>
        <v>600232</v>
      </c>
      <c r="C3078" t="s">
        <v>8798</v>
      </c>
      <c r="D3078">
        <v>9.32</v>
      </c>
      <c r="E3078">
        <v>1.08</v>
      </c>
      <c r="F3078">
        <v>0.1</v>
      </c>
      <c r="G3078" t="s">
        <v>3987</v>
      </c>
      <c r="H3078">
        <v>12</v>
      </c>
      <c r="I3078">
        <v>9.31</v>
      </c>
      <c r="J3078">
        <v>9.32</v>
      </c>
      <c r="K3078">
        <v>0.11</v>
      </c>
      <c r="L3078">
        <v>0.8</v>
      </c>
      <c r="M3078" t="s">
        <v>8799</v>
      </c>
      <c r="N3078">
        <v>158.69999999999999</v>
      </c>
      <c r="O3078" t="s">
        <v>1443</v>
      </c>
      <c r="P3078">
        <v>9.4</v>
      </c>
      <c r="Q3078">
        <v>9.1999999999999993</v>
      </c>
      <c r="R3078">
        <v>9.1999999999999993</v>
      </c>
      <c r="S3078">
        <v>9.2200000000000006</v>
      </c>
      <c r="T3078">
        <v>2.17</v>
      </c>
      <c r="U3078">
        <v>0.57999999999999996</v>
      </c>
      <c r="V3078">
        <v>37.65</v>
      </c>
      <c r="W3078">
        <v>605</v>
      </c>
      <c r="X3078">
        <v>9.3000000000000007</v>
      </c>
      <c r="Y3078" t="s">
        <v>1153</v>
      </c>
      <c r="Z3078" t="s">
        <v>125</v>
      </c>
      <c r="AA3078">
        <v>0.92</v>
      </c>
      <c r="AB3078">
        <v>54</v>
      </c>
      <c r="AC3078">
        <v>32</v>
      </c>
      <c r="AD3078">
        <v>2.95</v>
      </c>
      <c r="AE3078" t="s">
        <v>2465</v>
      </c>
      <c r="AF3078" t="s">
        <v>4488</v>
      </c>
      <c r="AG3078" t="s">
        <v>2465</v>
      </c>
      <c r="AH3078" t="s">
        <v>4488</v>
      </c>
      <c r="AI3078">
        <v>-3.02</v>
      </c>
      <c r="AJ3078">
        <v>-2.2000000000000002</v>
      </c>
      <c r="AK3078">
        <v>3.4</v>
      </c>
      <c r="AL3078">
        <v>7.71</v>
      </c>
    </row>
    <row r="3079" spans="1:38" x14ac:dyDescent="0.25">
      <c r="A3079">
        <v>3078</v>
      </c>
      <c r="B3079" t="str">
        <f xml:space="preserve"> "000014"</f>
        <v>000014</v>
      </c>
      <c r="C3079" t="s">
        <v>8800</v>
      </c>
      <c r="D3079">
        <v>16.84</v>
      </c>
      <c r="E3079">
        <v>-0.12</v>
      </c>
      <c r="F3079">
        <v>-0.02</v>
      </c>
      <c r="G3079">
        <v>6991</v>
      </c>
      <c r="H3079">
        <v>76</v>
      </c>
      <c r="I3079">
        <v>16.84</v>
      </c>
      <c r="J3079">
        <v>16.850000000000001</v>
      </c>
      <c r="K3079">
        <v>0</v>
      </c>
      <c r="L3079">
        <v>0.35</v>
      </c>
      <c r="M3079" t="s">
        <v>6722</v>
      </c>
      <c r="N3079">
        <v>430.29</v>
      </c>
      <c r="O3079" t="s">
        <v>244</v>
      </c>
      <c r="P3079">
        <v>16.899999999999999</v>
      </c>
      <c r="Q3079">
        <v>16.809999999999999</v>
      </c>
      <c r="R3079">
        <v>16.89</v>
      </c>
      <c r="S3079">
        <v>16.86</v>
      </c>
      <c r="T3079">
        <v>0.53</v>
      </c>
      <c r="U3079">
        <v>0.59</v>
      </c>
      <c r="V3079">
        <v>33.270000000000003</v>
      </c>
      <c r="W3079">
        <v>544</v>
      </c>
      <c r="X3079">
        <v>16.84</v>
      </c>
      <c r="Y3079">
        <v>4737</v>
      </c>
      <c r="Z3079">
        <v>2253</v>
      </c>
      <c r="AA3079">
        <v>2.1</v>
      </c>
      <c r="AB3079">
        <v>183</v>
      </c>
      <c r="AC3079">
        <v>101</v>
      </c>
      <c r="AD3079">
        <v>4.6100000000000003</v>
      </c>
      <c r="AE3079" t="s">
        <v>1404</v>
      </c>
      <c r="AF3079" t="s">
        <v>4488</v>
      </c>
      <c r="AG3079" t="s">
        <v>1404</v>
      </c>
      <c r="AH3079" t="s">
        <v>4488</v>
      </c>
      <c r="AI3079">
        <v>-0.36</v>
      </c>
      <c r="AJ3079">
        <v>0.84</v>
      </c>
      <c r="AK3079">
        <v>1.67</v>
      </c>
      <c r="AL3079">
        <v>3.28</v>
      </c>
    </row>
    <row r="3080" spans="1:38" x14ac:dyDescent="0.25">
      <c r="A3080">
        <v>3079</v>
      </c>
      <c r="B3080" t="str">
        <f xml:space="preserve"> "603196"</f>
        <v>603196</v>
      </c>
      <c r="C3080" t="s">
        <v>8801</v>
      </c>
      <c r="D3080">
        <v>14.15</v>
      </c>
      <c r="E3080">
        <v>1.43</v>
      </c>
      <c r="F3080">
        <v>0.2</v>
      </c>
      <c r="G3080" t="s">
        <v>2298</v>
      </c>
      <c r="H3080">
        <v>7</v>
      </c>
      <c r="I3080">
        <v>14.14</v>
      </c>
      <c r="J3080">
        <v>14.15</v>
      </c>
      <c r="K3080">
        <v>-0.14000000000000001</v>
      </c>
      <c r="L3080">
        <v>5.0999999999999996</v>
      </c>
      <c r="M3080" t="s">
        <v>8802</v>
      </c>
      <c r="N3080">
        <v>67.27</v>
      </c>
      <c r="O3080" t="s">
        <v>1443</v>
      </c>
      <c r="P3080">
        <v>14.2</v>
      </c>
      <c r="Q3080">
        <v>13.87</v>
      </c>
      <c r="R3080">
        <v>13.96</v>
      </c>
      <c r="S3080">
        <v>13.95</v>
      </c>
      <c r="T3080">
        <v>2.37</v>
      </c>
      <c r="U3080">
        <v>1.52</v>
      </c>
      <c r="V3080">
        <v>-56.36</v>
      </c>
      <c r="W3080">
        <v>-1247</v>
      </c>
      <c r="X3080">
        <v>14.1</v>
      </c>
      <c r="Y3080" t="s">
        <v>2089</v>
      </c>
      <c r="Z3080" t="s">
        <v>899</v>
      </c>
      <c r="AA3080">
        <v>0.65</v>
      </c>
      <c r="AB3080">
        <v>123</v>
      </c>
      <c r="AC3080">
        <v>117</v>
      </c>
      <c r="AD3080">
        <v>3.86</v>
      </c>
      <c r="AE3080" t="s">
        <v>2521</v>
      </c>
      <c r="AF3080" t="s">
        <v>4488</v>
      </c>
      <c r="AG3080" t="s">
        <v>5162</v>
      </c>
      <c r="AH3080" t="s">
        <v>3044</v>
      </c>
      <c r="AI3080">
        <v>0.56999999999999995</v>
      </c>
      <c r="AJ3080">
        <v>4.12</v>
      </c>
      <c r="AK3080">
        <v>11.62</v>
      </c>
      <c r="AL3080">
        <v>21.94</v>
      </c>
    </row>
    <row r="3081" spans="1:38" x14ac:dyDescent="0.25">
      <c r="A3081">
        <v>3080</v>
      </c>
      <c r="B3081" t="str">
        <f xml:space="preserve"> "002816"</f>
        <v>002816</v>
      </c>
      <c r="C3081" t="s">
        <v>8803</v>
      </c>
      <c r="D3081">
        <v>33.950000000000003</v>
      </c>
      <c r="E3081">
        <v>2.88</v>
      </c>
      <c r="F3081">
        <v>0.95</v>
      </c>
      <c r="G3081" t="s">
        <v>6807</v>
      </c>
      <c r="H3081">
        <v>739</v>
      </c>
      <c r="I3081">
        <v>33.94</v>
      </c>
      <c r="J3081">
        <v>33.950000000000003</v>
      </c>
      <c r="K3081">
        <v>0.06</v>
      </c>
      <c r="L3081">
        <v>18.41</v>
      </c>
      <c r="M3081" t="s">
        <v>621</v>
      </c>
      <c r="N3081">
        <v>200.44</v>
      </c>
      <c r="O3081" t="s">
        <v>2647</v>
      </c>
      <c r="P3081">
        <v>35.68</v>
      </c>
      <c r="Q3081">
        <v>32.299999999999997</v>
      </c>
      <c r="R3081">
        <v>32.950000000000003</v>
      </c>
      <c r="S3081">
        <v>33</v>
      </c>
      <c r="T3081">
        <v>10.24</v>
      </c>
      <c r="U3081">
        <v>2.65</v>
      </c>
      <c r="V3081">
        <v>-25.37</v>
      </c>
      <c r="W3081">
        <v>-222</v>
      </c>
      <c r="X3081">
        <v>33.409999999999997</v>
      </c>
      <c r="Y3081" t="s">
        <v>2240</v>
      </c>
      <c r="Z3081" t="s">
        <v>5977</v>
      </c>
      <c r="AA3081">
        <v>0.86</v>
      </c>
      <c r="AB3081">
        <v>6</v>
      </c>
      <c r="AC3081">
        <v>327</v>
      </c>
      <c r="AD3081">
        <v>6.65</v>
      </c>
      <c r="AE3081" t="s">
        <v>4464</v>
      </c>
      <c r="AF3081" t="s">
        <v>4488</v>
      </c>
      <c r="AG3081" t="s">
        <v>5931</v>
      </c>
      <c r="AH3081" t="s">
        <v>3044</v>
      </c>
      <c r="AI3081">
        <v>7.78</v>
      </c>
      <c r="AJ3081">
        <v>10.08</v>
      </c>
      <c r="AK3081">
        <v>42.35</v>
      </c>
      <c r="AL3081">
        <v>53.15</v>
      </c>
    </row>
    <row r="3082" spans="1:38" x14ac:dyDescent="0.25">
      <c r="A3082">
        <v>3081</v>
      </c>
      <c r="B3082" t="str">
        <f xml:space="preserve"> "600365"</f>
        <v>600365</v>
      </c>
      <c r="C3082" t="s">
        <v>8804</v>
      </c>
      <c r="D3082">
        <v>8.48</v>
      </c>
      <c r="E3082">
        <v>-0.35</v>
      </c>
      <c r="F3082">
        <v>-0.03</v>
      </c>
      <c r="G3082" t="s">
        <v>1947</v>
      </c>
      <c r="H3082">
        <v>10</v>
      </c>
      <c r="I3082">
        <v>8.4700000000000006</v>
      </c>
      <c r="J3082">
        <v>8.48</v>
      </c>
      <c r="K3082">
        <v>0.12</v>
      </c>
      <c r="L3082">
        <v>1.1599999999999999</v>
      </c>
      <c r="M3082" t="s">
        <v>8805</v>
      </c>
      <c r="N3082">
        <v>1476.75</v>
      </c>
      <c r="O3082" t="s">
        <v>123</v>
      </c>
      <c r="P3082">
        <v>8.5399999999999991</v>
      </c>
      <c r="Q3082">
        <v>8.4600000000000009</v>
      </c>
      <c r="R3082">
        <v>8.52</v>
      </c>
      <c r="S3082">
        <v>8.51</v>
      </c>
      <c r="T3082">
        <v>0.94</v>
      </c>
      <c r="U3082">
        <v>0.5</v>
      </c>
      <c r="V3082">
        <v>19.43</v>
      </c>
      <c r="W3082">
        <v>937</v>
      </c>
      <c r="X3082">
        <v>8.49</v>
      </c>
      <c r="Y3082" t="s">
        <v>2755</v>
      </c>
      <c r="Z3082" t="s">
        <v>1578</v>
      </c>
      <c r="AA3082">
        <v>1.8</v>
      </c>
      <c r="AB3082">
        <v>434</v>
      </c>
      <c r="AC3082">
        <v>365</v>
      </c>
      <c r="AD3082">
        <v>5.01</v>
      </c>
      <c r="AE3082" t="s">
        <v>1000</v>
      </c>
      <c r="AF3082" t="s">
        <v>4411</v>
      </c>
      <c r="AG3082" t="s">
        <v>1000</v>
      </c>
      <c r="AH3082" t="s">
        <v>4411</v>
      </c>
      <c r="AI3082">
        <v>0.24</v>
      </c>
      <c r="AJ3082">
        <v>1.92</v>
      </c>
      <c r="AK3082">
        <v>8.25</v>
      </c>
      <c r="AL3082">
        <v>12.83</v>
      </c>
    </row>
    <row r="3083" spans="1:38" x14ac:dyDescent="0.25">
      <c r="A3083">
        <v>3082</v>
      </c>
      <c r="B3083" t="str">
        <f xml:space="preserve"> "000619"</f>
        <v>000619</v>
      </c>
      <c r="C3083" t="s">
        <v>8806</v>
      </c>
      <c r="D3083">
        <v>9.42</v>
      </c>
      <c r="E3083">
        <v>-0.53</v>
      </c>
      <c r="F3083">
        <v>-0.05</v>
      </c>
      <c r="G3083" t="s">
        <v>1374</v>
      </c>
      <c r="H3083">
        <v>293</v>
      </c>
      <c r="I3083">
        <v>9.42</v>
      </c>
      <c r="J3083">
        <v>9.43</v>
      </c>
      <c r="K3083">
        <v>0.11</v>
      </c>
      <c r="L3083">
        <v>0.72</v>
      </c>
      <c r="M3083" t="s">
        <v>8807</v>
      </c>
      <c r="N3083">
        <v>726.54</v>
      </c>
      <c r="O3083" t="s">
        <v>562</v>
      </c>
      <c r="P3083">
        <v>9.48</v>
      </c>
      <c r="Q3083">
        <v>9.3800000000000008</v>
      </c>
      <c r="R3083">
        <v>9.4700000000000006</v>
      </c>
      <c r="S3083">
        <v>9.4700000000000006</v>
      </c>
      <c r="T3083">
        <v>1.06</v>
      </c>
      <c r="U3083">
        <v>0.78</v>
      </c>
      <c r="V3083">
        <v>23.65</v>
      </c>
      <c r="W3083">
        <v>715</v>
      </c>
      <c r="X3083">
        <v>9.42</v>
      </c>
      <c r="Y3083" t="s">
        <v>3603</v>
      </c>
      <c r="Z3083">
        <v>8589</v>
      </c>
      <c r="AA3083">
        <v>2.04</v>
      </c>
      <c r="AB3083">
        <v>151</v>
      </c>
      <c r="AC3083">
        <v>122</v>
      </c>
      <c r="AD3083">
        <v>1.39</v>
      </c>
      <c r="AE3083" t="s">
        <v>852</v>
      </c>
      <c r="AF3083" t="s">
        <v>4411</v>
      </c>
      <c r="AG3083" t="s">
        <v>852</v>
      </c>
      <c r="AH3083" t="s">
        <v>4411</v>
      </c>
      <c r="AI3083">
        <v>-0.95</v>
      </c>
      <c r="AJ3083">
        <v>1.51</v>
      </c>
      <c r="AK3083">
        <v>2.4300000000000002</v>
      </c>
      <c r="AL3083">
        <v>5.38</v>
      </c>
    </row>
    <row r="3084" spans="1:38" x14ac:dyDescent="0.25">
      <c r="A3084">
        <v>3083</v>
      </c>
      <c r="B3084" t="str">
        <f xml:space="preserve"> "300598"</f>
        <v>300598</v>
      </c>
      <c r="C3084" t="s">
        <v>8808</v>
      </c>
      <c r="D3084">
        <v>42.39</v>
      </c>
      <c r="E3084">
        <v>9.99</v>
      </c>
      <c r="F3084">
        <v>3.85</v>
      </c>
      <c r="G3084" t="s">
        <v>4303</v>
      </c>
      <c r="H3084">
        <v>39</v>
      </c>
      <c r="I3084">
        <v>42.39</v>
      </c>
      <c r="J3084" t="s">
        <v>616</v>
      </c>
      <c r="K3084">
        <v>0</v>
      </c>
      <c r="L3084">
        <v>8.35</v>
      </c>
      <c r="M3084" t="s">
        <v>8809</v>
      </c>
      <c r="N3084">
        <v>141.35</v>
      </c>
      <c r="O3084" t="s">
        <v>893</v>
      </c>
      <c r="P3084">
        <v>42.39</v>
      </c>
      <c r="Q3084">
        <v>41.01</v>
      </c>
      <c r="R3084">
        <v>41.25</v>
      </c>
      <c r="S3084">
        <v>38.54</v>
      </c>
      <c r="T3084">
        <v>3.58</v>
      </c>
      <c r="U3084">
        <v>1.3</v>
      </c>
      <c r="V3084">
        <v>100</v>
      </c>
      <c r="W3084" t="s">
        <v>2089</v>
      </c>
      <c r="X3084">
        <v>42.04</v>
      </c>
      <c r="Y3084" t="s">
        <v>2991</v>
      </c>
      <c r="Z3084">
        <v>4905</v>
      </c>
      <c r="AA3084">
        <v>2.41</v>
      </c>
      <c r="AB3084" t="s">
        <v>2089</v>
      </c>
      <c r="AC3084">
        <v>0</v>
      </c>
      <c r="AD3084">
        <v>8.0399999999999991</v>
      </c>
      <c r="AE3084" t="s">
        <v>5802</v>
      </c>
      <c r="AF3084" t="s">
        <v>4411</v>
      </c>
      <c r="AG3084" t="s">
        <v>5562</v>
      </c>
      <c r="AH3084" t="s">
        <v>4306</v>
      </c>
      <c r="AI3084">
        <v>7.05</v>
      </c>
      <c r="AJ3084">
        <v>15.35</v>
      </c>
      <c r="AK3084">
        <v>23.05</v>
      </c>
      <c r="AL3084">
        <v>40.36</v>
      </c>
    </row>
    <row r="3085" spans="1:38" x14ac:dyDescent="0.25">
      <c r="A3085">
        <v>3084</v>
      </c>
      <c r="B3085" t="str">
        <f xml:space="preserve"> "300514"</f>
        <v>300514</v>
      </c>
      <c r="C3085" t="s">
        <v>8810</v>
      </c>
      <c r="D3085">
        <v>33.9</v>
      </c>
      <c r="E3085">
        <v>1.01</v>
      </c>
      <c r="F3085">
        <v>0.34</v>
      </c>
      <c r="G3085" t="s">
        <v>1593</v>
      </c>
      <c r="H3085">
        <v>1108</v>
      </c>
      <c r="I3085">
        <v>33.9</v>
      </c>
      <c r="J3085">
        <v>33.909999999999997</v>
      </c>
      <c r="K3085">
        <v>0.03</v>
      </c>
      <c r="L3085">
        <v>21.7</v>
      </c>
      <c r="M3085" t="s">
        <v>398</v>
      </c>
      <c r="N3085">
        <v>65.989999999999995</v>
      </c>
      <c r="O3085" t="s">
        <v>580</v>
      </c>
      <c r="P3085">
        <v>35.35</v>
      </c>
      <c r="Q3085">
        <v>33.880000000000003</v>
      </c>
      <c r="R3085">
        <v>34.36</v>
      </c>
      <c r="S3085">
        <v>33.56</v>
      </c>
      <c r="T3085">
        <v>4.38</v>
      </c>
      <c r="U3085">
        <v>1.07</v>
      </c>
      <c r="V3085">
        <v>26.3</v>
      </c>
      <c r="W3085">
        <v>86</v>
      </c>
      <c r="X3085">
        <v>34.5</v>
      </c>
      <c r="Y3085" t="s">
        <v>3914</v>
      </c>
      <c r="Z3085" t="s">
        <v>2754</v>
      </c>
      <c r="AA3085">
        <v>0.98</v>
      </c>
      <c r="AB3085">
        <v>64</v>
      </c>
      <c r="AC3085">
        <v>3</v>
      </c>
      <c r="AD3085">
        <v>7.7</v>
      </c>
      <c r="AE3085" t="s">
        <v>4464</v>
      </c>
      <c r="AF3085" t="s">
        <v>4411</v>
      </c>
      <c r="AG3085" t="s">
        <v>5931</v>
      </c>
      <c r="AH3085" t="s">
        <v>4306</v>
      </c>
      <c r="AI3085">
        <v>-1.74</v>
      </c>
      <c r="AJ3085">
        <v>3.04</v>
      </c>
      <c r="AK3085">
        <v>51.43</v>
      </c>
      <c r="AL3085">
        <v>122.76</v>
      </c>
    </row>
    <row r="3086" spans="1:38" x14ac:dyDescent="0.25">
      <c r="A3086">
        <v>3085</v>
      </c>
      <c r="B3086" t="str">
        <f xml:space="preserve"> "002875"</f>
        <v>002875</v>
      </c>
      <c r="C3086" t="s">
        <v>8811</v>
      </c>
      <c r="D3086">
        <v>33.880000000000003</v>
      </c>
      <c r="E3086">
        <v>2.92</v>
      </c>
      <c r="F3086">
        <v>0.96</v>
      </c>
      <c r="G3086" t="s">
        <v>2193</v>
      </c>
      <c r="H3086">
        <v>858</v>
      </c>
      <c r="I3086">
        <v>33.869999999999997</v>
      </c>
      <c r="J3086">
        <v>33.880000000000003</v>
      </c>
      <c r="K3086">
        <v>0</v>
      </c>
      <c r="L3086">
        <v>11.64</v>
      </c>
      <c r="M3086" t="s">
        <v>8812</v>
      </c>
      <c r="N3086">
        <v>38.11</v>
      </c>
      <c r="O3086" t="s">
        <v>1443</v>
      </c>
      <c r="P3086">
        <v>34.049999999999997</v>
      </c>
      <c r="Q3086">
        <v>32.81</v>
      </c>
      <c r="R3086">
        <v>32.979999999999997</v>
      </c>
      <c r="S3086">
        <v>32.92</v>
      </c>
      <c r="T3086">
        <v>3.77</v>
      </c>
      <c r="U3086">
        <v>2.2599999999999998</v>
      </c>
      <c r="V3086">
        <v>-74.92</v>
      </c>
      <c r="W3086">
        <v>-675</v>
      </c>
      <c r="X3086">
        <v>33.479999999999997</v>
      </c>
      <c r="Y3086" t="s">
        <v>2284</v>
      </c>
      <c r="Z3086" t="s">
        <v>3326</v>
      </c>
      <c r="AA3086">
        <v>0.56000000000000005</v>
      </c>
      <c r="AB3086">
        <v>22</v>
      </c>
      <c r="AC3086">
        <v>354</v>
      </c>
      <c r="AD3086">
        <v>4.41</v>
      </c>
      <c r="AE3086" t="s">
        <v>4464</v>
      </c>
      <c r="AF3086" t="s">
        <v>4411</v>
      </c>
      <c r="AG3086" t="s">
        <v>5931</v>
      </c>
      <c r="AH3086" t="s">
        <v>1767</v>
      </c>
      <c r="AI3086">
        <v>2.7</v>
      </c>
      <c r="AJ3086">
        <v>6.81</v>
      </c>
      <c r="AK3086">
        <v>24.19</v>
      </c>
      <c r="AL3086">
        <v>37.36</v>
      </c>
    </row>
    <row r="3087" spans="1:38" x14ac:dyDescent="0.25">
      <c r="A3087">
        <v>3086</v>
      </c>
      <c r="B3087" t="str">
        <f xml:space="preserve"> "603637"</f>
        <v>603637</v>
      </c>
      <c r="C3087" t="s">
        <v>8813</v>
      </c>
      <c r="D3087">
        <v>25.47</v>
      </c>
      <c r="E3087">
        <v>-0.74</v>
      </c>
      <c r="F3087">
        <v>-0.19</v>
      </c>
      <c r="G3087" t="s">
        <v>1726</v>
      </c>
      <c r="H3087">
        <v>2</v>
      </c>
      <c r="I3087">
        <v>25.48</v>
      </c>
      <c r="J3087">
        <v>25.49</v>
      </c>
      <c r="K3087">
        <v>-0.08</v>
      </c>
      <c r="L3087">
        <v>3.91</v>
      </c>
      <c r="M3087" t="s">
        <v>8695</v>
      </c>
      <c r="N3087">
        <v>103.53</v>
      </c>
      <c r="O3087" t="s">
        <v>263</v>
      </c>
      <c r="P3087">
        <v>25.66</v>
      </c>
      <c r="Q3087">
        <v>25.32</v>
      </c>
      <c r="R3087">
        <v>25.58</v>
      </c>
      <c r="S3087">
        <v>25.66</v>
      </c>
      <c r="T3087">
        <v>1.33</v>
      </c>
      <c r="U3087">
        <v>0.6</v>
      </c>
      <c r="V3087">
        <v>20.75</v>
      </c>
      <c r="W3087">
        <v>93</v>
      </c>
      <c r="X3087">
        <v>25.45</v>
      </c>
      <c r="Y3087">
        <v>7800</v>
      </c>
      <c r="Z3087">
        <v>5216</v>
      </c>
      <c r="AA3087">
        <v>1.5</v>
      </c>
      <c r="AB3087">
        <v>12</v>
      </c>
      <c r="AC3087">
        <v>23</v>
      </c>
      <c r="AD3087">
        <v>4.9000000000000004</v>
      </c>
      <c r="AE3087" t="s">
        <v>333</v>
      </c>
      <c r="AF3087" t="s">
        <v>4411</v>
      </c>
      <c r="AG3087" t="s">
        <v>8814</v>
      </c>
      <c r="AH3087" t="s">
        <v>1767</v>
      </c>
      <c r="AI3087">
        <v>-1.01</v>
      </c>
      <c r="AJ3087">
        <v>3.49</v>
      </c>
      <c r="AK3087">
        <v>14.19</v>
      </c>
      <c r="AL3087">
        <v>36.79</v>
      </c>
    </row>
    <row r="3088" spans="1:38" x14ac:dyDescent="0.25">
      <c r="A3088">
        <v>3087</v>
      </c>
      <c r="B3088" t="str">
        <f xml:space="preserve"> "300125"</f>
        <v>300125</v>
      </c>
      <c r="C3088" t="s">
        <v>8815</v>
      </c>
      <c r="D3088">
        <v>28.7</v>
      </c>
      <c r="E3088">
        <v>1.23</v>
      </c>
      <c r="F3088">
        <v>0.35</v>
      </c>
      <c r="G3088">
        <v>7461</v>
      </c>
      <c r="H3088">
        <v>88</v>
      </c>
      <c r="I3088">
        <v>28.7</v>
      </c>
      <c r="J3088">
        <v>28.71</v>
      </c>
      <c r="K3088">
        <v>-7.0000000000000007E-2</v>
      </c>
      <c r="L3088">
        <v>0.83</v>
      </c>
      <c r="M3088" t="s">
        <v>8816</v>
      </c>
      <c r="N3088">
        <v>-120.3</v>
      </c>
      <c r="O3088" t="s">
        <v>1155</v>
      </c>
      <c r="P3088">
        <v>28.8</v>
      </c>
      <c r="Q3088">
        <v>28.2</v>
      </c>
      <c r="R3088">
        <v>28.2</v>
      </c>
      <c r="S3088">
        <v>28.35</v>
      </c>
      <c r="T3088">
        <v>2.12</v>
      </c>
      <c r="U3088">
        <v>2.1</v>
      </c>
      <c r="V3088">
        <v>-44.63</v>
      </c>
      <c r="W3088">
        <v>-137</v>
      </c>
      <c r="X3088">
        <v>28.54</v>
      </c>
      <c r="Y3088">
        <v>3376</v>
      </c>
      <c r="Z3088">
        <v>4085</v>
      </c>
      <c r="AA3088">
        <v>0.83</v>
      </c>
      <c r="AB3088">
        <v>20</v>
      </c>
      <c r="AC3088">
        <v>10</v>
      </c>
      <c r="AD3088">
        <v>3.32</v>
      </c>
      <c r="AE3088" t="s">
        <v>1606</v>
      </c>
      <c r="AF3088" t="s">
        <v>4411</v>
      </c>
      <c r="AG3088" t="s">
        <v>8817</v>
      </c>
      <c r="AH3088" t="s">
        <v>671</v>
      </c>
      <c r="AI3088">
        <v>1.23</v>
      </c>
      <c r="AJ3088">
        <v>3.99</v>
      </c>
      <c r="AK3088">
        <v>1.6</v>
      </c>
      <c r="AL3088">
        <v>2.8</v>
      </c>
    </row>
    <row r="3089" spans="1:38" x14ac:dyDescent="0.25">
      <c r="A3089">
        <v>3088</v>
      </c>
      <c r="B3089" t="str">
        <f xml:space="preserve"> "300402"</f>
        <v>300402</v>
      </c>
      <c r="C3089" t="s">
        <v>8818</v>
      </c>
      <c r="D3089">
        <v>16.760000000000002</v>
      </c>
      <c r="E3089">
        <v>1.39</v>
      </c>
      <c r="F3089">
        <v>0.23</v>
      </c>
      <c r="G3089" t="s">
        <v>2543</v>
      </c>
      <c r="H3089">
        <v>431</v>
      </c>
      <c r="I3089">
        <v>16.75</v>
      </c>
      <c r="J3089">
        <v>16.760000000000002</v>
      </c>
      <c r="K3089">
        <v>0</v>
      </c>
      <c r="L3089">
        <v>5.44</v>
      </c>
      <c r="M3089" t="s">
        <v>8819</v>
      </c>
      <c r="N3089">
        <v>1083.45</v>
      </c>
      <c r="O3089" t="s">
        <v>2647</v>
      </c>
      <c r="P3089">
        <v>17.5</v>
      </c>
      <c r="Q3089">
        <v>16.36</v>
      </c>
      <c r="R3089">
        <v>16.559999999999999</v>
      </c>
      <c r="S3089">
        <v>16.53</v>
      </c>
      <c r="T3089">
        <v>6.9</v>
      </c>
      <c r="U3089">
        <v>1.62</v>
      </c>
      <c r="V3089">
        <v>-69.64</v>
      </c>
      <c r="W3089">
        <v>-546</v>
      </c>
      <c r="X3089">
        <v>16.940000000000001</v>
      </c>
      <c r="Y3089" t="s">
        <v>1504</v>
      </c>
      <c r="Z3089" t="s">
        <v>1349</v>
      </c>
      <c r="AA3089">
        <v>1.0900000000000001</v>
      </c>
      <c r="AB3089">
        <v>28</v>
      </c>
      <c r="AC3089">
        <v>278</v>
      </c>
      <c r="AD3089">
        <v>5.67</v>
      </c>
      <c r="AE3089" t="s">
        <v>1404</v>
      </c>
      <c r="AF3089" t="s">
        <v>4411</v>
      </c>
      <c r="AG3089" t="s">
        <v>8820</v>
      </c>
      <c r="AH3089" t="s">
        <v>204</v>
      </c>
      <c r="AI3089">
        <v>2.2599999999999998</v>
      </c>
      <c r="AJ3089">
        <v>4.42</v>
      </c>
      <c r="AK3089">
        <v>13.27</v>
      </c>
      <c r="AL3089">
        <v>22.22</v>
      </c>
    </row>
    <row r="3090" spans="1:38" x14ac:dyDescent="0.25">
      <c r="A3090">
        <v>3089</v>
      </c>
      <c r="B3090" t="str">
        <f xml:space="preserve"> "603960"</f>
        <v>603960</v>
      </c>
      <c r="C3090" t="s">
        <v>8821</v>
      </c>
      <c r="D3090" t="s">
        <v>616</v>
      </c>
      <c r="E3090" t="s">
        <v>616</v>
      </c>
      <c r="F3090" t="s">
        <v>616</v>
      </c>
      <c r="G3090" t="s">
        <v>616</v>
      </c>
      <c r="H3090" t="s">
        <v>616</v>
      </c>
      <c r="I3090" t="s">
        <v>616</v>
      </c>
      <c r="J3090" t="s">
        <v>616</v>
      </c>
      <c r="K3090" t="s">
        <v>616</v>
      </c>
      <c r="L3090" t="s">
        <v>616</v>
      </c>
      <c r="M3090" t="s">
        <v>616</v>
      </c>
      <c r="N3090">
        <v>93.04</v>
      </c>
      <c r="O3090" t="s">
        <v>2647</v>
      </c>
      <c r="P3090" t="s">
        <v>616</v>
      </c>
      <c r="Q3090" t="s">
        <v>616</v>
      </c>
      <c r="R3090" t="s">
        <v>616</v>
      </c>
      <c r="S3090">
        <v>32.549999999999997</v>
      </c>
      <c r="T3090" t="s">
        <v>616</v>
      </c>
      <c r="U3090" t="s">
        <v>616</v>
      </c>
      <c r="V3090" t="s">
        <v>616</v>
      </c>
      <c r="W3090" t="s">
        <v>616</v>
      </c>
      <c r="X3090" t="s">
        <v>616</v>
      </c>
      <c r="Y3090" t="s">
        <v>616</v>
      </c>
      <c r="Z3090" t="s">
        <v>616</v>
      </c>
      <c r="AA3090" t="s">
        <v>616</v>
      </c>
      <c r="AB3090" t="s">
        <v>616</v>
      </c>
      <c r="AC3090" t="s">
        <v>616</v>
      </c>
      <c r="AD3090">
        <v>8.31</v>
      </c>
      <c r="AE3090" t="s">
        <v>1718</v>
      </c>
      <c r="AF3090" t="s">
        <v>4411</v>
      </c>
      <c r="AG3090" t="s">
        <v>6886</v>
      </c>
      <c r="AH3090" t="s">
        <v>4358</v>
      </c>
      <c r="AI3090">
        <v>0</v>
      </c>
      <c r="AJ3090">
        <v>0</v>
      </c>
      <c r="AK3090">
        <v>0</v>
      </c>
      <c r="AL3090">
        <v>0</v>
      </c>
    </row>
    <row r="3091" spans="1:38" x14ac:dyDescent="0.25">
      <c r="A3091">
        <v>3090</v>
      </c>
      <c r="B3091" t="str">
        <f xml:space="preserve"> "000632"</f>
        <v>000632</v>
      </c>
      <c r="C3091" t="s">
        <v>8822</v>
      </c>
      <c r="D3091">
        <v>7.27</v>
      </c>
      <c r="E3091">
        <v>2.68</v>
      </c>
      <c r="F3091">
        <v>0.19</v>
      </c>
      <c r="G3091" t="s">
        <v>5423</v>
      </c>
      <c r="H3091">
        <v>818</v>
      </c>
      <c r="I3091">
        <v>7.26</v>
      </c>
      <c r="J3091">
        <v>7.27</v>
      </c>
      <c r="K3091">
        <v>0</v>
      </c>
      <c r="L3091">
        <v>1.06</v>
      </c>
      <c r="M3091" t="s">
        <v>6707</v>
      </c>
      <c r="N3091">
        <v>337.69</v>
      </c>
      <c r="O3091" t="s">
        <v>3277</v>
      </c>
      <c r="P3091">
        <v>7.33</v>
      </c>
      <c r="Q3091">
        <v>7.05</v>
      </c>
      <c r="R3091">
        <v>7.1</v>
      </c>
      <c r="S3091">
        <v>7.08</v>
      </c>
      <c r="T3091">
        <v>3.95</v>
      </c>
      <c r="U3091">
        <v>0.75</v>
      </c>
      <c r="V3091">
        <v>-38.39</v>
      </c>
      <c r="W3091">
        <v>-1823</v>
      </c>
      <c r="X3091">
        <v>7.2</v>
      </c>
      <c r="Y3091" t="s">
        <v>1578</v>
      </c>
      <c r="Z3091" t="s">
        <v>3213</v>
      </c>
      <c r="AA3091">
        <v>0.51</v>
      </c>
      <c r="AB3091">
        <v>17</v>
      </c>
      <c r="AC3091">
        <v>514</v>
      </c>
      <c r="AD3091">
        <v>2.71</v>
      </c>
      <c r="AE3091" t="s">
        <v>195</v>
      </c>
      <c r="AF3091" t="s">
        <v>3698</v>
      </c>
      <c r="AG3091" t="s">
        <v>3545</v>
      </c>
      <c r="AH3091" t="s">
        <v>3698</v>
      </c>
      <c r="AI3091">
        <v>0</v>
      </c>
      <c r="AJ3091">
        <v>3.86</v>
      </c>
      <c r="AK3091">
        <v>4.07</v>
      </c>
      <c r="AL3091">
        <v>8.1</v>
      </c>
    </row>
    <row r="3092" spans="1:38" x14ac:dyDescent="0.25">
      <c r="A3092">
        <v>3091</v>
      </c>
      <c r="B3092" t="str">
        <f xml:space="preserve"> "002571"</f>
        <v>002571</v>
      </c>
      <c r="C3092" t="s">
        <v>8823</v>
      </c>
      <c r="D3092">
        <v>8.6300000000000008</v>
      </c>
      <c r="E3092">
        <v>2.4900000000000002</v>
      </c>
      <c r="F3092">
        <v>0.21</v>
      </c>
      <c r="G3092" t="s">
        <v>915</v>
      </c>
      <c r="H3092">
        <v>505</v>
      </c>
      <c r="I3092">
        <v>8.61</v>
      </c>
      <c r="J3092">
        <v>8.6300000000000008</v>
      </c>
      <c r="K3092">
        <v>0.23</v>
      </c>
      <c r="L3092">
        <v>1.48</v>
      </c>
      <c r="M3092" t="s">
        <v>8824</v>
      </c>
      <c r="N3092">
        <v>53.74</v>
      </c>
      <c r="O3092" t="s">
        <v>1058</v>
      </c>
      <c r="P3092">
        <v>8.65</v>
      </c>
      <c r="Q3092">
        <v>8.33</v>
      </c>
      <c r="R3092">
        <v>8.33</v>
      </c>
      <c r="S3092">
        <v>8.42</v>
      </c>
      <c r="T3092">
        <v>3.8</v>
      </c>
      <c r="U3092">
        <v>0.73</v>
      </c>
      <c r="V3092">
        <v>-24.28</v>
      </c>
      <c r="W3092">
        <v>-567</v>
      </c>
      <c r="X3092">
        <v>8.5399999999999991</v>
      </c>
      <c r="Y3092" t="s">
        <v>2126</v>
      </c>
      <c r="Z3092" t="s">
        <v>884</v>
      </c>
      <c r="AA3092">
        <v>0.94</v>
      </c>
      <c r="AB3092">
        <v>662</v>
      </c>
      <c r="AC3092">
        <v>269</v>
      </c>
      <c r="AD3092">
        <v>2.25</v>
      </c>
      <c r="AE3092" t="s">
        <v>4560</v>
      </c>
      <c r="AF3092" t="s">
        <v>3698</v>
      </c>
      <c r="AG3092" t="s">
        <v>424</v>
      </c>
      <c r="AH3092" t="s">
        <v>2277</v>
      </c>
      <c r="AI3092">
        <v>-2.4900000000000002</v>
      </c>
      <c r="AJ3092">
        <v>-1.1499999999999999</v>
      </c>
      <c r="AK3092">
        <v>5.92</v>
      </c>
      <c r="AL3092">
        <v>11.68</v>
      </c>
    </row>
    <row r="3093" spans="1:38" x14ac:dyDescent="0.25">
      <c r="A3093">
        <v>3092</v>
      </c>
      <c r="B3093" t="str">
        <f xml:space="preserve"> "000972"</f>
        <v>000972</v>
      </c>
      <c r="C3093" t="s">
        <v>8825</v>
      </c>
      <c r="D3093">
        <v>4.38</v>
      </c>
      <c r="E3093">
        <v>2.34</v>
      </c>
      <c r="F3093">
        <v>0.1</v>
      </c>
      <c r="G3093" t="s">
        <v>2394</v>
      </c>
      <c r="H3093">
        <v>838</v>
      </c>
      <c r="I3093">
        <v>4.38</v>
      </c>
      <c r="J3093">
        <v>4.3899999999999997</v>
      </c>
      <c r="K3093">
        <v>-0.23</v>
      </c>
      <c r="L3093">
        <v>1.29</v>
      </c>
      <c r="M3093" t="s">
        <v>8826</v>
      </c>
      <c r="N3093">
        <v>-42.16</v>
      </c>
      <c r="O3093" t="s">
        <v>406</v>
      </c>
      <c r="P3093">
        <v>4.43</v>
      </c>
      <c r="Q3093">
        <v>4.29</v>
      </c>
      <c r="R3093">
        <v>4.3099999999999996</v>
      </c>
      <c r="S3093">
        <v>4.28</v>
      </c>
      <c r="T3093">
        <v>3.27</v>
      </c>
      <c r="U3093">
        <v>3.06</v>
      </c>
      <c r="V3093">
        <v>-48.95</v>
      </c>
      <c r="W3093">
        <v>-5232</v>
      </c>
      <c r="X3093">
        <v>4.38</v>
      </c>
      <c r="Y3093" t="s">
        <v>2962</v>
      </c>
      <c r="Z3093" t="s">
        <v>2693</v>
      </c>
      <c r="AA3093">
        <v>0.97</v>
      </c>
      <c r="AB3093">
        <v>403</v>
      </c>
      <c r="AC3093">
        <v>1373</v>
      </c>
      <c r="AD3093">
        <v>4.25</v>
      </c>
      <c r="AE3093" t="s">
        <v>3599</v>
      </c>
      <c r="AF3093" t="s">
        <v>3698</v>
      </c>
      <c r="AG3093" t="s">
        <v>3599</v>
      </c>
      <c r="AH3093" t="s">
        <v>3698</v>
      </c>
      <c r="AI3093">
        <v>2.58</v>
      </c>
      <c r="AJ3093">
        <v>5.54</v>
      </c>
      <c r="AK3093">
        <v>2.36</v>
      </c>
      <c r="AL3093">
        <v>3.39</v>
      </c>
    </row>
    <row r="3094" spans="1:38" x14ac:dyDescent="0.25">
      <c r="A3094">
        <v>3093</v>
      </c>
      <c r="B3094" t="str">
        <f xml:space="preserve"> "300659"</f>
        <v>300659</v>
      </c>
      <c r="C3094" t="s">
        <v>8827</v>
      </c>
      <c r="D3094">
        <v>40.72</v>
      </c>
      <c r="E3094">
        <v>1.17</v>
      </c>
      <c r="F3094">
        <v>0.47</v>
      </c>
      <c r="G3094" t="s">
        <v>2099</v>
      </c>
      <c r="H3094">
        <v>963</v>
      </c>
      <c r="I3094">
        <v>40.72</v>
      </c>
      <c r="J3094">
        <v>40.729999999999997</v>
      </c>
      <c r="K3094">
        <v>0.05</v>
      </c>
      <c r="L3094">
        <v>13.6</v>
      </c>
      <c r="M3094" t="s">
        <v>2114</v>
      </c>
      <c r="N3094">
        <v>265.49</v>
      </c>
      <c r="O3094" t="s">
        <v>893</v>
      </c>
      <c r="P3094">
        <v>41.09</v>
      </c>
      <c r="Q3094">
        <v>39.200000000000003</v>
      </c>
      <c r="R3094">
        <v>39.85</v>
      </c>
      <c r="S3094">
        <v>40.25</v>
      </c>
      <c r="T3094">
        <v>4.7</v>
      </c>
      <c r="U3094">
        <v>0.96</v>
      </c>
      <c r="V3094">
        <v>-26.48</v>
      </c>
      <c r="W3094">
        <v>-138</v>
      </c>
      <c r="X3094">
        <v>40.24</v>
      </c>
      <c r="Y3094" t="s">
        <v>2518</v>
      </c>
      <c r="Z3094" t="s">
        <v>999</v>
      </c>
      <c r="AA3094">
        <v>0.93</v>
      </c>
      <c r="AB3094">
        <v>72</v>
      </c>
      <c r="AC3094">
        <v>3</v>
      </c>
      <c r="AD3094">
        <v>8.82</v>
      </c>
      <c r="AE3094" t="s">
        <v>8828</v>
      </c>
      <c r="AF3094" t="s">
        <v>3223</v>
      </c>
      <c r="AG3094" t="s">
        <v>6926</v>
      </c>
      <c r="AH3094" t="s">
        <v>3626</v>
      </c>
      <c r="AI3094">
        <v>-2.68</v>
      </c>
      <c r="AJ3094">
        <v>0.89</v>
      </c>
      <c r="AK3094">
        <v>42.28</v>
      </c>
      <c r="AL3094">
        <v>84.52</v>
      </c>
    </row>
    <row r="3095" spans="1:38" x14ac:dyDescent="0.25">
      <c r="A3095">
        <v>3094</v>
      </c>
      <c r="B3095" t="str">
        <f xml:space="preserve"> "002015"</f>
        <v>002015</v>
      </c>
      <c r="C3095" t="s">
        <v>8829</v>
      </c>
      <c r="D3095" t="s">
        <v>616</v>
      </c>
      <c r="E3095" t="s">
        <v>616</v>
      </c>
      <c r="F3095" t="s">
        <v>616</v>
      </c>
      <c r="G3095" t="s">
        <v>616</v>
      </c>
      <c r="H3095" t="s">
        <v>616</v>
      </c>
      <c r="I3095" t="s">
        <v>616</v>
      </c>
      <c r="J3095" t="s">
        <v>616</v>
      </c>
      <c r="K3095" t="s">
        <v>616</v>
      </c>
      <c r="L3095" t="s">
        <v>616</v>
      </c>
      <c r="M3095" t="s">
        <v>616</v>
      </c>
      <c r="N3095">
        <v>-169.06</v>
      </c>
      <c r="O3095" t="s">
        <v>1443</v>
      </c>
      <c r="P3095" t="s">
        <v>616</v>
      </c>
      <c r="Q3095" t="s">
        <v>616</v>
      </c>
      <c r="R3095" t="s">
        <v>616</v>
      </c>
      <c r="S3095">
        <v>8.41</v>
      </c>
      <c r="T3095" t="s">
        <v>616</v>
      </c>
      <c r="U3095" t="s">
        <v>616</v>
      </c>
      <c r="V3095" t="s">
        <v>616</v>
      </c>
      <c r="W3095" t="s">
        <v>616</v>
      </c>
      <c r="X3095" t="s">
        <v>616</v>
      </c>
      <c r="Y3095" t="s">
        <v>616</v>
      </c>
      <c r="Z3095" t="s">
        <v>616</v>
      </c>
      <c r="AA3095" t="s">
        <v>616</v>
      </c>
      <c r="AB3095" t="s">
        <v>616</v>
      </c>
      <c r="AC3095" t="s">
        <v>616</v>
      </c>
      <c r="AD3095">
        <v>12.05</v>
      </c>
      <c r="AE3095" t="s">
        <v>1922</v>
      </c>
      <c r="AF3095" t="s">
        <v>3223</v>
      </c>
      <c r="AG3095" t="s">
        <v>1922</v>
      </c>
      <c r="AH3095" t="s">
        <v>3223</v>
      </c>
      <c r="AI3095">
        <v>0</v>
      </c>
      <c r="AJ3095">
        <v>0</v>
      </c>
      <c r="AK3095">
        <v>0</v>
      </c>
      <c r="AL3095">
        <v>0</v>
      </c>
    </row>
    <row r="3096" spans="1:38" x14ac:dyDescent="0.25">
      <c r="A3096">
        <v>3095</v>
      </c>
      <c r="B3096" t="str">
        <f xml:space="preserve"> "300192"</f>
        <v>300192</v>
      </c>
      <c r="C3096" t="s">
        <v>8830</v>
      </c>
      <c r="D3096">
        <v>13.89</v>
      </c>
      <c r="E3096">
        <v>0.22</v>
      </c>
      <c r="F3096">
        <v>0.03</v>
      </c>
      <c r="G3096" t="s">
        <v>2409</v>
      </c>
      <c r="H3096">
        <v>1367</v>
      </c>
      <c r="I3096">
        <v>13.89</v>
      </c>
      <c r="J3096">
        <v>13.9</v>
      </c>
      <c r="K3096">
        <v>0</v>
      </c>
      <c r="L3096">
        <v>2.09</v>
      </c>
      <c r="M3096" t="s">
        <v>2141</v>
      </c>
      <c r="N3096">
        <v>176.39</v>
      </c>
      <c r="O3096" t="s">
        <v>667</v>
      </c>
      <c r="P3096">
        <v>14.02</v>
      </c>
      <c r="Q3096">
        <v>13.7</v>
      </c>
      <c r="R3096">
        <v>13.82</v>
      </c>
      <c r="S3096">
        <v>13.86</v>
      </c>
      <c r="T3096">
        <v>2.31</v>
      </c>
      <c r="U3096">
        <v>0.89</v>
      </c>
      <c r="V3096">
        <v>-26.45</v>
      </c>
      <c r="W3096">
        <v>-393</v>
      </c>
      <c r="X3096">
        <v>13.86</v>
      </c>
      <c r="Y3096" t="s">
        <v>6292</v>
      </c>
      <c r="Z3096" t="s">
        <v>3251</v>
      </c>
      <c r="AA3096">
        <v>0.93</v>
      </c>
      <c r="AB3096">
        <v>105</v>
      </c>
      <c r="AC3096">
        <v>489</v>
      </c>
      <c r="AD3096">
        <v>4.7300000000000004</v>
      </c>
      <c r="AE3096" t="s">
        <v>5158</v>
      </c>
      <c r="AF3096" t="s">
        <v>3223</v>
      </c>
      <c r="AG3096" t="s">
        <v>1067</v>
      </c>
      <c r="AH3096" t="s">
        <v>1104</v>
      </c>
      <c r="AI3096">
        <v>-1</v>
      </c>
      <c r="AJ3096">
        <v>7.0000000000000007E-2</v>
      </c>
      <c r="AK3096">
        <v>6.76</v>
      </c>
      <c r="AL3096">
        <v>13.86</v>
      </c>
    </row>
    <row r="3097" spans="1:38" x14ac:dyDescent="0.25">
      <c r="A3097">
        <v>3096</v>
      </c>
      <c r="B3097" t="str">
        <f xml:space="preserve"> "002828"</f>
        <v>002828</v>
      </c>
      <c r="C3097" t="s">
        <v>8831</v>
      </c>
      <c r="D3097">
        <v>28.1</v>
      </c>
      <c r="E3097">
        <v>2</v>
      </c>
      <c r="F3097">
        <v>0.55000000000000004</v>
      </c>
      <c r="G3097" t="s">
        <v>3579</v>
      </c>
      <c r="H3097">
        <v>873</v>
      </c>
      <c r="I3097">
        <v>28.1</v>
      </c>
      <c r="J3097">
        <v>28.11</v>
      </c>
      <c r="K3097">
        <v>0.18</v>
      </c>
      <c r="L3097">
        <v>7.36</v>
      </c>
      <c r="M3097" t="s">
        <v>8832</v>
      </c>
      <c r="N3097">
        <v>92.93</v>
      </c>
      <c r="O3097" t="s">
        <v>61</v>
      </c>
      <c r="P3097">
        <v>28.18</v>
      </c>
      <c r="Q3097">
        <v>27.37</v>
      </c>
      <c r="R3097">
        <v>27.55</v>
      </c>
      <c r="S3097">
        <v>27.55</v>
      </c>
      <c r="T3097">
        <v>2.94</v>
      </c>
      <c r="U3097">
        <v>1.44</v>
      </c>
      <c r="V3097">
        <v>45.99</v>
      </c>
      <c r="W3097">
        <v>571</v>
      </c>
      <c r="X3097">
        <v>27.91</v>
      </c>
      <c r="Y3097">
        <v>9179</v>
      </c>
      <c r="Z3097" t="s">
        <v>2280</v>
      </c>
      <c r="AA3097">
        <v>0.74</v>
      </c>
      <c r="AB3097">
        <v>575</v>
      </c>
      <c r="AC3097">
        <v>83</v>
      </c>
      <c r="AD3097">
        <v>3.81</v>
      </c>
      <c r="AE3097" t="s">
        <v>918</v>
      </c>
      <c r="AF3097" t="s">
        <v>3223</v>
      </c>
      <c r="AG3097" t="s">
        <v>8833</v>
      </c>
      <c r="AH3097" t="s">
        <v>2841</v>
      </c>
      <c r="AI3097">
        <v>1.1499999999999999</v>
      </c>
      <c r="AJ3097">
        <v>3.31</v>
      </c>
      <c r="AK3097">
        <v>17.82</v>
      </c>
      <c r="AL3097">
        <v>32.86</v>
      </c>
    </row>
    <row r="3098" spans="1:38" x14ac:dyDescent="0.25">
      <c r="A3098">
        <v>3097</v>
      </c>
      <c r="B3098" t="str">
        <f xml:space="preserve"> "603990"</f>
        <v>603990</v>
      </c>
      <c r="C3098" t="s">
        <v>8834</v>
      </c>
      <c r="D3098">
        <v>41.58</v>
      </c>
      <c r="E3098">
        <v>-0.34</v>
      </c>
      <c r="F3098">
        <v>-0.14000000000000001</v>
      </c>
      <c r="G3098">
        <v>8400</v>
      </c>
      <c r="H3098">
        <v>11</v>
      </c>
      <c r="I3098">
        <v>41.52</v>
      </c>
      <c r="J3098">
        <v>41.58</v>
      </c>
      <c r="K3098">
        <v>0.14000000000000001</v>
      </c>
      <c r="L3098">
        <v>4.2</v>
      </c>
      <c r="M3098" t="s">
        <v>8835</v>
      </c>
      <c r="N3098">
        <v>122.99</v>
      </c>
      <c r="O3098" t="s">
        <v>893</v>
      </c>
      <c r="P3098">
        <v>42</v>
      </c>
      <c r="Q3098">
        <v>41.15</v>
      </c>
      <c r="R3098">
        <v>41.21</v>
      </c>
      <c r="S3098">
        <v>41.72</v>
      </c>
      <c r="T3098">
        <v>2.04</v>
      </c>
      <c r="U3098">
        <v>0.64</v>
      </c>
      <c r="V3098">
        <v>-11.69</v>
      </c>
      <c r="W3098">
        <v>-36</v>
      </c>
      <c r="X3098">
        <v>41.66</v>
      </c>
      <c r="Y3098">
        <v>4658</v>
      </c>
      <c r="Z3098">
        <v>3742</v>
      </c>
      <c r="AA3098">
        <v>1.24</v>
      </c>
      <c r="AB3098">
        <v>80</v>
      </c>
      <c r="AC3098">
        <v>97</v>
      </c>
      <c r="AD3098">
        <v>8.5299999999999994</v>
      </c>
      <c r="AE3098" t="s">
        <v>8836</v>
      </c>
      <c r="AF3098" t="s">
        <v>3223</v>
      </c>
      <c r="AG3098" t="s">
        <v>5562</v>
      </c>
      <c r="AH3098" t="s">
        <v>1019</v>
      </c>
      <c r="AI3098">
        <v>-0.56999999999999995</v>
      </c>
      <c r="AJ3098">
        <v>8.11</v>
      </c>
      <c r="AK3098">
        <v>18.940000000000001</v>
      </c>
      <c r="AL3098">
        <v>37</v>
      </c>
    </row>
    <row r="3099" spans="1:38" x14ac:dyDescent="0.25">
      <c r="A3099">
        <v>3098</v>
      </c>
      <c r="B3099" t="str">
        <f xml:space="preserve"> "000985"</f>
        <v>000985</v>
      </c>
      <c r="C3099" t="s">
        <v>8837</v>
      </c>
      <c r="D3099">
        <v>25.95</v>
      </c>
      <c r="E3099">
        <v>-0.15</v>
      </c>
      <c r="F3099">
        <v>-0.04</v>
      </c>
      <c r="G3099">
        <v>8328</v>
      </c>
      <c r="H3099">
        <v>77</v>
      </c>
      <c r="I3099">
        <v>25.95</v>
      </c>
      <c r="J3099">
        <v>25.96</v>
      </c>
      <c r="K3099">
        <v>0.04</v>
      </c>
      <c r="L3099">
        <v>0.64</v>
      </c>
      <c r="M3099" t="s">
        <v>8838</v>
      </c>
      <c r="N3099">
        <v>103.6</v>
      </c>
      <c r="O3099" t="s">
        <v>61</v>
      </c>
      <c r="P3099">
        <v>26.03</v>
      </c>
      <c r="Q3099">
        <v>25.72</v>
      </c>
      <c r="R3099">
        <v>26</v>
      </c>
      <c r="S3099">
        <v>25.99</v>
      </c>
      <c r="T3099">
        <v>1.19</v>
      </c>
      <c r="U3099">
        <v>0.8</v>
      </c>
      <c r="V3099">
        <v>-30.41</v>
      </c>
      <c r="W3099">
        <v>-125</v>
      </c>
      <c r="X3099">
        <v>25.83</v>
      </c>
      <c r="Y3099">
        <v>5209</v>
      </c>
      <c r="Z3099">
        <v>3119</v>
      </c>
      <c r="AA3099">
        <v>1.67</v>
      </c>
      <c r="AB3099">
        <v>45</v>
      </c>
      <c r="AC3099">
        <v>43</v>
      </c>
      <c r="AD3099">
        <v>6.47</v>
      </c>
      <c r="AE3099" t="s">
        <v>3398</v>
      </c>
      <c r="AF3099" t="s">
        <v>901</v>
      </c>
      <c r="AG3099" t="s">
        <v>3398</v>
      </c>
      <c r="AH3099" t="s">
        <v>901</v>
      </c>
      <c r="AI3099">
        <v>0.27</v>
      </c>
      <c r="AJ3099">
        <v>3.35</v>
      </c>
      <c r="AK3099">
        <v>2.5</v>
      </c>
      <c r="AL3099">
        <v>4.67</v>
      </c>
    </row>
    <row r="3100" spans="1:38" x14ac:dyDescent="0.25">
      <c r="A3100">
        <v>3099</v>
      </c>
      <c r="B3100" t="str">
        <f xml:space="preserve"> "300093"</f>
        <v>300093</v>
      </c>
      <c r="C3100" t="s">
        <v>8839</v>
      </c>
      <c r="D3100">
        <v>15.57</v>
      </c>
      <c r="E3100">
        <v>0.52</v>
      </c>
      <c r="F3100">
        <v>0.08</v>
      </c>
      <c r="G3100" t="s">
        <v>2653</v>
      </c>
      <c r="H3100">
        <v>385</v>
      </c>
      <c r="I3100">
        <v>15.56</v>
      </c>
      <c r="J3100">
        <v>15.57</v>
      </c>
      <c r="K3100">
        <v>-0.13</v>
      </c>
      <c r="L3100">
        <v>0.98</v>
      </c>
      <c r="M3100" t="s">
        <v>8840</v>
      </c>
      <c r="N3100">
        <v>180.4</v>
      </c>
      <c r="O3100" t="s">
        <v>1058</v>
      </c>
      <c r="P3100">
        <v>15.66</v>
      </c>
      <c r="Q3100">
        <v>15.42</v>
      </c>
      <c r="R3100">
        <v>15.58</v>
      </c>
      <c r="S3100">
        <v>15.49</v>
      </c>
      <c r="T3100">
        <v>1.55</v>
      </c>
      <c r="U3100">
        <v>0.61</v>
      </c>
      <c r="V3100">
        <v>-91.05</v>
      </c>
      <c r="W3100">
        <v>-1099</v>
      </c>
      <c r="X3100">
        <v>15.53</v>
      </c>
      <c r="Y3100" t="s">
        <v>808</v>
      </c>
      <c r="Z3100">
        <v>9947</v>
      </c>
      <c r="AA3100">
        <v>1.1200000000000001</v>
      </c>
      <c r="AB3100">
        <v>17</v>
      </c>
      <c r="AC3100">
        <v>228</v>
      </c>
      <c r="AD3100">
        <v>3.81</v>
      </c>
      <c r="AE3100" t="s">
        <v>1914</v>
      </c>
      <c r="AF3100" t="s">
        <v>901</v>
      </c>
      <c r="AG3100" t="s">
        <v>185</v>
      </c>
      <c r="AH3100" t="s">
        <v>6804</v>
      </c>
      <c r="AI3100">
        <v>-0.26</v>
      </c>
      <c r="AJ3100">
        <v>6.64</v>
      </c>
      <c r="AK3100">
        <v>3.81</v>
      </c>
      <c r="AL3100">
        <v>9.02</v>
      </c>
    </row>
    <row r="3101" spans="1:38" x14ac:dyDescent="0.25">
      <c r="A3101">
        <v>3100</v>
      </c>
      <c r="B3101" t="str">
        <f xml:space="preserve"> "300603"</f>
        <v>300603</v>
      </c>
      <c r="C3101" t="s">
        <v>8841</v>
      </c>
      <c r="D3101" t="s">
        <v>616</v>
      </c>
      <c r="E3101" t="s">
        <v>616</v>
      </c>
      <c r="F3101" t="s">
        <v>616</v>
      </c>
      <c r="G3101" t="s">
        <v>616</v>
      </c>
      <c r="H3101" t="s">
        <v>616</v>
      </c>
      <c r="I3101" t="s">
        <v>616</v>
      </c>
      <c r="J3101" t="s">
        <v>616</v>
      </c>
      <c r="K3101" t="s">
        <v>616</v>
      </c>
      <c r="L3101" t="s">
        <v>616</v>
      </c>
      <c r="M3101" t="s">
        <v>616</v>
      </c>
      <c r="N3101">
        <v>46.02</v>
      </c>
      <c r="O3101" t="s">
        <v>893</v>
      </c>
      <c r="P3101" t="s">
        <v>616</v>
      </c>
      <c r="Q3101" t="s">
        <v>616</v>
      </c>
      <c r="R3101" t="s">
        <v>616</v>
      </c>
      <c r="S3101">
        <v>32.78</v>
      </c>
      <c r="T3101" t="s">
        <v>616</v>
      </c>
      <c r="U3101" t="s">
        <v>616</v>
      </c>
      <c r="V3101" t="s">
        <v>616</v>
      </c>
      <c r="W3101" t="s">
        <v>616</v>
      </c>
      <c r="X3101" t="s">
        <v>616</v>
      </c>
      <c r="Y3101" t="s">
        <v>616</v>
      </c>
      <c r="Z3101" t="s">
        <v>616</v>
      </c>
      <c r="AA3101" t="s">
        <v>616</v>
      </c>
      <c r="AB3101" t="s">
        <v>616</v>
      </c>
      <c r="AC3101" t="s">
        <v>616</v>
      </c>
      <c r="AD3101">
        <v>8.77</v>
      </c>
      <c r="AE3101" t="s">
        <v>2179</v>
      </c>
      <c r="AF3101" t="s">
        <v>901</v>
      </c>
      <c r="AG3101" t="s">
        <v>8842</v>
      </c>
      <c r="AH3101" t="s">
        <v>5429</v>
      </c>
      <c r="AI3101">
        <v>0</v>
      </c>
      <c r="AJ3101">
        <v>0</v>
      </c>
      <c r="AK3101">
        <v>0</v>
      </c>
      <c r="AL3101">
        <v>0</v>
      </c>
    </row>
    <row r="3102" spans="1:38" x14ac:dyDescent="0.25">
      <c r="A3102">
        <v>3101</v>
      </c>
      <c r="B3102" t="str">
        <f xml:space="preserve"> "603966"</f>
        <v>603966</v>
      </c>
      <c r="C3102" t="s">
        <v>8843</v>
      </c>
      <c r="D3102">
        <v>20.98</v>
      </c>
      <c r="E3102">
        <v>1.06</v>
      </c>
      <c r="F3102">
        <v>0.22</v>
      </c>
      <c r="G3102" t="s">
        <v>3861</v>
      </c>
      <c r="H3102">
        <v>274</v>
      </c>
      <c r="I3102">
        <v>20.9</v>
      </c>
      <c r="J3102">
        <v>20.96</v>
      </c>
      <c r="K3102">
        <v>-0.1</v>
      </c>
      <c r="L3102">
        <v>7.92</v>
      </c>
      <c r="M3102" t="s">
        <v>8844</v>
      </c>
      <c r="N3102">
        <v>68.260000000000005</v>
      </c>
      <c r="O3102" t="s">
        <v>2647</v>
      </c>
      <c r="P3102">
        <v>21.3</v>
      </c>
      <c r="Q3102">
        <v>20.5</v>
      </c>
      <c r="R3102">
        <v>20.67</v>
      </c>
      <c r="S3102">
        <v>20.76</v>
      </c>
      <c r="T3102">
        <v>3.85</v>
      </c>
      <c r="U3102">
        <v>1.52</v>
      </c>
      <c r="V3102">
        <v>-69.78</v>
      </c>
      <c r="W3102">
        <v>-606</v>
      </c>
      <c r="X3102">
        <v>20.94</v>
      </c>
      <c r="Y3102" t="s">
        <v>4237</v>
      </c>
      <c r="Z3102" t="s">
        <v>1278</v>
      </c>
      <c r="AA3102">
        <v>0.95</v>
      </c>
      <c r="AB3102">
        <v>59</v>
      </c>
      <c r="AC3102">
        <v>21</v>
      </c>
      <c r="AD3102">
        <v>4.3</v>
      </c>
      <c r="AE3102" t="s">
        <v>4326</v>
      </c>
      <c r="AF3102" t="s">
        <v>901</v>
      </c>
      <c r="AG3102" t="s">
        <v>6081</v>
      </c>
      <c r="AH3102" t="s">
        <v>4386</v>
      </c>
      <c r="AI3102">
        <v>3.6</v>
      </c>
      <c r="AJ3102">
        <v>9.44</v>
      </c>
      <c r="AK3102">
        <v>22.92</v>
      </c>
      <c r="AL3102">
        <v>34.01</v>
      </c>
    </row>
    <row r="3103" spans="1:38" x14ac:dyDescent="0.25">
      <c r="A3103">
        <v>3102</v>
      </c>
      <c r="B3103" t="str">
        <f xml:space="preserve"> "603086"</f>
        <v>603086</v>
      </c>
      <c r="C3103" t="s">
        <v>8845</v>
      </c>
      <c r="D3103">
        <v>41.92</v>
      </c>
      <c r="E3103">
        <v>2.95</v>
      </c>
      <c r="F3103">
        <v>1.2</v>
      </c>
      <c r="G3103" t="s">
        <v>4590</v>
      </c>
      <c r="H3103">
        <v>8</v>
      </c>
      <c r="I3103">
        <v>41.91</v>
      </c>
      <c r="J3103">
        <v>41.93</v>
      </c>
      <c r="K3103">
        <v>0.05</v>
      </c>
      <c r="L3103">
        <v>7.55</v>
      </c>
      <c r="M3103" t="s">
        <v>8846</v>
      </c>
      <c r="N3103">
        <v>30.95</v>
      </c>
      <c r="O3103" t="s">
        <v>2060</v>
      </c>
      <c r="P3103">
        <v>42.28</v>
      </c>
      <c r="Q3103">
        <v>40.6</v>
      </c>
      <c r="R3103">
        <v>40.619999999999997</v>
      </c>
      <c r="S3103">
        <v>40.72</v>
      </c>
      <c r="T3103">
        <v>4.13</v>
      </c>
      <c r="U3103">
        <v>1.71</v>
      </c>
      <c r="V3103">
        <v>51.78</v>
      </c>
      <c r="W3103">
        <v>131</v>
      </c>
      <c r="X3103">
        <v>41.59</v>
      </c>
      <c r="Y3103">
        <v>5774</v>
      </c>
      <c r="Z3103">
        <v>9319</v>
      </c>
      <c r="AA3103">
        <v>0.62</v>
      </c>
      <c r="AB3103">
        <v>138</v>
      </c>
      <c r="AC3103">
        <v>35</v>
      </c>
      <c r="AD3103">
        <v>3.17</v>
      </c>
      <c r="AE3103" t="s">
        <v>5802</v>
      </c>
      <c r="AF3103" t="s">
        <v>6804</v>
      </c>
      <c r="AG3103" t="s">
        <v>5562</v>
      </c>
      <c r="AH3103" t="s">
        <v>3493</v>
      </c>
      <c r="AI3103">
        <v>1.62</v>
      </c>
      <c r="AJ3103">
        <v>3.69</v>
      </c>
      <c r="AK3103">
        <v>15.57</v>
      </c>
      <c r="AL3103">
        <v>29.57</v>
      </c>
    </row>
    <row r="3104" spans="1:38" x14ac:dyDescent="0.25">
      <c r="A3104">
        <v>3103</v>
      </c>
      <c r="B3104" t="str">
        <f xml:space="preserve"> "002306"</f>
        <v>002306</v>
      </c>
      <c r="C3104" t="s">
        <v>8847</v>
      </c>
      <c r="D3104">
        <v>4.1900000000000004</v>
      </c>
      <c r="E3104">
        <v>0.24</v>
      </c>
      <c r="F3104">
        <v>0.01</v>
      </c>
      <c r="G3104" t="s">
        <v>620</v>
      </c>
      <c r="H3104">
        <v>488</v>
      </c>
      <c r="I3104">
        <v>4.18</v>
      </c>
      <c r="J3104">
        <v>4.1900000000000004</v>
      </c>
      <c r="K3104">
        <v>0.24</v>
      </c>
      <c r="L3104">
        <v>0.84</v>
      </c>
      <c r="M3104" t="s">
        <v>8848</v>
      </c>
      <c r="N3104">
        <v>-197.56</v>
      </c>
      <c r="O3104" t="s">
        <v>951</v>
      </c>
      <c r="P3104">
        <v>4.2</v>
      </c>
      <c r="Q3104">
        <v>4.12</v>
      </c>
      <c r="R3104">
        <v>4.18</v>
      </c>
      <c r="S3104">
        <v>4.18</v>
      </c>
      <c r="T3104">
        <v>1.91</v>
      </c>
      <c r="U3104">
        <v>0.68</v>
      </c>
      <c r="V3104">
        <v>-33.32</v>
      </c>
      <c r="W3104">
        <v>-4379</v>
      </c>
      <c r="X3104">
        <v>4.16</v>
      </c>
      <c r="Y3104" t="s">
        <v>3077</v>
      </c>
      <c r="Z3104" t="s">
        <v>1525</v>
      </c>
      <c r="AA3104">
        <v>1.1200000000000001</v>
      </c>
      <c r="AB3104">
        <v>571</v>
      </c>
      <c r="AC3104">
        <v>2263</v>
      </c>
      <c r="AD3104">
        <v>-316.88</v>
      </c>
      <c r="AE3104" t="s">
        <v>1754</v>
      </c>
      <c r="AF3104" t="s">
        <v>6804</v>
      </c>
      <c r="AG3104" t="s">
        <v>5591</v>
      </c>
      <c r="AH3104" t="s">
        <v>6804</v>
      </c>
      <c r="AI3104">
        <v>6.35</v>
      </c>
      <c r="AJ3104">
        <v>9.69</v>
      </c>
      <c r="AK3104">
        <v>5.0599999999999996</v>
      </c>
      <c r="AL3104">
        <v>7.05</v>
      </c>
    </row>
    <row r="3105" spans="1:38" x14ac:dyDescent="0.25">
      <c r="A3105">
        <v>3104</v>
      </c>
      <c r="B3105" t="str">
        <f xml:space="preserve"> "600898"</f>
        <v>600898</v>
      </c>
      <c r="C3105" t="s">
        <v>8849</v>
      </c>
      <c r="D3105">
        <v>13.27</v>
      </c>
      <c r="E3105">
        <v>-1.04</v>
      </c>
      <c r="F3105">
        <v>-0.14000000000000001</v>
      </c>
      <c r="G3105" t="s">
        <v>2542</v>
      </c>
      <c r="H3105">
        <v>15</v>
      </c>
      <c r="I3105">
        <v>13.26</v>
      </c>
      <c r="J3105">
        <v>13.27</v>
      </c>
      <c r="K3105">
        <v>0.23</v>
      </c>
      <c r="L3105">
        <v>1.37</v>
      </c>
      <c r="M3105" t="s">
        <v>8850</v>
      </c>
      <c r="N3105">
        <v>-118.35</v>
      </c>
      <c r="O3105" t="s">
        <v>580</v>
      </c>
      <c r="P3105">
        <v>13.45</v>
      </c>
      <c r="Q3105">
        <v>13.18</v>
      </c>
      <c r="R3105">
        <v>13.39</v>
      </c>
      <c r="S3105">
        <v>13.41</v>
      </c>
      <c r="T3105">
        <v>2.0099999999999998</v>
      </c>
      <c r="U3105">
        <v>0.65</v>
      </c>
      <c r="V3105">
        <v>-27.91</v>
      </c>
      <c r="W3105">
        <v>-340</v>
      </c>
      <c r="X3105">
        <v>13.24</v>
      </c>
      <c r="Y3105" t="s">
        <v>275</v>
      </c>
      <c r="Z3105">
        <v>9998</v>
      </c>
      <c r="AA3105">
        <v>2.46</v>
      </c>
      <c r="AB3105">
        <v>18</v>
      </c>
      <c r="AC3105">
        <v>56</v>
      </c>
      <c r="AD3105">
        <v>9.52</v>
      </c>
      <c r="AE3105" t="s">
        <v>424</v>
      </c>
      <c r="AF3105" t="s">
        <v>6804</v>
      </c>
      <c r="AG3105" t="s">
        <v>424</v>
      </c>
      <c r="AH3105" t="s">
        <v>6804</v>
      </c>
      <c r="AI3105">
        <v>0.99</v>
      </c>
      <c r="AJ3105">
        <v>4.24</v>
      </c>
      <c r="AK3105">
        <v>5.58</v>
      </c>
      <c r="AL3105">
        <v>11.9</v>
      </c>
    </row>
    <row r="3106" spans="1:38" x14ac:dyDescent="0.25">
      <c r="A3106">
        <v>3105</v>
      </c>
      <c r="B3106" t="str">
        <f xml:space="preserve"> "600218"</f>
        <v>600218</v>
      </c>
      <c r="C3106" t="s">
        <v>8851</v>
      </c>
      <c r="D3106">
        <v>9.07</v>
      </c>
      <c r="E3106">
        <v>0.22</v>
      </c>
      <c r="F3106">
        <v>0.02</v>
      </c>
      <c r="G3106" t="s">
        <v>1565</v>
      </c>
      <c r="H3106">
        <v>25</v>
      </c>
      <c r="I3106">
        <v>9.06</v>
      </c>
      <c r="J3106">
        <v>9.07</v>
      </c>
      <c r="K3106">
        <v>0.22</v>
      </c>
      <c r="L3106">
        <v>0.61</v>
      </c>
      <c r="M3106" t="s">
        <v>8852</v>
      </c>
      <c r="N3106">
        <v>35.39</v>
      </c>
      <c r="O3106" t="s">
        <v>648</v>
      </c>
      <c r="P3106">
        <v>9.08</v>
      </c>
      <c r="Q3106">
        <v>9.02</v>
      </c>
      <c r="R3106">
        <v>9.02</v>
      </c>
      <c r="S3106">
        <v>9.0500000000000007</v>
      </c>
      <c r="T3106">
        <v>0.66</v>
      </c>
      <c r="U3106">
        <v>0.69</v>
      </c>
      <c r="V3106">
        <v>-34.71</v>
      </c>
      <c r="W3106">
        <v>-1721</v>
      </c>
      <c r="X3106">
        <v>9.0500000000000007</v>
      </c>
      <c r="Y3106" t="s">
        <v>5764</v>
      </c>
      <c r="Z3106" t="s">
        <v>1685</v>
      </c>
      <c r="AA3106">
        <v>1.22</v>
      </c>
      <c r="AB3106">
        <v>129</v>
      </c>
      <c r="AC3106">
        <v>254</v>
      </c>
      <c r="AD3106">
        <v>1.76</v>
      </c>
      <c r="AE3106" t="s">
        <v>4391</v>
      </c>
      <c r="AF3106" t="s">
        <v>5489</v>
      </c>
      <c r="AG3106" t="s">
        <v>4391</v>
      </c>
      <c r="AH3106" t="s">
        <v>5489</v>
      </c>
      <c r="AI3106">
        <v>0</v>
      </c>
      <c r="AJ3106">
        <v>1.68</v>
      </c>
      <c r="AK3106">
        <v>2.14</v>
      </c>
      <c r="AL3106">
        <v>4.99</v>
      </c>
    </row>
    <row r="3107" spans="1:38" x14ac:dyDescent="0.25">
      <c r="A3107">
        <v>3106</v>
      </c>
      <c r="B3107" t="str">
        <f xml:space="preserve"> "600272"</f>
        <v>600272</v>
      </c>
      <c r="C3107" t="s">
        <v>8853</v>
      </c>
      <c r="D3107">
        <v>13.76</v>
      </c>
      <c r="E3107">
        <v>-0.15</v>
      </c>
      <c r="F3107">
        <v>-0.02</v>
      </c>
      <c r="G3107" t="s">
        <v>1259</v>
      </c>
      <c r="H3107">
        <v>5</v>
      </c>
      <c r="I3107">
        <v>13.75</v>
      </c>
      <c r="J3107">
        <v>13.76</v>
      </c>
      <c r="K3107">
        <v>0</v>
      </c>
      <c r="L3107">
        <v>0.76</v>
      </c>
      <c r="M3107" t="s">
        <v>8854</v>
      </c>
      <c r="N3107">
        <v>102.47</v>
      </c>
      <c r="O3107" t="s">
        <v>532</v>
      </c>
      <c r="P3107">
        <v>13.8</v>
      </c>
      <c r="Q3107">
        <v>13.62</v>
      </c>
      <c r="R3107">
        <v>13.72</v>
      </c>
      <c r="S3107">
        <v>13.78</v>
      </c>
      <c r="T3107">
        <v>1.31</v>
      </c>
      <c r="U3107">
        <v>0.78</v>
      </c>
      <c r="V3107">
        <v>-30.99</v>
      </c>
      <c r="W3107">
        <v>-332</v>
      </c>
      <c r="X3107">
        <v>13.71</v>
      </c>
      <c r="Y3107">
        <v>6769</v>
      </c>
      <c r="Z3107">
        <v>5400</v>
      </c>
      <c r="AA3107">
        <v>1.25</v>
      </c>
      <c r="AB3107">
        <v>86</v>
      </c>
      <c r="AC3107">
        <v>25</v>
      </c>
      <c r="AD3107">
        <v>7.03</v>
      </c>
      <c r="AE3107" t="s">
        <v>5158</v>
      </c>
      <c r="AF3107" t="s">
        <v>5489</v>
      </c>
      <c r="AG3107" t="s">
        <v>4326</v>
      </c>
      <c r="AH3107" t="s">
        <v>662</v>
      </c>
      <c r="AI3107">
        <v>0</v>
      </c>
      <c r="AJ3107">
        <v>3.54</v>
      </c>
      <c r="AK3107">
        <v>2.93</v>
      </c>
      <c r="AL3107">
        <v>5.64</v>
      </c>
    </row>
    <row r="3108" spans="1:38" x14ac:dyDescent="0.25">
      <c r="A3108">
        <v>3107</v>
      </c>
      <c r="B3108" t="str">
        <f xml:space="preserve"> "603822"</f>
        <v>603822</v>
      </c>
      <c r="C3108" t="s">
        <v>8855</v>
      </c>
      <c r="D3108">
        <v>45.31</v>
      </c>
      <c r="E3108">
        <v>10</v>
      </c>
      <c r="F3108">
        <v>4.12</v>
      </c>
      <c r="G3108" t="s">
        <v>430</v>
      </c>
      <c r="H3108">
        <v>5</v>
      </c>
      <c r="I3108">
        <v>45.31</v>
      </c>
      <c r="J3108" t="s">
        <v>616</v>
      </c>
      <c r="K3108">
        <v>0</v>
      </c>
      <c r="L3108">
        <v>9.07</v>
      </c>
      <c r="M3108" t="s">
        <v>514</v>
      </c>
      <c r="N3108">
        <v>102.82</v>
      </c>
      <c r="O3108" t="s">
        <v>667</v>
      </c>
      <c r="P3108">
        <v>45.31</v>
      </c>
      <c r="Q3108">
        <v>41.1</v>
      </c>
      <c r="R3108">
        <v>41.2</v>
      </c>
      <c r="S3108">
        <v>41.19</v>
      </c>
      <c r="T3108">
        <v>10.220000000000001</v>
      </c>
      <c r="U3108">
        <v>4.5999999999999996</v>
      </c>
      <c r="V3108">
        <v>100</v>
      </c>
      <c r="W3108">
        <v>6191</v>
      </c>
      <c r="X3108">
        <v>43.87</v>
      </c>
      <c r="Y3108" t="s">
        <v>3158</v>
      </c>
      <c r="Z3108" t="s">
        <v>3158</v>
      </c>
      <c r="AA3108">
        <v>1</v>
      </c>
      <c r="AB3108">
        <v>6071</v>
      </c>
      <c r="AC3108">
        <v>0</v>
      </c>
      <c r="AD3108">
        <v>5.24</v>
      </c>
      <c r="AE3108" t="s">
        <v>8143</v>
      </c>
      <c r="AF3108" t="s">
        <v>7437</v>
      </c>
      <c r="AG3108" t="s">
        <v>8856</v>
      </c>
      <c r="AH3108" t="s">
        <v>2856</v>
      </c>
      <c r="AI3108">
        <v>6.76</v>
      </c>
      <c r="AJ3108">
        <v>10.73</v>
      </c>
      <c r="AK3108">
        <v>13.25</v>
      </c>
      <c r="AL3108">
        <v>18.920000000000002</v>
      </c>
    </row>
    <row r="3109" spans="1:38" x14ac:dyDescent="0.25">
      <c r="A3109">
        <v>3108</v>
      </c>
      <c r="B3109" t="str">
        <f xml:space="preserve"> "002878"</f>
        <v>002878</v>
      </c>
      <c r="C3109" t="s">
        <v>8857</v>
      </c>
      <c r="D3109">
        <v>44.1</v>
      </c>
      <c r="E3109">
        <v>2.99</v>
      </c>
      <c r="F3109">
        <v>1.28</v>
      </c>
      <c r="G3109" t="s">
        <v>5289</v>
      </c>
      <c r="H3109">
        <v>662</v>
      </c>
      <c r="I3109">
        <v>44.09</v>
      </c>
      <c r="J3109">
        <v>44.11</v>
      </c>
      <c r="K3109">
        <v>0.05</v>
      </c>
      <c r="L3109">
        <v>25.3</v>
      </c>
      <c r="M3109" t="s">
        <v>2970</v>
      </c>
      <c r="N3109">
        <v>45.41</v>
      </c>
      <c r="O3109" t="s">
        <v>1126</v>
      </c>
      <c r="P3109">
        <v>45.38</v>
      </c>
      <c r="Q3109">
        <v>42.55</v>
      </c>
      <c r="R3109">
        <v>43.05</v>
      </c>
      <c r="S3109">
        <v>42.82</v>
      </c>
      <c r="T3109">
        <v>6.61</v>
      </c>
      <c r="U3109">
        <v>2.19</v>
      </c>
      <c r="V3109">
        <v>15.06</v>
      </c>
      <c r="W3109">
        <v>111</v>
      </c>
      <c r="X3109">
        <v>44.3</v>
      </c>
      <c r="Y3109" t="s">
        <v>1724</v>
      </c>
      <c r="Z3109" t="s">
        <v>2777</v>
      </c>
      <c r="AA3109">
        <v>0.78</v>
      </c>
      <c r="AB3109">
        <v>93</v>
      </c>
      <c r="AC3109">
        <v>195</v>
      </c>
      <c r="AD3109">
        <v>6.88</v>
      </c>
      <c r="AE3109" t="s">
        <v>8858</v>
      </c>
      <c r="AF3109" t="s">
        <v>7437</v>
      </c>
      <c r="AG3109" t="s">
        <v>8859</v>
      </c>
      <c r="AH3109" t="s">
        <v>3626</v>
      </c>
      <c r="AI3109">
        <v>2.5299999999999998</v>
      </c>
      <c r="AJ3109">
        <v>4.5999999999999996</v>
      </c>
      <c r="AK3109">
        <v>47.5</v>
      </c>
      <c r="AL3109">
        <v>82.91</v>
      </c>
    </row>
    <row r="3110" spans="1:38" x14ac:dyDescent="0.25">
      <c r="A3110">
        <v>3109</v>
      </c>
      <c r="B3110" t="str">
        <f xml:space="preserve"> "002487"</f>
        <v>002487</v>
      </c>
      <c r="C3110" t="s">
        <v>8860</v>
      </c>
      <c r="D3110">
        <v>6.15</v>
      </c>
      <c r="E3110">
        <v>0.99</v>
      </c>
      <c r="F3110">
        <v>0.06</v>
      </c>
      <c r="G3110" t="s">
        <v>1973</v>
      </c>
      <c r="H3110">
        <v>1960</v>
      </c>
      <c r="I3110">
        <v>6.15</v>
      </c>
      <c r="J3110">
        <v>6.16</v>
      </c>
      <c r="K3110">
        <v>0.16</v>
      </c>
      <c r="L3110">
        <v>0.57999999999999996</v>
      </c>
      <c r="M3110" t="s">
        <v>8002</v>
      </c>
      <c r="N3110">
        <v>158.51</v>
      </c>
      <c r="O3110" t="s">
        <v>1229</v>
      </c>
      <c r="P3110">
        <v>6.17</v>
      </c>
      <c r="Q3110">
        <v>6.07</v>
      </c>
      <c r="R3110">
        <v>6.09</v>
      </c>
      <c r="S3110">
        <v>6.09</v>
      </c>
      <c r="T3110">
        <v>1.64</v>
      </c>
      <c r="U3110">
        <v>1.1100000000000001</v>
      </c>
      <c r="V3110">
        <v>-62.55</v>
      </c>
      <c r="W3110">
        <v>-5525</v>
      </c>
      <c r="X3110">
        <v>6.13</v>
      </c>
      <c r="Y3110" t="s">
        <v>5621</v>
      </c>
      <c r="Z3110" t="s">
        <v>1886</v>
      </c>
      <c r="AA3110">
        <v>0.76</v>
      </c>
      <c r="AB3110">
        <v>577</v>
      </c>
      <c r="AC3110">
        <v>1157</v>
      </c>
      <c r="AD3110">
        <v>1.94</v>
      </c>
      <c r="AE3110" t="s">
        <v>8306</v>
      </c>
      <c r="AF3110" t="s">
        <v>7437</v>
      </c>
      <c r="AG3110" t="s">
        <v>8306</v>
      </c>
      <c r="AH3110" t="s">
        <v>7437</v>
      </c>
      <c r="AI3110">
        <v>0.33</v>
      </c>
      <c r="AJ3110">
        <v>5.13</v>
      </c>
      <c r="AK3110">
        <v>1.6</v>
      </c>
      <c r="AL3110">
        <v>3.21</v>
      </c>
    </row>
    <row r="3111" spans="1:38" x14ac:dyDescent="0.25">
      <c r="A3111">
        <v>3110</v>
      </c>
      <c r="B3111" t="str">
        <f xml:space="preserve"> "300559"</f>
        <v>300559</v>
      </c>
      <c r="C3111" t="s">
        <v>8861</v>
      </c>
      <c r="D3111">
        <v>46.25</v>
      </c>
      <c r="E3111">
        <v>5.47</v>
      </c>
      <c r="F3111">
        <v>2.4</v>
      </c>
      <c r="G3111">
        <v>8802</v>
      </c>
      <c r="H3111">
        <v>248</v>
      </c>
      <c r="I3111">
        <v>46.24</v>
      </c>
      <c r="J3111">
        <v>46.25</v>
      </c>
      <c r="K3111">
        <v>0</v>
      </c>
      <c r="L3111">
        <v>4.8899999999999997</v>
      </c>
      <c r="M3111" t="s">
        <v>8862</v>
      </c>
      <c r="N3111">
        <v>70.650000000000006</v>
      </c>
      <c r="O3111" t="s">
        <v>893</v>
      </c>
      <c r="P3111">
        <v>46.27</v>
      </c>
      <c r="Q3111">
        <v>44.02</v>
      </c>
      <c r="R3111">
        <v>44.02</v>
      </c>
      <c r="S3111">
        <v>43.85</v>
      </c>
      <c r="T3111">
        <v>5.13</v>
      </c>
      <c r="U3111">
        <v>1.75</v>
      </c>
      <c r="V3111">
        <v>-74.45</v>
      </c>
      <c r="W3111">
        <v>-221</v>
      </c>
      <c r="X3111">
        <v>45.76</v>
      </c>
      <c r="Y3111">
        <v>3302</v>
      </c>
      <c r="Z3111">
        <v>5500</v>
      </c>
      <c r="AA3111">
        <v>0.6</v>
      </c>
      <c r="AB3111">
        <v>19</v>
      </c>
      <c r="AC3111">
        <v>59</v>
      </c>
      <c r="AD3111">
        <v>5.6</v>
      </c>
      <c r="AE3111" t="s">
        <v>8660</v>
      </c>
      <c r="AF3111" t="s">
        <v>7437</v>
      </c>
      <c r="AG3111" t="s">
        <v>8863</v>
      </c>
      <c r="AH3111" t="s">
        <v>1019</v>
      </c>
      <c r="AI3111">
        <v>1.47</v>
      </c>
      <c r="AJ3111">
        <v>7.56</v>
      </c>
      <c r="AK3111">
        <v>9.42</v>
      </c>
      <c r="AL3111">
        <v>18.850000000000001</v>
      </c>
    </row>
    <row r="3112" spans="1:38" x14ac:dyDescent="0.25">
      <c r="A3112">
        <v>3111</v>
      </c>
      <c r="B3112" t="str">
        <f xml:space="preserve"> "300423"</f>
        <v>300423</v>
      </c>
      <c r="C3112" t="s">
        <v>8864</v>
      </c>
      <c r="D3112">
        <v>29.9</v>
      </c>
      <c r="E3112">
        <v>-0.99</v>
      </c>
      <c r="F3112">
        <v>-0.3</v>
      </c>
      <c r="G3112">
        <v>3518</v>
      </c>
      <c r="H3112">
        <v>112</v>
      </c>
      <c r="I3112">
        <v>29.9</v>
      </c>
      <c r="J3112">
        <v>29.91</v>
      </c>
      <c r="K3112">
        <v>0</v>
      </c>
      <c r="L3112">
        <v>0.77</v>
      </c>
      <c r="M3112" t="s">
        <v>8865</v>
      </c>
      <c r="N3112">
        <v>167.02</v>
      </c>
      <c r="O3112" t="s">
        <v>680</v>
      </c>
      <c r="P3112">
        <v>30.19</v>
      </c>
      <c r="Q3112">
        <v>29.8</v>
      </c>
      <c r="R3112">
        <v>30.19</v>
      </c>
      <c r="S3112">
        <v>30.2</v>
      </c>
      <c r="T3112">
        <v>1.29</v>
      </c>
      <c r="U3112">
        <v>0.41</v>
      </c>
      <c r="V3112">
        <v>69.180000000000007</v>
      </c>
      <c r="W3112">
        <v>697</v>
      </c>
      <c r="X3112">
        <v>29.9</v>
      </c>
      <c r="Y3112">
        <v>2522</v>
      </c>
      <c r="Z3112">
        <v>995</v>
      </c>
      <c r="AA3112">
        <v>2.5299999999999998</v>
      </c>
      <c r="AB3112">
        <v>167</v>
      </c>
      <c r="AC3112">
        <v>2</v>
      </c>
      <c r="AD3112">
        <v>6.29</v>
      </c>
      <c r="AE3112" t="s">
        <v>4533</v>
      </c>
      <c r="AF3112" t="s">
        <v>7437</v>
      </c>
      <c r="AG3112" t="s">
        <v>8866</v>
      </c>
      <c r="AH3112" t="s">
        <v>1434</v>
      </c>
      <c r="AI3112">
        <v>-0.33</v>
      </c>
      <c r="AJ3112">
        <v>4.22</v>
      </c>
      <c r="AK3112">
        <v>4.1399999999999997</v>
      </c>
      <c r="AL3112">
        <v>10.19</v>
      </c>
    </row>
    <row r="3113" spans="1:38" x14ac:dyDescent="0.25">
      <c r="A3113">
        <v>3112</v>
      </c>
      <c r="B3113" t="str">
        <f xml:space="preserve"> "300499"</f>
        <v>300499</v>
      </c>
      <c r="C3113" t="s">
        <v>8867</v>
      </c>
      <c r="D3113">
        <v>27.63</v>
      </c>
      <c r="E3113">
        <v>-1.1399999999999999</v>
      </c>
      <c r="F3113">
        <v>-0.32</v>
      </c>
      <c r="G3113" t="s">
        <v>1153</v>
      </c>
      <c r="H3113">
        <v>223</v>
      </c>
      <c r="I3113">
        <v>27.62</v>
      </c>
      <c r="J3113">
        <v>27.63</v>
      </c>
      <c r="K3113">
        <v>0.04</v>
      </c>
      <c r="L3113">
        <v>2.1</v>
      </c>
      <c r="M3113" t="s">
        <v>8868</v>
      </c>
      <c r="N3113">
        <v>128.38999999999999</v>
      </c>
      <c r="O3113" t="s">
        <v>2647</v>
      </c>
      <c r="P3113">
        <v>28.11</v>
      </c>
      <c r="Q3113">
        <v>27.24</v>
      </c>
      <c r="R3113">
        <v>28.1</v>
      </c>
      <c r="S3113">
        <v>27.95</v>
      </c>
      <c r="T3113">
        <v>3.11</v>
      </c>
      <c r="U3113">
        <v>1.02</v>
      </c>
      <c r="V3113">
        <v>-7.84</v>
      </c>
      <c r="W3113">
        <v>-16</v>
      </c>
      <c r="X3113">
        <v>27.58</v>
      </c>
      <c r="Y3113">
        <v>8823</v>
      </c>
      <c r="Z3113">
        <v>5160</v>
      </c>
      <c r="AA3113">
        <v>1.71</v>
      </c>
      <c r="AB3113">
        <v>22</v>
      </c>
      <c r="AC3113">
        <v>3</v>
      </c>
      <c r="AD3113">
        <v>5.56</v>
      </c>
      <c r="AE3113" t="s">
        <v>918</v>
      </c>
      <c r="AF3113" t="s">
        <v>7437</v>
      </c>
      <c r="AG3113" t="s">
        <v>8869</v>
      </c>
      <c r="AH3113" t="s">
        <v>2856</v>
      </c>
      <c r="AI3113">
        <v>2.33</v>
      </c>
      <c r="AJ3113">
        <v>2.68</v>
      </c>
      <c r="AK3113">
        <v>7.4</v>
      </c>
      <c r="AL3113">
        <v>12.38</v>
      </c>
    </row>
    <row r="3114" spans="1:38" x14ac:dyDescent="0.25">
      <c r="A3114">
        <v>3113</v>
      </c>
      <c r="B3114" t="str">
        <f xml:space="preserve"> "300475"</f>
        <v>300475</v>
      </c>
      <c r="C3114" t="s">
        <v>8870</v>
      </c>
      <c r="D3114">
        <v>16.57</v>
      </c>
      <c r="E3114">
        <v>1.53</v>
      </c>
      <c r="F3114">
        <v>0.25</v>
      </c>
      <c r="G3114" t="s">
        <v>1504</v>
      </c>
      <c r="H3114">
        <v>361</v>
      </c>
      <c r="I3114">
        <v>16.559999999999999</v>
      </c>
      <c r="J3114">
        <v>16.57</v>
      </c>
      <c r="K3114">
        <v>0.12</v>
      </c>
      <c r="L3114">
        <v>2.59</v>
      </c>
      <c r="M3114" t="s">
        <v>7959</v>
      </c>
      <c r="N3114">
        <v>56.57</v>
      </c>
      <c r="O3114" t="s">
        <v>215</v>
      </c>
      <c r="P3114">
        <v>16.649999999999999</v>
      </c>
      <c r="Q3114">
        <v>16.25</v>
      </c>
      <c r="R3114">
        <v>16.32</v>
      </c>
      <c r="S3114">
        <v>16.32</v>
      </c>
      <c r="T3114">
        <v>2.4500000000000002</v>
      </c>
      <c r="U3114">
        <v>1.25</v>
      </c>
      <c r="V3114">
        <v>-27.25</v>
      </c>
      <c r="W3114">
        <v>-188</v>
      </c>
      <c r="X3114">
        <v>16.510000000000002</v>
      </c>
      <c r="Y3114">
        <v>7771</v>
      </c>
      <c r="Z3114" t="s">
        <v>1411</v>
      </c>
      <c r="AA3114">
        <v>0.71</v>
      </c>
      <c r="AB3114">
        <v>21</v>
      </c>
      <c r="AC3114">
        <v>5</v>
      </c>
      <c r="AD3114">
        <v>2.89</v>
      </c>
      <c r="AE3114" t="s">
        <v>1485</v>
      </c>
      <c r="AF3114" t="s">
        <v>7707</v>
      </c>
      <c r="AG3114" t="s">
        <v>8871</v>
      </c>
      <c r="AH3114" t="s">
        <v>177</v>
      </c>
      <c r="AI3114">
        <v>-0.18</v>
      </c>
      <c r="AJ3114">
        <v>5.21</v>
      </c>
      <c r="AK3114">
        <v>6.55</v>
      </c>
      <c r="AL3114">
        <v>12.92</v>
      </c>
    </row>
    <row r="3115" spans="1:38" x14ac:dyDescent="0.25">
      <c r="A3115">
        <v>3114</v>
      </c>
      <c r="B3115" t="str">
        <f xml:space="preserve"> "000159"</f>
        <v>000159</v>
      </c>
      <c r="C3115" t="s">
        <v>8872</v>
      </c>
      <c r="D3115">
        <v>6.87</v>
      </c>
      <c r="E3115">
        <v>0.44</v>
      </c>
      <c r="F3115">
        <v>0.03</v>
      </c>
      <c r="G3115" t="s">
        <v>3965</v>
      </c>
      <c r="H3115">
        <v>941</v>
      </c>
      <c r="I3115">
        <v>6.86</v>
      </c>
      <c r="J3115">
        <v>6.87</v>
      </c>
      <c r="K3115">
        <v>-0.15</v>
      </c>
      <c r="L3115">
        <v>0.7</v>
      </c>
      <c r="M3115" t="s">
        <v>8873</v>
      </c>
      <c r="N3115">
        <v>-27.37</v>
      </c>
      <c r="O3115" t="s">
        <v>61</v>
      </c>
      <c r="P3115">
        <v>6.88</v>
      </c>
      <c r="Q3115">
        <v>6.79</v>
      </c>
      <c r="R3115">
        <v>6.8</v>
      </c>
      <c r="S3115">
        <v>6.84</v>
      </c>
      <c r="T3115">
        <v>1.32</v>
      </c>
      <c r="U3115">
        <v>0.74</v>
      </c>
      <c r="V3115">
        <v>-40.15</v>
      </c>
      <c r="W3115">
        <v>-2761</v>
      </c>
      <c r="X3115">
        <v>6.84</v>
      </c>
      <c r="Y3115" t="s">
        <v>3946</v>
      </c>
      <c r="Z3115" t="s">
        <v>4303</v>
      </c>
      <c r="AA3115">
        <v>1.01</v>
      </c>
      <c r="AB3115">
        <v>300</v>
      </c>
      <c r="AC3115">
        <v>1573</v>
      </c>
      <c r="AD3115">
        <v>1.56</v>
      </c>
      <c r="AE3115" t="s">
        <v>2852</v>
      </c>
      <c r="AF3115" t="s">
        <v>7707</v>
      </c>
      <c r="AG3115" t="s">
        <v>2852</v>
      </c>
      <c r="AH3115" t="s">
        <v>7707</v>
      </c>
      <c r="AI3115">
        <v>0.15</v>
      </c>
      <c r="AJ3115">
        <v>2.54</v>
      </c>
      <c r="AK3115">
        <v>2.83</v>
      </c>
      <c r="AL3115">
        <v>5.39</v>
      </c>
    </row>
    <row r="3116" spans="1:38" x14ac:dyDescent="0.25">
      <c r="A3116">
        <v>3115</v>
      </c>
      <c r="B3116" t="str">
        <f xml:space="preserve"> "300062"</f>
        <v>300062</v>
      </c>
      <c r="C3116" t="s">
        <v>8874</v>
      </c>
      <c r="D3116">
        <v>10.72</v>
      </c>
      <c r="E3116">
        <v>4.38</v>
      </c>
      <c r="F3116">
        <v>0.45</v>
      </c>
      <c r="G3116" t="s">
        <v>8875</v>
      </c>
      <c r="H3116">
        <v>3057</v>
      </c>
      <c r="I3116">
        <v>10.71</v>
      </c>
      <c r="J3116">
        <v>10.72</v>
      </c>
      <c r="K3116">
        <v>0</v>
      </c>
      <c r="L3116">
        <v>16.28</v>
      </c>
      <c r="M3116" t="s">
        <v>2603</v>
      </c>
      <c r="N3116">
        <v>175.44</v>
      </c>
      <c r="O3116" t="s">
        <v>680</v>
      </c>
      <c r="P3116">
        <v>11.3</v>
      </c>
      <c r="Q3116">
        <v>10.58</v>
      </c>
      <c r="R3116">
        <v>11.3</v>
      </c>
      <c r="S3116">
        <v>10.27</v>
      </c>
      <c r="T3116">
        <v>7.01</v>
      </c>
      <c r="U3116">
        <v>8.02</v>
      </c>
      <c r="V3116">
        <v>-7.39</v>
      </c>
      <c r="W3116">
        <v>-233</v>
      </c>
      <c r="X3116">
        <v>11.03</v>
      </c>
      <c r="Y3116" t="s">
        <v>158</v>
      </c>
      <c r="Z3116" t="s">
        <v>2394</v>
      </c>
      <c r="AA3116">
        <v>2.1</v>
      </c>
      <c r="AB3116">
        <v>683</v>
      </c>
      <c r="AC3116">
        <v>167</v>
      </c>
      <c r="AD3116">
        <v>3.81</v>
      </c>
      <c r="AE3116" t="s">
        <v>1569</v>
      </c>
      <c r="AF3116" t="s">
        <v>854</v>
      </c>
      <c r="AG3116" t="s">
        <v>957</v>
      </c>
      <c r="AH3116" t="s">
        <v>1761</v>
      </c>
      <c r="AI3116">
        <v>1.61</v>
      </c>
      <c r="AJ3116">
        <v>5.2</v>
      </c>
      <c r="AK3116">
        <v>20.05</v>
      </c>
      <c r="AL3116">
        <v>26.42</v>
      </c>
    </row>
    <row r="3117" spans="1:38" x14ac:dyDescent="0.25">
      <c r="A3117">
        <v>3116</v>
      </c>
      <c r="B3117" t="str">
        <f xml:space="preserve"> "600556"</f>
        <v>600556</v>
      </c>
      <c r="C3117" t="s">
        <v>8876</v>
      </c>
      <c r="D3117">
        <v>8.36</v>
      </c>
      <c r="E3117">
        <v>0.84</v>
      </c>
      <c r="F3117">
        <v>7.0000000000000007E-2</v>
      </c>
      <c r="G3117" t="s">
        <v>2546</v>
      </c>
      <c r="H3117">
        <v>8</v>
      </c>
      <c r="I3117">
        <v>8.36</v>
      </c>
      <c r="J3117">
        <v>8.3699999999999992</v>
      </c>
      <c r="K3117">
        <v>0</v>
      </c>
      <c r="L3117">
        <v>1.4</v>
      </c>
      <c r="M3117" t="s">
        <v>8877</v>
      </c>
      <c r="N3117">
        <v>-143.37</v>
      </c>
      <c r="O3117" t="s">
        <v>2085</v>
      </c>
      <c r="P3117">
        <v>8.39</v>
      </c>
      <c r="Q3117">
        <v>8.2100000000000009</v>
      </c>
      <c r="R3117">
        <v>8.26</v>
      </c>
      <c r="S3117">
        <v>8.2899999999999991</v>
      </c>
      <c r="T3117">
        <v>2.17</v>
      </c>
      <c r="U3117">
        <v>0.96</v>
      </c>
      <c r="V3117">
        <v>39.549999999999997</v>
      </c>
      <c r="W3117">
        <v>3409</v>
      </c>
      <c r="X3117">
        <v>8.31</v>
      </c>
      <c r="Y3117" t="s">
        <v>1973</v>
      </c>
      <c r="Z3117" t="s">
        <v>3090</v>
      </c>
      <c r="AA3117">
        <v>1.32</v>
      </c>
      <c r="AB3117">
        <v>29</v>
      </c>
      <c r="AC3117">
        <v>759</v>
      </c>
      <c r="AD3117">
        <v>52.43</v>
      </c>
      <c r="AE3117" t="s">
        <v>4544</v>
      </c>
      <c r="AF3117" t="s">
        <v>854</v>
      </c>
      <c r="AG3117" t="s">
        <v>4544</v>
      </c>
      <c r="AH3117" t="s">
        <v>854</v>
      </c>
      <c r="AI3117">
        <v>-1.18</v>
      </c>
      <c r="AJ3117">
        <v>1.33</v>
      </c>
      <c r="AK3117">
        <v>4.43</v>
      </c>
      <c r="AL3117">
        <v>8.68</v>
      </c>
    </row>
    <row r="3118" spans="1:38" x14ac:dyDescent="0.25">
      <c r="A3118">
        <v>3117</v>
      </c>
      <c r="B3118" t="str">
        <f xml:space="preserve"> "603266"</f>
        <v>603266</v>
      </c>
      <c r="C3118" t="s">
        <v>8878</v>
      </c>
      <c r="D3118">
        <v>33</v>
      </c>
      <c r="E3118">
        <v>2.9</v>
      </c>
      <c r="F3118">
        <v>0.93</v>
      </c>
      <c r="G3118" t="s">
        <v>1683</v>
      </c>
      <c r="H3118">
        <v>1</v>
      </c>
      <c r="I3118">
        <v>32.979999999999997</v>
      </c>
      <c r="J3118">
        <v>33</v>
      </c>
      <c r="K3118">
        <v>-0.03</v>
      </c>
      <c r="L3118">
        <v>6.42</v>
      </c>
      <c r="M3118" t="s">
        <v>8879</v>
      </c>
      <c r="N3118">
        <v>36.15</v>
      </c>
      <c r="O3118" t="s">
        <v>2128</v>
      </c>
      <c r="P3118">
        <v>33.090000000000003</v>
      </c>
      <c r="Q3118">
        <v>32</v>
      </c>
      <c r="R3118">
        <v>32</v>
      </c>
      <c r="S3118">
        <v>32.07</v>
      </c>
      <c r="T3118">
        <v>3.4</v>
      </c>
      <c r="U3118">
        <v>2.08</v>
      </c>
      <c r="V3118">
        <v>-31.76</v>
      </c>
      <c r="W3118">
        <v>-94</v>
      </c>
      <c r="X3118">
        <v>32.83</v>
      </c>
      <c r="Y3118">
        <v>7085</v>
      </c>
      <c r="Z3118">
        <v>8962</v>
      </c>
      <c r="AA3118">
        <v>0.79</v>
      </c>
      <c r="AB3118">
        <v>27</v>
      </c>
      <c r="AC3118">
        <v>90</v>
      </c>
      <c r="AD3118">
        <v>4.2699999999999996</v>
      </c>
      <c r="AE3118" t="s">
        <v>4464</v>
      </c>
      <c r="AF3118" t="s">
        <v>854</v>
      </c>
      <c r="AG3118" t="s">
        <v>5931</v>
      </c>
      <c r="AH3118" t="s">
        <v>4669</v>
      </c>
      <c r="AI3118">
        <v>1.76</v>
      </c>
      <c r="AJ3118">
        <v>6.66</v>
      </c>
      <c r="AK3118">
        <v>11.81</v>
      </c>
      <c r="AL3118">
        <v>21.87</v>
      </c>
    </row>
    <row r="3119" spans="1:38" x14ac:dyDescent="0.25">
      <c r="A3119">
        <v>3118</v>
      </c>
      <c r="B3119" t="str">
        <f xml:space="preserve"> "002679"</f>
        <v>002679</v>
      </c>
      <c r="C3119" t="s">
        <v>8880</v>
      </c>
      <c r="D3119">
        <v>23.74</v>
      </c>
      <c r="E3119">
        <v>2.99</v>
      </c>
      <c r="F3119">
        <v>0.69</v>
      </c>
      <c r="G3119" t="s">
        <v>952</v>
      </c>
      <c r="H3119">
        <v>881</v>
      </c>
      <c r="I3119">
        <v>23.73</v>
      </c>
      <c r="J3119">
        <v>23.74</v>
      </c>
      <c r="K3119">
        <v>-0.08</v>
      </c>
      <c r="L3119">
        <v>2.58</v>
      </c>
      <c r="M3119" t="s">
        <v>8881</v>
      </c>
      <c r="N3119">
        <v>-66.72</v>
      </c>
      <c r="O3119" t="s">
        <v>1469</v>
      </c>
      <c r="P3119">
        <v>23.79</v>
      </c>
      <c r="Q3119">
        <v>22.91</v>
      </c>
      <c r="R3119">
        <v>23.08</v>
      </c>
      <c r="S3119">
        <v>23.05</v>
      </c>
      <c r="T3119">
        <v>3.82</v>
      </c>
      <c r="U3119">
        <v>2.1800000000000002</v>
      </c>
      <c r="V3119">
        <v>-82.15</v>
      </c>
      <c r="W3119">
        <v>-1636</v>
      </c>
      <c r="X3119">
        <v>23.45</v>
      </c>
      <c r="Y3119" t="s">
        <v>433</v>
      </c>
      <c r="Z3119" t="s">
        <v>3483</v>
      </c>
      <c r="AA3119">
        <v>0.74</v>
      </c>
      <c r="AB3119">
        <v>40</v>
      </c>
      <c r="AC3119">
        <v>684</v>
      </c>
      <c r="AD3119">
        <v>4.76</v>
      </c>
      <c r="AE3119" t="s">
        <v>3923</v>
      </c>
      <c r="AF3119" t="s">
        <v>2726</v>
      </c>
      <c r="AG3119" t="s">
        <v>3923</v>
      </c>
      <c r="AH3119" t="s">
        <v>2726</v>
      </c>
      <c r="AI3119">
        <v>5</v>
      </c>
      <c r="AJ3119">
        <v>9.4</v>
      </c>
      <c r="AK3119">
        <v>5.71</v>
      </c>
      <c r="AL3119">
        <v>8.5</v>
      </c>
    </row>
    <row r="3120" spans="1:38" x14ac:dyDescent="0.25">
      <c r="A3120">
        <v>3119</v>
      </c>
      <c r="B3120" t="str">
        <f xml:space="preserve"> "002580"</f>
        <v>002580</v>
      </c>
      <c r="C3120" t="s">
        <v>8882</v>
      </c>
      <c r="D3120">
        <v>9.2799999999999994</v>
      </c>
      <c r="E3120">
        <v>-0.96</v>
      </c>
      <c r="F3120">
        <v>-0.09</v>
      </c>
      <c r="G3120" t="s">
        <v>2003</v>
      </c>
      <c r="H3120">
        <v>1424</v>
      </c>
      <c r="I3120">
        <v>9.2799999999999994</v>
      </c>
      <c r="J3120">
        <v>9.2899999999999991</v>
      </c>
      <c r="K3120">
        <v>0</v>
      </c>
      <c r="L3120">
        <v>3.91</v>
      </c>
      <c r="M3120" t="s">
        <v>2611</v>
      </c>
      <c r="N3120">
        <v>98.82</v>
      </c>
      <c r="O3120" t="s">
        <v>680</v>
      </c>
      <c r="P3120">
        <v>9.39</v>
      </c>
      <c r="Q3120">
        <v>9.1999999999999993</v>
      </c>
      <c r="R3120">
        <v>9.3800000000000008</v>
      </c>
      <c r="S3120">
        <v>9.3699999999999992</v>
      </c>
      <c r="T3120">
        <v>2.0299999999999998</v>
      </c>
      <c r="U3120">
        <v>0.96</v>
      </c>
      <c r="V3120">
        <v>52.13</v>
      </c>
      <c r="W3120">
        <v>2038</v>
      </c>
      <c r="X3120">
        <v>9.3000000000000007</v>
      </c>
      <c r="Y3120" t="s">
        <v>1738</v>
      </c>
      <c r="Z3120" t="s">
        <v>832</v>
      </c>
      <c r="AA3120">
        <v>1.41</v>
      </c>
      <c r="AB3120">
        <v>823</v>
      </c>
      <c r="AC3120">
        <v>90</v>
      </c>
      <c r="AD3120">
        <v>2.77</v>
      </c>
      <c r="AE3120" t="s">
        <v>4458</v>
      </c>
      <c r="AF3120" t="s">
        <v>2726</v>
      </c>
      <c r="AG3120" t="s">
        <v>6216</v>
      </c>
      <c r="AH3120" t="s">
        <v>1279</v>
      </c>
      <c r="AI3120">
        <v>-1.17</v>
      </c>
      <c r="AJ3120">
        <v>2.65</v>
      </c>
      <c r="AK3120">
        <v>12.36</v>
      </c>
      <c r="AL3120">
        <v>24.34</v>
      </c>
    </row>
    <row r="3121" spans="1:38" x14ac:dyDescent="0.25">
      <c r="A3121">
        <v>3120</v>
      </c>
      <c r="B3121" t="str">
        <f xml:space="preserve"> "300345"</f>
        <v>300345</v>
      </c>
      <c r="C3121" t="s">
        <v>8883</v>
      </c>
      <c r="D3121">
        <v>7.45</v>
      </c>
      <c r="E3121">
        <v>-0.4</v>
      </c>
      <c r="F3121">
        <v>-0.03</v>
      </c>
      <c r="G3121" t="s">
        <v>4980</v>
      </c>
      <c r="H3121">
        <v>668</v>
      </c>
      <c r="I3121">
        <v>7.45</v>
      </c>
      <c r="J3121">
        <v>7.46</v>
      </c>
      <c r="K3121">
        <v>0.13</v>
      </c>
      <c r="L3121">
        <v>1.62</v>
      </c>
      <c r="M3121" t="s">
        <v>4475</v>
      </c>
      <c r="N3121">
        <v>-1081.06</v>
      </c>
      <c r="O3121" t="s">
        <v>1229</v>
      </c>
      <c r="P3121">
        <v>7.49</v>
      </c>
      <c r="Q3121">
        <v>7.35</v>
      </c>
      <c r="R3121">
        <v>7.45</v>
      </c>
      <c r="S3121">
        <v>7.48</v>
      </c>
      <c r="T3121">
        <v>1.87</v>
      </c>
      <c r="U3121">
        <v>1.1200000000000001</v>
      </c>
      <c r="V3121">
        <v>-26.48</v>
      </c>
      <c r="W3121">
        <v>-972</v>
      </c>
      <c r="X3121">
        <v>7.41</v>
      </c>
      <c r="Y3121" t="s">
        <v>1374</v>
      </c>
      <c r="Z3121" t="s">
        <v>3914</v>
      </c>
      <c r="AA3121">
        <v>0.97</v>
      </c>
      <c r="AB3121">
        <v>617</v>
      </c>
      <c r="AC3121">
        <v>566</v>
      </c>
      <c r="AD3121">
        <v>4.18</v>
      </c>
      <c r="AE3121" t="s">
        <v>5031</v>
      </c>
      <c r="AF3121" t="s">
        <v>2726</v>
      </c>
      <c r="AG3121" t="s">
        <v>3853</v>
      </c>
      <c r="AH3121" t="s">
        <v>1700</v>
      </c>
      <c r="AI3121">
        <v>-0.8</v>
      </c>
      <c r="AJ3121">
        <v>3.62</v>
      </c>
      <c r="AK3121">
        <v>4.84</v>
      </c>
      <c r="AL3121">
        <v>8.86</v>
      </c>
    </row>
    <row r="3122" spans="1:38" x14ac:dyDescent="0.25">
      <c r="A3122">
        <v>3121</v>
      </c>
      <c r="B3122" t="str">
        <f xml:space="preserve"> "002735"</f>
        <v>002735</v>
      </c>
      <c r="C3122" t="s">
        <v>8884</v>
      </c>
      <c r="D3122">
        <v>39.01</v>
      </c>
      <c r="E3122">
        <v>1.64</v>
      </c>
      <c r="F3122">
        <v>0.63</v>
      </c>
      <c r="G3122">
        <v>6095</v>
      </c>
      <c r="H3122">
        <v>130</v>
      </c>
      <c r="I3122">
        <v>39.01</v>
      </c>
      <c r="J3122">
        <v>39.090000000000003</v>
      </c>
      <c r="K3122">
        <v>0</v>
      </c>
      <c r="L3122">
        <v>2.6</v>
      </c>
      <c r="M3122" t="s">
        <v>3222</v>
      </c>
      <c r="N3122">
        <v>85.19</v>
      </c>
      <c r="O3122" t="s">
        <v>3873</v>
      </c>
      <c r="P3122">
        <v>39.28</v>
      </c>
      <c r="Q3122">
        <v>38.32</v>
      </c>
      <c r="R3122">
        <v>38.659999999999997</v>
      </c>
      <c r="S3122">
        <v>38.380000000000003</v>
      </c>
      <c r="T3122">
        <v>2.5</v>
      </c>
      <c r="U3122">
        <v>0.75</v>
      </c>
      <c r="V3122">
        <v>-21.95</v>
      </c>
      <c r="W3122">
        <v>-36</v>
      </c>
      <c r="X3122">
        <v>38.72</v>
      </c>
      <c r="Y3122">
        <v>2506</v>
      </c>
      <c r="Z3122">
        <v>3589</v>
      </c>
      <c r="AA3122">
        <v>0.7</v>
      </c>
      <c r="AB3122">
        <v>16</v>
      </c>
      <c r="AC3122">
        <v>12</v>
      </c>
      <c r="AD3122">
        <v>5.7</v>
      </c>
      <c r="AE3122" t="s">
        <v>8885</v>
      </c>
      <c r="AF3122" t="s">
        <v>2726</v>
      </c>
      <c r="AG3122" t="s">
        <v>8886</v>
      </c>
      <c r="AH3122" t="s">
        <v>8887</v>
      </c>
      <c r="AI3122">
        <v>-1.37</v>
      </c>
      <c r="AJ3122">
        <v>2.15</v>
      </c>
      <c r="AK3122">
        <v>8.69</v>
      </c>
      <c r="AL3122">
        <v>19.93</v>
      </c>
    </row>
    <row r="3123" spans="1:38" x14ac:dyDescent="0.25">
      <c r="A3123">
        <v>3122</v>
      </c>
      <c r="B3123" t="str">
        <f xml:space="preserve"> "002629"</f>
        <v>002629</v>
      </c>
      <c r="C3123" t="s">
        <v>8888</v>
      </c>
      <c r="D3123">
        <v>7.96</v>
      </c>
      <c r="E3123">
        <v>-1.1200000000000001</v>
      </c>
      <c r="F3123">
        <v>-0.09</v>
      </c>
      <c r="G3123" t="s">
        <v>4374</v>
      </c>
      <c r="H3123">
        <v>483</v>
      </c>
      <c r="I3123">
        <v>7.96</v>
      </c>
      <c r="J3123">
        <v>7.97</v>
      </c>
      <c r="K3123">
        <v>0.13</v>
      </c>
      <c r="L3123">
        <v>0.55000000000000004</v>
      </c>
      <c r="M3123" t="s">
        <v>8889</v>
      </c>
      <c r="N3123">
        <v>-115.56</v>
      </c>
      <c r="O3123" t="s">
        <v>61</v>
      </c>
      <c r="P3123">
        <v>8.07</v>
      </c>
      <c r="Q3123">
        <v>7.92</v>
      </c>
      <c r="R3123">
        <v>8.07</v>
      </c>
      <c r="S3123">
        <v>8.0500000000000007</v>
      </c>
      <c r="T3123">
        <v>1.86</v>
      </c>
      <c r="U3123">
        <v>0.53</v>
      </c>
      <c r="V3123">
        <v>-23.92</v>
      </c>
      <c r="W3123">
        <v>-762</v>
      </c>
      <c r="X3123">
        <v>7.97</v>
      </c>
      <c r="Y3123" t="s">
        <v>2370</v>
      </c>
      <c r="Z3123">
        <v>6316</v>
      </c>
      <c r="AA3123">
        <v>2.02</v>
      </c>
      <c r="AB3123">
        <v>190</v>
      </c>
      <c r="AC3123">
        <v>185</v>
      </c>
      <c r="AD3123">
        <v>4.9800000000000004</v>
      </c>
      <c r="AE3123" t="s">
        <v>1436</v>
      </c>
      <c r="AF3123" t="s">
        <v>3830</v>
      </c>
      <c r="AG3123" t="s">
        <v>5326</v>
      </c>
      <c r="AH3123" t="s">
        <v>2608</v>
      </c>
      <c r="AI3123">
        <v>-2.21</v>
      </c>
      <c r="AJ3123">
        <v>0.51</v>
      </c>
      <c r="AK3123">
        <v>2.86</v>
      </c>
      <c r="AL3123">
        <v>5.81</v>
      </c>
    </row>
    <row r="3124" spans="1:38" x14ac:dyDescent="0.25">
      <c r="A3124">
        <v>3123</v>
      </c>
      <c r="B3124" t="str">
        <f xml:space="preserve"> "603022"</f>
        <v>603022</v>
      </c>
      <c r="C3124" t="s">
        <v>8890</v>
      </c>
      <c r="D3124">
        <v>16.38</v>
      </c>
      <c r="E3124">
        <v>-2.38</v>
      </c>
      <c r="F3124">
        <v>-0.4</v>
      </c>
      <c r="G3124" t="s">
        <v>4556</v>
      </c>
      <c r="H3124">
        <v>138</v>
      </c>
      <c r="I3124">
        <v>16.39</v>
      </c>
      <c r="J3124">
        <v>16.399999999999999</v>
      </c>
      <c r="K3124">
        <v>0.18</v>
      </c>
      <c r="L3124">
        <v>9.4600000000000009</v>
      </c>
      <c r="M3124" t="s">
        <v>4464</v>
      </c>
      <c r="N3124">
        <v>103.64</v>
      </c>
      <c r="O3124" t="s">
        <v>3873</v>
      </c>
      <c r="P3124">
        <v>16.62</v>
      </c>
      <c r="Q3124">
        <v>16.190000000000001</v>
      </c>
      <c r="R3124">
        <v>16.61</v>
      </c>
      <c r="S3124">
        <v>16.78</v>
      </c>
      <c r="T3124">
        <v>2.56</v>
      </c>
      <c r="U3124">
        <v>1.58</v>
      </c>
      <c r="V3124">
        <v>38.26</v>
      </c>
      <c r="W3124">
        <v>373</v>
      </c>
      <c r="X3124">
        <v>16.34</v>
      </c>
      <c r="Y3124" t="s">
        <v>3385</v>
      </c>
      <c r="Z3124" t="s">
        <v>712</v>
      </c>
      <c r="AA3124">
        <v>1.19</v>
      </c>
      <c r="AB3124">
        <v>41</v>
      </c>
      <c r="AC3124">
        <v>96</v>
      </c>
      <c r="AD3124">
        <v>5.6</v>
      </c>
      <c r="AE3124" t="s">
        <v>1485</v>
      </c>
      <c r="AF3124" t="s">
        <v>3830</v>
      </c>
      <c r="AG3124" t="s">
        <v>8891</v>
      </c>
      <c r="AH3124" t="s">
        <v>1554</v>
      </c>
      <c r="AI3124">
        <v>3.02</v>
      </c>
      <c r="AJ3124">
        <v>5.88</v>
      </c>
      <c r="AK3124">
        <v>34.369999999999997</v>
      </c>
      <c r="AL3124">
        <v>39.450000000000003</v>
      </c>
    </row>
    <row r="3125" spans="1:38" x14ac:dyDescent="0.25">
      <c r="A3125">
        <v>3124</v>
      </c>
      <c r="B3125" t="str">
        <f xml:space="preserve"> "002289"</f>
        <v>002289</v>
      </c>
      <c r="C3125" t="s">
        <v>8892</v>
      </c>
      <c r="D3125" t="s">
        <v>616</v>
      </c>
      <c r="E3125" t="s">
        <v>616</v>
      </c>
      <c r="F3125" t="s">
        <v>616</v>
      </c>
      <c r="G3125" t="s">
        <v>616</v>
      </c>
      <c r="H3125" t="s">
        <v>616</v>
      </c>
      <c r="I3125" t="s">
        <v>616</v>
      </c>
      <c r="J3125" t="s">
        <v>616</v>
      </c>
      <c r="K3125" t="s">
        <v>616</v>
      </c>
      <c r="L3125" t="s">
        <v>616</v>
      </c>
      <c r="M3125" t="s">
        <v>616</v>
      </c>
      <c r="N3125">
        <v>-45.32</v>
      </c>
      <c r="O3125" t="s">
        <v>380</v>
      </c>
      <c r="P3125" t="s">
        <v>616</v>
      </c>
      <c r="Q3125" t="s">
        <v>616</v>
      </c>
      <c r="R3125" t="s">
        <v>616</v>
      </c>
      <c r="S3125">
        <v>11.68</v>
      </c>
      <c r="T3125" t="s">
        <v>616</v>
      </c>
      <c r="U3125" t="s">
        <v>616</v>
      </c>
      <c r="V3125" t="s">
        <v>616</v>
      </c>
      <c r="W3125" t="s">
        <v>616</v>
      </c>
      <c r="X3125" t="s">
        <v>616</v>
      </c>
      <c r="Y3125" t="s">
        <v>616</v>
      </c>
      <c r="Z3125" t="s">
        <v>616</v>
      </c>
      <c r="AA3125" t="s">
        <v>616</v>
      </c>
      <c r="AB3125" t="s">
        <v>616</v>
      </c>
      <c r="AC3125" t="s">
        <v>616</v>
      </c>
      <c r="AD3125">
        <v>5.82</v>
      </c>
      <c r="AE3125" t="s">
        <v>3227</v>
      </c>
      <c r="AF3125" t="s">
        <v>3278</v>
      </c>
      <c r="AG3125" t="s">
        <v>5050</v>
      </c>
      <c r="AH3125" t="s">
        <v>2588</v>
      </c>
      <c r="AI3125">
        <v>0</v>
      </c>
      <c r="AJ3125">
        <v>0</v>
      </c>
      <c r="AK3125">
        <v>0</v>
      </c>
      <c r="AL3125">
        <v>0</v>
      </c>
    </row>
    <row r="3126" spans="1:38" x14ac:dyDescent="0.25">
      <c r="A3126">
        <v>3125</v>
      </c>
      <c r="B3126" t="str">
        <f xml:space="preserve"> "300610"</f>
        <v>300610</v>
      </c>
      <c r="C3126" t="s">
        <v>8893</v>
      </c>
      <c r="D3126">
        <v>21.78</v>
      </c>
      <c r="E3126">
        <v>0</v>
      </c>
      <c r="F3126">
        <v>0</v>
      </c>
      <c r="G3126" t="s">
        <v>1476</v>
      </c>
      <c r="H3126">
        <v>592</v>
      </c>
      <c r="I3126">
        <v>21.77</v>
      </c>
      <c r="J3126">
        <v>21.78</v>
      </c>
      <c r="K3126">
        <v>-0.05</v>
      </c>
      <c r="L3126">
        <v>6.88</v>
      </c>
      <c r="M3126" t="s">
        <v>3761</v>
      </c>
      <c r="N3126">
        <v>43.56</v>
      </c>
      <c r="O3126" t="s">
        <v>667</v>
      </c>
      <c r="P3126">
        <v>21.98</v>
      </c>
      <c r="Q3126">
        <v>21.25</v>
      </c>
      <c r="R3126">
        <v>21.78</v>
      </c>
      <c r="S3126">
        <v>21.78</v>
      </c>
      <c r="T3126">
        <v>3.35</v>
      </c>
      <c r="U3126">
        <v>0.62</v>
      </c>
      <c r="V3126">
        <v>-30.33</v>
      </c>
      <c r="W3126">
        <v>-209</v>
      </c>
      <c r="X3126">
        <v>21.6</v>
      </c>
      <c r="Y3126" t="s">
        <v>2551</v>
      </c>
      <c r="Z3126" t="s">
        <v>2089</v>
      </c>
      <c r="AA3126">
        <v>1.1599999999999999</v>
      </c>
      <c r="AB3126">
        <v>26</v>
      </c>
      <c r="AC3126">
        <v>167</v>
      </c>
      <c r="AD3126">
        <v>5.0999999999999996</v>
      </c>
      <c r="AE3126" t="s">
        <v>598</v>
      </c>
      <c r="AF3126" t="s">
        <v>3278</v>
      </c>
      <c r="AG3126" t="s">
        <v>7263</v>
      </c>
      <c r="AH3126" t="s">
        <v>458</v>
      </c>
      <c r="AI3126">
        <v>-0.82</v>
      </c>
      <c r="AJ3126">
        <v>-1.36</v>
      </c>
      <c r="AK3126">
        <v>22.75</v>
      </c>
      <c r="AL3126">
        <v>62.67</v>
      </c>
    </row>
    <row r="3127" spans="1:38" x14ac:dyDescent="0.25">
      <c r="A3127">
        <v>3126</v>
      </c>
      <c r="B3127" t="str">
        <f xml:space="preserve"> "000707"</f>
        <v>000707</v>
      </c>
      <c r="C3127" t="s">
        <v>8894</v>
      </c>
      <c r="D3127">
        <v>7.03</v>
      </c>
      <c r="E3127">
        <v>0.43</v>
      </c>
      <c r="F3127">
        <v>0.03</v>
      </c>
      <c r="G3127" t="s">
        <v>1190</v>
      </c>
      <c r="H3127">
        <v>1700</v>
      </c>
      <c r="I3127">
        <v>7.02</v>
      </c>
      <c r="J3127">
        <v>7.03</v>
      </c>
      <c r="K3127">
        <v>0</v>
      </c>
      <c r="L3127">
        <v>0.63</v>
      </c>
      <c r="M3127" t="s">
        <v>8895</v>
      </c>
      <c r="N3127">
        <v>40.72</v>
      </c>
      <c r="O3127" t="s">
        <v>667</v>
      </c>
      <c r="P3127">
        <v>7.06</v>
      </c>
      <c r="Q3127">
        <v>6.97</v>
      </c>
      <c r="R3127">
        <v>7.03</v>
      </c>
      <c r="S3127">
        <v>7</v>
      </c>
      <c r="T3127">
        <v>1.29</v>
      </c>
      <c r="U3127">
        <v>0.79</v>
      </c>
      <c r="V3127">
        <v>-49.95</v>
      </c>
      <c r="W3127">
        <v>-2690</v>
      </c>
      <c r="X3127">
        <v>7.02</v>
      </c>
      <c r="Y3127" t="s">
        <v>3158</v>
      </c>
      <c r="Z3127" t="s">
        <v>1411</v>
      </c>
      <c r="AA3127">
        <v>1.67</v>
      </c>
      <c r="AB3127">
        <v>183</v>
      </c>
      <c r="AC3127">
        <v>351</v>
      </c>
      <c r="AD3127">
        <v>3.64</v>
      </c>
      <c r="AE3127" t="s">
        <v>4114</v>
      </c>
      <c r="AF3127" t="s">
        <v>1309</v>
      </c>
      <c r="AG3127" t="s">
        <v>4114</v>
      </c>
      <c r="AH3127" t="s">
        <v>1309</v>
      </c>
      <c r="AI3127">
        <v>-0.56999999999999995</v>
      </c>
      <c r="AJ3127">
        <v>2.33</v>
      </c>
      <c r="AK3127">
        <v>2.19</v>
      </c>
      <c r="AL3127">
        <v>4.66</v>
      </c>
    </row>
    <row r="3128" spans="1:38" x14ac:dyDescent="0.25">
      <c r="A3128">
        <v>3127</v>
      </c>
      <c r="B3128" t="str">
        <f xml:space="preserve"> "603229"</f>
        <v>603229</v>
      </c>
      <c r="C3128" t="s">
        <v>8896</v>
      </c>
      <c r="D3128">
        <v>20.38</v>
      </c>
      <c r="E3128">
        <v>1.39</v>
      </c>
      <c r="F3128">
        <v>0.28000000000000003</v>
      </c>
      <c r="G3128" t="s">
        <v>3524</v>
      </c>
      <c r="H3128">
        <v>62</v>
      </c>
      <c r="I3128">
        <v>20.399999999999999</v>
      </c>
      <c r="J3128">
        <v>20.46</v>
      </c>
      <c r="K3128">
        <v>-0.68</v>
      </c>
      <c r="L3128">
        <v>9.4600000000000009</v>
      </c>
      <c r="M3128" t="s">
        <v>8897</v>
      </c>
      <c r="N3128">
        <v>66.33</v>
      </c>
      <c r="O3128" t="s">
        <v>392</v>
      </c>
      <c r="P3128">
        <v>21.1</v>
      </c>
      <c r="Q3128">
        <v>20.010000000000002</v>
      </c>
      <c r="R3128">
        <v>20.09</v>
      </c>
      <c r="S3128">
        <v>20.100000000000001</v>
      </c>
      <c r="T3128">
        <v>5.42</v>
      </c>
      <c r="U3128">
        <v>1.08</v>
      </c>
      <c r="V3128">
        <v>-53.52</v>
      </c>
      <c r="W3128">
        <v>-548</v>
      </c>
      <c r="X3128">
        <v>20.66</v>
      </c>
      <c r="Y3128" t="s">
        <v>2252</v>
      </c>
      <c r="Z3128" t="s">
        <v>3062</v>
      </c>
      <c r="AA3128">
        <v>0.9</v>
      </c>
      <c r="AB3128">
        <v>26</v>
      </c>
      <c r="AC3128">
        <v>46</v>
      </c>
      <c r="AD3128">
        <v>6.08</v>
      </c>
      <c r="AE3128" t="s">
        <v>4326</v>
      </c>
      <c r="AF3128" t="s">
        <v>1309</v>
      </c>
      <c r="AG3128" t="s">
        <v>6081</v>
      </c>
      <c r="AH3128" t="s">
        <v>2245</v>
      </c>
      <c r="AI3128">
        <v>-0.97</v>
      </c>
      <c r="AJ3128">
        <v>6.15</v>
      </c>
      <c r="AK3128">
        <v>31.03</v>
      </c>
      <c r="AL3128">
        <v>53.41</v>
      </c>
    </row>
    <row r="3129" spans="1:38" x14ac:dyDescent="0.25">
      <c r="A3129">
        <v>3128</v>
      </c>
      <c r="B3129" t="str">
        <f xml:space="preserve"> "000679"</f>
        <v>000679</v>
      </c>
      <c r="C3129" t="s">
        <v>8898</v>
      </c>
      <c r="D3129">
        <v>9.14</v>
      </c>
      <c r="E3129">
        <v>0.77</v>
      </c>
      <c r="F3129">
        <v>7.0000000000000007E-2</v>
      </c>
      <c r="G3129" t="s">
        <v>713</v>
      </c>
      <c r="H3129">
        <v>311</v>
      </c>
      <c r="I3129">
        <v>9.1300000000000008</v>
      </c>
      <c r="J3129">
        <v>9.14</v>
      </c>
      <c r="K3129">
        <v>0</v>
      </c>
      <c r="L3129">
        <v>0.48</v>
      </c>
      <c r="M3129" t="s">
        <v>6426</v>
      </c>
      <c r="N3129">
        <v>162.78</v>
      </c>
      <c r="O3129" t="s">
        <v>532</v>
      </c>
      <c r="P3129">
        <v>9.15</v>
      </c>
      <c r="Q3129">
        <v>9.0500000000000007</v>
      </c>
      <c r="R3129">
        <v>9.11</v>
      </c>
      <c r="S3129">
        <v>9.07</v>
      </c>
      <c r="T3129">
        <v>1.1000000000000001</v>
      </c>
      <c r="U3129">
        <v>0.68</v>
      </c>
      <c r="V3129">
        <v>37.5</v>
      </c>
      <c r="W3129">
        <v>2086</v>
      </c>
      <c r="X3129">
        <v>9.1199999999999992</v>
      </c>
      <c r="Y3129">
        <v>7135</v>
      </c>
      <c r="Z3129">
        <v>9871</v>
      </c>
      <c r="AA3129">
        <v>0.72</v>
      </c>
      <c r="AB3129">
        <v>229</v>
      </c>
      <c r="AC3129">
        <v>58</v>
      </c>
      <c r="AD3129">
        <v>2.38</v>
      </c>
      <c r="AE3129" t="s">
        <v>5852</v>
      </c>
      <c r="AF3129" t="s">
        <v>1309</v>
      </c>
      <c r="AG3129" t="s">
        <v>5852</v>
      </c>
      <c r="AH3129" t="s">
        <v>1309</v>
      </c>
      <c r="AI3129">
        <v>1.22</v>
      </c>
      <c r="AJ3129">
        <v>0.66</v>
      </c>
      <c r="AK3129">
        <v>1.74</v>
      </c>
      <c r="AL3129">
        <v>4</v>
      </c>
    </row>
    <row r="3130" spans="1:38" x14ac:dyDescent="0.25">
      <c r="A3130">
        <v>3129</v>
      </c>
      <c r="B3130" t="str">
        <f xml:space="preserve"> "002360"</f>
        <v>002360</v>
      </c>
      <c r="C3130" t="s">
        <v>8899</v>
      </c>
      <c r="D3130">
        <v>8.32</v>
      </c>
      <c r="E3130">
        <v>0.97</v>
      </c>
      <c r="F3130">
        <v>0.08</v>
      </c>
      <c r="G3130" t="s">
        <v>2143</v>
      </c>
      <c r="H3130">
        <v>478</v>
      </c>
      <c r="I3130">
        <v>8.32</v>
      </c>
      <c r="J3130">
        <v>8.33</v>
      </c>
      <c r="K3130">
        <v>0</v>
      </c>
      <c r="L3130">
        <v>1.62</v>
      </c>
      <c r="M3130" t="s">
        <v>8900</v>
      </c>
      <c r="N3130">
        <v>48.09</v>
      </c>
      <c r="O3130" t="s">
        <v>667</v>
      </c>
      <c r="P3130">
        <v>8.39</v>
      </c>
      <c r="Q3130">
        <v>8.19</v>
      </c>
      <c r="R3130">
        <v>8.23</v>
      </c>
      <c r="S3130">
        <v>8.24</v>
      </c>
      <c r="T3130">
        <v>2.4300000000000002</v>
      </c>
      <c r="U3130">
        <v>1.9</v>
      </c>
      <c r="V3130">
        <v>-73.42</v>
      </c>
      <c r="W3130">
        <v>-6116</v>
      </c>
      <c r="X3130">
        <v>8.31</v>
      </c>
      <c r="Y3130" t="s">
        <v>3062</v>
      </c>
      <c r="Z3130" t="s">
        <v>2777</v>
      </c>
      <c r="AA3130">
        <v>0.75</v>
      </c>
      <c r="AB3130">
        <v>328</v>
      </c>
      <c r="AC3130">
        <v>977</v>
      </c>
      <c r="AD3130">
        <v>3.36</v>
      </c>
      <c r="AE3130" t="s">
        <v>4560</v>
      </c>
      <c r="AF3130" t="s">
        <v>1309</v>
      </c>
      <c r="AG3130" t="s">
        <v>1622</v>
      </c>
      <c r="AH3130" t="s">
        <v>1184</v>
      </c>
      <c r="AI3130">
        <v>0.48</v>
      </c>
      <c r="AJ3130">
        <v>5.05</v>
      </c>
      <c r="AK3130">
        <v>3.18</v>
      </c>
      <c r="AL3130">
        <v>5.9</v>
      </c>
    </row>
    <row r="3131" spans="1:38" x14ac:dyDescent="0.25">
      <c r="A3131">
        <v>3130</v>
      </c>
      <c r="B3131" t="str">
        <f xml:space="preserve"> "600193"</f>
        <v>600193</v>
      </c>
      <c r="C3131" t="s">
        <v>8901</v>
      </c>
      <c r="D3131">
        <v>7.65</v>
      </c>
      <c r="E3131">
        <v>1.86</v>
      </c>
      <c r="F3131">
        <v>0.14000000000000001</v>
      </c>
      <c r="G3131" t="s">
        <v>1630</v>
      </c>
      <c r="H3131">
        <v>10</v>
      </c>
      <c r="I3131">
        <v>7.64</v>
      </c>
      <c r="J3131">
        <v>7.65</v>
      </c>
      <c r="K3131">
        <v>0.13</v>
      </c>
      <c r="L3131">
        <v>1.48</v>
      </c>
      <c r="M3131" t="s">
        <v>8902</v>
      </c>
      <c r="N3131">
        <v>-14.12</v>
      </c>
      <c r="O3131" t="s">
        <v>3277</v>
      </c>
      <c r="P3131">
        <v>7.69</v>
      </c>
      <c r="Q3131">
        <v>7.47</v>
      </c>
      <c r="R3131">
        <v>7.56</v>
      </c>
      <c r="S3131">
        <v>7.51</v>
      </c>
      <c r="T3131">
        <v>2.93</v>
      </c>
      <c r="U3131">
        <v>0.96</v>
      </c>
      <c r="V3131">
        <v>-31.87</v>
      </c>
      <c r="W3131">
        <v>-1112</v>
      </c>
      <c r="X3131">
        <v>7.58</v>
      </c>
      <c r="Y3131" t="s">
        <v>121</v>
      </c>
      <c r="Z3131" t="s">
        <v>1286</v>
      </c>
      <c r="AA3131">
        <v>0.8</v>
      </c>
      <c r="AB3131">
        <v>107</v>
      </c>
      <c r="AC3131">
        <v>134</v>
      </c>
      <c r="AD3131">
        <v>22.81</v>
      </c>
      <c r="AE3131" t="s">
        <v>5453</v>
      </c>
      <c r="AF3131" t="s">
        <v>1029</v>
      </c>
      <c r="AG3131" t="s">
        <v>5453</v>
      </c>
      <c r="AH3131" t="s">
        <v>1029</v>
      </c>
      <c r="AI3131">
        <v>-1.54</v>
      </c>
      <c r="AJ3131">
        <v>1.86</v>
      </c>
      <c r="AK3131">
        <v>4.88</v>
      </c>
      <c r="AL3131">
        <v>9.19</v>
      </c>
    </row>
    <row r="3132" spans="1:38" x14ac:dyDescent="0.25">
      <c r="A3132">
        <v>3131</v>
      </c>
      <c r="B3132" t="str">
        <f xml:space="preserve"> "603159"</f>
        <v>603159</v>
      </c>
      <c r="C3132" t="s">
        <v>8903</v>
      </c>
      <c r="D3132">
        <v>32.54</v>
      </c>
      <c r="E3132">
        <v>2.78</v>
      </c>
      <c r="F3132">
        <v>0.88</v>
      </c>
      <c r="G3132" t="s">
        <v>2968</v>
      </c>
      <c r="H3132">
        <v>21</v>
      </c>
      <c r="I3132">
        <v>32.49</v>
      </c>
      <c r="J3132">
        <v>32.5</v>
      </c>
      <c r="K3132">
        <v>0.06</v>
      </c>
      <c r="L3132">
        <v>6.57</v>
      </c>
      <c r="M3132" t="s">
        <v>8904</v>
      </c>
      <c r="N3132">
        <v>78.03</v>
      </c>
      <c r="O3132" t="s">
        <v>2647</v>
      </c>
      <c r="P3132">
        <v>32.67</v>
      </c>
      <c r="Q3132">
        <v>31.66</v>
      </c>
      <c r="R3132">
        <v>31.79</v>
      </c>
      <c r="S3132">
        <v>31.66</v>
      </c>
      <c r="T3132">
        <v>3.19</v>
      </c>
      <c r="U3132">
        <v>1.47</v>
      </c>
      <c r="V3132">
        <v>-9.09</v>
      </c>
      <c r="W3132">
        <v>-110</v>
      </c>
      <c r="X3132">
        <v>32.369999999999997</v>
      </c>
      <c r="Y3132">
        <v>6768</v>
      </c>
      <c r="Z3132">
        <v>9660</v>
      </c>
      <c r="AA3132">
        <v>0.7</v>
      </c>
      <c r="AB3132">
        <v>10</v>
      </c>
      <c r="AC3132">
        <v>216</v>
      </c>
      <c r="AD3132">
        <v>8.76</v>
      </c>
      <c r="AE3132" t="s">
        <v>4464</v>
      </c>
      <c r="AF3132" t="s">
        <v>1029</v>
      </c>
      <c r="AG3132" t="s">
        <v>5931</v>
      </c>
      <c r="AH3132" t="s">
        <v>4981</v>
      </c>
      <c r="AI3132">
        <v>-0.09</v>
      </c>
      <c r="AJ3132">
        <v>2.2000000000000002</v>
      </c>
      <c r="AK3132">
        <v>13.68</v>
      </c>
      <c r="AL3132">
        <v>28.97</v>
      </c>
    </row>
    <row r="3133" spans="1:38" x14ac:dyDescent="0.25">
      <c r="A3133">
        <v>3132</v>
      </c>
      <c r="B3133" t="str">
        <f xml:space="preserve"> "300270"</f>
        <v>300270</v>
      </c>
      <c r="C3133" t="s">
        <v>8905</v>
      </c>
      <c r="D3133">
        <v>11.94</v>
      </c>
      <c r="E3133">
        <v>-0.57999999999999996</v>
      </c>
      <c r="F3133">
        <v>-7.0000000000000007E-2</v>
      </c>
      <c r="G3133" t="s">
        <v>275</v>
      </c>
      <c r="H3133">
        <v>249</v>
      </c>
      <c r="I3133">
        <v>11.94</v>
      </c>
      <c r="J3133">
        <v>11.95</v>
      </c>
      <c r="K3133">
        <v>0</v>
      </c>
      <c r="L3133">
        <v>1.63</v>
      </c>
      <c r="M3133" t="s">
        <v>8906</v>
      </c>
      <c r="N3133">
        <v>58.8</v>
      </c>
      <c r="O3133" t="s">
        <v>205</v>
      </c>
      <c r="P3133">
        <v>12.01</v>
      </c>
      <c r="Q3133">
        <v>11.81</v>
      </c>
      <c r="R3133">
        <v>11.92</v>
      </c>
      <c r="S3133">
        <v>12.01</v>
      </c>
      <c r="T3133">
        <v>1.67</v>
      </c>
      <c r="U3133">
        <v>0.56999999999999995</v>
      </c>
      <c r="V3133">
        <v>5.34</v>
      </c>
      <c r="W3133">
        <v>52</v>
      </c>
      <c r="X3133">
        <v>11.89</v>
      </c>
      <c r="Y3133" t="s">
        <v>2773</v>
      </c>
      <c r="Z3133">
        <v>8238</v>
      </c>
      <c r="AA3133">
        <v>1.98</v>
      </c>
      <c r="AB3133">
        <v>347</v>
      </c>
      <c r="AC3133">
        <v>53</v>
      </c>
      <c r="AD3133">
        <v>4.92</v>
      </c>
      <c r="AE3133" t="s">
        <v>1463</v>
      </c>
      <c r="AF3133" t="s">
        <v>1029</v>
      </c>
      <c r="AG3133" t="s">
        <v>2878</v>
      </c>
      <c r="AH3133" t="s">
        <v>2434</v>
      </c>
      <c r="AI3133">
        <v>-3.4</v>
      </c>
      <c r="AJ3133">
        <v>-0.5</v>
      </c>
      <c r="AK3133">
        <v>6.3</v>
      </c>
      <c r="AL3133">
        <v>15.79</v>
      </c>
    </row>
    <row r="3134" spans="1:38" x14ac:dyDescent="0.25">
      <c r="A3134">
        <v>3133</v>
      </c>
      <c r="B3134" t="str">
        <f xml:space="preserve"> "002740"</f>
        <v>002740</v>
      </c>
      <c r="C3134" t="s">
        <v>8907</v>
      </c>
      <c r="D3134" t="s">
        <v>616</v>
      </c>
      <c r="E3134" t="s">
        <v>616</v>
      </c>
      <c r="F3134" t="s">
        <v>616</v>
      </c>
      <c r="G3134" t="s">
        <v>616</v>
      </c>
      <c r="H3134" t="s">
        <v>616</v>
      </c>
      <c r="I3134" t="s">
        <v>616</v>
      </c>
      <c r="J3134" t="s">
        <v>616</v>
      </c>
      <c r="K3134" t="s">
        <v>616</v>
      </c>
      <c r="L3134" t="s">
        <v>616</v>
      </c>
      <c r="M3134" t="s">
        <v>616</v>
      </c>
      <c r="N3134">
        <v>52.1</v>
      </c>
      <c r="O3134" t="s">
        <v>2984</v>
      </c>
      <c r="P3134" t="s">
        <v>616</v>
      </c>
      <c r="Q3134" t="s">
        <v>616</v>
      </c>
      <c r="R3134" t="s">
        <v>616</v>
      </c>
      <c r="S3134">
        <v>9.84</v>
      </c>
      <c r="T3134" t="s">
        <v>616</v>
      </c>
      <c r="U3134" t="s">
        <v>616</v>
      </c>
      <c r="V3134" t="s">
        <v>616</v>
      </c>
      <c r="W3134" t="s">
        <v>616</v>
      </c>
      <c r="X3134" t="s">
        <v>616</v>
      </c>
      <c r="Y3134" t="s">
        <v>616</v>
      </c>
      <c r="Z3134" t="s">
        <v>616</v>
      </c>
      <c r="AA3134" t="s">
        <v>616</v>
      </c>
      <c r="AB3134" t="s">
        <v>616</v>
      </c>
      <c r="AC3134" t="s">
        <v>616</v>
      </c>
      <c r="AD3134">
        <v>2.2999999999999998</v>
      </c>
      <c r="AE3134" t="s">
        <v>7034</v>
      </c>
      <c r="AF3134" t="s">
        <v>1029</v>
      </c>
      <c r="AG3134" t="s">
        <v>3697</v>
      </c>
      <c r="AH3134" t="s">
        <v>1464</v>
      </c>
      <c r="AI3134">
        <v>0</v>
      </c>
      <c r="AJ3134">
        <v>0</v>
      </c>
      <c r="AK3134">
        <v>0</v>
      </c>
      <c r="AL3134">
        <v>0</v>
      </c>
    </row>
    <row r="3135" spans="1:38" x14ac:dyDescent="0.25">
      <c r="A3135">
        <v>3134</v>
      </c>
      <c r="B3135" t="str">
        <f xml:space="preserve"> "603038"</f>
        <v>603038</v>
      </c>
      <c r="C3135" t="s">
        <v>8908</v>
      </c>
      <c r="D3135">
        <v>48.76</v>
      </c>
      <c r="E3135">
        <v>1.69</v>
      </c>
      <c r="F3135">
        <v>0.81</v>
      </c>
      <c r="G3135">
        <v>3981</v>
      </c>
      <c r="H3135">
        <v>1</v>
      </c>
      <c r="I3135">
        <v>48.75</v>
      </c>
      <c r="J3135">
        <v>48.77</v>
      </c>
      <c r="K3135">
        <v>0</v>
      </c>
      <c r="L3135">
        <v>2.38</v>
      </c>
      <c r="M3135" t="s">
        <v>8909</v>
      </c>
      <c r="N3135">
        <v>39.909999999999997</v>
      </c>
      <c r="O3135" t="s">
        <v>2309</v>
      </c>
      <c r="P3135">
        <v>49</v>
      </c>
      <c r="Q3135">
        <v>47.84</v>
      </c>
      <c r="R3135">
        <v>48.03</v>
      </c>
      <c r="S3135">
        <v>47.95</v>
      </c>
      <c r="T3135">
        <v>2.42</v>
      </c>
      <c r="U3135">
        <v>1.3</v>
      </c>
      <c r="V3135">
        <v>12</v>
      </c>
      <c r="W3135">
        <v>9</v>
      </c>
      <c r="X3135">
        <v>48.61</v>
      </c>
      <c r="Y3135">
        <v>1593</v>
      </c>
      <c r="Z3135">
        <v>2388</v>
      </c>
      <c r="AA3135">
        <v>0.67</v>
      </c>
      <c r="AB3135">
        <v>1</v>
      </c>
      <c r="AC3135">
        <v>1</v>
      </c>
      <c r="AD3135">
        <v>3.79</v>
      </c>
      <c r="AE3135" t="s">
        <v>8910</v>
      </c>
      <c r="AF3135" t="s">
        <v>1029</v>
      </c>
      <c r="AG3135" t="s">
        <v>7492</v>
      </c>
      <c r="AH3135" t="s">
        <v>4981</v>
      </c>
      <c r="AI3135">
        <v>0.08</v>
      </c>
      <c r="AJ3135">
        <v>3.09</v>
      </c>
      <c r="AK3135">
        <v>6.02</v>
      </c>
      <c r="AL3135">
        <v>11.56</v>
      </c>
    </row>
    <row r="3136" spans="1:38" x14ac:dyDescent="0.25">
      <c r="A3136">
        <v>3135</v>
      </c>
      <c r="B3136" t="str">
        <f xml:space="preserve"> "300530"</f>
        <v>300530</v>
      </c>
      <c r="C3136" t="s">
        <v>8911</v>
      </c>
      <c r="D3136">
        <v>46.43</v>
      </c>
      <c r="E3136">
        <v>2.16</v>
      </c>
      <c r="F3136">
        <v>0.98</v>
      </c>
      <c r="G3136">
        <v>6812</v>
      </c>
      <c r="H3136">
        <v>128</v>
      </c>
      <c r="I3136">
        <v>46.3</v>
      </c>
      <c r="J3136">
        <v>46.43</v>
      </c>
      <c r="K3136">
        <v>0</v>
      </c>
      <c r="L3136">
        <v>3.23</v>
      </c>
      <c r="M3136" t="s">
        <v>8912</v>
      </c>
      <c r="N3136">
        <v>54.9</v>
      </c>
      <c r="O3136" t="s">
        <v>667</v>
      </c>
      <c r="P3136">
        <v>46.56</v>
      </c>
      <c r="Q3136">
        <v>45.25</v>
      </c>
      <c r="R3136">
        <v>45.25</v>
      </c>
      <c r="S3136">
        <v>45.45</v>
      </c>
      <c r="T3136">
        <v>2.88</v>
      </c>
      <c r="U3136">
        <v>2.02</v>
      </c>
      <c r="V3136">
        <v>-24.56</v>
      </c>
      <c r="W3136">
        <v>-28</v>
      </c>
      <c r="X3136">
        <v>46.1</v>
      </c>
      <c r="Y3136">
        <v>2824</v>
      </c>
      <c r="Z3136">
        <v>3987</v>
      </c>
      <c r="AA3136">
        <v>0.71</v>
      </c>
      <c r="AB3136">
        <v>7</v>
      </c>
      <c r="AC3136">
        <v>5</v>
      </c>
      <c r="AD3136">
        <v>7.69</v>
      </c>
      <c r="AE3136" t="s">
        <v>5155</v>
      </c>
      <c r="AF3136" t="s">
        <v>1029</v>
      </c>
      <c r="AG3136" t="s">
        <v>8913</v>
      </c>
      <c r="AH3136" t="s">
        <v>2403</v>
      </c>
      <c r="AI3136">
        <v>2.4500000000000002</v>
      </c>
      <c r="AJ3136">
        <v>5.86</v>
      </c>
      <c r="AK3136">
        <v>7.07</v>
      </c>
      <c r="AL3136">
        <v>11.24</v>
      </c>
    </row>
    <row r="3137" spans="1:38" x14ac:dyDescent="0.25">
      <c r="A3137">
        <v>3136</v>
      </c>
      <c r="B3137" t="str">
        <f xml:space="preserve"> "002319"</f>
        <v>002319</v>
      </c>
      <c r="C3137" t="s">
        <v>8914</v>
      </c>
      <c r="D3137">
        <v>16.239999999999998</v>
      </c>
      <c r="E3137">
        <v>-0.06</v>
      </c>
      <c r="F3137">
        <v>-0.01</v>
      </c>
      <c r="G3137">
        <v>9985</v>
      </c>
      <c r="H3137">
        <v>195</v>
      </c>
      <c r="I3137">
        <v>16.239999999999998</v>
      </c>
      <c r="J3137">
        <v>16.25</v>
      </c>
      <c r="K3137">
        <v>0</v>
      </c>
      <c r="L3137">
        <v>0.5</v>
      </c>
      <c r="M3137" t="s">
        <v>8915</v>
      </c>
      <c r="N3137">
        <v>223.58</v>
      </c>
      <c r="O3137" t="s">
        <v>667</v>
      </c>
      <c r="P3137">
        <v>16.329999999999998</v>
      </c>
      <c r="Q3137">
        <v>16.149999999999999</v>
      </c>
      <c r="R3137">
        <v>16.329999999999998</v>
      </c>
      <c r="S3137">
        <v>16.25</v>
      </c>
      <c r="T3137">
        <v>1.1100000000000001</v>
      </c>
      <c r="U3137">
        <v>0.72</v>
      </c>
      <c r="V3137">
        <v>-69.5</v>
      </c>
      <c r="W3137">
        <v>-989</v>
      </c>
      <c r="X3137">
        <v>16.23</v>
      </c>
      <c r="Y3137">
        <v>5690</v>
      </c>
      <c r="Z3137">
        <v>4295</v>
      </c>
      <c r="AA3137">
        <v>1.32</v>
      </c>
      <c r="AB3137">
        <v>37</v>
      </c>
      <c r="AC3137">
        <v>586</v>
      </c>
      <c r="AD3137">
        <v>6.64</v>
      </c>
      <c r="AE3137" t="s">
        <v>1485</v>
      </c>
      <c r="AF3137" t="s">
        <v>1029</v>
      </c>
      <c r="AG3137" t="s">
        <v>1485</v>
      </c>
      <c r="AH3137" t="s">
        <v>1029</v>
      </c>
      <c r="AI3137">
        <v>-1.58</v>
      </c>
      <c r="AJ3137">
        <v>0.12</v>
      </c>
      <c r="AK3137">
        <v>2.02</v>
      </c>
      <c r="AL3137">
        <v>3.99</v>
      </c>
    </row>
    <row r="3138" spans="1:38" x14ac:dyDescent="0.25">
      <c r="A3138">
        <v>3137</v>
      </c>
      <c r="B3138" t="str">
        <f xml:space="preserve"> "002295"</f>
        <v>002295</v>
      </c>
      <c r="C3138" t="s">
        <v>8916</v>
      </c>
      <c r="D3138">
        <v>12.91</v>
      </c>
      <c r="E3138">
        <v>-0.23</v>
      </c>
      <c r="F3138">
        <v>-0.03</v>
      </c>
      <c r="G3138" t="s">
        <v>4112</v>
      </c>
      <c r="H3138">
        <v>583</v>
      </c>
      <c r="I3138">
        <v>12.9</v>
      </c>
      <c r="J3138">
        <v>12.91</v>
      </c>
      <c r="K3138">
        <v>0</v>
      </c>
      <c r="L3138">
        <v>0.79</v>
      </c>
      <c r="M3138" t="s">
        <v>8917</v>
      </c>
      <c r="N3138">
        <v>43.37</v>
      </c>
      <c r="O3138" t="s">
        <v>449</v>
      </c>
      <c r="P3138">
        <v>13.02</v>
      </c>
      <c r="Q3138">
        <v>12.8</v>
      </c>
      <c r="R3138">
        <v>13.02</v>
      </c>
      <c r="S3138">
        <v>12.94</v>
      </c>
      <c r="T3138">
        <v>1.7</v>
      </c>
      <c r="U3138">
        <v>0.99</v>
      </c>
      <c r="V3138">
        <v>-73.06</v>
      </c>
      <c r="W3138">
        <v>-922</v>
      </c>
      <c r="X3138">
        <v>12.89</v>
      </c>
      <c r="Y3138">
        <v>8818</v>
      </c>
      <c r="Z3138">
        <v>5032</v>
      </c>
      <c r="AA3138">
        <v>1.75</v>
      </c>
      <c r="AB3138">
        <v>37</v>
      </c>
      <c r="AC3138">
        <v>374</v>
      </c>
      <c r="AD3138">
        <v>2.92</v>
      </c>
      <c r="AE3138" t="s">
        <v>5050</v>
      </c>
      <c r="AF3138" t="s">
        <v>1029</v>
      </c>
      <c r="AG3138" t="s">
        <v>3336</v>
      </c>
      <c r="AH3138" t="s">
        <v>1720</v>
      </c>
      <c r="AI3138">
        <v>-0.69</v>
      </c>
      <c r="AJ3138">
        <v>2.2200000000000002</v>
      </c>
      <c r="AK3138">
        <v>2.42</v>
      </c>
      <c r="AL3138">
        <v>4.7699999999999996</v>
      </c>
    </row>
    <row r="3139" spans="1:38" x14ac:dyDescent="0.25">
      <c r="A3139">
        <v>3138</v>
      </c>
      <c r="B3139" t="str">
        <f xml:space="preserve"> "000153"</f>
        <v>000153</v>
      </c>
      <c r="C3139" t="s">
        <v>8918</v>
      </c>
      <c r="D3139">
        <v>10.4</v>
      </c>
      <c r="E3139">
        <v>0.28999999999999998</v>
      </c>
      <c r="F3139">
        <v>0.03</v>
      </c>
      <c r="G3139" t="s">
        <v>3221</v>
      </c>
      <c r="H3139">
        <v>333</v>
      </c>
      <c r="I3139">
        <v>10.39</v>
      </c>
      <c r="J3139">
        <v>10.4</v>
      </c>
      <c r="K3139">
        <v>0</v>
      </c>
      <c r="L3139">
        <v>1.29</v>
      </c>
      <c r="M3139" t="s">
        <v>8919</v>
      </c>
      <c r="N3139">
        <v>37.270000000000003</v>
      </c>
      <c r="O3139" t="s">
        <v>392</v>
      </c>
      <c r="P3139">
        <v>10.51</v>
      </c>
      <c r="Q3139">
        <v>10.32</v>
      </c>
      <c r="R3139">
        <v>10.37</v>
      </c>
      <c r="S3139">
        <v>10.37</v>
      </c>
      <c r="T3139">
        <v>1.83</v>
      </c>
      <c r="U3139">
        <v>0.83</v>
      </c>
      <c r="V3139">
        <v>11.89</v>
      </c>
      <c r="W3139">
        <v>255</v>
      </c>
      <c r="X3139">
        <v>10.42</v>
      </c>
      <c r="Y3139" t="s">
        <v>432</v>
      </c>
      <c r="Z3139" t="s">
        <v>3326</v>
      </c>
      <c r="AA3139">
        <v>1.1599999999999999</v>
      </c>
      <c r="AB3139">
        <v>122</v>
      </c>
      <c r="AC3139">
        <v>60</v>
      </c>
      <c r="AD3139">
        <v>2.72</v>
      </c>
      <c r="AE3139" t="s">
        <v>5539</v>
      </c>
      <c r="AF3139" t="s">
        <v>1029</v>
      </c>
      <c r="AG3139" t="s">
        <v>5539</v>
      </c>
      <c r="AH3139" t="s">
        <v>8920</v>
      </c>
      <c r="AI3139">
        <v>0.39</v>
      </c>
      <c r="AJ3139">
        <v>4.0999999999999996</v>
      </c>
      <c r="AK3139">
        <v>5.78</v>
      </c>
      <c r="AL3139">
        <v>9.1300000000000008</v>
      </c>
    </row>
    <row r="3140" spans="1:38" x14ac:dyDescent="0.25">
      <c r="A3140">
        <v>3139</v>
      </c>
      <c r="B3140" t="str">
        <f xml:space="preserve"> "002808"</f>
        <v>002808</v>
      </c>
      <c r="C3140" t="s">
        <v>8921</v>
      </c>
      <c r="D3140">
        <v>16.899999999999999</v>
      </c>
      <c r="E3140">
        <v>-0.06</v>
      </c>
      <c r="F3140">
        <v>-0.01</v>
      </c>
      <c r="G3140" t="s">
        <v>1493</v>
      </c>
      <c r="H3140">
        <v>570</v>
      </c>
      <c r="I3140">
        <v>16.899999999999999</v>
      </c>
      <c r="J3140">
        <v>16.91</v>
      </c>
      <c r="K3140">
        <v>0.06</v>
      </c>
      <c r="L3140">
        <v>2.0299999999999998</v>
      </c>
      <c r="M3140" t="s">
        <v>8922</v>
      </c>
      <c r="N3140">
        <v>101.17</v>
      </c>
      <c r="O3140" t="s">
        <v>380</v>
      </c>
      <c r="P3140">
        <v>17.03</v>
      </c>
      <c r="Q3140">
        <v>16.690000000000001</v>
      </c>
      <c r="R3140">
        <v>16.809999999999999</v>
      </c>
      <c r="S3140">
        <v>16.91</v>
      </c>
      <c r="T3140">
        <v>2.0099999999999998</v>
      </c>
      <c r="U3140">
        <v>0.77</v>
      </c>
      <c r="V3140">
        <v>12.19</v>
      </c>
      <c r="W3140">
        <v>139</v>
      </c>
      <c r="X3140">
        <v>16.86</v>
      </c>
      <c r="Y3140" t="s">
        <v>2522</v>
      </c>
      <c r="Z3140">
        <v>7497</v>
      </c>
      <c r="AA3140">
        <v>1.38</v>
      </c>
      <c r="AB3140">
        <v>200</v>
      </c>
      <c r="AC3140">
        <v>10</v>
      </c>
      <c r="AD3140">
        <v>6.16</v>
      </c>
      <c r="AE3140" t="s">
        <v>2662</v>
      </c>
      <c r="AF3140" t="s">
        <v>8920</v>
      </c>
      <c r="AG3140" t="s">
        <v>8923</v>
      </c>
      <c r="AH3140" t="s">
        <v>2033</v>
      </c>
      <c r="AI3140">
        <v>-1.74</v>
      </c>
      <c r="AJ3140">
        <v>0.9</v>
      </c>
      <c r="AK3140">
        <v>6.28</v>
      </c>
      <c r="AL3140">
        <v>15.27</v>
      </c>
    </row>
    <row r="3141" spans="1:38" x14ac:dyDescent="0.25">
      <c r="A3141">
        <v>3140</v>
      </c>
      <c r="B3141" t="str">
        <f xml:space="preserve"> "600647"</f>
        <v>600647</v>
      </c>
      <c r="C3141" t="s">
        <v>8924</v>
      </c>
      <c r="D3141">
        <v>23.29</v>
      </c>
      <c r="E3141">
        <v>0.87</v>
      </c>
      <c r="F3141">
        <v>0.2</v>
      </c>
      <c r="G3141">
        <v>7545</v>
      </c>
      <c r="H3141">
        <v>4</v>
      </c>
      <c r="I3141">
        <v>23.29</v>
      </c>
      <c r="J3141">
        <v>23.3</v>
      </c>
      <c r="K3141">
        <v>0.13</v>
      </c>
      <c r="L3141">
        <v>0.54</v>
      </c>
      <c r="M3141" t="s">
        <v>8202</v>
      </c>
      <c r="N3141">
        <v>119.87</v>
      </c>
      <c r="O3141" t="s">
        <v>3277</v>
      </c>
      <c r="P3141">
        <v>23.33</v>
      </c>
      <c r="Q3141">
        <v>23.02</v>
      </c>
      <c r="R3141">
        <v>23.24</v>
      </c>
      <c r="S3141">
        <v>23.09</v>
      </c>
      <c r="T3141">
        <v>1.34</v>
      </c>
      <c r="U3141">
        <v>0.86</v>
      </c>
      <c r="V3141">
        <v>5.96</v>
      </c>
      <c r="W3141">
        <v>29</v>
      </c>
      <c r="X3141">
        <v>23.21</v>
      </c>
      <c r="Y3141">
        <v>3040</v>
      </c>
      <c r="Z3141">
        <v>4505</v>
      </c>
      <c r="AA3141">
        <v>0.67</v>
      </c>
      <c r="AB3141">
        <v>194</v>
      </c>
      <c r="AC3141">
        <v>43</v>
      </c>
      <c r="AD3141">
        <v>9.3800000000000008</v>
      </c>
      <c r="AE3141" t="s">
        <v>3923</v>
      </c>
      <c r="AF3141" t="s">
        <v>8920</v>
      </c>
      <c r="AG3141" t="s">
        <v>3923</v>
      </c>
      <c r="AH3141" t="s">
        <v>8920</v>
      </c>
      <c r="AI3141">
        <v>0.17</v>
      </c>
      <c r="AJ3141">
        <v>3.51</v>
      </c>
      <c r="AK3141">
        <v>1.78</v>
      </c>
      <c r="AL3141">
        <v>3.7</v>
      </c>
    </row>
    <row r="3142" spans="1:38" x14ac:dyDescent="0.25">
      <c r="A3142">
        <v>3141</v>
      </c>
      <c r="B3142" t="str">
        <f xml:space="preserve"> "600265"</f>
        <v>600265</v>
      </c>
      <c r="C3142" t="s">
        <v>8925</v>
      </c>
      <c r="D3142">
        <v>24.89</v>
      </c>
      <c r="E3142">
        <v>0.08</v>
      </c>
      <c r="F3142">
        <v>0.02</v>
      </c>
      <c r="G3142">
        <v>5829</v>
      </c>
      <c r="H3142">
        <v>110</v>
      </c>
      <c r="I3142">
        <v>24.88</v>
      </c>
      <c r="J3142">
        <v>25.07</v>
      </c>
      <c r="K3142">
        <v>-0.76</v>
      </c>
      <c r="L3142">
        <v>0.45</v>
      </c>
      <c r="M3142" t="s">
        <v>8926</v>
      </c>
      <c r="N3142">
        <v>-185.25</v>
      </c>
      <c r="O3142" t="s">
        <v>1469</v>
      </c>
      <c r="P3142">
        <v>25.08</v>
      </c>
      <c r="Q3142">
        <v>24.73</v>
      </c>
      <c r="R3142">
        <v>24.77</v>
      </c>
      <c r="S3142">
        <v>24.87</v>
      </c>
      <c r="T3142">
        <v>1.41</v>
      </c>
      <c r="U3142">
        <v>1.71</v>
      </c>
      <c r="V3142">
        <v>19.28</v>
      </c>
      <c r="W3142">
        <v>43</v>
      </c>
      <c r="X3142">
        <v>24.87</v>
      </c>
      <c r="Y3142">
        <v>1014</v>
      </c>
      <c r="Z3142">
        <v>4815</v>
      </c>
      <c r="AA3142">
        <v>0.21</v>
      </c>
      <c r="AB3142">
        <v>54</v>
      </c>
      <c r="AC3142">
        <v>10</v>
      </c>
      <c r="AD3142">
        <v>197.54</v>
      </c>
      <c r="AE3142" t="s">
        <v>3398</v>
      </c>
      <c r="AF3142" t="s">
        <v>2490</v>
      </c>
      <c r="AG3142" t="s">
        <v>3398</v>
      </c>
      <c r="AH3142" t="s">
        <v>2490</v>
      </c>
      <c r="AI3142">
        <v>0.48</v>
      </c>
      <c r="AJ3142">
        <v>2.5499999999999998</v>
      </c>
      <c r="AK3142">
        <v>1.06</v>
      </c>
      <c r="AL3142">
        <v>1.76</v>
      </c>
    </row>
    <row r="3143" spans="1:38" x14ac:dyDescent="0.25">
      <c r="A3143">
        <v>3142</v>
      </c>
      <c r="B3143" t="str">
        <f xml:space="preserve"> "600889"</f>
        <v>600889</v>
      </c>
      <c r="C3143" t="s">
        <v>8927</v>
      </c>
      <c r="D3143">
        <v>10.5</v>
      </c>
      <c r="E3143">
        <v>0.19</v>
      </c>
      <c r="F3143">
        <v>0.02</v>
      </c>
      <c r="G3143" t="s">
        <v>1349</v>
      </c>
      <c r="H3143">
        <v>9</v>
      </c>
      <c r="I3143">
        <v>10.5</v>
      </c>
      <c r="J3143">
        <v>10.51</v>
      </c>
      <c r="K3143">
        <v>-0.1</v>
      </c>
      <c r="L3143">
        <v>0.56000000000000005</v>
      </c>
      <c r="M3143" t="s">
        <v>8863</v>
      </c>
      <c r="N3143">
        <v>38.89</v>
      </c>
      <c r="O3143" t="s">
        <v>1798</v>
      </c>
      <c r="P3143">
        <v>10.51</v>
      </c>
      <c r="Q3143">
        <v>10.4</v>
      </c>
      <c r="R3143">
        <v>10.43</v>
      </c>
      <c r="S3143">
        <v>10.48</v>
      </c>
      <c r="T3143">
        <v>1.05</v>
      </c>
      <c r="U3143">
        <v>0.6</v>
      </c>
      <c r="V3143">
        <v>-57.89</v>
      </c>
      <c r="W3143">
        <v>-1266</v>
      </c>
      <c r="X3143">
        <v>10.48</v>
      </c>
      <c r="Y3143">
        <v>7933</v>
      </c>
      <c r="Z3143">
        <v>9246</v>
      </c>
      <c r="AA3143">
        <v>0.86</v>
      </c>
      <c r="AB3143">
        <v>15</v>
      </c>
      <c r="AC3143">
        <v>410</v>
      </c>
      <c r="AD3143">
        <v>2.17</v>
      </c>
      <c r="AE3143" t="s">
        <v>719</v>
      </c>
      <c r="AF3143" t="s">
        <v>769</v>
      </c>
      <c r="AG3143" t="s">
        <v>719</v>
      </c>
      <c r="AH3143" t="s">
        <v>769</v>
      </c>
      <c r="AI3143">
        <v>0.1</v>
      </c>
      <c r="AJ3143">
        <v>4.2699999999999996</v>
      </c>
      <c r="AK3143">
        <v>2.33</v>
      </c>
      <c r="AL3143">
        <v>5.26</v>
      </c>
    </row>
    <row r="3144" spans="1:38" x14ac:dyDescent="0.25">
      <c r="A3144">
        <v>3143</v>
      </c>
      <c r="B3144" t="str">
        <f xml:space="preserve"> "300515"</f>
        <v>300515</v>
      </c>
      <c r="C3144" t="s">
        <v>8928</v>
      </c>
      <c r="D3144">
        <v>16.100000000000001</v>
      </c>
      <c r="E3144">
        <v>1.45</v>
      </c>
      <c r="F3144">
        <v>0.23</v>
      </c>
      <c r="G3144" t="s">
        <v>545</v>
      </c>
      <c r="H3144">
        <v>545</v>
      </c>
      <c r="I3144">
        <v>16.059999999999999</v>
      </c>
      <c r="J3144">
        <v>16.100000000000001</v>
      </c>
      <c r="K3144">
        <v>0.25</v>
      </c>
      <c r="L3144">
        <v>1.41</v>
      </c>
      <c r="M3144" t="s">
        <v>8929</v>
      </c>
      <c r="N3144">
        <v>124.85</v>
      </c>
      <c r="O3144" t="s">
        <v>1372</v>
      </c>
      <c r="P3144">
        <v>16.100000000000001</v>
      </c>
      <c r="Q3144">
        <v>15.6</v>
      </c>
      <c r="R3144">
        <v>15.78</v>
      </c>
      <c r="S3144">
        <v>15.87</v>
      </c>
      <c r="T3144">
        <v>3.15</v>
      </c>
      <c r="U3144">
        <v>0.91</v>
      </c>
      <c r="V3144">
        <v>-42.94</v>
      </c>
      <c r="W3144">
        <v>-426</v>
      </c>
      <c r="X3144">
        <v>15.94</v>
      </c>
      <c r="Y3144">
        <v>5093</v>
      </c>
      <c r="Z3144">
        <v>7760</v>
      </c>
      <c r="AA3144">
        <v>0.66</v>
      </c>
      <c r="AB3144">
        <v>10</v>
      </c>
      <c r="AC3144">
        <v>374</v>
      </c>
      <c r="AD3144">
        <v>7.31</v>
      </c>
      <c r="AE3144" t="s">
        <v>1485</v>
      </c>
      <c r="AF3144" t="s">
        <v>769</v>
      </c>
      <c r="AG3144" t="s">
        <v>8930</v>
      </c>
      <c r="AH3144" t="s">
        <v>3009</v>
      </c>
      <c r="AI3144">
        <v>-0.74</v>
      </c>
      <c r="AJ3144">
        <v>5.16</v>
      </c>
      <c r="AK3144">
        <v>4.32</v>
      </c>
      <c r="AL3144">
        <v>9.19</v>
      </c>
    </row>
    <row r="3145" spans="1:38" x14ac:dyDescent="0.25">
      <c r="A3145">
        <v>3144</v>
      </c>
      <c r="B3145" t="str">
        <f xml:space="preserve"> "300593"</f>
        <v>300593</v>
      </c>
      <c r="C3145" t="s">
        <v>8931</v>
      </c>
      <c r="D3145">
        <v>27.85</v>
      </c>
      <c r="E3145">
        <v>-1.49</v>
      </c>
      <c r="F3145">
        <v>-0.42</v>
      </c>
      <c r="G3145" t="s">
        <v>3822</v>
      </c>
      <c r="H3145">
        <v>1540</v>
      </c>
      <c r="I3145">
        <v>27.81</v>
      </c>
      <c r="J3145">
        <v>27.85</v>
      </c>
      <c r="K3145">
        <v>0.22</v>
      </c>
      <c r="L3145">
        <v>11.69</v>
      </c>
      <c r="M3145" t="s">
        <v>8932</v>
      </c>
      <c r="N3145">
        <v>104.51</v>
      </c>
      <c r="O3145" t="s">
        <v>648</v>
      </c>
      <c r="P3145">
        <v>28.28</v>
      </c>
      <c r="Q3145">
        <v>27.38</v>
      </c>
      <c r="R3145">
        <v>28.28</v>
      </c>
      <c r="S3145">
        <v>28.27</v>
      </c>
      <c r="T3145">
        <v>3.18</v>
      </c>
      <c r="U3145">
        <v>0.65</v>
      </c>
      <c r="V3145">
        <v>51.66</v>
      </c>
      <c r="W3145">
        <v>327</v>
      </c>
      <c r="X3145">
        <v>27.74</v>
      </c>
      <c r="Y3145" t="s">
        <v>3062</v>
      </c>
      <c r="Z3145" t="s">
        <v>4112</v>
      </c>
      <c r="AA3145">
        <v>1.44</v>
      </c>
      <c r="AB3145">
        <v>51</v>
      </c>
      <c r="AC3145">
        <v>65</v>
      </c>
      <c r="AD3145">
        <v>6</v>
      </c>
      <c r="AE3145" t="s">
        <v>2748</v>
      </c>
      <c r="AF3145" t="s">
        <v>769</v>
      </c>
      <c r="AG3145" t="s">
        <v>8933</v>
      </c>
      <c r="AH3145" t="s">
        <v>2721</v>
      </c>
      <c r="AI3145">
        <v>-6.61</v>
      </c>
      <c r="AJ3145">
        <v>-7.01</v>
      </c>
      <c r="AK3145">
        <v>39.28</v>
      </c>
      <c r="AL3145">
        <v>102.07</v>
      </c>
    </row>
    <row r="3146" spans="1:38" x14ac:dyDescent="0.25">
      <c r="A3146">
        <v>3145</v>
      </c>
      <c r="B3146" t="str">
        <f xml:space="preserve"> "600462"</f>
        <v>600462</v>
      </c>
      <c r="C3146" t="s">
        <v>8934</v>
      </c>
      <c r="D3146">
        <v>6.02</v>
      </c>
      <c r="E3146">
        <v>0</v>
      </c>
      <c r="F3146">
        <v>0</v>
      </c>
      <c r="G3146" t="s">
        <v>3331</v>
      </c>
      <c r="H3146">
        <v>10</v>
      </c>
      <c r="I3146">
        <v>6.02</v>
      </c>
      <c r="J3146">
        <v>6.03</v>
      </c>
      <c r="K3146">
        <v>0.17</v>
      </c>
      <c r="L3146">
        <v>0.78</v>
      </c>
      <c r="M3146" t="s">
        <v>8935</v>
      </c>
      <c r="N3146">
        <v>952.53</v>
      </c>
      <c r="O3146" t="s">
        <v>380</v>
      </c>
      <c r="P3146">
        <v>6.04</v>
      </c>
      <c r="Q3146">
        <v>5.99</v>
      </c>
      <c r="R3146">
        <v>6</v>
      </c>
      <c r="S3146">
        <v>6.02</v>
      </c>
      <c r="T3146">
        <v>0.83</v>
      </c>
      <c r="U3146">
        <v>0.57999999999999996</v>
      </c>
      <c r="V3146">
        <v>8.27</v>
      </c>
      <c r="W3146">
        <v>467</v>
      </c>
      <c r="X3146">
        <v>6.01</v>
      </c>
      <c r="Y3146" t="s">
        <v>1374</v>
      </c>
      <c r="Z3146" t="s">
        <v>2255</v>
      </c>
      <c r="AA3146">
        <v>1.65</v>
      </c>
      <c r="AB3146">
        <v>243</v>
      </c>
      <c r="AC3146">
        <v>94</v>
      </c>
      <c r="AD3146">
        <v>10.96</v>
      </c>
      <c r="AE3146" t="s">
        <v>1900</v>
      </c>
      <c r="AF3146" t="s">
        <v>3324</v>
      </c>
      <c r="AG3146" t="s">
        <v>1900</v>
      </c>
      <c r="AH3146" t="s">
        <v>3324</v>
      </c>
      <c r="AI3146">
        <v>-0.17</v>
      </c>
      <c r="AJ3146">
        <v>4.7</v>
      </c>
      <c r="AK3146">
        <v>3.55</v>
      </c>
      <c r="AL3146">
        <v>7.54</v>
      </c>
    </row>
    <row r="3147" spans="1:38" x14ac:dyDescent="0.25">
      <c r="A3147">
        <v>3146</v>
      </c>
      <c r="B3147" t="str">
        <f xml:space="preserve"> "002066"</f>
        <v>002066</v>
      </c>
      <c r="C3147" t="s">
        <v>8936</v>
      </c>
      <c r="D3147">
        <v>13.91</v>
      </c>
      <c r="E3147">
        <v>1.0900000000000001</v>
      </c>
      <c r="F3147">
        <v>0.15</v>
      </c>
      <c r="G3147" t="s">
        <v>3892</v>
      </c>
      <c r="H3147">
        <v>452</v>
      </c>
      <c r="I3147">
        <v>13.91</v>
      </c>
      <c r="J3147">
        <v>13.92</v>
      </c>
      <c r="K3147">
        <v>0</v>
      </c>
      <c r="L3147">
        <v>0.85</v>
      </c>
      <c r="M3147" t="s">
        <v>8937</v>
      </c>
      <c r="N3147">
        <v>294.02999999999997</v>
      </c>
      <c r="O3147" t="s">
        <v>859</v>
      </c>
      <c r="P3147">
        <v>13.97</v>
      </c>
      <c r="Q3147">
        <v>13.69</v>
      </c>
      <c r="R3147">
        <v>13.76</v>
      </c>
      <c r="S3147">
        <v>13.76</v>
      </c>
      <c r="T3147">
        <v>2.0299999999999998</v>
      </c>
      <c r="U3147">
        <v>0.82</v>
      </c>
      <c r="V3147">
        <v>1.54</v>
      </c>
      <c r="W3147">
        <v>30</v>
      </c>
      <c r="X3147">
        <v>13.83</v>
      </c>
      <c r="Y3147">
        <v>8886</v>
      </c>
      <c r="Z3147" t="s">
        <v>1785</v>
      </c>
      <c r="AA3147">
        <v>0.83</v>
      </c>
      <c r="AB3147">
        <v>449</v>
      </c>
      <c r="AC3147">
        <v>115</v>
      </c>
      <c r="AD3147">
        <v>8.02</v>
      </c>
      <c r="AE3147" t="s">
        <v>281</v>
      </c>
      <c r="AF3147" t="s">
        <v>3324</v>
      </c>
      <c r="AG3147" t="s">
        <v>281</v>
      </c>
      <c r="AH3147" t="s">
        <v>3324</v>
      </c>
      <c r="AI3147">
        <v>-0.43</v>
      </c>
      <c r="AJ3147">
        <v>2.88</v>
      </c>
      <c r="AK3147">
        <v>3.48</v>
      </c>
      <c r="AL3147">
        <v>6.04</v>
      </c>
    </row>
    <row r="3148" spans="1:38" x14ac:dyDescent="0.25">
      <c r="A3148">
        <v>3147</v>
      </c>
      <c r="B3148" t="str">
        <f xml:space="preserve"> "300542"</f>
        <v>300542</v>
      </c>
      <c r="C3148" t="s">
        <v>8938</v>
      </c>
      <c r="D3148">
        <v>35.159999999999997</v>
      </c>
      <c r="E3148">
        <v>-0.54</v>
      </c>
      <c r="F3148">
        <v>-0.19</v>
      </c>
      <c r="G3148" t="s">
        <v>2313</v>
      </c>
      <c r="H3148">
        <v>243</v>
      </c>
      <c r="I3148">
        <v>35.159999999999997</v>
      </c>
      <c r="J3148">
        <v>35.18</v>
      </c>
      <c r="K3148">
        <v>0.06</v>
      </c>
      <c r="L3148">
        <v>4.83</v>
      </c>
      <c r="M3148" t="s">
        <v>8939</v>
      </c>
      <c r="N3148">
        <v>211.84</v>
      </c>
      <c r="O3148" t="s">
        <v>893</v>
      </c>
      <c r="P3148">
        <v>36.68</v>
      </c>
      <c r="Q3148">
        <v>35.14</v>
      </c>
      <c r="R3148">
        <v>35.28</v>
      </c>
      <c r="S3148">
        <v>35.35</v>
      </c>
      <c r="T3148">
        <v>4.3600000000000003</v>
      </c>
      <c r="U3148">
        <v>0.72</v>
      </c>
      <c r="V3148">
        <v>33.03</v>
      </c>
      <c r="W3148">
        <v>147</v>
      </c>
      <c r="X3148">
        <v>35.93</v>
      </c>
      <c r="Y3148">
        <v>8069</v>
      </c>
      <c r="Z3148">
        <v>7676</v>
      </c>
      <c r="AA3148">
        <v>1.05</v>
      </c>
      <c r="AB3148">
        <v>54</v>
      </c>
      <c r="AC3148">
        <v>62</v>
      </c>
      <c r="AD3148">
        <v>5.45</v>
      </c>
      <c r="AE3148" t="s">
        <v>8940</v>
      </c>
      <c r="AF3148" t="s">
        <v>3324</v>
      </c>
      <c r="AG3148" t="s">
        <v>8941</v>
      </c>
      <c r="AH3148" t="s">
        <v>2388</v>
      </c>
      <c r="AI3148">
        <v>-4.82</v>
      </c>
      <c r="AJ3148">
        <v>-1.92</v>
      </c>
      <c r="AK3148">
        <v>14.47</v>
      </c>
      <c r="AL3148">
        <v>38.57</v>
      </c>
    </row>
    <row r="3149" spans="1:38" x14ac:dyDescent="0.25">
      <c r="A3149">
        <v>3148</v>
      </c>
      <c r="B3149" t="str">
        <f xml:space="preserve"> "600853"</f>
        <v>600853</v>
      </c>
      <c r="C3149" t="s">
        <v>8942</v>
      </c>
      <c r="D3149">
        <v>5.97</v>
      </c>
      <c r="E3149">
        <v>0.34</v>
      </c>
      <c r="F3149">
        <v>0.02</v>
      </c>
      <c r="G3149" t="s">
        <v>1374</v>
      </c>
      <c r="H3149">
        <v>116</v>
      </c>
      <c r="I3149">
        <v>5.96</v>
      </c>
      <c r="J3149">
        <v>5.97</v>
      </c>
      <c r="K3149">
        <v>0</v>
      </c>
      <c r="L3149">
        <v>0.49</v>
      </c>
      <c r="M3149" t="s">
        <v>8943</v>
      </c>
      <c r="N3149">
        <v>84.37</v>
      </c>
      <c r="O3149" t="s">
        <v>263</v>
      </c>
      <c r="P3149">
        <v>5.98</v>
      </c>
      <c r="Q3149">
        <v>5.92</v>
      </c>
      <c r="R3149">
        <v>5.95</v>
      </c>
      <c r="S3149">
        <v>5.95</v>
      </c>
      <c r="T3149">
        <v>1.01</v>
      </c>
      <c r="U3149">
        <v>0.72</v>
      </c>
      <c r="V3149">
        <v>-24.93</v>
      </c>
      <c r="W3149">
        <v>-1896</v>
      </c>
      <c r="X3149">
        <v>5.95</v>
      </c>
      <c r="Y3149" t="s">
        <v>545</v>
      </c>
      <c r="Z3149" t="s">
        <v>1077</v>
      </c>
      <c r="AA3149">
        <v>0.97</v>
      </c>
      <c r="AB3149">
        <v>484</v>
      </c>
      <c r="AC3149">
        <v>642</v>
      </c>
      <c r="AD3149">
        <v>3.84</v>
      </c>
      <c r="AE3149" t="s">
        <v>2622</v>
      </c>
      <c r="AF3149" t="s">
        <v>4298</v>
      </c>
      <c r="AG3149" t="s">
        <v>2622</v>
      </c>
      <c r="AH3149" t="s">
        <v>4298</v>
      </c>
      <c r="AI3149">
        <v>0</v>
      </c>
      <c r="AJ3149">
        <v>2.58</v>
      </c>
      <c r="AK3149">
        <v>2.1800000000000002</v>
      </c>
      <c r="AL3149">
        <v>3.88</v>
      </c>
    </row>
    <row r="3150" spans="1:38" x14ac:dyDescent="0.25">
      <c r="A3150">
        <v>3149</v>
      </c>
      <c r="B3150" t="str">
        <f xml:space="preserve"> "300670"</f>
        <v>300670</v>
      </c>
      <c r="C3150" t="s">
        <v>8944</v>
      </c>
      <c r="D3150">
        <v>29.66</v>
      </c>
      <c r="E3150">
        <v>2.99</v>
      </c>
      <c r="F3150">
        <v>0.86</v>
      </c>
      <c r="G3150" t="s">
        <v>3050</v>
      </c>
      <c r="H3150">
        <v>1774</v>
      </c>
      <c r="I3150">
        <v>29.66</v>
      </c>
      <c r="J3150">
        <v>29.67</v>
      </c>
      <c r="K3150">
        <v>-7.0000000000000007E-2</v>
      </c>
      <c r="L3150">
        <v>20.6</v>
      </c>
      <c r="M3150" t="s">
        <v>2339</v>
      </c>
      <c r="N3150">
        <v>77.430000000000007</v>
      </c>
      <c r="O3150" t="s">
        <v>680</v>
      </c>
      <c r="P3150">
        <v>29.94</v>
      </c>
      <c r="Q3150">
        <v>28.38</v>
      </c>
      <c r="R3150">
        <v>28.7</v>
      </c>
      <c r="S3150">
        <v>28.8</v>
      </c>
      <c r="T3150">
        <v>5.42</v>
      </c>
      <c r="U3150">
        <v>1.39</v>
      </c>
      <c r="V3150">
        <v>-44.97</v>
      </c>
      <c r="W3150">
        <v>-597</v>
      </c>
      <c r="X3150">
        <v>29.4</v>
      </c>
      <c r="Y3150" t="s">
        <v>3266</v>
      </c>
      <c r="Z3150" t="s">
        <v>4378</v>
      </c>
      <c r="AA3150">
        <v>0.77</v>
      </c>
      <c r="AB3150">
        <v>11</v>
      </c>
      <c r="AC3150">
        <v>578</v>
      </c>
      <c r="AD3150">
        <v>5.94</v>
      </c>
      <c r="AE3150" t="s">
        <v>1120</v>
      </c>
      <c r="AF3150" t="s">
        <v>4298</v>
      </c>
      <c r="AG3150" t="s">
        <v>3501</v>
      </c>
      <c r="AH3150" t="s">
        <v>2385</v>
      </c>
      <c r="AI3150">
        <v>0.85</v>
      </c>
      <c r="AJ3150">
        <v>5.78</v>
      </c>
      <c r="AK3150">
        <v>46.1</v>
      </c>
      <c r="AL3150">
        <v>94.9</v>
      </c>
    </row>
    <row r="3151" spans="1:38" x14ac:dyDescent="0.25">
      <c r="A3151">
        <v>3150</v>
      </c>
      <c r="B3151" t="str">
        <f xml:space="preserve"> "600793"</f>
        <v>600793</v>
      </c>
      <c r="C3151" t="s">
        <v>8945</v>
      </c>
      <c r="D3151">
        <v>30.39</v>
      </c>
      <c r="E3151">
        <v>7.0000000000000007E-2</v>
      </c>
      <c r="F3151">
        <v>0.02</v>
      </c>
      <c r="G3151" t="s">
        <v>2255</v>
      </c>
      <c r="H3151">
        <v>47</v>
      </c>
      <c r="I3151">
        <v>30.4</v>
      </c>
      <c r="J3151">
        <v>30.41</v>
      </c>
      <c r="K3151">
        <v>7.0000000000000007E-2</v>
      </c>
      <c r="L3151">
        <v>1.5</v>
      </c>
      <c r="M3151" t="s">
        <v>8946</v>
      </c>
      <c r="N3151">
        <v>12.13</v>
      </c>
      <c r="O3151" t="s">
        <v>1874</v>
      </c>
      <c r="P3151">
        <v>30.49</v>
      </c>
      <c r="Q3151">
        <v>30.14</v>
      </c>
      <c r="R3151">
        <v>30.4</v>
      </c>
      <c r="S3151">
        <v>30.37</v>
      </c>
      <c r="T3151">
        <v>1.1499999999999999</v>
      </c>
      <c r="U3151">
        <v>0.63</v>
      </c>
      <c r="V3151">
        <v>-18.68</v>
      </c>
      <c r="W3151">
        <v>-85</v>
      </c>
      <c r="X3151">
        <v>30.32</v>
      </c>
      <c r="Y3151">
        <v>8266</v>
      </c>
      <c r="Z3151">
        <v>7555</v>
      </c>
      <c r="AA3151">
        <v>1.0900000000000001</v>
      </c>
      <c r="AB3151">
        <v>33</v>
      </c>
      <c r="AC3151">
        <v>41</v>
      </c>
      <c r="AD3151">
        <v>17.28</v>
      </c>
      <c r="AE3151" t="s">
        <v>1907</v>
      </c>
      <c r="AF3151" t="s">
        <v>4298</v>
      </c>
      <c r="AG3151" t="s">
        <v>1907</v>
      </c>
      <c r="AH3151" t="s">
        <v>4298</v>
      </c>
      <c r="AI3151">
        <v>-0.03</v>
      </c>
      <c r="AJ3151">
        <v>-0.39</v>
      </c>
      <c r="AK3151">
        <v>5.61</v>
      </c>
      <c r="AL3151">
        <v>13.33</v>
      </c>
    </row>
    <row r="3152" spans="1:38" x14ac:dyDescent="0.25">
      <c r="A3152">
        <v>3151</v>
      </c>
      <c r="B3152" t="str">
        <f xml:space="preserve"> "603880"</f>
        <v>603880</v>
      </c>
      <c r="C3152" t="s">
        <v>8947</v>
      </c>
      <c r="D3152">
        <v>31.99</v>
      </c>
      <c r="E3152">
        <v>3.7</v>
      </c>
      <c r="F3152">
        <v>1.1399999999999999</v>
      </c>
      <c r="G3152" t="s">
        <v>3073</v>
      </c>
      <c r="H3152">
        <v>12</v>
      </c>
      <c r="I3152">
        <v>31.8</v>
      </c>
      <c r="J3152">
        <v>31.98</v>
      </c>
      <c r="K3152">
        <v>0.6</v>
      </c>
      <c r="L3152">
        <v>47.45</v>
      </c>
      <c r="M3152" t="s">
        <v>6069</v>
      </c>
      <c r="N3152">
        <v>61.54</v>
      </c>
      <c r="O3152" t="s">
        <v>392</v>
      </c>
      <c r="P3152">
        <v>33.89</v>
      </c>
      <c r="Q3152">
        <v>30.01</v>
      </c>
      <c r="R3152">
        <v>30.11</v>
      </c>
      <c r="S3152">
        <v>30.85</v>
      </c>
      <c r="T3152">
        <v>12.58</v>
      </c>
      <c r="U3152">
        <v>2.33</v>
      </c>
      <c r="V3152">
        <v>-55.78</v>
      </c>
      <c r="W3152">
        <v>-270</v>
      </c>
      <c r="X3152">
        <v>32.200000000000003</v>
      </c>
      <c r="Y3152" t="s">
        <v>1699</v>
      </c>
      <c r="Z3152" t="s">
        <v>4644</v>
      </c>
      <c r="AA3152">
        <v>0.83</v>
      </c>
      <c r="AB3152">
        <v>48</v>
      </c>
      <c r="AC3152">
        <v>3</v>
      </c>
      <c r="AD3152">
        <v>6.28</v>
      </c>
      <c r="AE3152" t="s">
        <v>4464</v>
      </c>
      <c r="AF3152" t="s">
        <v>4298</v>
      </c>
      <c r="AG3152" t="s">
        <v>5931</v>
      </c>
      <c r="AH3152" t="s">
        <v>1754</v>
      </c>
      <c r="AI3152">
        <v>6.95</v>
      </c>
      <c r="AJ3152">
        <v>19.95</v>
      </c>
      <c r="AK3152">
        <v>113.44</v>
      </c>
      <c r="AL3152">
        <v>149.16999999999999</v>
      </c>
    </row>
    <row r="3153" spans="1:38" x14ac:dyDescent="0.25">
      <c r="A3153">
        <v>3152</v>
      </c>
      <c r="B3153" t="str">
        <f xml:space="preserve"> "600051"</f>
        <v>600051</v>
      </c>
      <c r="C3153" t="s">
        <v>8948</v>
      </c>
      <c r="D3153">
        <v>10.27</v>
      </c>
      <c r="E3153">
        <v>2.19</v>
      </c>
      <c r="F3153">
        <v>0.22</v>
      </c>
      <c r="G3153" t="s">
        <v>5469</v>
      </c>
      <c r="H3153">
        <v>70</v>
      </c>
      <c r="I3153">
        <v>10.27</v>
      </c>
      <c r="J3153">
        <v>10.28</v>
      </c>
      <c r="K3153">
        <v>0.2</v>
      </c>
      <c r="L3153">
        <v>2.39</v>
      </c>
      <c r="M3153" t="s">
        <v>8949</v>
      </c>
      <c r="N3153">
        <v>44.4</v>
      </c>
      <c r="O3153" t="s">
        <v>3277</v>
      </c>
      <c r="P3153">
        <v>10.28</v>
      </c>
      <c r="Q3153">
        <v>10.01</v>
      </c>
      <c r="R3153">
        <v>10.029999999999999</v>
      </c>
      <c r="S3153">
        <v>10.050000000000001</v>
      </c>
      <c r="T3153">
        <v>2.69</v>
      </c>
      <c r="U3153">
        <v>1.37</v>
      </c>
      <c r="V3153">
        <v>24.25</v>
      </c>
      <c r="W3153">
        <v>2245</v>
      </c>
      <c r="X3153">
        <v>10.18</v>
      </c>
      <c r="Y3153" t="s">
        <v>2932</v>
      </c>
      <c r="Z3153" t="s">
        <v>4674</v>
      </c>
      <c r="AA3153">
        <v>0.44</v>
      </c>
      <c r="AB3153">
        <v>309</v>
      </c>
      <c r="AC3153">
        <v>1294</v>
      </c>
      <c r="AD3153">
        <v>1.61</v>
      </c>
      <c r="AE3153" t="s">
        <v>4731</v>
      </c>
      <c r="AF3153" t="s">
        <v>1172</v>
      </c>
      <c r="AG3153" t="s">
        <v>4731</v>
      </c>
      <c r="AH3153" t="s">
        <v>1172</v>
      </c>
      <c r="AI3153">
        <v>2.29</v>
      </c>
      <c r="AJ3153">
        <v>5.12</v>
      </c>
      <c r="AK3153">
        <v>6.61</v>
      </c>
      <c r="AL3153">
        <v>11.13</v>
      </c>
    </row>
    <row r="3154" spans="1:38" x14ac:dyDescent="0.25">
      <c r="A3154">
        <v>3153</v>
      </c>
      <c r="B3154" t="str">
        <f xml:space="preserve"> "000628"</f>
        <v>000628</v>
      </c>
      <c r="C3154" t="s">
        <v>8950</v>
      </c>
      <c r="D3154">
        <v>10.25</v>
      </c>
      <c r="E3154">
        <v>-0.19</v>
      </c>
      <c r="F3154">
        <v>-0.02</v>
      </c>
      <c r="G3154" t="s">
        <v>3042</v>
      </c>
      <c r="H3154">
        <v>417</v>
      </c>
      <c r="I3154">
        <v>10.25</v>
      </c>
      <c r="J3154">
        <v>10.26</v>
      </c>
      <c r="K3154">
        <v>0</v>
      </c>
      <c r="L3154">
        <v>1.07</v>
      </c>
      <c r="M3154" t="s">
        <v>8951</v>
      </c>
      <c r="N3154">
        <v>92.85</v>
      </c>
      <c r="O3154" t="s">
        <v>263</v>
      </c>
      <c r="P3154">
        <v>10.3</v>
      </c>
      <c r="Q3154">
        <v>10.199999999999999</v>
      </c>
      <c r="R3154">
        <v>10.29</v>
      </c>
      <c r="S3154">
        <v>10.27</v>
      </c>
      <c r="T3154">
        <v>0.97</v>
      </c>
      <c r="U3154">
        <v>0.86</v>
      </c>
      <c r="V3154">
        <v>13.71</v>
      </c>
      <c r="W3154">
        <v>372</v>
      </c>
      <c r="X3154">
        <v>10.24</v>
      </c>
      <c r="Y3154" t="s">
        <v>1785</v>
      </c>
      <c r="Z3154">
        <v>9363</v>
      </c>
      <c r="AA3154">
        <v>1.1399999999999999</v>
      </c>
      <c r="AB3154">
        <v>712</v>
      </c>
      <c r="AC3154">
        <v>286</v>
      </c>
      <c r="AD3154">
        <v>4.2699999999999996</v>
      </c>
      <c r="AE3154" t="s">
        <v>4731</v>
      </c>
      <c r="AF3154" t="s">
        <v>1172</v>
      </c>
      <c r="AG3154" t="s">
        <v>1371</v>
      </c>
      <c r="AH3154" t="s">
        <v>886</v>
      </c>
      <c r="AI3154">
        <v>-0.68</v>
      </c>
      <c r="AJ3154">
        <v>2.4</v>
      </c>
      <c r="AK3154">
        <v>3.46</v>
      </c>
      <c r="AL3154">
        <v>7.28</v>
      </c>
    </row>
    <row r="3155" spans="1:38" x14ac:dyDescent="0.25">
      <c r="A3155">
        <v>3154</v>
      </c>
      <c r="B3155" t="str">
        <f xml:space="preserve"> "603319"</f>
        <v>603319</v>
      </c>
      <c r="C3155" t="s">
        <v>8952</v>
      </c>
      <c r="D3155">
        <v>39.44</v>
      </c>
      <c r="E3155">
        <v>1.21</v>
      </c>
      <c r="F3155">
        <v>0.47</v>
      </c>
      <c r="G3155">
        <v>9808</v>
      </c>
      <c r="H3155">
        <v>36</v>
      </c>
      <c r="I3155">
        <v>39.409999999999997</v>
      </c>
      <c r="J3155">
        <v>39.42</v>
      </c>
      <c r="K3155">
        <v>-0.4</v>
      </c>
      <c r="L3155">
        <v>4.8499999999999996</v>
      </c>
      <c r="M3155" t="s">
        <v>8953</v>
      </c>
      <c r="N3155">
        <v>38.42</v>
      </c>
      <c r="O3155" t="s">
        <v>169</v>
      </c>
      <c r="P3155">
        <v>39.659999999999997</v>
      </c>
      <c r="Q3155">
        <v>38.72</v>
      </c>
      <c r="R3155">
        <v>39.14</v>
      </c>
      <c r="S3155">
        <v>38.97</v>
      </c>
      <c r="T3155">
        <v>2.41</v>
      </c>
      <c r="U3155">
        <v>0.77</v>
      </c>
      <c r="V3155">
        <v>-22.82</v>
      </c>
      <c r="W3155">
        <v>-55</v>
      </c>
      <c r="X3155">
        <v>39.119999999999997</v>
      </c>
      <c r="Y3155">
        <v>4655</v>
      </c>
      <c r="Z3155">
        <v>5153</v>
      </c>
      <c r="AA3155">
        <v>0.9</v>
      </c>
      <c r="AB3155">
        <v>33</v>
      </c>
      <c r="AC3155">
        <v>4</v>
      </c>
      <c r="AD3155">
        <v>5.09</v>
      </c>
      <c r="AE3155" t="s">
        <v>7907</v>
      </c>
      <c r="AF3155" t="s">
        <v>1172</v>
      </c>
      <c r="AG3155" t="s">
        <v>8954</v>
      </c>
      <c r="AH3155" t="s">
        <v>2129</v>
      </c>
      <c r="AI3155">
        <v>-0.55000000000000004</v>
      </c>
      <c r="AJ3155">
        <v>4.26</v>
      </c>
      <c r="AK3155">
        <v>12.32</v>
      </c>
      <c r="AL3155">
        <v>36.19</v>
      </c>
    </row>
    <row r="3156" spans="1:38" x14ac:dyDescent="0.25">
      <c r="A3156">
        <v>3155</v>
      </c>
      <c r="B3156" t="str">
        <f xml:space="preserve"> "002357"</f>
        <v>002357</v>
      </c>
      <c r="C3156" t="s">
        <v>8955</v>
      </c>
      <c r="D3156">
        <v>10.18</v>
      </c>
      <c r="E3156">
        <v>0.59</v>
      </c>
      <c r="F3156">
        <v>0.06</v>
      </c>
      <c r="G3156" t="s">
        <v>1420</v>
      </c>
      <c r="H3156">
        <v>231</v>
      </c>
      <c r="I3156">
        <v>10.18</v>
      </c>
      <c r="J3156">
        <v>10.19</v>
      </c>
      <c r="K3156">
        <v>-0.1</v>
      </c>
      <c r="L3156">
        <v>0.68</v>
      </c>
      <c r="M3156" t="s">
        <v>8104</v>
      </c>
      <c r="N3156">
        <v>25.05</v>
      </c>
      <c r="O3156" t="s">
        <v>274</v>
      </c>
      <c r="P3156">
        <v>10.210000000000001</v>
      </c>
      <c r="Q3156">
        <v>10.08</v>
      </c>
      <c r="R3156">
        <v>10.130000000000001</v>
      </c>
      <c r="S3156">
        <v>10.119999999999999</v>
      </c>
      <c r="T3156">
        <v>1.28</v>
      </c>
      <c r="U3156">
        <v>0.85</v>
      </c>
      <c r="V3156">
        <v>-57.27</v>
      </c>
      <c r="W3156">
        <v>-1948</v>
      </c>
      <c r="X3156">
        <v>10.15</v>
      </c>
      <c r="Y3156">
        <v>9721</v>
      </c>
      <c r="Z3156" t="s">
        <v>316</v>
      </c>
      <c r="AA3156">
        <v>0.83</v>
      </c>
      <c r="AB3156">
        <v>115</v>
      </c>
      <c r="AC3156">
        <v>544</v>
      </c>
      <c r="AD3156">
        <v>3.07</v>
      </c>
      <c r="AE3156" t="s">
        <v>7097</v>
      </c>
      <c r="AF3156" t="s">
        <v>1172</v>
      </c>
      <c r="AG3156" t="s">
        <v>7097</v>
      </c>
      <c r="AH3156" t="s">
        <v>1172</v>
      </c>
      <c r="AI3156">
        <v>-0.2</v>
      </c>
      <c r="AJ3156">
        <v>2.41</v>
      </c>
      <c r="AK3156">
        <v>2.1</v>
      </c>
      <c r="AL3156">
        <v>4.7300000000000004</v>
      </c>
    </row>
    <row r="3157" spans="1:38" x14ac:dyDescent="0.25">
      <c r="A3157">
        <v>3156</v>
      </c>
      <c r="B3157" t="str">
        <f xml:space="preserve"> "603633"</f>
        <v>603633</v>
      </c>
      <c r="C3157" t="s">
        <v>8956</v>
      </c>
      <c r="D3157">
        <v>26.51</v>
      </c>
      <c r="E3157">
        <v>2.67</v>
      </c>
      <c r="F3157">
        <v>0.69</v>
      </c>
      <c r="G3157" t="s">
        <v>2266</v>
      </c>
      <c r="H3157">
        <v>47</v>
      </c>
      <c r="I3157">
        <v>26.49</v>
      </c>
      <c r="J3157">
        <v>26.5</v>
      </c>
      <c r="K3157">
        <v>-0.04</v>
      </c>
      <c r="L3157">
        <v>11.7</v>
      </c>
      <c r="M3157" t="s">
        <v>8957</v>
      </c>
      <c r="N3157">
        <v>69.34</v>
      </c>
      <c r="O3157" t="s">
        <v>380</v>
      </c>
      <c r="P3157">
        <v>26.58</v>
      </c>
      <c r="Q3157">
        <v>25.55</v>
      </c>
      <c r="R3157">
        <v>25.68</v>
      </c>
      <c r="S3157">
        <v>25.82</v>
      </c>
      <c r="T3157">
        <v>3.99</v>
      </c>
      <c r="U3157">
        <v>2.0099999999999998</v>
      </c>
      <c r="V3157">
        <v>-75.91</v>
      </c>
      <c r="W3157">
        <v>-334</v>
      </c>
      <c r="X3157">
        <v>26.21</v>
      </c>
      <c r="Y3157" t="s">
        <v>3950</v>
      </c>
      <c r="Z3157" t="s">
        <v>1653</v>
      </c>
      <c r="AA3157">
        <v>0.78</v>
      </c>
      <c r="AB3157">
        <v>18</v>
      </c>
      <c r="AC3157">
        <v>35</v>
      </c>
      <c r="AD3157">
        <v>4.71</v>
      </c>
      <c r="AE3157" t="s">
        <v>918</v>
      </c>
      <c r="AF3157" t="s">
        <v>1172</v>
      </c>
      <c r="AG3157" t="s">
        <v>6610</v>
      </c>
      <c r="AH3157" t="s">
        <v>2129</v>
      </c>
      <c r="AI3157">
        <v>2.5499999999999998</v>
      </c>
      <c r="AJ3157">
        <v>1.88</v>
      </c>
      <c r="AK3157">
        <v>22.79</v>
      </c>
      <c r="AL3157">
        <v>40.79</v>
      </c>
    </row>
    <row r="3158" spans="1:38" x14ac:dyDescent="0.25">
      <c r="A3158">
        <v>3157</v>
      </c>
      <c r="B3158" t="str">
        <f xml:space="preserve"> "300214"</f>
        <v>300214</v>
      </c>
      <c r="C3158" t="s">
        <v>8958</v>
      </c>
      <c r="D3158">
        <v>7.49</v>
      </c>
      <c r="E3158">
        <v>2.1800000000000002</v>
      </c>
      <c r="F3158">
        <v>0.16</v>
      </c>
      <c r="G3158" t="s">
        <v>3864</v>
      </c>
      <c r="H3158">
        <v>185</v>
      </c>
      <c r="I3158">
        <v>7.48</v>
      </c>
      <c r="J3158">
        <v>7.49</v>
      </c>
      <c r="K3158">
        <v>-0.13</v>
      </c>
      <c r="L3158">
        <v>1.68</v>
      </c>
      <c r="M3158" t="s">
        <v>8959</v>
      </c>
      <c r="N3158">
        <v>43.89</v>
      </c>
      <c r="O3158" t="s">
        <v>2128</v>
      </c>
      <c r="P3158">
        <v>7.58</v>
      </c>
      <c r="Q3158">
        <v>7.35</v>
      </c>
      <c r="R3158">
        <v>7.41</v>
      </c>
      <c r="S3158">
        <v>7.33</v>
      </c>
      <c r="T3158">
        <v>3.14</v>
      </c>
      <c r="U3158">
        <v>1.91</v>
      </c>
      <c r="V3158">
        <v>-42.34</v>
      </c>
      <c r="W3158">
        <v>-872</v>
      </c>
      <c r="X3158">
        <v>7.48</v>
      </c>
      <c r="Y3158" t="s">
        <v>1576</v>
      </c>
      <c r="Z3158" t="s">
        <v>3822</v>
      </c>
      <c r="AA3158">
        <v>0.51</v>
      </c>
      <c r="AB3158">
        <v>70</v>
      </c>
      <c r="AC3158">
        <v>184</v>
      </c>
      <c r="AD3158">
        <v>2.08</v>
      </c>
      <c r="AE3158" t="s">
        <v>5765</v>
      </c>
      <c r="AF3158" t="s">
        <v>1172</v>
      </c>
      <c r="AG3158" t="s">
        <v>4786</v>
      </c>
      <c r="AH3158" t="s">
        <v>1681</v>
      </c>
      <c r="AI3158">
        <v>1.35</v>
      </c>
      <c r="AJ3158">
        <v>5.79</v>
      </c>
      <c r="AK3158">
        <v>3.32</v>
      </c>
      <c r="AL3158">
        <v>6.05</v>
      </c>
    </row>
    <row r="3159" spans="1:38" x14ac:dyDescent="0.25">
      <c r="A3159">
        <v>3158</v>
      </c>
      <c r="B3159" t="str">
        <f xml:space="preserve"> "603088"</f>
        <v>603088</v>
      </c>
      <c r="C3159" t="s">
        <v>8960</v>
      </c>
      <c r="D3159">
        <v>39.85</v>
      </c>
      <c r="E3159">
        <v>-3.11</v>
      </c>
      <c r="F3159">
        <v>-1.28</v>
      </c>
      <c r="G3159" t="s">
        <v>113</v>
      </c>
      <c r="H3159">
        <v>7</v>
      </c>
      <c r="I3159">
        <v>39.83</v>
      </c>
      <c r="J3159">
        <v>39.93</v>
      </c>
      <c r="K3159">
        <v>-0.47</v>
      </c>
      <c r="L3159">
        <v>8.61</v>
      </c>
      <c r="M3159" t="s">
        <v>7062</v>
      </c>
      <c r="N3159">
        <v>149.01</v>
      </c>
      <c r="O3159" t="s">
        <v>2647</v>
      </c>
      <c r="P3159">
        <v>41.29</v>
      </c>
      <c r="Q3159">
        <v>39.520000000000003</v>
      </c>
      <c r="R3159">
        <v>40.619999999999997</v>
      </c>
      <c r="S3159">
        <v>41.13</v>
      </c>
      <c r="T3159">
        <v>4.3</v>
      </c>
      <c r="U3159">
        <v>4.3099999999999996</v>
      </c>
      <c r="V3159">
        <v>83.01</v>
      </c>
      <c r="W3159">
        <v>215</v>
      </c>
      <c r="X3159">
        <v>40.049999999999997</v>
      </c>
      <c r="Y3159" t="s">
        <v>1095</v>
      </c>
      <c r="Z3159">
        <v>8999</v>
      </c>
      <c r="AA3159">
        <v>1.39</v>
      </c>
      <c r="AB3159">
        <v>14</v>
      </c>
      <c r="AC3159">
        <v>7</v>
      </c>
      <c r="AD3159">
        <v>6.76</v>
      </c>
      <c r="AE3159" t="s">
        <v>5802</v>
      </c>
      <c r="AF3159" t="s">
        <v>1172</v>
      </c>
      <c r="AG3159" t="s">
        <v>5931</v>
      </c>
      <c r="AH3159" t="s">
        <v>298</v>
      </c>
      <c r="AI3159">
        <v>-0.99</v>
      </c>
      <c r="AJ3159">
        <v>-2.42</v>
      </c>
      <c r="AK3159">
        <v>16.63</v>
      </c>
      <c r="AL3159">
        <v>18.59</v>
      </c>
    </row>
    <row r="3160" spans="1:38" x14ac:dyDescent="0.25">
      <c r="A3160">
        <v>3159</v>
      </c>
      <c r="B3160" t="str">
        <f xml:space="preserve"> "300615"</f>
        <v>300615</v>
      </c>
      <c r="C3160" t="s">
        <v>8961</v>
      </c>
      <c r="D3160">
        <v>39.79</v>
      </c>
      <c r="E3160">
        <v>-1.78</v>
      </c>
      <c r="F3160">
        <v>-0.72</v>
      </c>
      <c r="G3160" t="s">
        <v>1476</v>
      </c>
      <c r="H3160">
        <v>279</v>
      </c>
      <c r="I3160">
        <v>39.78</v>
      </c>
      <c r="J3160">
        <v>39.79</v>
      </c>
      <c r="K3160">
        <v>-0.03</v>
      </c>
      <c r="L3160">
        <v>12.91</v>
      </c>
      <c r="M3160" t="s">
        <v>2611</v>
      </c>
      <c r="N3160">
        <v>78.739999999999995</v>
      </c>
      <c r="O3160" t="s">
        <v>580</v>
      </c>
      <c r="P3160">
        <v>40.5</v>
      </c>
      <c r="Q3160">
        <v>38.92</v>
      </c>
      <c r="R3160">
        <v>40.5</v>
      </c>
      <c r="S3160">
        <v>40.51</v>
      </c>
      <c r="T3160">
        <v>3.9</v>
      </c>
      <c r="U3160">
        <v>0.68</v>
      </c>
      <c r="V3160">
        <v>5.37</v>
      </c>
      <c r="W3160">
        <v>16</v>
      </c>
      <c r="X3160">
        <v>39.75</v>
      </c>
      <c r="Y3160" t="s">
        <v>1114</v>
      </c>
      <c r="Z3160" t="s">
        <v>808</v>
      </c>
      <c r="AA3160">
        <v>1.32</v>
      </c>
      <c r="AB3160">
        <v>30</v>
      </c>
      <c r="AC3160">
        <v>34</v>
      </c>
      <c r="AD3160">
        <v>7.21</v>
      </c>
      <c r="AE3160" t="s">
        <v>5802</v>
      </c>
      <c r="AF3160" t="s">
        <v>4062</v>
      </c>
      <c r="AG3160" t="s">
        <v>5562</v>
      </c>
      <c r="AH3160" t="s">
        <v>3916</v>
      </c>
      <c r="AI3160">
        <v>-3.42</v>
      </c>
      <c r="AJ3160">
        <v>-3.91</v>
      </c>
      <c r="AK3160">
        <v>50.19</v>
      </c>
      <c r="AL3160">
        <v>107.7</v>
      </c>
    </row>
    <row r="3161" spans="1:38" x14ac:dyDescent="0.25">
      <c r="A3161">
        <v>3160</v>
      </c>
      <c r="B3161" t="str">
        <f xml:space="preserve"> "600370"</f>
        <v>600370</v>
      </c>
      <c r="C3161" t="s">
        <v>8962</v>
      </c>
      <c r="D3161">
        <v>3.99</v>
      </c>
      <c r="E3161">
        <v>0.25</v>
      </c>
      <c r="F3161">
        <v>0.01</v>
      </c>
      <c r="G3161" t="s">
        <v>2193</v>
      </c>
      <c r="H3161">
        <v>5</v>
      </c>
      <c r="I3161">
        <v>3.99</v>
      </c>
      <c r="J3161">
        <v>4</v>
      </c>
      <c r="K3161">
        <v>0</v>
      </c>
      <c r="L3161">
        <v>0.36</v>
      </c>
      <c r="M3161" t="s">
        <v>8963</v>
      </c>
      <c r="N3161">
        <v>54.71</v>
      </c>
      <c r="O3161" t="s">
        <v>1443</v>
      </c>
      <c r="P3161">
        <v>3.99</v>
      </c>
      <c r="Q3161">
        <v>3.95</v>
      </c>
      <c r="R3161">
        <v>3.98</v>
      </c>
      <c r="S3161">
        <v>3.98</v>
      </c>
      <c r="T3161">
        <v>1.01</v>
      </c>
      <c r="U3161">
        <v>0.45</v>
      </c>
      <c r="V3161">
        <v>-19.86</v>
      </c>
      <c r="W3161">
        <v>-3510</v>
      </c>
      <c r="X3161">
        <v>3.98</v>
      </c>
      <c r="Y3161" t="s">
        <v>2558</v>
      </c>
      <c r="Z3161" t="s">
        <v>1077</v>
      </c>
      <c r="AA3161">
        <v>1.21</v>
      </c>
      <c r="AB3161">
        <v>176</v>
      </c>
      <c r="AC3161">
        <v>5084</v>
      </c>
      <c r="AD3161">
        <v>2.5299999999999998</v>
      </c>
      <c r="AE3161" t="s">
        <v>3358</v>
      </c>
      <c r="AF3161" t="s">
        <v>4062</v>
      </c>
      <c r="AG3161" t="s">
        <v>3358</v>
      </c>
      <c r="AH3161" t="s">
        <v>4062</v>
      </c>
      <c r="AI3161">
        <v>0</v>
      </c>
      <c r="AJ3161">
        <v>1.27</v>
      </c>
      <c r="AK3161">
        <v>1.63</v>
      </c>
      <c r="AL3161">
        <v>4.41</v>
      </c>
    </row>
    <row r="3162" spans="1:38" x14ac:dyDescent="0.25">
      <c r="A3162">
        <v>3161</v>
      </c>
      <c r="B3162" t="str">
        <f xml:space="preserve"> "600860"</f>
        <v>600860</v>
      </c>
      <c r="C3162" t="s">
        <v>8964</v>
      </c>
      <c r="D3162">
        <v>7.53</v>
      </c>
      <c r="E3162">
        <v>0.13</v>
      </c>
      <c r="F3162">
        <v>0.01</v>
      </c>
      <c r="G3162">
        <v>5900</v>
      </c>
      <c r="H3162">
        <v>5</v>
      </c>
      <c r="I3162">
        <v>7.53</v>
      </c>
      <c r="J3162">
        <v>7.54</v>
      </c>
      <c r="K3162">
        <v>-0.26</v>
      </c>
      <c r="L3162">
        <v>0.18</v>
      </c>
      <c r="M3162" t="s">
        <v>8965</v>
      </c>
      <c r="N3162">
        <v>-36.07</v>
      </c>
      <c r="O3162" t="s">
        <v>648</v>
      </c>
      <c r="P3162">
        <v>7.55</v>
      </c>
      <c r="Q3162">
        <v>7.49</v>
      </c>
      <c r="R3162">
        <v>7.55</v>
      </c>
      <c r="S3162">
        <v>7.52</v>
      </c>
      <c r="T3162">
        <v>0.8</v>
      </c>
      <c r="U3162">
        <v>0.98</v>
      </c>
      <c r="V3162">
        <v>8.5</v>
      </c>
      <c r="W3162">
        <v>76</v>
      </c>
      <c r="X3162">
        <v>7.52</v>
      </c>
      <c r="Y3162">
        <v>2573</v>
      </c>
      <c r="Z3162">
        <v>3327</v>
      </c>
      <c r="AA3162">
        <v>0.77</v>
      </c>
      <c r="AB3162">
        <v>4</v>
      </c>
      <c r="AC3162">
        <v>19</v>
      </c>
      <c r="AD3162">
        <v>6.1</v>
      </c>
      <c r="AE3162" t="s">
        <v>5070</v>
      </c>
      <c r="AF3162" t="s">
        <v>4062</v>
      </c>
      <c r="AG3162" t="s">
        <v>391</v>
      </c>
      <c r="AH3162" t="s">
        <v>1104</v>
      </c>
      <c r="AI3162">
        <v>-0.26</v>
      </c>
      <c r="AJ3162">
        <v>1.07</v>
      </c>
      <c r="AK3162">
        <v>0.56999999999999995</v>
      </c>
      <c r="AL3162">
        <v>1.1200000000000001</v>
      </c>
    </row>
    <row r="3163" spans="1:38" x14ac:dyDescent="0.25">
      <c r="A3163">
        <v>3162</v>
      </c>
      <c r="B3163" t="str">
        <f xml:space="preserve"> "000880"</f>
        <v>000880</v>
      </c>
      <c r="C3163" t="s">
        <v>8966</v>
      </c>
      <c r="D3163">
        <v>11.5</v>
      </c>
      <c r="E3163">
        <v>0.61</v>
      </c>
      <c r="F3163">
        <v>7.0000000000000007E-2</v>
      </c>
      <c r="G3163" t="s">
        <v>1950</v>
      </c>
      <c r="H3163">
        <v>175</v>
      </c>
      <c r="I3163">
        <v>11.49</v>
      </c>
      <c r="J3163">
        <v>11.5</v>
      </c>
      <c r="K3163">
        <v>0.09</v>
      </c>
      <c r="L3163">
        <v>1.27</v>
      </c>
      <c r="M3163" t="s">
        <v>8967</v>
      </c>
      <c r="N3163">
        <v>71.78</v>
      </c>
      <c r="O3163" t="s">
        <v>635</v>
      </c>
      <c r="P3163">
        <v>11.56</v>
      </c>
      <c r="Q3163">
        <v>11.35</v>
      </c>
      <c r="R3163">
        <v>11.36</v>
      </c>
      <c r="S3163">
        <v>11.43</v>
      </c>
      <c r="T3163">
        <v>1.84</v>
      </c>
      <c r="U3163">
        <v>1.01</v>
      </c>
      <c r="V3163">
        <v>-70.42</v>
      </c>
      <c r="W3163">
        <v>-1200</v>
      </c>
      <c r="X3163">
        <v>11.45</v>
      </c>
      <c r="Y3163">
        <v>8071</v>
      </c>
      <c r="Z3163">
        <v>9061</v>
      </c>
      <c r="AA3163">
        <v>0.89</v>
      </c>
      <c r="AB3163">
        <v>47</v>
      </c>
      <c r="AC3163">
        <v>690</v>
      </c>
      <c r="AD3163">
        <v>2.39</v>
      </c>
      <c r="AE3163" t="s">
        <v>4094</v>
      </c>
      <c r="AF3163" t="s">
        <v>4062</v>
      </c>
      <c r="AG3163" t="s">
        <v>1985</v>
      </c>
      <c r="AH3163" t="s">
        <v>1154</v>
      </c>
      <c r="AI3163">
        <v>0.7</v>
      </c>
      <c r="AJ3163">
        <v>3.51</v>
      </c>
      <c r="AK3163">
        <v>3.85</v>
      </c>
      <c r="AL3163">
        <v>7.52</v>
      </c>
    </row>
    <row r="3164" spans="1:38" x14ac:dyDescent="0.25">
      <c r="A3164">
        <v>3163</v>
      </c>
      <c r="B3164" t="str">
        <f xml:space="preserve"> "600234"</f>
        <v>600234</v>
      </c>
      <c r="C3164" t="s">
        <v>8968</v>
      </c>
      <c r="D3164">
        <v>15.62</v>
      </c>
      <c r="E3164">
        <v>0.19</v>
      </c>
      <c r="F3164">
        <v>0.03</v>
      </c>
      <c r="G3164">
        <v>4781</v>
      </c>
      <c r="H3164">
        <v>1</v>
      </c>
      <c r="I3164">
        <v>15.6</v>
      </c>
      <c r="J3164">
        <v>15.69</v>
      </c>
      <c r="K3164">
        <v>0.13</v>
      </c>
      <c r="L3164">
        <v>0.24</v>
      </c>
      <c r="M3164" t="s">
        <v>8969</v>
      </c>
      <c r="N3164">
        <v>-138.19999999999999</v>
      </c>
      <c r="O3164" t="s">
        <v>244</v>
      </c>
      <c r="P3164">
        <v>15.75</v>
      </c>
      <c r="Q3164">
        <v>15.41</v>
      </c>
      <c r="R3164">
        <v>15.63</v>
      </c>
      <c r="S3164">
        <v>15.59</v>
      </c>
      <c r="T3164">
        <v>2.1800000000000002</v>
      </c>
      <c r="U3164">
        <v>1.24</v>
      </c>
      <c r="V3164">
        <v>-14.19</v>
      </c>
      <c r="W3164">
        <v>-44</v>
      </c>
      <c r="X3164">
        <v>15.63</v>
      </c>
      <c r="Y3164">
        <v>1485</v>
      </c>
      <c r="Z3164">
        <v>3295</v>
      </c>
      <c r="AA3164">
        <v>0.45</v>
      </c>
      <c r="AB3164">
        <v>19</v>
      </c>
      <c r="AC3164">
        <v>23</v>
      </c>
      <c r="AD3164">
        <v>37.130000000000003</v>
      </c>
      <c r="AE3164" t="s">
        <v>1404</v>
      </c>
      <c r="AF3164" t="s">
        <v>2516</v>
      </c>
      <c r="AG3164" t="s">
        <v>1404</v>
      </c>
      <c r="AH3164" t="s">
        <v>2516</v>
      </c>
      <c r="AI3164">
        <v>0.71</v>
      </c>
      <c r="AJ3164">
        <v>1.76</v>
      </c>
      <c r="AK3164">
        <v>0.59</v>
      </c>
      <c r="AL3164">
        <v>1.19</v>
      </c>
    </row>
    <row r="3165" spans="1:38" x14ac:dyDescent="0.25">
      <c r="A3165">
        <v>3164</v>
      </c>
      <c r="B3165" t="str">
        <f xml:space="preserve"> "600769"</f>
        <v>600769</v>
      </c>
      <c r="C3165" t="s">
        <v>8970</v>
      </c>
      <c r="D3165">
        <v>8.43</v>
      </c>
      <c r="E3165">
        <v>0.24</v>
      </c>
      <c r="F3165">
        <v>0.02</v>
      </c>
      <c r="G3165" t="s">
        <v>1745</v>
      </c>
      <c r="H3165">
        <v>50</v>
      </c>
      <c r="I3165">
        <v>8.43</v>
      </c>
      <c r="J3165">
        <v>8.44</v>
      </c>
      <c r="K3165">
        <v>0</v>
      </c>
      <c r="L3165">
        <v>0.6</v>
      </c>
      <c r="M3165" t="s">
        <v>8971</v>
      </c>
      <c r="N3165">
        <v>600.48</v>
      </c>
      <c r="O3165" t="s">
        <v>263</v>
      </c>
      <c r="P3165">
        <v>8.51</v>
      </c>
      <c r="Q3165">
        <v>8.32</v>
      </c>
      <c r="R3165">
        <v>8.41</v>
      </c>
      <c r="S3165">
        <v>8.41</v>
      </c>
      <c r="T3165">
        <v>2.2599999999999998</v>
      </c>
      <c r="U3165">
        <v>1</v>
      </c>
      <c r="V3165">
        <v>2.25</v>
      </c>
      <c r="W3165">
        <v>68</v>
      </c>
      <c r="X3165">
        <v>8.41</v>
      </c>
      <c r="Y3165" t="s">
        <v>2800</v>
      </c>
      <c r="Z3165" t="s">
        <v>2991</v>
      </c>
      <c r="AA3165">
        <v>0.89</v>
      </c>
      <c r="AB3165">
        <v>103</v>
      </c>
      <c r="AC3165">
        <v>3</v>
      </c>
      <c r="AD3165">
        <v>67.34</v>
      </c>
      <c r="AE3165" t="s">
        <v>6624</v>
      </c>
      <c r="AF3165" t="s">
        <v>2516</v>
      </c>
      <c r="AG3165" t="s">
        <v>6624</v>
      </c>
      <c r="AH3165" t="s">
        <v>2516</v>
      </c>
      <c r="AI3165">
        <v>0.96</v>
      </c>
      <c r="AJ3165">
        <v>2.1800000000000002</v>
      </c>
      <c r="AK3165">
        <v>2.1800000000000002</v>
      </c>
      <c r="AL3165">
        <v>3.57</v>
      </c>
    </row>
    <row r="3166" spans="1:38" x14ac:dyDescent="0.25">
      <c r="A3166">
        <v>3165</v>
      </c>
      <c r="B3166" t="str">
        <f xml:space="preserve"> "002150"</f>
        <v>002150</v>
      </c>
      <c r="C3166" t="s">
        <v>8972</v>
      </c>
      <c r="D3166">
        <v>11.52</v>
      </c>
      <c r="E3166">
        <v>1.32</v>
      </c>
      <c r="F3166">
        <v>0.15</v>
      </c>
      <c r="G3166" t="s">
        <v>125</v>
      </c>
      <c r="H3166">
        <v>328</v>
      </c>
      <c r="I3166">
        <v>11.51</v>
      </c>
      <c r="J3166">
        <v>11.52</v>
      </c>
      <c r="K3166">
        <v>0</v>
      </c>
      <c r="L3166">
        <v>0.61</v>
      </c>
      <c r="M3166" t="s">
        <v>8973</v>
      </c>
      <c r="N3166">
        <v>36.74</v>
      </c>
      <c r="O3166" t="s">
        <v>1229</v>
      </c>
      <c r="P3166">
        <v>11.54</v>
      </c>
      <c r="Q3166">
        <v>11.3</v>
      </c>
      <c r="R3166">
        <v>11.3</v>
      </c>
      <c r="S3166">
        <v>11.37</v>
      </c>
      <c r="T3166">
        <v>2.11</v>
      </c>
      <c r="U3166">
        <v>1.05</v>
      </c>
      <c r="V3166">
        <v>-52.28</v>
      </c>
      <c r="W3166">
        <v>-758</v>
      </c>
      <c r="X3166">
        <v>11.47</v>
      </c>
      <c r="Y3166">
        <v>4931</v>
      </c>
      <c r="Z3166" t="s">
        <v>2284</v>
      </c>
      <c r="AA3166">
        <v>0.48</v>
      </c>
      <c r="AB3166">
        <v>136</v>
      </c>
      <c r="AC3166">
        <v>23</v>
      </c>
      <c r="AD3166">
        <v>2.96</v>
      </c>
      <c r="AE3166" t="s">
        <v>5381</v>
      </c>
      <c r="AF3166" t="s">
        <v>2516</v>
      </c>
      <c r="AG3166" t="s">
        <v>4750</v>
      </c>
      <c r="AH3166" t="s">
        <v>6741</v>
      </c>
      <c r="AI3166">
        <v>-0.09</v>
      </c>
      <c r="AJ3166">
        <v>4.3499999999999996</v>
      </c>
      <c r="AK3166">
        <v>1.71</v>
      </c>
      <c r="AL3166">
        <v>3.53</v>
      </c>
    </row>
    <row r="3167" spans="1:38" x14ac:dyDescent="0.25">
      <c r="A3167">
        <v>3166</v>
      </c>
      <c r="B3167" t="str">
        <f xml:space="preserve"> "300632"</f>
        <v>300632</v>
      </c>
      <c r="C3167" t="s">
        <v>8974</v>
      </c>
      <c r="D3167">
        <v>27.27</v>
      </c>
      <c r="E3167">
        <v>3.49</v>
      </c>
      <c r="F3167">
        <v>0.92</v>
      </c>
      <c r="G3167" t="s">
        <v>3476</v>
      </c>
      <c r="H3167">
        <v>380</v>
      </c>
      <c r="I3167">
        <v>27.26</v>
      </c>
      <c r="J3167">
        <v>27.27</v>
      </c>
      <c r="K3167">
        <v>-0.11</v>
      </c>
      <c r="L3167">
        <v>14.44</v>
      </c>
      <c r="M3167" t="s">
        <v>2869</v>
      </c>
      <c r="N3167">
        <v>58.01</v>
      </c>
      <c r="O3167" t="s">
        <v>380</v>
      </c>
      <c r="P3167">
        <v>27.64</v>
      </c>
      <c r="Q3167">
        <v>26.12</v>
      </c>
      <c r="R3167">
        <v>26.22</v>
      </c>
      <c r="S3167">
        <v>26.35</v>
      </c>
      <c r="T3167">
        <v>5.77</v>
      </c>
      <c r="U3167">
        <v>2.17</v>
      </c>
      <c r="V3167">
        <v>-43.31</v>
      </c>
      <c r="W3167">
        <v>-382</v>
      </c>
      <c r="X3167">
        <v>27.04</v>
      </c>
      <c r="Y3167" t="s">
        <v>2580</v>
      </c>
      <c r="Z3167" t="s">
        <v>2786</v>
      </c>
      <c r="AA3167">
        <v>0.71</v>
      </c>
      <c r="AB3167">
        <v>141</v>
      </c>
      <c r="AC3167">
        <v>252</v>
      </c>
      <c r="AD3167">
        <v>6.45</v>
      </c>
      <c r="AE3167" t="s">
        <v>2748</v>
      </c>
      <c r="AF3167" t="s">
        <v>2516</v>
      </c>
      <c r="AG3167" t="s">
        <v>8975</v>
      </c>
      <c r="AH3167" t="s">
        <v>4551</v>
      </c>
      <c r="AI3167">
        <v>1.72</v>
      </c>
      <c r="AJ3167">
        <v>4.2</v>
      </c>
      <c r="AK3167">
        <v>28.07</v>
      </c>
      <c r="AL3167">
        <v>47.7</v>
      </c>
    </row>
    <row r="3168" spans="1:38" x14ac:dyDescent="0.25">
      <c r="A3168">
        <v>3167</v>
      </c>
      <c r="B3168" t="str">
        <f xml:space="preserve"> "002755"</f>
        <v>002755</v>
      </c>
      <c r="C3168" t="s">
        <v>8976</v>
      </c>
      <c r="D3168">
        <v>31.16</v>
      </c>
      <c r="E3168">
        <v>1.07</v>
      </c>
      <c r="F3168">
        <v>0.33</v>
      </c>
      <c r="G3168" t="s">
        <v>2365</v>
      </c>
      <c r="H3168">
        <v>617</v>
      </c>
      <c r="I3168">
        <v>31.16</v>
      </c>
      <c r="J3168">
        <v>31.17</v>
      </c>
      <c r="K3168">
        <v>0.03</v>
      </c>
      <c r="L3168">
        <v>4.26</v>
      </c>
      <c r="M3168" t="s">
        <v>7917</v>
      </c>
      <c r="N3168">
        <v>670.77</v>
      </c>
      <c r="O3168" t="s">
        <v>263</v>
      </c>
      <c r="P3168">
        <v>31.16</v>
      </c>
      <c r="Q3168">
        <v>30.71</v>
      </c>
      <c r="R3168">
        <v>30.9</v>
      </c>
      <c r="S3168">
        <v>30.83</v>
      </c>
      <c r="T3168">
        <v>1.46</v>
      </c>
      <c r="U3168">
        <v>1.42</v>
      </c>
      <c r="V3168">
        <v>3.17</v>
      </c>
      <c r="W3168">
        <v>20</v>
      </c>
      <c r="X3168">
        <v>30.99</v>
      </c>
      <c r="Y3168">
        <v>5945</v>
      </c>
      <c r="Z3168">
        <v>9035</v>
      </c>
      <c r="AA3168">
        <v>0.66</v>
      </c>
      <c r="AB3168">
        <v>48</v>
      </c>
      <c r="AC3168">
        <v>23</v>
      </c>
      <c r="AD3168">
        <v>6.19</v>
      </c>
      <c r="AE3168" t="s">
        <v>1442</v>
      </c>
      <c r="AF3168" t="s">
        <v>2516</v>
      </c>
      <c r="AG3168" t="s">
        <v>7332</v>
      </c>
      <c r="AH3168" t="s">
        <v>888</v>
      </c>
      <c r="AI3168">
        <v>1</v>
      </c>
      <c r="AJ3168">
        <v>4.01</v>
      </c>
      <c r="AK3168">
        <v>10.61</v>
      </c>
      <c r="AL3168">
        <v>19.309999999999999</v>
      </c>
    </row>
    <row r="3169" spans="1:38" x14ac:dyDescent="0.25">
      <c r="A3169">
        <v>3168</v>
      </c>
      <c r="B3169" t="str">
        <f xml:space="preserve"> "603819"</f>
        <v>603819</v>
      </c>
      <c r="C3169" t="s">
        <v>8977</v>
      </c>
      <c r="D3169">
        <v>26.3</v>
      </c>
      <c r="E3169">
        <v>1.51</v>
      </c>
      <c r="F3169">
        <v>0.39</v>
      </c>
      <c r="G3169" t="s">
        <v>2088</v>
      </c>
      <c r="H3169">
        <v>12</v>
      </c>
      <c r="I3169">
        <v>26.28</v>
      </c>
      <c r="J3169">
        <v>26.29</v>
      </c>
      <c r="K3169">
        <v>-0.04</v>
      </c>
      <c r="L3169">
        <v>7.67</v>
      </c>
      <c r="M3169" t="s">
        <v>8978</v>
      </c>
      <c r="N3169">
        <v>73.14</v>
      </c>
      <c r="O3169" t="s">
        <v>648</v>
      </c>
      <c r="P3169">
        <v>27</v>
      </c>
      <c r="Q3169">
        <v>25.66</v>
      </c>
      <c r="R3169">
        <v>25.91</v>
      </c>
      <c r="S3169">
        <v>25.91</v>
      </c>
      <c r="T3169">
        <v>5.17</v>
      </c>
      <c r="U3169">
        <v>0.87</v>
      </c>
      <c r="V3169">
        <v>4.0199999999999996</v>
      </c>
      <c r="W3169">
        <v>13</v>
      </c>
      <c r="X3169">
        <v>26.36</v>
      </c>
      <c r="Y3169" t="s">
        <v>3041</v>
      </c>
      <c r="Z3169" t="s">
        <v>2232</v>
      </c>
      <c r="AA3169">
        <v>0.9</v>
      </c>
      <c r="AB3169">
        <v>34</v>
      </c>
      <c r="AC3169">
        <v>3</v>
      </c>
      <c r="AD3169">
        <v>4.3</v>
      </c>
      <c r="AE3169" t="s">
        <v>918</v>
      </c>
      <c r="AF3169" t="s">
        <v>2516</v>
      </c>
      <c r="AG3169" t="s">
        <v>3067</v>
      </c>
      <c r="AH3169" t="s">
        <v>4551</v>
      </c>
      <c r="AI3169">
        <v>0.19</v>
      </c>
      <c r="AJ3169">
        <v>2.73</v>
      </c>
      <c r="AK3169">
        <v>29.7</v>
      </c>
      <c r="AL3169">
        <v>51.54</v>
      </c>
    </row>
    <row r="3170" spans="1:38" x14ac:dyDescent="0.25">
      <c r="A3170">
        <v>3169</v>
      </c>
      <c r="B3170" t="str">
        <f xml:space="preserve"> "000610"</f>
        <v>000610</v>
      </c>
      <c r="C3170" t="s">
        <v>8979</v>
      </c>
      <c r="D3170">
        <v>13.32</v>
      </c>
      <c r="E3170">
        <v>-1.91</v>
      </c>
      <c r="F3170">
        <v>-0.26</v>
      </c>
      <c r="G3170" t="s">
        <v>1437</v>
      </c>
      <c r="H3170">
        <v>433</v>
      </c>
      <c r="I3170">
        <v>13.31</v>
      </c>
      <c r="J3170">
        <v>13.32</v>
      </c>
      <c r="K3170">
        <v>-0.08</v>
      </c>
      <c r="L3170">
        <v>1.93</v>
      </c>
      <c r="M3170" t="s">
        <v>8980</v>
      </c>
      <c r="N3170">
        <v>-216.97</v>
      </c>
      <c r="O3170" t="s">
        <v>951</v>
      </c>
      <c r="P3170">
        <v>13.5</v>
      </c>
      <c r="Q3170">
        <v>13.23</v>
      </c>
      <c r="R3170">
        <v>13.41</v>
      </c>
      <c r="S3170">
        <v>13.58</v>
      </c>
      <c r="T3170">
        <v>1.99</v>
      </c>
      <c r="U3170">
        <v>1.2</v>
      </c>
      <c r="V3170">
        <v>25.75</v>
      </c>
      <c r="W3170">
        <v>283</v>
      </c>
      <c r="X3170">
        <v>13.35</v>
      </c>
      <c r="Y3170" t="s">
        <v>1796</v>
      </c>
      <c r="Z3170" t="s">
        <v>2126</v>
      </c>
      <c r="AA3170">
        <v>1.51</v>
      </c>
      <c r="AB3170">
        <v>103</v>
      </c>
      <c r="AC3170">
        <v>1</v>
      </c>
      <c r="AD3170">
        <v>4</v>
      </c>
      <c r="AE3170" t="s">
        <v>6252</v>
      </c>
      <c r="AF3170" t="s">
        <v>937</v>
      </c>
      <c r="AG3170" t="s">
        <v>4011</v>
      </c>
      <c r="AH3170" t="s">
        <v>731</v>
      </c>
      <c r="AI3170">
        <v>0.68</v>
      </c>
      <c r="AJ3170">
        <v>-1.55</v>
      </c>
      <c r="AK3170">
        <v>4.49</v>
      </c>
      <c r="AL3170">
        <v>9.9700000000000006</v>
      </c>
    </row>
    <row r="3171" spans="1:38" x14ac:dyDescent="0.25">
      <c r="A3171">
        <v>3170</v>
      </c>
      <c r="B3171" t="str">
        <f xml:space="preserve"> "300112"</f>
        <v>300112</v>
      </c>
      <c r="C3171" t="s">
        <v>8981</v>
      </c>
      <c r="D3171">
        <v>12.01</v>
      </c>
      <c r="E3171">
        <v>-1.64</v>
      </c>
      <c r="F3171">
        <v>-0.2</v>
      </c>
      <c r="G3171" t="s">
        <v>5959</v>
      </c>
      <c r="H3171">
        <v>2342</v>
      </c>
      <c r="I3171">
        <v>12</v>
      </c>
      <c r="J3171">
        <v>12.01</v>
      </c>
      <c r="K3171">
        <v>-0.33</v>
      </c>
      <c r="L3171">
        <v>5.0599999999999996</v>
      </c>
      <c r="M3171" t="s">
        <v>8982</v>
      </c>
      <c r="N3171">
        <v>144.26</v>
      </c>
      <c r="O3171" t="s">
        <v>1372</v>
      </c>
      <c r="P3171">
        <v>12.23</v>
      </c>
      <c r="Q3171">
        <v>11.91</v>
      </c>
      <c r="R3171">
        <v>12.11</v>
      </c>
      <c r="S3171">
        <v>12.21</v>
      </c>
      <c r="T3171">
        <v>2.62</v>
      </c>
      <c r="U3171">
        <v>0.66</v>
      </c>
      <c r="V3171">
        <v>49.65</v>
      </c>
      <c r="W3171">
        <v>2006</v>
      </c>
      <c r="X3171">
        <v>12.06</v>
      </c>
      <c r="Y3171" t="s">
        <v>5289</v>
      </c>
      <c r="Z3171" t="s">
        <v>2279</v>
      </c>
      <c r="AA3171">
        <v>1.44</v>
      </c>
      <c r="AB3171">
        <v>1389</v>
      </c>
      <c r="AC3171">
        <v>218</v>
      </c>
      <c r="AD3171">
        <v>4.4000000000000004</v>
      </c>
      <c r="AE3171" t="s">
        <v>488</v>
      </c>
      <c r="AF3171" t="s">
        <v>937</v>
      </c>
      <c r="AG3171" t="s">
        <v>4326</v>
      </c>
      <c r="AH3171" t="s">
        <v>486</v>
      </c>
      <c r="AI3171">
        <v>-6.54</v>
      </c>
      <c r="AJ3171">
        <v>10.08</v>
      </c>
      <c r="AK3171">
        <v>27.44</v>
      </c>
      <c r="AL3171">
        <v>43.12</v>
      </c>
    </row>
    <row r="3172" spans="1:38" x14ac:dyDescent="0.25">
      <c r="A3172">
        <v>3171</v>
      </c>
      <c r="B3172" t="str">
        <f xml:space="preserve"> "600732"</f>
        <v>600732</v>
      </c>
      <c r="C3172" t="s">
        <v>8983</v>
      </c>
      <c r="D3172">
        <v>7.06</v>
      </c>
      <c r="E3172">
        <v>0.56999999999999995</v>
      </c>
      <c r="F3172">
        <v>0.04</v>
      </c>
      <c r="G3172" t="s">
        <v>2088</v>
      </c>
      <c r="H3172">
        <v>35</v>
      </c>
      <c r="I3172">
        <v>7.05</v>
      </c>
      <c r="J3172">
        <v>7.07</v>
      </c>
      <c r="K3172">
        <v>0.28000000000000003</v>
      </c>
      <c r="L3172">
        <v>0.51</v>
      </c>
      <c r="M3172" t="s">
        <v>8984</v>
      </c>
      <c r="N3172">
        <v>22.04</v>
      </c>
      <c r="O3172" t="s">
        <v>244</v>
      </c>
      <c r="P3172">
        <v>7.08</v>
      </c>
      <c r="Q3172">
        <v>6.98</v>
      </c>
      <c r="R3172">
        <v>7.02</v>
      </c>
      <c r="S3172">
        <v>7.02</v>
      </c>
      <c r="T3172">
        <v>1.42</v>
      </c>
      <c r="U3172">
        <v>0.82</v>
      </c>
      <c r="V3172">
        <v>-36.79</v>
      </c>
      <c r="W3172">
        <v>-688</v>
      </c>
      <c r="X3172">
        <v>7.02</v>
      </c>
      <c r="Y3172">
        <v>9635</v>
      </c>
      <c r="Z3172" t="s">
        <v>480</v>
      </c>
      <c r="AA3172">
        <v>0.72</v>
      </c>
      <c r="AB3172">
        <v>25</v>
      </c>
      <c r="AC3172">
        <v>25</v>
      </c>
      <c r="AD3172">
        <v>6.88</v>
      </c>
      <c r="AE3172" t="s">
        <v>2744</v>
      </c>
      <c r="AF3172" t="s">
        <v>937</v>
      </c>
      <c r="AG3172" t="s">
        <v>2744</v>
      </c>
      <c r="AH3172" t="s">
        <v>937</v>
      </c>
      <c r="AI3172">
        <v>-0.28000000000000003</v>
      </c>
      <c r="AJ3172">
        <v>1.88</v>
      </c>
      <c r="AK3172">
        <v>1.67</v>
      </c>
      <c r="AL3172">
        <v>3.63</v>
      </c>
    </row>
    <row r="3173" spans="1:38" x14ac:dyDescent="0.25">
      <c r="A3173">
        <v>3172</v>
      </c>
      <c r="B3173" t="str">
        <f xml:space="preserve"> "300536"</f>
        <v>300536</v>
      </c>
      <c r="C3173" t="s">
        <v>8985</v>
      </c>
      <c r="D3173">
        <v>18.8</v>
      </c>
      <c r="E3173">
        <v>10.01</v>
      </c>
      <c r="F3173">
        <v>1.71</v>
      </c>
      <c r="G3173" t="s">
        <v>7576</v>
      </c>
      <c r="H3173">
        <v>658</v>
      </c>
      <c r="I3173">
        <v>18.8</v>
      </c>
      <c r="J3173" t="s">
        <v>616</v>
      </c>
      <c r="K3173">
        <v>0</v>
      </c>
      <c r="L3173">
        <v>10.050000000000001</v>
      </c>
      <c r="M3173" t="s">
        <v>2114</v>
      </c>
      <c r="N3173">
        <v>61.58</v>
      </c>
      <c r="O3173" t="s">
        <v>1221</v>
      </c>
      <c r="P3173">
        <v>18.8</v>
      </c>
      <c r="Q3173">
        <v>17.079999999999998</v>
      </c>
      <c r="R3173">
        <v>17.170000000000002</v>
      </c>
      <c r="S3173">
        <v>17.09</v>
      </c>
      <c r="T3173">
        <v>10.06</v>
      </c>
      <c r="U3173">
        <v>4.16</v>
      </c>
      <c r="V3173">
        <v>100</v>
      </c>
      <c r="W3173" t="s">
        <v>1886</v>
      </c>
      <c r="X3173">
        <v>18.23</v>
      </c>
      <c r="Y3173" t="s">
        <v>3221</v>
      </c>
      <c r="Z3173" t="s">
        <v>2653</v>
      </c>
      <c r="AA3173">
        <v>1.91</v>
      </c>
      <c r="AB3173" t="s">
        <v>1493</v>
      </c>
      <c r="AC3173">
        <v>0</v>
      </c>
      <c r="AD3173">
        <v>6.39</v>
      </c>
      <c r="AE3173" t="s">
        <v>2368</v>
      </c>
      <c r="AF3173" t="s">
        <v>937</v>
      </c>
      <c r="AG3173" t="s">
        <v>3024</v>
      </c>
      <c r="AH3173" t="s">
        <v>2388</v>
      </c>
      <c r="AI3173">
        <v>10.33</v>
      </c>
      <c r="AJ3173">
        <v>16.7</v>
      </c>
      <c r="AK3173">
        <v>15.3</v>
      </c>
      <c r="AL3173">
        <v>22.12</v>
      </c>
    </row>
    <row r="3174" spans="1:38" x14ac:dyDescent="0.25">
      <c r="A3174">
        <v>3173</v>
      </c>
      <c r="B3174" t="str">
        <f xml:space="preserve"> "603033"</f>
        <v>603033</v>
      </c>
      <c r="C3174" t="s">
        <v>8986</v>
      </c>
      <c r="D3174">
        <v>24.78</v>
      </c>
      <c r="E3174">
        <v>-0.48</v>
      </c>
      <c r="F3174">
        <v>-0.12</v>
      </c>
      <c r="G3174" t="s">
        <v>2313</v>
      </c>
      <c r="H3174">
        <v>27</v>
      </c>
      <c r="I3174">
        <v>24.74</v>
      </c>
      <c r="J3174">
        <v>24.75</v>
      </c>
      <c r="K3174">
        <v>-0.08</v>
      </c>
      <c r="L3174">
        <v>4.9400000000000004</v>
      </c>
      <c r="M3174" t="s">
        <v>3966</v>
      </c>
      <c r="N3174">
        <v>72.349999999999994</v>
      </c>
      <c r="O3174" t="s">
        <v>2128</v>
      </c>
      <c r="P3174">
        <v>25.2</v>
      </c>
      <c r="Q3174">
        <v>24.73</v>
      </c>
      <c r="R3174">
        <v>25.2</v>
      </c>
      <c r="S3174">
        <v>24.9</v>
      </c>
      <c r="T3174">
        <v>1.89</v>
      </c>
      <c r="U3174">
        <v>0.81</v>
      </c>
      <c r="V3174">
        <v>26.48</v>
      </c>
      <c r="W3174">
        <v>83</v>
      </c>
      <c r="X3174">
        <v>24.86</v>
      </c>
      <c r="Y3174">
        <v>8812</v>
      </c>
      <c r="Z3174">
        <v>6875</v>
      </c>
      <c r="AA3174">
        <v>1.28</v>
      </c>
      <c r="AB3174">
        <v>12</v>
      </c>
      <c r="AC3174">
        <v>23</v>
      </c>
      <c r="AD3174">
        <v>2.88</v>
      </c>
      <c r="AE3174" t="s">
        <v>315</v>
      </c>
      <c r="AF3174" t="s">
        <v>937</v>
      </c>
      <c r="AG3174" t="s">
        <v>6988</v>
      </c>
      <c r="AH3174" t="s">
        <v>5251</v>
      </c>
      <c r="AI3174">
        <v>0.61</v>
      </c>
      <c r="AJ3174">
        <v>5.31</v>
      </c>
      <c r="AK3174">
        <v>14.54</v>
      </c>
      <c r="AL3174">
        <v>35.549999999999997</v>
      </c>
    </row>
    <row r="3175" spans="1:38" x14ac:dyDescent="0.25">
      <c r="A3175">
        <v>3174</v>
      </c>
      <c r="B3175" t="str">
        <f xml:space="preserve"> "002660"</f>
        <v>002660</v>
      </c>
      <c r="C3175" t="s">
        <v>8987</v>
      </c>
      <c r="D3175">
        <v>11.45</v>
      </c>
      <c r="E3175">
        <v>-0.87</v>
      </c>
      <c r="F3175">
        <v>-0.1</v>
      </c>
      <c r="G3175" t="s">
        <v>2225</v>
      </c>
      <c r="H3175">
        <v>1697</v>
      </c>
      <c r="I3175">
        <v>11.44</v>
      </c>
      <c r="J3175">
        <v>11.45</v>
      </c>
      <c r="K3175">
        <v>0.09</v>
      </c>
      <c r="L3175">
        <v>3.42</v>
      </c>
      <c r="M3175" t="s">
        <v>8988</v>
      </c>
      <c r="N3175">
        <v>302.39</v>
      </c>
      <c r="O3175" t="s">
        <v>380</v>
      </c>
      <c r="P3175">
        <v>11.54</v>
      </c>
      <c r="Q3175">
        <v>11.3</v>
      </c>
      <c r="R3175">
        <v>11.41</v>
      </c>
      <c r="S3175">
        <v>11.55</v>
      </c>
      <c r="T3175">
        <v>2.08</v>
      </c>
      <c r="U3175">
        <v>0.39</v>
      </c>
      <c r="V3175">
        <v>9.3699999999999992</v>
      </c>
      <c r="W3175">
        <v>274</v>
      </c>
      <c r="X3175">
        <v>11.41</v>
      </c>
      <c r="Y3175" t="s">
        <v>1712</v>
      </c>
      <c r="Z3175" t="s">
        <v>4200</v>
      </c>
      <c r="AA3175">
        <v>1.26</v>
      </c>
      <c r="AB3175">
        <v>443</v>
      </c>
      <c r="AC3175">
        <v>61</v>
      </c>
      <c r="AD3175">
        <v>3.71</v>
      </c>
      <c r="AE3175" t="s">
        <v>4222</v>
      </c>
      <c r="AF3175" t="s">
        <v>937</v>
      </c>
      <c r="AG3175" t="s">
        <v>3084</v>
      </c>
      <c r="AH3175" t="s">
        <v>2277</v>
      </c>
      <c r="AI3175">
        <v>-3.21</v>
      </c>
      <c r="AJ3175">
        <v>11.82</v>
      </c>
      <c r="AK3175">
        <v>14.87</v>
      </c>
      <c r="AL3175">
        <v>47.28</v>
      </c>
    </row>
    <row r="3176" spans="1:38" x14ac:dyDescent="0.25">
      <c r="A3176">
        <v>3175</v>
      </c>
      <c r="B3176" t="str">
        <f xml:space="preserve"> "300480"</f>
        <v>300480</v>
      </c>
      <c r="C3176" t="s">
        <v>8989</v>
      </c>
      <c r="D3176">
        <v>16.350000000000001</v>
      </c>
      <c r="E3176">
        <v>-1.45</v>
      </c>
      <c r="F3176">
        <v>-0.24</v>
      </c>
      <c r="G3176" t="s">
        <v>1190</v>
      </c>
      <c r="H3176">
        <v>332</v>
      </c>
      <c r="I3176">
        <v>16.34</v>
      </c>
      <c r="J3176">
        <v>16.350000000000001</v>
      </c>
      <c r="K3176">
        <v>0.18</v>
      </c>
      <c r="L3176">
        <v>4.5599999999999996</v>
      </c>
      <c r="M3176" t="s">
        <v>8990</v>
      </c>
      <c r="N3176">
        <v>91.42</v>
      </c>
      <c r="O3176" t="s">
        <v>2647</v>
      </c>
      <c r="P3176">
        <v>16.690000000000001</v>
      </c>
      <c r="Q3176">
        <v>16.07</v>
      </c>
      <c r="R3176">
        <v>16.52</v>
      </c>
      <c r="S3176">
        <v>16.59</v>
      </c>
      <c r="T3176">
        <v>3.74</v>
      </c>
      <c r="U3176">
        <v>1.35</v>
      </c>
      <c r="V3176">
        <v>33.92</v>
      </c>
      <c r="W3176">
        <v>288</v>
      </c>
      <c r="X3176">
        <v>16.260000000000002</v>
      </c>
      <c r="Y3176" t="s">
        <v>2252</v>
      </c>
      <c r="Z3176" t="s">
        <v>2241</v>
      </c>
      <c r="AA3176">
        <v>1.59</v>
      </c>
      <c r="AB3176">
        <v>21</v>
      </c>
      <c r="AC3176">
        <v>77</v>
      </c>
      <c r="AD3176">
        <v>6.41</v>
      </c>
      <c r="AE3176" t="s">
        <v>2662</v>
      </c>
      <c r="AF3176" t="s">
        <v>1944</v>
      </c>
      <c r="AG3176" t="s">
        <v>3089</v>
      </c>
      <c r="AH3176" t="s">
        <v>2066</v>
      </c>
      <c r="AI3176">
        <v>0.86</v>
      </c>
      <c r="AJ3176">
        <v>5.62</v>
      </c>
      <c r="AK3176">
        <v>16.36</v>
      </c>
      <c r="AL3176">
        <v>21.43</v>
      </c>
    </row>
    <row r="3177" spans="1:38" x14ac:dyDescent="0.25">
      <c r="A3177">
        <v>3176</v>
      </c>
      <c r="B3177" t="str">
        <f xml:space="preserve"> "300239"</f>
        <v>300239</v>
      </c>
      <c r="C3177" t="s">
        <v>8991</v>
      </c>
      <c r="D3177">
        <v>6.82</v>
      </c>
      <c r="E3177">
        <v>-2.15</v>
      </c>
      <c r="F3177">
        <v>-0.15</v>
      </c>
      <c r="G3177" t="s">
        <v>4340</v>
      </c>
      <c r="H3177">
        <v>4333</v>
      </c>
      <c r="I3177">
        <v>6.81</v>
      </c>
      <c r="J3177">
        <v>6.82</v>
      </c>
      <c r="K3177">
        <v>0</v>
      </c>
      <c r="L3177">
        <v>3.77</v>
      </c>
      <c r="M3177" t="s">
        <v>485</v>
      </c>
      <c r="N3177">
        <v>129.44</v>
      </c>
      <c r="O3177" t="s">
        <v>392</v>
      </c>
      <c r="P3177">
        <v>6.96</v>
      </c>
      <c r="Q3177">
        <v>6.79</v>
      </c>
      <c r="R3177">
        <v>6.96</v>
      </c>
      <c r="S3177">
        <v>6.97</v>
      </c>
      <c r="T3177">
        <v>2.44</v>
      </c>
      <c r="U3177">
        <v>0.76</v>
      </c>
      <c r="V3177">
        <v>30.79</v>
      </c>
      <c r="W3177">
        <v>2260</v>
      </c>
      <c r="X3177">
        <v>6.87</v>
      </c>
      <c r="Y3177" t="s">
        <v>362</v>
      </c>
      <c r="Z3177" t="s">
        <v>4724</v>
      </c>
      <c r="AA3177">
        <v>1.63</v>
      </c>
      <c r="AB3177">
        <v>1095</v>
      </c>
      <c r="AC3177">
        <v>376</v>
      </c>
      <c r="AD3177">
        <v>4.37</v>
      </c>
      <c r="AE3177" t="s">
        <v>4190</v>
      </c>
      <c r="AF3177" t="s">
        <v>1944</v>
      </c>
      <c r="AG3177" t="s">
        <v>2221</v>
      </c>
      <c r="AH3177" t="s">
        <v>3615</v>
      </c>
      <c r="AI3177">
        <v>-3.67</v>
      </c>
      <c r="AJ3177">
        <v>8.77</v>
      </c>
      <c r="AK3177">
        <v>23.32</v>
      </c>
      <c r="AL3177">
        <v>28.5</v>
      </c>
    </row>
    <row r="3178" spans="1:38" x14ac:dyDescent="0.25">
      <c r="A3178">
        <v>3177</v>
      </c>
      <c r="B3178" t="str">
        <f xml:space="preserve"> "600505"</f>
        <v>600505</v>
      </c>
      <c r="C3178" t="s">
        <v>8992</v>
      </c>
      <c r="D3178">
        <v>8.6199999999999992</v>
      </c>
      <c r="E3178">
        <v>-0.46</v>
      </c>
      <c r="F3178">
        <v>-0.04</v>
      </c>
      <c r="G3178" t="s">
        <v>432</v>
      </c>
      <c r="H3178">
        <v>36</v>
      </c>
      <c r="I3178">
        <v>8.6199999999999992</v>
      </c>
      <c r="J3178">
        <v>8.6300000000000008</v>
      </c>
      <c r="K3178">
        <v>-0.12</v>
      </c>
      <c r="L3178">
        <v>0.59</v>
      </c>
      <c r="M3178" t="s">
        <v>8993</v>
      </c>
      <c r="N3178">
        <v>184.65</v>
      </c>
      <c r="O3178" t="s">
        <v>186</v>
      </c>
      <c r="P3178">
        <v>8.75</v>
      </c>
      <c r="Q3178">
        <v>8.5500000000000007</v>
      </c>
      <c r="R3178">
        <v>8.66</v>
      </c>
      <c r="S3178">
        <v>8.66</v>
      </c>
      <c r="T3178">
        <v>2.31</v>
      </c>
      <c r="U3178">
        <v>1.21</v>
      </c>
      <c r="V3178">
        <v>-27.94</v>
      </c>
      <c r="W3178">
        <v>-325</v>
      </c>
      <c r="X3178">
        <v>8.65</v>
      </c>
      <c r="Y3178" t="s">
        <v>2089</v>
      </c>
      <c r="Z3178">
        <v>9624</v>
      </c>
      <c r="AA3178">
        <v>1.25</v>
      </c>
      <c r="AB3178">
        <v>98</v>
      </c>
      <c r="AC3178">
        <v>235</v>
      </c>
      <c r="AD3178">
        <v>3.06</v>
      </c>
      <c r="AE3178" t="s">
        <v>2465</v>
      </c>
      <c r="AF3178" t="s">
        <v>1944</v>
      </c>
      <c r="AG3178" t="s">
        <v>2465</v>
      </c>
      <c r="AH3178" t="s">
        <v>1944</v>
      </c>
      <c r="AI3178">
        <v>-0.12</v>
      </c>
      <c r="AJ3178">
        <v>2.13</v>
      </c>
      <c r="AK3178">
        <v>1.8</v>
      </c>
      <c r="AL3178">
        <v>3.06</v>
      </c>
    </row>
    <row r="3179" spans="1:38" x14ac:dyDescent="0.25">
      <c r="A3179">
        <v>3178</v>
      </c>
      <c r="B3179" t="str">
        <f xml:space="preserve"> "603879"</f>
        <v>603879</v>
      </c>
      <c r="C3179" t="s">
        <v>8994</v>
      </c>
      <c r="D3179">
        <v>21.82</v>
      </c>
      <c r="E3179">
        <v>0.46</v>
      </c>
      <c r="F3179">
        <v>0.1</v>
      </c>
      <c r="G3179" t="s">
        <v>2360</v>
      </c>
      <c r="H3179">
        <v>1</v>
      </c>
      <c r="I3179">
        <v>21.81</v>
      </c>
      <c r="J3179">
        <v>21.82</v>
      </c>
      <c r="K3179">
        <v>-0.05</v>
      </c>
      <c r="L3179">
        <v>6.15</v>
      </c>
      <c r="M3179" t="s">
        <v>8995</v>
      </c>
      <c r="N3179">
        <v>70.62</v>
      </c>
      <c r="O3179" t="s">
        <v>667</v>
      </c>
      <c r="P3179">
        <v>21.9</v>
      </c>
      <c r="Q3179">
        <v>21.57</v>
      </c>
      <c r="R3179">
        <v>21.8</v>
      </c>
      <c r="S3179">
        <v>21.72</v>
      </c>
      <c r="T3179">
        <v>1.52</v>
      </c>
      <c r="U3179">
        <v>0.66</v>
      </c>
      <c r="V3179">
        <v>-50.28</v>
      </c>
      <c r="W3179">
        <v>-234</v>
      </c>
      <c r="X3179">
        <v>21.76</v>
      </c>
      <c r="Y3179" t="s">
        <v>1259</v>
      </c>
      <c r="Z3179">
        <v>9918</v>
      </c>
      <c r="AA3179">
        <v>1.23</v>
      </c>
      <c r="AB3179">
        <v>54</v>
      </c>
      <c r="AC3179">
        <v>19</v>
      </c>
      <c r="AD3179">
        <v>6.32</v>
      </c>
      <c r="AE3179" t="s">
        <v>2106</v>
      </c>
      <c r="AF3179" t="s">
        <v>1944</v>
      </c>
      <c r="AG3179" t="s">
        <v>8996</v>
      </c>
      <c r="AH3179" t="s">
        <v>8997</v>
      </c>
      <c r="AI3179">
        <v>-0.18</v>
      </c>
      <c r="AJ3179">
        <v>-2.98</v>
      </c>
      <c r="AK3179">
        <v>26.35</v>
      </c>
      <c r="AL3179">
        <v>53.02</v>
      </c>
    </row>
    <row r="3180" spans="1:38" x14ac:dyDescent="0.25">
      <c r="A3180">
        <v>3179</v>
      </c>
      <c r="B3180" t="str">
        <f xml:space="preserve"> "000835"</f>
        <v>000835</v>
      </c>
      <c r="C3180" t="s">
        <v>8998</v>
      </c>
      <c r="D3180">
        <v>9.6</v>
      </c>
      <c r="E3180">
        <v>0.52</v>
      </c>
      <c r="F3180">
        <v>0.05</v>
      </c>
      <c r="G3180" t="s">
        <v>2266</v>
      </c>
      <c r="H3180">
        <v>1314</v>
      </c>
      <c r="I3180">
        <v>9.6</v>
      </c>
      <c r="J3180">
        <v>9.61</v>
      </c>
      <c r="K3180">
        <v>0</v>
      </c>
      <c r="L3180">
        <v>1.1599999999999999</v>
      </c>
      <c r="M3180" t="s">
        <v>8999</v>
      </c>
      <c r="N3180">
        <v>53.64</v>
      </c>
      <c r="O3180" t="s">
        <v>1126</v>
      </c>
      <c r="P3180">
        <v>9.61</v>
      </c>
      <c r="Q3180">
        <v>9.5500000000000007</v>
      </c>
      <c r="R3180">
        <v>9.6</v>
      </c>
      <c r="S3180">
        <v>9.5500000000000007</v>
      </c>
      <c r="T3180">
        <v>0.63</v>
      </c>
      <c r="U3180">
        <v>1.07</v>
      </c>
      <c r="V3180">
        <v>-1.1100000000000001</v>
      </c>
      <c r="W3180">
        <v>-39</v>
      </c>
      <c r="X3180">
        <v>9.58</v>
      </c>
      <c r="Y3180" t="s">
        <v>1683</v>
      </c>
      <c r="Z3180" t="s">
        <v>1076</v>
      </c>
      <c r="AA3180">
        <v>0.84</v>
      </c>
      <c r="AB3180">
        <v>27</v>
      </c>
      <c r="AC3180">
        <v>497</v>
      </c>
      <c r="AD3180">
        <v>8.17</v>
      </c>
      <c r="AE3180" t="s">
        <v>3853</v>
      </c>
      <c r="AF3180" t="s">
        <v>1944</v>
      </c>
      <c r="AG3180" t="s">
        <v>7152</v>
      </c>
      <c r="AH3180" t="s">
        <v>2795</v>
      </c>
      <c r="AI3180">
        <v>-0.93</v>
      </c>
      <c r="AJ3180">
        <v>2.13</v>
      </c>
      <c r="AK3180">
        <v>3.64</v>
      </c>
      <c r="AL3180">
        <v>6.59</v>
      </c>
    </row>
    <row r="3181" spans="1:38" x14ac:dyDescent="0.25">
      <c r="A3181">
        <v>3180</v>
      </c>
      <c r="B3181" t="str">
        <f xml:space="preserve"> "002105"</f>
        <v>002105</v>
      </c>
      <c r="C3181" t="s">
        <v>9000</v>
      </c>
      <c r="D3181">
        <v>8.49</v>
      </c>
      <c r="E3181">
        <v>1.07</v>
      </c>
      <c r="F3181">
        <v>0.09</v>
      </c>
      <c r="G3181" t="s">
        <v>3524</v>
      </c>
      <c r="H3181">
        <v>947</v>
      </c>
      <c r="I3181">
        <v>8.48</v>
      </c>
      <c r="J3181">
        <v>8.49</v>
      </c>
      <c r="K3181">
        <v>0</v>
      </c>
      <c r="L3181">
        <v>1.03</v>
      </c>
      <c r="M3181" t="s">
        <v>9001</v>
      </c>
      <c r="N3181">
        <v>50.44</v>
      </c>
      <c r="O3181" t="s">
        <v>807</v>
      </c>
      <c r="P3181">
        <v>8.49</v>
      </c>
      <c r="Q3181">
        <v>8.36</v>
      </c>
      <c r="R3181">
        <v>8.4</v>
      </c>
      <c r="S3181">
        <v>8.4</v>
      </c>
      <c r="T3181">
        <v>1.55</v>
      </c>
      <c r="U3181">
        <v>0.94</v>
      </c>
      <c r="V3181">
        <v>-36.049999999999997</v>
      </c>
      <c r="W3181">
        <v>-1234</v>
      </c>
      <c r="X3181">
        <v>8.44</v>
      </c>
      <c r="Y3181" t="s">
        <v>3892</v>
      </c>
      <c r="Z3181" t="s">
        <v>3238</v>
      </c>
      <c r="AA3181">
        <v>1.08</v>
      </c>
      <c r="AB3181">
        <v>279</v>
      </c>
      <c r="AC3181">
        <v>471</v>
      </c>
      <c r="AD3181">
        <v>6.09</v>
      </c>
      <c r="AE3181" t="s">
        <v>4391</v>
      </c>
      <c r="AF3181" t="s">
        <v>731</v>
      </c>
      <c r="AG3181" t="s">
        <v>4391</v>
      </c>
      <c r="AH3181" t="s">
        <v>731</v>
      </c>
      <c r="AI3181">
        <v>-1.05</v>
      </c>
      <c r="AJ3181">
        <v>4.8099999999999996</v>
      </c>
      <c r="AK3181">
        <v>3.05</v>
      </c>
      <c r="AL3181">
        <v>6.47</v>
      </c>
    </row>
    <row r="3182" spans="1:38" x14ac:dyDescent="0.25">
      <c r="A3182">
        <v>3181</v>
      </c>
      <c r="B3182" t="str">
        <f xml:space="preserve"> "002800"</f>
        <v>002800</v>
      </c>
      <c r="C3182" t="s">
        <v>9002</v>
      </c>
      <c r="D3182">
        <v>41.81</v>
      </c>
      <c r="E3182">
        <v>5.5</v>
      </c>
      <c r="F3182">
        <v>2.1800000000000002</v>
      </c>
      <c r="G3182" t="s">
        <v>1334</v>
      </c>
      <c r="H3182">
        <v>737</v>
      </c>
      <c r="I3182">
        <v>41.8</v>
      </c>
      <c r="J3182">
        <v>41.81</v>
      </c>
      <c r="K3182">
        <v>-0.02</v>
      </c>
      <c r="L3182">
        <v>10.69</v>
      </c>
      <c r="M3182" t="s">
        <v>621</v>
      </c>
      <c r="N3182">
        <v>77.84</v>
      </c>
      <c r="O3182" t="s">
        <v>274</v>
      </c>
      <c r="P3182">
        <v>42.45</v>
      </c>
      <c r="Q3182">
        <v>39.18</v>
      </c>
      <c r="R3182">
        <v>39.18</v>
      </c>
      <c r="S3182">
        <v>39.630000000000003</v>
      </c>
      <c r="T3182">
        <v>8.25</v>
      </c>
      <c r="U3182">
        <v>2.15</v>
      </c>
      <c r="V3182">
        <v>-11.95</v>
      </c>
      <c r="W3182">
        <v>-60</v>
      </c>
      <c r="X3182">
        <v>41.27</v>
      </c>
      <c r="Y3182" t="s">
        <v>1576</v>
      </c>
      <c r="Z3182" t="s">
        <v>3042</v>
      </c>
      <c r="AA3182">
        <v>0.87</v>
      </c>
      <c r="AB3182">
        <v>16</v>
      </c>
      <c r="AC3182">
        <v>89</v>
      </c>
      <c r="AD3182">
        <v>7.49</v>
      </c>
      <c r="AE3182" t="s">
        <v>7920</v>
      </c>
      <c r="AF3182" t="s">
        <v>364</v>
      </c>
      <c r="AG3182" t="s">
        <v>9003</v>
      </c>
      <c r="AH3182" t="s">
        <v>801</v>
      </c>
      <c r="AI3182">
        <v>10.08</v>
      </c>
      <c r="AJ3182">
        <v>13.21</v>
      </c>
      <c r="AK3182">
        <v>30.23</v>
      </c>
      <c r="AL3182">
        <v>35.5</v>
      </c>
    </row>
    <row r="3183" spans="1:38" x14ac:dyDescent="0.25">
      <c r="A3183">
        <v>3182</v>
      </c>
      <c r="B3183" t="str">
        <f xml:space="preserve"> "000948"</f>
        <v>000948</v>
      </c>
      <c r="C3183" t="s">
        <v>9004</v>
      </c>
      <c r="D3183">
        <v>12.66</v>
      </c>
      <c r="E3183">
        <v>-1.78</v>
      </c>
      <c r="F3183">
        <v>-0.23</v>
      </c>
      <c r="G3183" t="s">
        <v>1230</v>
      </c>
      <c r="H3183">
        <v>294</v>
      </c>
      <c r="I3183">
        <v>12.65</v>
      </c>
      <c r="J3183">
        <v>12.66</v>
      </c>
      <c r="K3183">
        <v>0</v>
      </c>
      <c r="L3183">
        <v>2.0299999999999998</v>
      </c>
      <c r="M3183" t="s">
        <v>9005</v>
      </c>
      <c r="N3183">
        <v>-27.12</v>
      </c>
      <c r="O3183" t="s">
        <v>893</v>
      </c>
      <c r="P3183">
        <v>12.83</v>
      </c>
      <c r="Q3183">
        <v>12.3</v>
      </c>
      <c r="R3183">
        <v>12.79</v>
      </c>
      <c r="S3183">
        <v>12.89</v>
      </c>
      <c r="T3183">
        <v>4.1100000000000003</v>
      </c>
      <c r="U3183">
        <v>0.98</v>
      </c>
      <c r="V3183">
        <v>46.55</v>
      </c>
      <c r="W3183">
        <v>1577</v>
      </c>
      <c r="X3183">
        <v>12.62</v>
      </c>
      <c r="Y3183" t="s">
        <v>1949</v>
      </c>
      <c r="Z3183" t="s">
        <v>3483</v>
      </c>
      <c r="AA3183">
        <v>1.42</v>
      </c>
      <c r="AB3183">
        <v>470</v>
      </c>
      <c r="AC3183">
        <v>6</v>
      </c>
      <c r="AD3183">
        <v>2.27</v>
      </c>
      <c r="AE3183" t="s">
        <v>4126</v>
      </c>
      <c r="AF3183" t="s">
        <v>364</v>
      </c>
      <c r="AG3183" t="s">
        <v>4478</v>
      </c>
      <c r="AH3183" t="s">
        <v>364</v>
      </c>
      <c r="AI3183">
        <v>-2.16</v>
      </c>
      <c r="AJ3183">
        <v>5.32</v>
      </c>
      <c r="AK3183">
        <v>7.5</v>
      </c>
      <c r="AL3183">
        <v>12.41</v>
      </c>
    </row>
    <row r="3184" spans="1:38" x14ac:dyDescent="0.25">
      <c r="A3184">
        <v>3183</v>
      </c>
      <c r="B3184" t="str">
        <f xml:space="preserve"> "002865"</f>
        <v>002865</v>
      </c>
      <c r="C3184" t="s">
        <v>9006</v>
      </c>
      <c r="D3184">
        <v>25.98</v>
      </c>
      <c r="E3184">
        <v>1.48</v>
      </c>
      <c r="F3184">
        <v>0.38</v>
      </c>
      <c r="G3184" t="s">
        <v>4917</v>
      </c>
      <c r="H3184">
        <v>933</v>
      </c>
      <c r="I3184">
        <v>25.97</v>
      </c>
      <c r="J3184">
        <v>25.98</v>
      </c>
      <c r="K3184">
        <v>-0.04</v>
      </c>
      <c r="L3184">
        <v>24.49</v>
      </c>
      <c r="M3184" t="s">
        <v>2662</v>
      </c>
      <c r="N3184">
        <v>72.650000000000006</v>
      </c>
      <c r="O3184" t="s">
        <v>169</v>
      </c>
      <c r="P3184">
        <v>26.8</v>
      </c>
      <c r="Q3184">
        <v>25.23</v>
      </c>
      <c r="R3184">
        <v>25.23</v>
      </c>
      <c r="S3184">
        <v>25.6</v>
      </c>
      <c r="T3184">
        <v>6.13</v>
      </c>
      <c r="U3184">
        <v>1.51</v>
      </c>
      <c r="V3184">
        <v>-43.98</v>
      </c>
      <c r="W3184">
        <v>-515</v>
      </c>
      <c r="X3184">
        <v>26.15</v>
      </c>
      <c r="Y3184" t="s">
        <v>2732</v>
      </c>
      <c r="Z3184" t="s">
        <v>1334</v>
      </c>
      <c r="AA3184">
        <v>0.97</v>
      </c>
      <c r="AB3184">
        <v>31</v>
      </c>
      <c r="AC3184">
        <v>167</v>
      </c>
      <c r="AD3184">
        <v>3.93</v>
      </c>
      <c r="AE3184" t="s">
        <v>918</v>
      </c>
      <c r="AF3184" t="s">
        <v>364</v>
      </c>
      <c r="AG3184" t="s">
        <v>3067</v>
      </c>
      <c r="AH3184" t="s">
        <v>6348</v>
      </c>
      <c r="AI3184">
        <v>6.65</v>
      </c>
      <c r="AJ3184">
        <v>14.4</v>
      </c>
      <c r="AK3184">
        <v>82.14</v>
      </c>
      <c r="AL3184">
        <v>105.77</v>
      </c>
    </row>
    <row r="3185" spans="1:38" x14ac:dyDescent="0.25">
      <c r="A3185">
        <v>3184</v>
      </c>
      <c r="B3185" t="str">
        <f xml:space="preserve"> "300621"</f>
        <v>300621</v>
      </c>
      <c r="C3185" t="s">
        <v>9007</v>
      </c>
      <c r="D3185">
        <v>22.9</v>
      </c>
      <c r="E3185">
        <v>3.43</v>
      </c>
      <c r="F3185">
        <v>0.76</v>
      </c>
      <c r="G3185" t="s">
        <v>2839</v>
      </c>
      <c r="H3185">
        <v>693</v>
      </c>
      <c r="I3185">
        <v>22.9</v>
      </c>
      <c r="J3185">
        <v>22.91</v>
      </c>
      <c r="K3185">
        <v>0</v>
      </c>
      <c r="L3185">
        <v>15.43</v>
      </c>
      <c r="M3185" t="s">
        <v>918</v>
      </c>
      <c r="N3185">
        <v>40.53</v>
      </c>
      <c r="O3185" t="s">
        <v>2309</v>
      </c>
      <c r="P3185">
        <v>23.75</v>
      </c>
      <c r="Q3185">
        <v>22.07</v>
      </c>
      <c r="R3185">
        <v>22.14</v>
      </c>
      <c r="S3185">
        <v>22.14</v>
      </c>
      <c r="T3185">
        <v>7.59</v>
      </c>
      <c r="U3185">
        <v>2</v>
      </c>
      <c r="V3185">
        <v>19.07</v>
      </c>
      <c r="W3185">
        <v>105</v>
      </c>
      <c r="X3185">
        <v>22.92</v>
      </c>
      <c r="Y3185" t="s">
        <v>432</v>
      </c>
      <c r="Z3185" t="s">
        <v>1602</v>
      </c>
      <c r="AA3185">
        <v>0.71</v>
      </c>
      <c r="AB3185">
        <v>39</v>
      </c>
      <c r="AC3185">
        <v>40</v>
      </c>
      <c r="AD3185">
        <v>4.17</v>
      </c>
      <c r="AE3185" t="s">
        <v>1757</v>
      </c>
      <c r="AF3185" t="s">
        <v>2205</v>
      </c>
      <c r="AG3185" t="s">
        <v>6902</v>
      </c>
      <c r="AH3185" t="s">
        <v>6348</v>
      </c>
      <c r="AI3185">
        <v>2.5099999999999998</v>
      </c>
      <c r="AJ3185">
        <v>10.199999999999999</v>
      </c>
      <c r="AK3185">
        <v>30.45</v>
      </c>
      <c r="AL3185">
        <v>54</v>
      </c>
    </row>
    <row r="3186" spans="1:38" x14ac:dyDescent="0.25">
      <c r="A3186">
        <v>3185</v>
      </c>
      <c r="B3186" t="str">
        <f xml:space="preserve"> "002779"</f>
        <v>002779</v>
      </c>
      <c r="C3186" t="s">
        <v>9008</v>
      </c>
      <c r="D3186">
        <v>23.58</v>
      </c>
      <c r="E3186">
        <v>1.9</v>
      </c>
      <c r="F3186">
        <v>0.44</v>
      </c>
      <c r="G3186" t="s">
        <v>2509</v>
      </c>
      <c r="H3186">
        <v>261</v>
      </c>
      <c r="I3186">
        <v>23.56</v>
      </c>
      <c r="J3186">
        <v>23.58</v>
      </c>
      <c r="K3186">
        <v>-0.04</v>
      </c>
      <c r="L3186">
        <v>5.0199999999999996</v>
      </c>
      <c r="M3186" t="s">
        <v>9009</v>
      </c>
      <c r="N3186">
        <v>88.63</v>
      </c>
      <c r="O3186" t="s">
        <v>648</v>
      </c>
      <c r="P3186">
        <v>23.65</v>
      </c>
      <c r="Q3186">
        <v>23.01</v>
      </c>
      <c r="R3186">
        <v>23.14</v>
      </c>
      <c r="S3186">
        <v>23.14</v>
      </c>
      <c r="T3186">
        <v>2.77</v>
      </c>
      <c r="U3186">
        <v>2.13</v>
      </c>
      <c r="V3186">
        <v>-90.42</v>
      </c>
      <c r="W3186">
        <v>-2445</v>
      </c>
      <c r="X3186">
        <v>23.47</v>
      </c>
      <c r="Y3186">
        <v>8816</v>
      </c>
      <c r="Z3186" t="s">
        <v>3941</v>
      </c>
      <c r="AA3186">
        <v>0.77</v>
      </c>
      <c r="AB3186">
        <v>13</v>
      </c>
      <c r="AC3186">
        <v>1959</v>
      </c>
      <c r="AD3186">
        <v>5.04</v>
      </c>
      <c r="AE3186" t="s">
        <v>2646</v>
      </c>
      <c r="AF3186" t="s">
        <v>2205</v>
      </c>
      <c r="AG3186" t="s">
        <v>9010</v>
      </c>
      <c r="AH3186" t="s">
        <v>9011</v>
      </c>
      <c r="AI3186">
        <v>3.24</v>
      </c>
      <c r="AJ3186">
        <v>6.55</v>
      </c>
      <c r="AK3186">
        <v>11.12</v>
      </c>
      <c r="AL3186">
        <v>16.78</v>
      </c>
    </row>
    <row r="3187" spans="1:38" x14ac:dyDescent="0.25">
      <c r="A3187">
        <v>3186</v>
      </c>
      <c r="B3187" t="str">
        <f xml:space="preserve"> "300563"</f>
        <v>300563</v>
      </c>
      <c r="C3187" t="s">
        <v>9012</v>
      </c>
      <c r="D3187">
        <v>38.880000000000003</v>
      </c>
      <c r="E3187">
        <v>0.73</v>
      </c>
      <c r="F3187">
        <v>0.28000000000000003</v>
      </c>
      <c r="G3187" t="s">
        <v>1821</v>
      </c>
      <c r="H3187">
        <v>179</v>
      </c>
      <c r="I3187">
        <v>38.85</v>
      </c>
      <c r="J3187">
        <v>38.880000000000003</v>
      </c>
      <c r="K3187">
        <v>0.28000000000000003</v>
      </c>
      <c r="L3187">
        <v>6.77</v>
      </c>
      <c r="M3187" t="s">
        <v>3172</v>
      </c>
      <c r="N3187">
        <v>66.78</v>
      </c>
      <c r="O3187" t="s">
        <v>380</v>
      </c>
      <c r="P3187">
        <v>38.979999999999997</v>
      </c>
      <c r="Q3187">
        <v>38.01</v>
      </c>
      <c r="R3187">
        <v>38.9</v>
      </c>
      <c r="S3187">
        <v>38.6</v>
      </c>
      <c r="T3187">
        <v>2.5099999999999998</v>
      </c>
      <c r="U3187">
        <v>0.67</v>
      </c>
      <c r="V3187">
        <v>40.98</v>
      </c>
      <c r="W3187">
        <v>121</v>
      </c>
      <c r="X3187">
        <v>38.67</v>
      </c>
      <c r="Y3187">
        <v>6718</v>
      </c>
      <c r="Z3187">
        <v>6817</v>
      </c>
      <c r="AA3187">
        <v>0.99</v>
      </c>
      <c r="AB3187">
        <v>115</v>
      </c>
      <c r="AC3187">
        <v>2</v>
      </c>
      <c r="AD3187">
        <v>7.21</v>
      </c>
      <c r="AE3187" t="s">
        <v>5802</v>
      </c>
      <c r="AF3187" t="s">
        <v>2205</v>
      </c>
      <c r="AG3187" t="s">
        <v>5562</v>
      </c>
      <c r="AH3187" t="s">
        <v>2054</v>
      </c>
      <c r="AI3187">
        <v>-0.89</v>
      </c>
      <c r="AJ3187">
        <v>-1.72</v>
      </c>
      <c r="AK3187">
        <v>22.68</v>
      </c>
      <c r="AL3187">
        <v>57.69</v>
      </c>
    </row>
    <row r="3188" spans="1:38" x14ac:dyDescent="0.25">
      <c r="A3188">
        <v>3187</v>
      </c>
      <c r="B3188" t="str">
        <f xml:space="preserve"> "603331"</f>
        <v>603331</v>
      </c>
      <c r="C3188" t="s">
        <v>9013</v>
      </c>
      <c r="D3188">
        <v>24.43</v>
      </c>
      <c r="E3188">
        <v>2.52</v>
      </c>
      <c r="F3188">
        <v>0.6</v>
      </c>
      <c r="G3188" t="s">
        <v>2276</v>
      </c>
      <c r="H3188">
        <v>16</v>
      </c>
      <c r="I3188">
        <v>24.44</v>
      </c>
      <c r="J3188">
        <v>24.46</v>
      </c>
      <c r="K3188">
        <v>-0.24</v>
      </c>
      <c r="L3188">
        <v>20.34</v>
      </c>
      <c r="M3188" t="s">
        <v>1820</v>
      </c>
      <c r="N3188">
        <v>43.25</v>
      </c>
      <c r="O3188" t="s">
        <v>215</v>
      </c>
      <c r="P3188">
        <v>24.97</v>
      </c>
      <c r="Q3188">
        <v>23.7</v>
      </c>
      <c r="R3188">
        <v>23.8</v>
      </c>
      <c r="S3188">
        <v>23.83</v>
      </c>
      <c r="T3188">
        <v>5.33</v>
      </c>
      <c r="U3188">
        <v>2.5</v>
      </c>
      <c r="V3188">
        <v>-65.36</v>
      </c>
      <c r="W3188">
        <v>-392</v>
      </c>
      <c r="X3188">
        <v>24.52</v>
      </c>
      <c r="Y3188" t="s">
        <v>1827</v>
      </c>
      <c r="Z3188" t="s">
        <v>2732</v>
      </c>
      <c r="AA3188">
        <v>0.79</v>
      </c>
      <c r="AB3188">
        <v>1</v>
      </c>
      <c r="AC3188">
        <v>29</v>
      </c>
      <c r="AD3188">
        <v>3.41</v>
      </c>
      <c r="AE3188" t="s">
        <v>315</v>
      </c>
      <c r="AF3188" t="s">
        <v>2205</v>
      </c>
      <c r="AG3188" t="s">
        <v>9014</v>
      </c>
      <c r="AH3188" t="s">
        <v>7755</v>
      </c>
      <c r="AI3188">
        <v>3.74</v>
      </c>
      <c r="AJ3188">
        <v>8.77</v>
      </c>
      <c r="AK3188">
        <v>40.31</v>
      </c>
      <c r="AL3188">
        <v>60.99</v>
      </c>
    </row>
    <row r="3189" spans="1:38" x14ac:dyDescent="0.25">
      <c r="A3189">
        <v>3188</v>
      </c>
      <c r="B3189" t="str">
        <f xml:space="preserve"> "002780"</f>
        <v>002780</v>
      </c>
      <c r="C3189" t="s">
        <v>9015</v>
      </c>
      <c r="D3189">
        <v>30.7</v>
      </c>
      <c r="E3189">
        <v>-0.03</v>
      </c>
      <c r="F3189">
        <v>-0.01</v>
      </c>
      <c r="G3189" t="s">
        <v>3892</v>
      </c>
      <c r="H3189">
        <v>232</v>
      </c>
      <c r="I3189">
        <v>30.69</v>
      </c>
      <c r="J3189">
        <v>30.7</v>
      </c>
      <c r="K3189">
        <v>0</v>
      </c>
      <c r="L3189">
        <v>3.8</v>
      </c>
      <c r="M3189" t="s">
        <v>9016</v>
      </c>
      <c r="N3189">
        <v>3341.07</v>
      </c>
      <c r="O3189" t="s">
        <v>532</v>
      </c>
      <c r="P3189">
        <v>31.6</v>
      </c>
      <c r="Q3189">
        <v>30.29</v>
      </c>
      <c r="R3189">
        <v>30.78</v>
      </c>
      <c r="S3189">
        <v>30.71</v>
      </c>
      <c r="T3189">
        <v>4.2699999999999996</v>
      </c>
      <c r="U3189">
        <v>1.2</v>
      </c>
      <c r="V3189">
        <v>-73.08</v>
      </c>
      <c r="W3189">
        <v>-291</v>
      </c>
      <c r="X3189">
        <v>30.85</v>
      </c>
      <c r="Y3189" t="s">
        <v>1685</v>
      </c>
      <c r="Z3189">
        <v>9483</v>
      </c>
      <c r="AA3189">
        <v>1.06</v>
      </c>
      <c r="AB3189">
        <v>1</v>
      </c>
      <c r="AC3189">
        <v>226</v>
      </c>
      <c r="AD3189">
        <v>7.89</v>
      </c>
      <c r="AE3189" t="s">
        <v>1442</v>
      </c>
      <c r="AF3189" t="s">
        <v>2205</v>
      </c>
      <c r="AG3189" t="s">
        <v>9017</v>
      </c>
      <c r="AH3189" t="s">
        <v>2299</v>
      </c>
      <c r="AI3189">
        <v>2.4</v>
      </c>
      <c r="AJ3189">
        <v>1.99</v>
      </c>
      <c r="AK3189">
        <v>10.69</v>
      </c>
      <c r="AL3189">
        <v>19.600000000000001</v>
      </c>
    </row>
    <row r="3190" spans="1:38" x14ac:dyDescent="0.25">
      <c r="A3190">
        <v>3189</v>
      </c>
      <c r="B3190" t="str">
        <f xml:space="preserve"> "300626"</f>
        <v>300626</v>
      </c>
      <c r="C3190" t="s">
        <v>9018</v>
      </c>
      <c r="D3190">
        <v>31.01</v>
      </c>
      <c r="E3190">
        <v>2.5499999999999998</v>
      </c>
      <c r="F3190">
        <v>0.77</v>
      </c>
      <c r="G3190" t="s">
        <v>124</v>
      </c>
      <c r="H3190">
        <v>119</v>
      </c>
      <c r="I3190">
        <v>31.01</v>
      </c>
      <c r="J3190">
        <v>31.03</v>
      </c>
      <c r="K3190">
        <v>0</v>
      </c>
      <c r="L3190">
        <v>5.0599999999999996</v>
      </c>
      <c r="M3190" t="s">
        <v>9019</v>
      </c>
      <c r="N3190">
        <v>59.69</v>
      </c>
      <c r="O3190" t="s">
        <v>648</v>
      </c>
      <c r="P3190">
        <v>31.7</v>
      </c>
      <c r="Q3190">
        <v>30.02</v>
      </c>
      <c r="R3190">
        <v>31.2</v>
      </c>
      <c r="S3190">
        <v>30.24</v>
      </c>
      <c r="T3190">
        <v>5.56</v>
      </c>
      <c r="U3190">
        <v>2.0499999999999998</v>
      </c>
      <c r="V3190">
        <v>79.12</v>
      </c>
      <c r="W3190">
        <v>235</v>
      </c>
      <c r="X3190">
        <v>31.08</v>
      </c>
      <c r="Y3190">
        <v>5706</v>
      </c>
      <c r="Z3190">
        <v>6935</v>
      </c>
      <c r="AA3190">
        <v>0.82</v>
      </c>
      <c r="AB3190">
        <v>123</v>
      </c>
      <c r="AC3190">
        <v>1</v>
      </c>
      <c r="AD3190">
        <v>6.83</v>
      </c>
      <c r="AE3190" t="s">
        <v>4464</v>
      </c>
      <c r="AF3190" t="s">
        <v>7721</v>
      </c>
      <c r="AG3190" t="s">
        <v>5931</v>
      </c>
      <c r="AH3190" t="s">
        <v>8041</v>
      </c>
      <c r="AI3190">
        <v>1.08</v>
      </c>
      <c r="AJ3190">
        <v>5.37</v>
      </c>
      <c r="AK3190">
        <v>10</v>
      </c>
      <c r="AL3190">
        <v>17.39</v>
      </c>
    </row>
    <row r="3191" spans="1:38" x14ac:dyDescent="0.25">
      <c r="A3191">
        <v>3190</v>
      </c>
      <c r="B3191" t="str">
        <f xml:space="preserve"> "300478"</f>
        <v>300478</v>
      </c>
      <c r="C3191" t="s">
        <v>9020</v>
      </c>
      <c r="D3191">
        <v>46.4</v>
      </c>
      <c r="E3191">
        <v>-0.13</v>
      </c>
      <c r="F3191">
        <v>-0.06</v>
      </c>
      <c r="G3191">
        <v>3789</v>
      </c>
      <c r="H3191">
        <v>416</v>
      </c>
      <c r="I3191">
        <v>46.39</v>
      </c>
      <c r="J3191">
        <v>46.4</v>
      </c>
      <c r="K3191">
        <v>-0.09</v>
      </c>
      <c r="L3191">
        <v>1.57</v>
      </c>
      <c r="M3191" t="s">
        <v>9021</v>
      </c>
      <c r="N3191">
        <v>114.7</v>
      </c>
      <c r="O3191" t="s">
        <v>2128</v>
      </c>
      <c r="P3191">
        <v>46.67</v>
      </c>
      <c r="Q3191">
        <v>46.21</v>
      </c>
      <c r="R3191">
        <v>46.21</v>
      </c>
      <c r="S3191">
        <v>46.46</v>
      </c>
      <c r="T3191">
        <v>0.99</v>
      </c>
      <c r="U3191">
        <v>0.61</v>
      </c>
      <c r="V3191">
        <v>14.35</v>
      </c>
      <c r="W3191">
        <v>62</v>
      </c>
      <c r="X3191">
        <v>46.41</v>
      </c>
      <c r="Y3191">
        <v>2485</v>
      </c>
      <c r="Z3191">
        <v>1304</v>
      </c>
      <c r="AA3191">
        <v>1.91</v>
      </c>
      <c r="AB3191">
        <v>29</v>
      </c>
      <c r="AC3191">
        <v>100</v>
      </c>
      <c r="AD3191">
        <v>5.97</v>
      </c>
      <c r="AE3191" t="s">
        <v>7395</v>
      </c>
      <c r="AF3191" t="s">
        <v>3667</v>
      </c>
      <c r="AG3191" t="s">
        <v>9022</v>
      </c>
      <c r="AH3191" t="s">
        <v>2328</v>
      </c>
      <c r="AI3191">
        <v>0.85</v>
      </c>
      <c r="AJ3191">
        <v>1.75</v>
      </c>
      <c r="AK3191">
        <v>8.0500000000000007</v>
      </c>
      <c r="AL3191">
        <v>14.34</v>
      </c>
    </row>
    <row r="3192" spans="1:38" x14ac:dyDescent="0.25">
      <c r="A3192">
        <v>3191</v>
      </c>
      <c r="B3192" t="str">
        <f xml:space="preserve"> "300584"</f>
        <v>300584</v>
      </c>
      <c r="C3192" t="s">
        <v>9023</v>
      </c>
      <c r="D3192">
        <v>38.659999999999997</v>
      </c>
      <c r="E3192">
        <v>-0.41</v>
      </c>
      <c r="F3192">
        <v>-0.16</v>
      </c>
      <c r="G3192" t="s">
        <v>3387</v>
      </c>
      <c r="H3192">
        <v>514</v>
      </c>
      <c r="I3192">
        <v>38.659999999999997</v>
      </c>
      <c r="J3192">
        <v>38.69</v>
      </c>
      <c r="K3192">
        <v>0.16</v>
      </c>
      <c r="L3192">
        <v>9.74</v>
      </c>
      <c r="M3192" t="s">
        <v>9024</v>
      </c>
      <c r="N3192">
        <v>52.65</v>
      </c>
      <c r="O3192" t="s">
        <v>392</v>
      </c>
      <c r="P3192">
        <v>39.5</v>
      </c>
      <c r="Q3192">
        <v>38.35</v>
      </c>
      <c r="R3192">
        <v>38.89</v>
      </c>
      <c r="S3192">
        <v>38.82</v>
      </c>
      <c r="T3192">
        <v>2.96</v>
      </c>
      <c r="U3192">
        <v>0.87</v>
      </c>
      <c r="V3192">
        <v>4.66</v>
      </c>
      <c r="W3192">
        <v>32</v>
      </c>
      <c r="X3192">
        <v>38.979999999999997</v>
      </c>
      <c r="Y3192" t="s">
        <v>4791</v>
      </c>
      <c r="Z3192">
        <v>9352</v>
      </c>
      <c r="AA3192">
        <v>1.07</v>
      </c>
      <c r="AB3192">
        <v>113</v>
      </c>
      <c r="AC3192">
        <v>142</v>
      </c>
      <c r="AD3192">
        <v>6.42</v>
      </c>
      <c r="AE3192" t="s">
        <v>5802</v>
      </c>
      <c r="AF3192" t="s">
        <v>3667</v>
      </c>
      <c r="AG3192" t="s">
        <v>8176</v>
      </c>
      <c r="AH3192" t="s">
        <v>3939</v>
      </c>
      <c r="AI3192">
        <v>-0.87</v>
      </c>
      <c r="AJ3192">
        <v>7.33</v>
      </c>
      <c r="AK3192">
        <v>36.14</v>
      </c>
      <c r="AL3192">
        <v>65.569999999999993</v>
      </c>
    </row>
    <row r="3193" spans="1:38" x14ac:dyDescent="0.25">
      <c r="A3193">
        <v>3192</v>
      </c>
      <c r="B3193" t="str">
        <f xml:space="preserve"> "002873"</f>
        <v>002873</v>
      </c>
      <c r="C3193" t="s">
        <v>9025</v>
      </c>
      <c r="D3193">
        <v>44.86</v>
      </c>
      <c r="E3193">
        <v>2.14</v>
      </c>
      <c r="F3193">
        <v>0.94</v>
      </c>
      <c r="G3193" t="s">
        <v>4112</v>
      </c>
      <c r="H3193">
        <v>217</v>
      </c>
      <c r="I3193">
        <v>44.86</v>
      </c>
      <c r="J3193">
        <v>44.87</v>
      </c>
      <c r="K3193">
        <v>-0.04</v>
      </c>
      <c r="L3193">
        <v>8.08</v>
      </c>
      <c r="M3193" t="s">
        <v>9026</v>
      </c>
      <c r="N3193">
        <v>52.13</v>
      </c>
      <c r="O3193" t="s">
        <v>392</v>
      </c>
      <c r="P3193">
        <v>45.14</v>
      </c>
      <c r="Q3193">
        <v>43.73</v>
      </c>
      <c r="R3193">
        <v>43.82</v>
      </c>
      <c r="S3193">
        <v>43.92</v>
      </c>
      <c r="T3193">
        <v>3.21</v>
      </c>
      <c r="U3193">
        <v>1.2</v>
      </c>
      <c r="V3193">
        <v>-21.24</v>
      </c>
      <c r="W3193">
        <v>-41</v>
      </c>
      <c r="X3193">
        <v>44.71</v>
      </c>
      <c r="Y3193">
        <v>5925</v>
      </c>
      <c r="Z3193">
        <v>7996</v>
      </c>
      <c r="AA3193">
        <v>0.74</v>
      </c>
      <c r="AB3193">
        <v>12</v>
      </c>
      <c r="AC3193">
        <v>4</v>
      </c>
      <c r="AD3193">
        <v>5.27</v>
      </c>
      <c r="AE3193" t="s">
        <v>9027</v>
      </c>
      <c r="AF3193" t="s">
        <v>3667</v>
      </c>
      <c r="AG3193" t="s">
        <v>7294</v>
      </c>
      <c r="AH3193" t="s">
        <v>4244</v>
      </c>
      <c r="AI3193">
        <v>0.27</v>
      </c>
      <c r="AJ3193">
        <v>4.57</v>
      </c>
      <c r="AK3193">
        <v>22.52</v>
      </c>
      <c r="AL3193">
        <v>41.78</v>
      </c>
    </row>
    <row r="3194" spans="1:38" x14ac:dyDescent="0.25">
      <c r="A3194">
        <v>3193</v>
      </c>
      <c r="B3194" t="str">
        <f xml:space="preserve"> "300501"</f>
        <v>300501</v>
      </c>
      <c r="C3194" t="s">
        <v>9028</v>
      </c>
      <c r="D3194">
        <v>45.91</v>
      </c>
      <c r="E3194">
        <v>1.06</v>
      </c>
      <c r="F3194">
        <v>0.48</v>
      </c>
      <c r="G3194" t="s">
        <v>2284</v>
      </c>
      <c r="H3194">
        <v>128</v>
      </c>
      <c r="I3194">
        <v>45.89</v>
      </c>
      <c r="J3194">
        <v>45.91</v>
      </c>
      <c r="K3194">
        <v>7.0000000000000007E-2</v>
      </c>
      <c r="L3194">
        <v>4.3099999999999996</v>
      </c>
      <c r="M3194" t="s">
        <v>9029</v>
      </c>
      <c r="N3194">
        <v>44.75</v>
      </c>
      <c r="O3194" t="s">
        <v>3873</v>
      </c>
      <c r="P3194">
        <v>45.97</v>
      </c>
      <c r="Q3194">
        <v>45.01</v>
      </c>
      <c r="R3194">
        <v>45.58</v>
      </c>
      <c r="S3194">
        <v>45.43</v>
      </c>
      <c r="T3194">
        <v>2.11</v>
      </c>
      <c r="U3194">
        <v>0.97</v>
      </c>
      <c r="V3194">
        <v>-58.68</v>
      </c>
      <c r="W3194">
        <v>-180</v>
      </c>
      <c r="X3194">
        <v>45.64</v>
      </c>
      <c r="Y3194">
        <v>4625</v>
      </c>
      <c r="Z3194">
        <v>5732</v>
      </c>
      <c r="AA3194">
        <v>0.81</v>
      </c>
      <c r="AB3194">
        <v>1</v>
      </c>
      <c r="AC3194">
        <v>66</v>
      </c>
      <c r="AD3194">
        <v>5.32</v>
      </c>
      <c r="AE3194" t="s">
        <v>9030</v>
      </c>
      <c r="AF3194" t="s">
        <v>3667</v>
      </c>
      <c r="AG3194" t="s">
        <v>9031</v>
      </c>
      <c r="AH3194" t="s">
        <v>2501</v>
      </c>
      <c r="AI3194">
        <v>-1.57</v>
      </c>
      <c r="AJ3194">
        <v>7.74</v>
      </c>
      <c r="AK3194">
        <v>12.63</v>
      </c>
      <c r="AL3194">
        <v>26.54</v>
      </c>
    </row>
    <row r="3195" spans="1:38" x14ac:dyDescent="0.25">
      <c r="A3195">
        <v>3194</v>
      </c>
      <c r="B3195" t="str">
        <f xml:space="preserve"> "600091"</f>
        <v>600091</v>
      </c>
      <c r="C3195" t="s">
        <v>9032</v>
      </c>
      <c r="D3195">
        <v>7.05</v>
      </c>
      <c r="E3195">
        <v>0.56999999999999995</v>
      </c>
      <c r="F3195">
        <v>0.04</v>
      </c>
      <c r="G3195">
        <v>7814</v>
      </c>
      <c r="H3195">
        <v>29</v>
      </c>
      <c r="I3195">
        <v>7.04</v>
      </c>
      <c r="J3195">
        <v>7.05</v>
      </c>
      <c r="K3195">
        <v>0.14000000000000001</v>
      </c>
      <c r="L3195">
        <v>0.23</v>
      </c>
      <c r="M3195" t="s">
        <v>9033</v>
      </c>
      <c r="N3195">
        <v>104.11</v>
      </c>
      <c r="O3195" t="s">
        <v>667</v>
      </c>
      <c r="P3195">
        <v>7.05</v>
      </c>
      <c r="Q3195">
        <v>6.98</v>
      </c>
      <c r="R3195">
        <v>7</v>
      </c>
      <c r="S3195">
        <v>7.01</v>
      </c>
      <c r="T3195">
        <v>1</v>
      </c>
      <c r="U3195">
        <v>0.5</v>
      </c>
      <c r="V3195">
        <v>-70.47</v>
      </c>
      <c r="W3195">
        <v>-3622</v>
      </c>
      <c r="X3195">
        <v>7.02</v>
      </c>
      <c r="Y3195">
        <v>3933</v>
      </c>
      <c r="Z3195">
        <v>3881</v>
      </c>
      <c r="AA3195">
        <v>1.01</v>
      </c>
      <c r="AB3195">
        <v>4</v>
      </c>
      <c r="AC3195">
        <v>384</v>
      </c>
      <c r="AD3195">
        <v>3.41</v>
      </c>
      <c r="AE3195" t="s">
        <v>6142</v>
      </c>
      <c r="AF3195" t="s">
        <v>4219</v>
      </c>
      <c r="AG3195" t="s">
        <v>4127</v>
      </c>
      <c r="AH3195" t="s">
        <v>3203</v>
      </c>
      <c r="AI3195">
        <v>-0.42</v>
      </c>
      <c r="AJ3195">
        <v>2.4700000000000002</v>
      </c>
      <c r="AK3195">
        <v>1.01</v>
      </c>
      <c r="AL3195">
        <v>2.56</v>
      </c>
    </row>
    <row r="3196" spans="1:38" x14ac:dyDescent="0.25">
      <c r="A3196">
        <v>3195</v>
      </c>
      <c r="B3196" t="str">
        <f xml:space="preserve"> "300667"</f>
        <v>300667</v>
      </c>
      <c r="C3196" t="s">
        <v>9034</v>
      </c>
      <c r="D3196">
        <v>45.34</v>
      </c>
      <c r="E3196">
        <v>1.21</v>
      </c>
      <c r="F3196">
        <v>0.54</v>
      </c>
      <c r="G3196" t="s">
        <v>2313</v>
      </c>
      <c r="H3196">
        <v>356</v>
      </c>
      <c r="I3196">
        <v>45.25</v>
      </c>
      <c r="J3196">
        <v>45.34</v>
      </c>
      <c r="K3196">
        <v>0.38</v>
      </c>
      <c r="L3196">
        <v>9.2200000000000006</v>
      </c>
      <c r="M3196" t="s">
        <v>5833</v>
      </c>
      <c r="N3196">
        <v>239.57</v>
      </c>
      <c r="O3196" t="s">
        <v>1372</v>
      </c>
      <c r="P3196">
        <v>45.7</v>
      </c>
      <c r="Q3196">
        <v>44.48</v>
      </c>
      <c r="R3196">
        <v>44.48</v>
      </c>
      <c r="S3196">
        <v>44.8</v>
      </c>
      <c r="T3196">
        <v>2.72</v>
      </c>
      <c r="U3196">
        <v>0.43</v>
      </c>
      <c r="V3196">
        <v>-78.48</v>
      </c>
      <c r="W3196">
        <v>-299</v>
      </c>
      <c r="X3196">
        <v>45.15</v>
      </c>
      <c r="Y3196">
        <v>7486</v>
      </c>
      <c r="Z3196">
        <v>8188</v>
      </c>
      <c r="AA3196">
        <v>0.91</v>
      </c>
      <c r="AB3196">
        <v>18</v>
      </c>
      <c r="AC3196">
        <v>2</v>
      </c>
      <c r="AD3196">
        <v>9.57</v>
      </c>
      <c r="AE3196" t="s">
        <v>7579</v>
      </c>
      <c r="AF3196" t="s">
        <v>4219</v>
      </c>
      <c r="AG3196" t="s">
        <v>6757</v>
      </c>
      <c r="AH3196" t="s">
        <v>3599</v>
      </c>
      <c r="AI3196">
        <v>-7.98</v>
      </c>
      <c r="AJ3196">
        <v>-8.4</v>
      </c>
      <c r="AK3196">
        <v>43.84</v>
      </c>
      <c r="AL3196">
        <v>117.18</v>
      </c>
    </row>
    <row r="3197" spans="1:38" x14ac:dyDescent="0.25">
      <c r="A3197">
        <v>3196</v>
      </c>
      <c r="B3197" t="str">
        <f xml:space="preserve"> "603811"</f>
        <v>603811</v>
      </c>
      <c r="C3197" t="s">
        <v>9035</v>
      </c>
      <c r="D3197">
        <v>36.17</v>
      </c>
      <c r="E3197">
        <v>3.37</v>
      </c>
      <c r="F3197">
        <v>1.18</v>
      </c>
      <c r="G3197" t="s">
        <v>3483</v>
      </c>
      <c r="H3197">
        <v>9</v>
      </c>
      <c r="I3197">
        <v>36.159999999999997</v>
      </c>
      <c r="J3197">
        <v>36.18</v>
      </c>
      <c r="K3197">
        <v>0.03</v>
      </c>
      <c r="L3197">
        <v>9.66</v>
      </c>
      <c r="M3197" t="s">
        <v>4324</v>
      </c>
      <c r="N3197">
        <v>51.28</v>
      </c>
      <c r="O3197" t="s">
        <v>392</v>
      </c>
      <c r="P3197">
        <v>36.19</v>
      </c>
      <c r="Q3197">
        <v>35.01</v>
      </c>
      <c r="R3197">
        <v>35.090000000000003</v>
      </c>
      <c r="S3197">
        <v>34.99</v>
      </c>
      <c r="T3197">
        <v>3.37</v>
      </c>
      <c r="U3197">
        <v>1.88</v>
      </c>
      <c r="V3197">
        <v>-52.65</v>
      </c>
      <c r="W3197">
        <v>-358</v>
      </c>
      <c r="X3197">
        <v>35.83</v>
      </c>
      <c r="Y3197">
        <v>7570</v>
      </c>
      <c r="Z3197" t="s">
        <v>1726</v>
      </c>
      <c r="AA3197">
        <v>0.57999999999999996</v>
      </c>
      <c r="AB3197">
        <v>17</v>
      </c>
      <c r="AC3197">
        <v>1</v>
      </c>
      <c r="AD3197">
        <v>5.52</v>
      </c>
      <c r="AE3197" t="s">
        <v>9036</v>
      </c>
      <c r="AF3197" t="s">
        <v>4219</v>
      </c>
      <c r="AG3197" t="s">
        <v>9037</v>
      </c>
      <c r="AH3197" t="s">
        <v>9038</v>
      </c>
      <c r="AI3197">
        <v>1.86</v>
      </c>
      <c r="AJ3197">
        <v>7.39</v>
      </c>
      <c r="AK3197">
        <v>22.05</v>
      </c>
      <c r="AL3197">
        <v>35.4</v>
      </c>
    </row>
    <row r="3198" spans="1:38" x14ac:dyDescent="0.25">
      <c r="A3198">
        <v>3197</v>
      </c>
      <c r="B3198" t="str">
        <f xml:space="preserve"> "300578"</f>
        <v>300578</v>
      </c>
      <c r="C3198" t="s">
        <v>9039</v>
      </c>
      <c r="D3198">
        <v>42.77</v>
      </c>
      <c r="E3198">
        <v>2.42</v>
      </c>
      <c r="F3198">
        <v>1.01</v>
      </c>
      <c r="G3198" t="s">
        <v>1799</v>
      </c>
      <c r="H3198">
        <v>186</v>
      </c>
      <c r="I3198">
        <v>42.76</v>
      </c>
      <c r="J3198">
        <v>42.77</v>
      </c>
      <c r="K3198">
        <v>0.05</v>
      </c>
      <c r="L3198">
        <v>7.07</v>
      </c>
      <c r="M3198" t="s">
        <v>9040</v>
      </c>
      <c r="N3198">
        <v>117.66</v>
      </c>
      <c r="O3198" t="s">
        <v>893</v>
      </c>
      <c r="P3198">
        <v>43.78</v>
      </c>
      <c r="Q3198">
        <v>42.27</v>
      </c>
      <c r="R3198">
        <v>42.27</v>
      </c>
      <c r="S3198">
        <v>41.76</v>
      </c>
      <c r="T3198">
        <v>3.62</v>
      </c>
      <c r="U3198">
        <v>0.67</v>
      </c>
      <c r="V3198">
        <v>58.27</v>
      </c>
      <c r="W3198">
        <v>215</v>
      </c>
      <c r="X3198">
        <v>43.01</v>
      </c>
      <c r="Y3198">
        <v>6744</v>
      </c>
      <c r="Z3198">
        <v>5980</v>
      </c>
      <c r="AA3198">
        <v>1.1299999999999999</v>
      </c>
      <c r="AB3198">
        <v>22</v>
      </c>
      <c r="AC3198">
        <v>6</v>
      </c>
      <c r="AD3198">
        <v>11.47</v>
      </c>
      <c r="AE3198" t="s">
        <v>7136</v>
      </c>
      <c r="AF3198" t="s">
        <v>4219</v>
      </c>
      <c r="AG3198" t="s">
        <v>8863</v>
      </c>
      <c r="AH3198" t="s">
        <v>9038</v>
      </c>
      <c r="AI3198">
        <v>-0.26</v>
      </c>
      <c r="AJ3198">
        <v>0.97</v>
      </c>
      <c r="AK3198">
        <v>20.239999999999998</v>
      </c>
      <c r="AL3198">
        <v>59.93</v>
      </c>
    </row>
    <row r="3199" spans="1:38" x14ac:dyDescent="0.25">
      <c r="A3199">
        <v>3198</v>
      </c>
      <c r="B3199" t="str">
        <f xml:space="preserve"> "000803"</f>
        <v>000803</v>
      </c>
      <c r="C3199" t="s">
        <v>9041</v>
      </c>
      <c r="D3199" t="s">
        <v>616</v>
      </c>
      <c r="E3199" t="s">
        <v>616</v>
      </c>
      <c r="F3199" t="s">
        <v>616</v>
      </c>
      <c r="G3199" t="s">
        <v>616</v>
      </c>
      <c r="H3199" t="s">
        <v>616</v>
      </c>
      <c r="I3199" t="s">
        <v>616</v>
      </c>
      <c r="J3199" t="s">
        <v>616</v>
      </c>
      <c r="K3199" t="s">
        <v>616</v>
      </c>
      <c r="L3199" t="s">
        <v>616</v>
      </c>
      <c r="M3199" t="s">
        <v>616</v>
      </c>
      <c r="N3199">
        <v>-60.96</v>
      </c>
      <c r="O3199" t="s">
        <v>1443</v>
      </c>
      <c r="P3199" t="s">
        <v>616</v>
      </c>
      <c r="Q3199" t="s">
        <v>616</v>
      </c>
      <c r="R3199" t="s">
        <v>616</v>
      </c>
      <c r="S3199">
        <v>24.1</v>
      </c>
      <c r="T3199" t="s">
        <v>616</v>
      </c>
      <c r="U3199" t="s">
        <v>616</v>
      </c>
      <c r="V3199" t="s">
        <v>616</v>
      </c>
      <c r="W3199" t="s">
        <v>616</v>
      </c>
      <c r="X3199" t="s">
        <v>616</v>
      </c>
      <c r="Y3199" t="s">
        <v>616</v>
      </c>
      <c r="Z3199" t="s">
        <v>616</v>
      </c>
      <c r="AA3199" t="s">
        <v>616</v>
      </c>
      <c r="AB3199" t="s">
        <v>616</v>
      </c>
      <c r="AC3199" t="s">
        <v>616</v>
      </c>
      <c r="AD3199">
        <v>85.12</v>
      </c>
      <c r="AE3199" t="s">
        <v>2239</v>
      </c>
      <c r="AF3199" t="s">
        <v>4219</v>
      </c>
      <c r="AG3199" t="s">
        <v>2239</v>
      </c>
      <c r="AH3199" t="s">
        <v>4219</v>
      </c>
      <c r="AI3199">
        <v>0</v>
      </c>
      <c r="AJ3199">
        <v>0</v>
      </c>
      <c r="AK3199">
        <v>0</v>
      </c>
      <c r="AL3199">
        <v>0</v>
      </c>
    </row>
    <row r="3200" spans="1:38" x14ac:dyDescent="0.25">
      <c r="A3200">
        <v>3199</v>
      </c>
      <c r="B3200" t="str">
        <f xml:space="preserve"> "600359"</f>
        <v>600359</v>
      </c>
      <c r="C3200" t="s">
        <v>9042</v>
      </c>
      <c r="D3200">
        <v>8.0500000000000007</v>
      </c>
      <c r="E3200">
        <v>-0.62</v>
      </c>
      <c r="F3200">
        <v>-0.05</v>
      </c>
      <c r="G3200" t="s">
        <v>3769</v>
      </c>
      <c r="H3200">
        <v>450</v>
      </c>
      <c r="I3200">
        <v>8.0399999999999991</v>
      </c>
      <c r="J3200">
        <v>8.0500000000000007</v>
      </c>
      <c r="K3200">
        <v>0</v>
      </c>
      <c r="L3200">
        <v>1.53</v>
      </c>
      <c r="M3200" t="s">
        <v>9043</v>
      </c>
      <c r="N3200">
        <v>35.81</v>
      </c>
      <c r="O3200" t="s">
        <v>622</v>
      </c>
      <c r="P3200">
        <v>8.08</v>
      </c>
      <c r="Q3200">
        <v>7.91</v>
      </c>
      <c r="R3200">
        <v>8.08</v>
      </c>
      <c r="S3200">
        <v>8.1</v>
      </c>
      <c r="T3200">
        <v>2.1</v>
      </c>
      <c r="U3200">
        <v>0.76</v>
      </c>
      <c r="V3200">
        <v>34.020000000000003</v>
      </c>
      <c r="W3200">
        <v>1774</v>
      </c>
      <c r="X3200">
        <v>8</v>
      </c>
      <c r="Y3200" t="s">
        <v>42</v>
      </c>
      <c r="Z3200" t="s">
        <v>3931</v>
      </c>
      <c r="AA3200">
        <v>1.43</v>
      </c>
      <c r="AB3200">
        <v>541</v>
      </c>
      <c r="AC3200">
        <v>91</v>
      </c>
      <c r="AD3200">
        <v>4.37</v>
      </c>
      <c r="AE3200" t="s">
        <v>6069</v>
      </c>
      <c r="AF3200" t="s">
        <v>1680</v>
      </c>
      <c r="AG3200" t="s">
        <v>6069</v>
      </c>
      <c r="AH3200" t="s">
        <v>1680</v>
      </c>
      <c r="AI3200">
        <v>0.88</v>
      </c>
      <c r="AJ3200">
        <v>4.55</v>
      </c>
      <c r="AK3200">
        <v>7.06</v>
      </c>
      <c r="AL3200">
        <v>11.58</v>
      </c>
    </row>
    <row r="3201" spans="1:38" x14ac:dyDescent="0.25">
      <c r="A3201">
        <v>3200</v>
      </c>
      <c r="B3201" t="str">
        <f xml:space="preserve"> "600513"</f>
        <v>600513</v>
      </c>
      <c r="C3201" t="s">
        <v>9044</v>
      </c>
      <c r="D3201">
        <v>10.75</v>
      </c>
      <c r="E3201">
        <v>1.42</v>
      </c>
      <c r="F3201">
        <v>0.15</v>
      </c>
      <c r="G3201" t="s">
        <v>3273</v>
      </c>
      <c r="H3201">
        <v>6</v>
      </c>
      <c r="I3201">
        <v>10.74</v>
      </c>
      <c r="J3201">
        <v>10.75</v>
      </c>
      <c r="K3201">
        <v>0</v>
      </c>
      <c r="L3201">
        <v>1.26</v>
      </c>
      <c r="M3201" t="s">
        <v>8953</v>
      </c>
      <c r="N3201">
        <v>43.27</v>
      </c>
      <c r="O3201" t="s">
        <v>392</v>
      </c>
      <c r="P3201">
        <v>10.75</v>
      </c>
      <c r="Q3201">
        <v>10.53</v>
      </c>
      <c r="R3201">
        <v>10.6</v>
      </c>
      <c r="S3201">
        <v>10.6</v>
      </c>
      <c r="T3201">
        <v>2.08</v>
      </c>
      <c r="U3201">
        <v>1.19</v>
      </c>
      <c r="V3201">
        <v>-7.64</v>
      </c>
      <c r="W3201">
        <v>-312</v>
      </c>
      <c r="X3201">
        <v>10.68</v>
      </c>
      <c r="Y3201" t="s">
        <v>5621</v>
      </c>
      <c r="Z3201" t="s">
        <v>1565</v>
      </c>
      <c r="AA3201">
        <v>0.61</v>
      </c>
      <c r="AB3201">
        <v>261</v>
      </c>
      <c r="AC3201">
        <v>589</v>
      </c>
      <c r="AD3201">
        <v>3.64</v>
      </c>
      <c r="AE3201" t="s">
        <v>6216</v>
      </c>
      <c r="AF3201" t="s">
        <v>1680</v>
      </c>
      <c r="AG3201" t="s">
        <v>6216</v>
      </c>
      <c r="AH3201" t="s">
        <v>1680</v>
      </c>
      <c r="AI3201">
        <v>0.84</v>
      </c>
      <c r="AJ3201">
        <v>4.07</v>
      </c>
      <c r="AK3201">
        <v>3.55</v>
      </c>
      <c r="AL3201">
        <v>6.53</v>
      </c>
    </row>
    <row r="3202" spans="1:38" x14ac:dyDescent="0.25">
      <c r="A3202">
        <v>3201</v>
      </c>
      <c r="B3202" t="str">
        <f xml:space="preserve"> "300286"</f>
        <v>300286</v>
      </c>
      <c r="C3202" t="s">
        <v>9045</v>
      </c>
      <c r="D3202">
        <v>21.19</v>
      </c>
      <c r="E3202">
        <v>1.29</v>
      </c>
      <c r="F3202">
        <v>0.27</v>
      </c>
      <c r="G3202">
        <v>8367</v>
      </c>
      <c r="H3202">
        <v>144</v>
      </c>
      <c r="I3202">
        <v>21.19</v>
      </c>
      <c r="J3202">
        <v>21.2</v>
      </c>
      <c r="K3202">
        <v>-0.05</v>
      </c>
      <c r="L3202">
        <v>0.81</v>
      </c>
      <c r="M3202" t="s">
        <v>9046</v>
      </c>
      <c r="N3202">
        <v>31.78</v>
      </c>
      <c r="O3202" t="s">
        <v>680</v>
      </c>
      <c r="P3202">
        <v>21.25</v>
      </c>
      <c r="Q3202">
        <v>20.85</v>
      </c>
      <c r="R3202">
        <v>20.92</v>
      </c>
      <c r="S3202">
        <v>20.92</v>
      </c>
      <c r="T3202">
        <v>1.91</v>
      </c>
      <c r="U3202">
        <v>0.79</v>
      </c>
      <c r="V3202">
        <v>-2.81</v>
      </c>
      <c r="W3202">
        <v>-22</v>
      </c>
      <c r="X3202">
        <v>21.07</v>
      </c>
      <c r="Y3202">
        <v>4431</v>
      </c>
      <c r="Z3202">
        <v>3937</v>
      </c>
      <c r="AA3202">
        <v>1.1299999999999999</v>
      </c>
      <c r="AB3202">
        <v>69</v>
      </c>
      <c r="AC3202">
        <v>158</v>
      </c>
      <c r="AD3202">
        <v>4.92</v>
      </c>
      <c r="AE3202" t="s">
        <v>3154</v>
      </c>
      <c r="AF3202" t="s">
        <v>2108</v>
      </c>
      <c r="AG3202" t="s">
        <v>2611</v>
      </c>
      <c r="AH3202" t="s">
        <v>2277</v>
      </c>
      <c r="AI3202">
        <v>-1.03</v>
      </c>
      <c r="AJ3202">
        <v>3.57</v>
      </c>
      <c r="AK3202">
        <v>2.77</v>
      </c>
      <c r="AL3202">
        <v>5.96</v>
      </c>
    </row>
    <row r="3203" spans="1:38" x14ac:dyDescent="0.25">
      <c r="A3203">
        <v>3202</v>
      </c>
      <c r="B3203" t="str">
        <f xml:space="preserve"> "300390"</f>
        <v>300390</v>
      </c>
      <c r="C3203" t="s">
        <v>9047</v>
      </c>
      <c r="D3203">
        <v>8.89</v>
      </c>
      <c r="E3203">
        <v>0.45</v>
      </c>
      <c r="F3203">
        <v>0.04</v>
      </c>
      <c r="G3203" t="s">
        <v>275</v>
      </c>
      <c r="H3203">
        <v>413</v>
      </c>
      <c r="I3203">
        <v>8.8800000000000008</v>
      </c>
      <c r="J3203">
        <v>8.89</v>
      </c>
      <c r="K3203">
        <v>0.23</v>
      </c>
      <c r="L3203">
        <v>1.53</v>
      </c>
      <c r="M3203" t="s">
        <v>3862</v>
      </c>
      <c r="N3203">
        <v>123.53</v>
      </c>
      <c r="O3203" t="s">
        <v>380</v>
      </c>
      <c r="P3203">
        <v>8.93</v>
      </c>
      <c r="Q3203">
        <v>8.8000000000000007</v>
      </c>
      <c r="R3203">
        <v>8.81</v>
      </c>
      <c r="S3203">
        <v>8.85</v>
      </c>
      <c r="T3203">
        <v>1.47</v>
      </c>
      <c r="U3203">
        <v>0.64</v>
      </c>
      <c r="V3203">
        <v>62.79</v>
      </c>
      <c r="W3203">
        <v>8605</v>
      </c>
      <c r="X3203">
        <v>8.8699999999999992</v>
      </c>
      <c r="Y3203" t="s">
        <v>2616</v>
      </c>
      <c r="Z3203" t="s">
        <v>3941</v>
      </c>
      <c r="AA3203">
        <v>1.1399999999999999</v>
      </c>
      <c r="AB3203">
        <v>255</v>
      </c>
      <c r="AC3203">
        <v>295</v>
      </c>
      <c r="AD3203">
        <v>3.76</v>
      </c>
      <c r="AE3203" t="s">
        <v>2198</v>
      </c>
      <c r="AF3203" t="s">
        <v>2108</v>
      </c>
      <c r="AG3203" t="s">
        <v>3976</v>
      </c>
      <c r="AH3203" t="s">
        <v>2246</v>
      </c>
      <c r="AI3203">
        <v>-0.45</v>
      </c>
      <c r="AJ3203">
        <v>4.83</v>
      </c>
      <c r="AK3203">
        <v>6.73</v>
      </c>
      <c r="AL3203">
        <v>13.49</v>
      </c>
    </row>
    <row r="3204" spans="1:38" x14ac:dyDescent="0.25">
      <c r="A3204">
        <v>3203</v>
      </c>
      <c r="B3204" t="str">
        <f xml:space="preserve"> "000715"</f>
        <v>000715</v>
      </c>
      <c r="C3204" t="s">
        <v>9048</v>
      </c>
      <c r="D3204">
        <v>10.96</v>
      </c>
      <c r="E3204">
        <v>0</v>
      </c>
      <c r="F3204">
        <v>0</v>
      </c>
      <c r="G3204" t="s">
        <v>1114</v>
      </c>
      <c r="H3204">
        <v>31</v>
      </c>
      <c r="I3204">
        <v>10.95</v>
      </c>
      <c r="J3204">
        <v>10.97</v>
      </c>
      <c r="K3204">
        <v>0</v>
      </c>
      <c r="L3204">
        <v>0.53</v>
      </c>
      <c r="M3204" t="s">
        <v>1654</v>
      </c>
      <c r="N3204">
        <v>44.38</v>
      </c>
      <c r="O3204" t="s">
        <v>532</v>
      </c>
      <c r="P3204">
        <v>11</v>
      </c>
      <c r="Q3204">
        <v>10.91</v>
      </c>
      <c r="R3204">
        <v>10.94</v>
      </c>
      <c r="S3204">
        <v>10.96</v>
      </c>
      <c r="T3204">
        <v>0.82</v>
      </c>
      <c r="U3204">
        <v>0.96</v>
      </c>
      <c r="V3204">
        <v>-16.61</v>
      </c>
      <c r="W3204">
        <v>-274</v>
      </c>
      <c r="X3204">
        <v>10.94</v>
      </c>
      <c r="Y3204">
        <v>7958</v>
      </c>
      <c r="Z3204">
        <v>6772</v>
      </c>
      <c r="AA3204">
        <v>1.18</v>
      </c>
      <c r="AB3204">
        <v>198</v>
      </c>
      <c r="AC3204">
        <v>127</v>
      </c>
      <c r="AD3204">
        <v>2.4900000000000002</v>
      </c>
      <c r="AE3204" t="s">
        <v>4858</v>
      </c>
      <c r="AF3204" t="s">
        <v>2108</v>
      </c>
      <c r="AG3204" t="s">
        <v>4858</v>
      </c>
      <c r="AH3204" t="s">
        <v>3340</v>
      </c>
      <c r="AI3204">
        <v>0.46</v>
      </c>
      <c r="AJ3204">
        <v>3.01</v>
      </c>
      <c r="AK3204">
        <v>1.69</v>
      </c>
      <c r="AL3204">
        <v>3.3</v>
      </c>
    </row>
    <row r="3205" spans="1:38" x14ac:dyDescent="0.25">
      <c r="A3205">
        <v>3204</v>
      </c>
      <c r="B3205" t="str">
        <f xml:space="preserve"> "000755"</f>
        <v>000755</v>
      </c>
      <c r="C3205" t="s">
        <v>9049</v>
      </c>
      <c r="D3205">
        <v>6.49</v>
      </c>
      <c r="E3205">
        <v>5.0199999999999996</v>
      </c>
      <c r="F3205">
        <v>0.31</v>
      </c>
      <c r="G3205" t="s">
        <v>609</v>
      </c>
      <c r="H3205">
        <v>17</v>
      </c>
      <c r="I3205">
        <v>6.49</v>
      </c>
      <c r="J3205" t="s">
        <v>616</v>
      </c>
      <c r="K3205">
        <v>0</v>
      </c>
      <c r="L3205">
        <v>2.72</v>
      </c>
      <c r="M3205" t="s">
        <v>9050</v>
      </c>
      <c r="N3205">
        <v>-6.4</v>
      </c>
      <c r="O3205" t="s">
        <v>667</v>
      </c>
      <c r="P3205">
        <v>6.49</v>
      </c>
      <c r="Q3205">
        <v>6.13</v>
      </c>
      <c r="R3205">
        <v>6.17</v>
      </c>
      <c r="S3205">
        <v>6.18</v>
      </c>
      <c r="T3205">
        <v>5.83</v>
      </c>
      <c r="U3205">
        <v>1.1599999999999999</v>
      </c>
      <c r="V3205">
        <v>100</v>
      </c>
      <c r="W3205" t="s">
        <v>87</v>
      </c>
      <c r="X3205">
        <v>6.43</v>
      </c>
      <c r="Y3205" t="s">
        <v>1623</v>
      </c>
      <c r="Z3205" t="s">
        <v>9051</v>
      </c>
      <c r="AA3205">
        <v>0.59</v>
      </c>
      <c r="AB3205" t="s">
        <v>3266</v>
      </c>
      <c r="AC3205">
        <v>0</v>
      </c>
      <c r="AD3205">
        <v>10.11</v>
      </c>
      <c r="AE3205" t="s">
        <v>3421</v>
      </c>
      <c r="AF3205" t="s">
        <v>3340</v>
      </c>
      <c r="AG3205" t="s">
        <v>3421</v>
      </c>
      <c r="AH3205" t="s">
        <v>3340</v>
      </c>
      <c r="AI3205">
        <v>6.57</v>
      </c>
      <c r="AJ3205">
        <v>-3.85</v>
      </c>
      <c r="AK3205">
        <v>9.48</v>
      </c>
      <c r="AL3205">
        <v>11.92</v>
      </c>
    </row>
    <row r="3206" spans="1:38" x14ac:dyDescent="0.25">
      <c r="A3206">
        <v>3205</v>
      </c>
      <c r="B3206" t="str">
        <f xml:space="preserve"> "000798"</f>
        <v>000798</v>
      </c>
      <c r="C3206" t="s">
        <v>9052</v>
      </c>
      <c r="D3206">
        <v>9.5299999999999994</v>
      </c>
      <c r="E3206">
        <v>0.85</v>
      </c>
      <c r="F3206">
        <v>0.08</v>
      </c>
      <c r="G3206" t="s">
        <v>2558</v>
      </c>
      <c r="H3206">
        <v>706</v>
      </c>
      <c r="I3206">
        <v>9.52</v>
      </c>
      <c r="J3206">
        <v>9.5299999999999994</v>
      </c>
      <c r="K3206">
        <v>0</v>
      </c>
      <c r="L3206">
        <v>0.5</v>
      </c>
      <c r="M3206" t="s">
        <v>9053</v>
      </c>
      <c r="N3206">
        <v>563.77</v>
      </c>
      <c r="O3206" t="s">
        <v>622</v>
      </c>
      <c r="P3206">
        <v>9.5500000000000007</v>
      </c>
      <c r="Q3206">
        <v>9.3699999999999992</v>
      </c>
      <c r="R3206">
        <v>9.4499999999999993</v>
      </c>
      <c r="S3206">
        <v>9.4499999999999993</v>
      </c>
      <c r="T3206">
        <v>1.9</v>
      </c>
      <c r="U3206">
        <v>0.71</v>
      </c>
      <c r="V3206">
        <v>16.79</v>
      </c>
      <c r="W3206">
        <v>506</v>
      </c>
      <c r="X3206">
        <v>9.4499999999999993</v>
      </c>
      <c r="Y3206">
        <v>7527</v>
      </c>
      <c r="Z3206">
        <v>8417</v>
      </c>
      <c r="AA3206">
        <v>0.89</v>
      </c>
      <c r="AB3206">
        <v>336</v>
      </c>
      <c r="AC3206">
        <v>243</v>
      </c>
      <c r="AD3206">
        <v>4.3099999999999996</v>
      </c>
      <c r="AE3206" t="s">
        <v>2264</v>
      </c>
      <c r="AF3206" t="s">
        <v>4063</v>
      </c>
      <c r="AG3206" t="s">
        <v>2264</v>
      </c>
      <c r="AH3206" t="s">
        <v>4063</v>
      </c>
      <c r="AI3206">
        <v>0.95</v>
      </c>
      <c r="AJ3206">
        <v>2.58</v>
      </c>
      <c r="AK3206">
        <v>1.92</v>
      </c>
      <c r="AL3206">
        <v>4.04</v>
      </c>
    </row>
    <row r="3207" spans="1:38" x14ac:dyDescent="0.25">
      <c r="A3207">
        <v>3206</v>
      </c>
      <c r="B3207" t="str">
        <f xml:space="preserve"> "002715"</f>
        <v>002715</v>
      </c>
      <c r="C3207" t="s">
        <v>9054</v>
      </c>
      <c r="D3207">
        <v>33</v>
      </c>
      <c r="E3207">
        <v>-0.54</v>
      </c>
      <c r="F3207">
        <v>-0.18</v>
      </c>
      <c r="G3207">
        <v>2093</v>
      </c>
      <c r="H3207">
        <v>9</v>
      </c>
      <c r="I3207">
        <v>33</v>
      </c>
      <c r="J3207">
        <v>33.18</v>
      </c>
      <c r="K3207">
        <v>0.27</v>
      </c>
      <c r="L3207">
        <v>0.38</v>
      </c>
      <c r="M3207" t="s">
        <v>9055</v>
      </c>
      <c r="N3207">
        <v>573.13</v>
      </c>
      <c r="O3207" t="s">
        <v>169</v>
      </c>
      <c r="P3207">
        <v>33.229999999999997</v>
      </c>
      <c r="Q3207">
        <v>32.9</v>
      </c>
      <c r="R3207">
        <v>33.17</v>
      </c>
      <c r="S3207">
        <v>33.18</v>
      </c>
      <c r="T3207">
        <v>0.99</v>
      </c>
      <c r="U3207">
        <v>1.1100000000000001</v>
      </c>
      <c r="V3207">
        <v>77.19</v>
      </c>
      <c r="W3207">
        <v>183</v>
      </c>
      <c r="X3207">
        <v>33.049999999999997</v>
      </c>
      <c r="Y3207">
        <v>1464</v>
      </c>
      <c r="Z3207">
        <v>629</v>
      </c>
      <c r="AA3207">
        <v>2.33</v>
      </c>
      <c r="AB3207">
        <v>1</v>
      </c>
      <c r="AC3207">
        <v>1</v>
      </c>
      <c r="AD3207">
        <v>6.49</v>
      </c>
      <c r="AE3207" t="s">
        <v>2678</v>
      </c>
      <c r="AF3207" t="s">
        <v>4063</v>
      </c>
      <c r="AG3207" t="s">
        <v>9056</v>
      </c>
      <c r="AH3207" t="s">
        <v>2434</v>
      </c>
      <c r="AI3207">
        <v>-1.84</v>
      </c>
      <c r="AJ3207">
        <v>0.7</v>
      </c>
      <c r="AK3207">
        <v>1.1499999999999999</v>
      </c>
      <c r="AL3207">
        <v>2.12</v>
      </c>
    </row>
    <row r="3208" spans="1:38" x14ac:dyDescent="0.25">
      <c r="A3208">
        <v>3207</v>
      </c>
      <c r="B3208" t="str">
        <f xml:space="preserve"> "603139"</f>
        <v>603139</v>
      </c>
      <c r="C3208" t="s">
        <v>9057</v>
      </c>
      <c r="D3208">
        <v>30.39</v>
      </c>
      <c r="E3208">
        <v>1.27</v>
      </c>
      <c r="F3208">
        <v>0.38</v>
      </c>
      <c r="G3208" t="s">
        <v>4023</v>
      </c>
      <c r="H3208">
        <v>11</v>
      </c>
      <c r="I3208">
        <v>30.4</v>
      </c>
      <c r="J3208">
        <v>30.41</v>
      </c>
      <c r="K3208">
        <v>-7.0000000000000007E-2</v>
      </c>
      <c r="L3208">
        <v>9.31</v>
      </c>
      <c r="M3208" t="s">
        <v>9058</v>
      </c>
      <c r="N3208">
        <v>73.94</v>
      </c>
      <c r="O3208" t="s">
        <v>392</v>
      </c>
      <c r="P3208">
        <v>30.85</v>
      </c>
      <c r="Q3208">
        <v>29.86</v>
      </c>
      <c r="R3208">
        <v>30.08</v>
      </c>
      <c r="S3208">
        <v>30.01</v>
      </c>
      <c r="T3208">
        <v>3.3</v>
      </c>
      <c r="U3208">
        <v>2.02</v>
      </c>
      <c r="V3208">
        <v>49.62</v>
      </c>
      <c r="W3208">
        <v>103</v>
      </c>
      <c r="X3208">
        <v>30.47</v>
      </c>
      <c r="Y3208" t="s">
        <v>2241</v>
      </c>
      <c r="Z3208" t="s">
        <v>2089</v>
      </c>
      <c r="AA3208">
        <v>0.94</v>
      </c>
      <c r="AB3208">
        <v>47</v>
      </c>
      <c r="AC3208">
        <v>7</v>
      </c>
      <c r="AD3208">
        <v>3.5</v>
      </c>
      <c r="AE3208" t="s">
        <v>9059</v>
      </c>
      <c r="AF3208" t="s">
        <v>4063</v>
      </c>
      <c r="AG3208" t="s">
        <v>9060</v>
      </c>
      <c r="AH3208" t="s">
        <v>4500</v>
      </c>
      <c r="AI3208">
        <v>0.76</v>
      </c>
      <c r="AJ3208">
        <v>6.86</v>
      </c>
      <c r="AK3208">
        <v>19.61</v>
      </c>
      <c r="AL3208">
        <v>32.33</v>
      </c>
    </row>
    <row r="3209" spans="1:38" x14ac:dyDescent="0.25">
      <c r="A3209">
        <v>3208</v>
      </c>
      <c r="B3209" t="str">
        <f xml:space="preserve"> "002858"</f>
        <v>002858</v>
      </c>
      <c r="C3209" t="s">
        <v>9061</v>
      </c>
      <c r="D3209">
        <v>48</v>
      </c>
      <c r="E3209">
        <v>0.42</v>
      </c>
      <c r="F3209">
        <v>0.2</v>
      </c>
      <c r="G3209">
        <v>5454</v>
      </c>
      <c r="H3209">
        <v>110</v>
      </c>
      <c r="I3209">
        <v>48</v>
      </c>
      <c r="J3209">
        <v>48.05</v>
      </c>
      <c r="K3209">
        <v>0.27</v>
      </c>
      <c r="L3209">
        <v>3.45</v>
      </c>
      <c r="M3209" t="s">
        <v>9062</v>
      </c>
      <c r="N3209">
        <v>-409.46</v>
      </c>
      <c r="O3209" t="s">
        <v>1126</v>
      </c>
      <c r="P3209">
        <v>48.31</v>
      </c>
      <c r="Q3209">
        <v>47.56</v>
      </c>
      <c r="R3209">
        <v>47.56</v>
      </c>
      <c r="S3209">
        <v>47.8</v>
      </c>
      <c r="T3209">
        <v>1.57</v>
      </c>
      <c r="U3209">
        <v>1.02</v>
      </c>
      <c r="V3209">
        <v>31.62</v>
      </c>
      <c r="W3209">
        <v>37</v>
      </c>
      <c r="X3209">
        <v>47.98</v>
      </c>
      <c r="Y3209">
        <v>2548</v>
      </c>
      <c r="Z3209">
        <v>2906</v>
      </c>
      <c r="AA3209">
        <v>0.88</v>
      </c>
      <c r="AB3209">
        <v>26</v>
      </c>
      <c r="AC3209">
        <v>2</v>
      </c>
      <c r="AD3209">
        <v>8.51</v>
      </c>
      <c r="AE3209" t="s">
        <v>9063</v>
      </c>
      <c r="AF3209" t="s">
        <v>3615</v>
      </c>
      <c r="AG3209" t="s">
        <v>9064</v>
      </c>
      <c r="AH3209" t="s">
        <v>4692</v>
      </c>
      <c r="AI3209">
        <v>-0.25</v>
      </c>
      <c r="AJ3209">
        <v>0</v>
      </c>
      <c r="AK3209">
        <v>9.83</v>
      </c>
      <c r="AL3209">
        <v>20.36</v>
      </c>
    </row>
    <row r="3210" spans="1:38" x14ac:dyDescent="0.25">
      <c r="A3210">
        <v>3209</v>
      </c>
      <c r="B3210" t="str">
        <f xml:space="preserve"> "603028"</f>
        <v>603028</v>
      </c>
      <c r="C3210" t="s">
        <v>9065</v>
      </c>
      <c r="D3210">
        <v>13.73</v>
      </c>
      <c r="E3210">
        <v>1.55</v>
      </c>
      <c r="F3210">
        <v>0.21</v>
      </c>
      <c r="G3210" t="s">
        <v>2373</v>
      </c>
      <c r="H3210">
        <v>50</v>
      </c>
      <c r="I3210">
        <v>13.73</v>
      </c>
      <c r="J3210">
        <v>13.74</v>
      </c>
      <c r="K3210">
        <v>0</v>
      </c>
      <c r="L3210">
        <v>2.2799999999999998</v>
      </c>
      <c r="M3210" t="s">
        <v>9066</v>
      </c>
      <c r="N3210">
        <v>80.59</v>
      </c>
      <c r="O3210" t="s">
        <v>1229</v>
      </c>
      <c r="P3210">
        <v>13.75</v>
      </c>
      <c r="Q3210">
        <v>13.48</v>
      </c>
      <c r="R3210">
        <v>13.67</v>
      </c>
      <c r="S3210">
        <v>13.52</v>
      </c>
      <c r="T3210">
        <v>2</v>
      </c>
      <c r="U3210">
        <v>1.24</v>
      </c>
      <c r="V3210">
        <v>-66.11</v>
      </c>
      <c r="W3210">
        <v>-987</v>
      </c>
      <c r="X3210">
        <v>13.63</v>
      </c>
      <c r="Y3210" t="s">
        <v>2284</v>
      </c>
      <c r="Z3210" t="s">
        <v>1683</v>
      </c>
      <c r="AA3210">
        <v>0.65</v>
      </c>
      <c r="AB3210">
        <v>31</v>
      </c>
      <c r="AC3210">
        <v>173</v>
      </c>
      <c r="AD3210">
        <v>4.43</v>
      </c>
      <c r="AE3210" t="s">
        <v>439</v>
      </c>
      <c r="AF3210" t="s">
        <v>3615</v>
      </c>
      <c r="AG3210" t="s">
        <v>2748</v>
      </c>
      <c r="AH3210" t="s">
        <v>1477</v>
      </c>
      <c r="AI3210">
        <v>1.1000000000000001</v>
      </c>
      <c r="AJ3210">
        <v>4.25</v>
      </c>
      <c r="AK3210">
        <v>6.08</v>
      </c>
      <c r="AL3210">
        <v>11.51</v>
      </c>
    </row>
    <row r="3211" spans="1:38" x14ac:dyDescent="0.25">
      <c r="A3211">
        <v>3210</v>
      </c>
      <c r="B3211" t="str">
        <f xml:space="preserve"> "600356"</f>
        <v>600356</v>
      </c>
      <c r="C3211" t="s">
        <v>9067</v>
      </c>
      <c r="D3211">
        <v>10.14</v>
      </c>
      <c r="E3211">
        <v>0.5</v>
      </c>
      <c r="F3211">
        <v>0.05</v>
      </c>
      <c r="G3211" t="s">
        <v>3696</v>
      </c>
      <c r="H3211">
        <v>3</v>
      </c>
      <c r="I3211">
        <v>10.14</v>
      </c>
      <c r="J3211">
        <v>10.15</v>
      </c>
      <c r="K3211">
        <v>0.2</v>
      </c>
      <c r="L3211">
        <v>0.68</v>
      </c>
      <c r="M3211" t="s">
        <v>9068</v>
      </c>
      <c r="N3211">
        <v>32.840000000000003</v>
      </c>
      <c r="O3211" t="s">
        <v>1874</v>
      </c>
      <c r="P3211">
        <v>10.15</v>
      </c>
      <c r="Q3211">
        <v>10</v>
      </c>
      <c r="R3211">
        <v>10.08</v>
      </c>
      <c r="S3211">
        <v>10.09</v>
      </c>
      <c r="T3211">
        <v>1.49</v>
      </c>
      <c r="U3211">
        <v>0.68</v>
      </c>
      <c r="V3211">
        <v>-35.950000000000003</v>
      </c>
      <c r="W3211">
        <v>-701</v>
      </c>
      <c r="X3211">
        <v>10.09</v>
      </c>
      <c r="Y3211">
        <v>8970</v>
      </c>
      <c r="Z3211" t="s">
        <v>3941</v>
      </c>
      <c r="AA3211">
        <v>0.78</v>
      </c>
      <c r="AB3211">
        <v>14</v>
      </c>
      <c r="AC3211">
        <v>234</v>
      </c>
      <c r="AD3211">
        <v>1.5</v>
      </c>
      <c r="AE3211" t="s">
        <v>4522</v>
      </c>
      <c r="AF3211" t="s">
        <v>3615</v>
      </c>
      <c r="AG3211" t="s">
        <v>4522</v>
      </c>
      <c r="AH3211" t="s">
        <v>3615</v>
      </c>
      <c r="AI3211">
        <v>-0.59</v>
      </c>
      <c r="AJ3211">
        <v>2.74</v>
      </c>
      <c r="AK3211">
        <v>2.57</v>
      </c>
      <c r="AL3211">
        <v>5.7</v>
      </c>
    </row>
    <row r="3212" spans="1:38" x14ac:dyDescent="0.25">
      <c r="A3212">
        <v>3211</v>
      </c>
      <c r="B3212" t="str">
        <f xml:space="preserve"> "300647"</f>
        <v>300647</v>
      </c>
      <c r="C3212" t="s">
        <v>9069</v>
      </c>
      <c r="D3212">
        <v>25.23</v>
      </c>
      <c r="E3212">
        <v>1.61</v>
      </c>
      <c r="F3212">
        <v>0.4</v>
      </c>
      <c r="G3212" t="s">
        <v>5033</v>
      </c>
      <c r="H3212">
        <v>333</v>
      </c>
      <c r="I3212">
        <v>25.22</v>
      </c>
      <c r="J3212">
        <v>25.23</v>
      </c>
      <c r="K3212">
        <v>0.08</v>
      </c>
      <c r="L3212">
        <v>8.48</v>
      </c>
      <c r="M3212" t="s">
        <v>9070</v>
      </c>
      <c r="N3212">
        <v>75.180000000000007</v>
      </c>
      <c r="O3212" t="s">
        <v>380</v>
      </c>
      <c r="P3212">
        <v>25.44</v>
      </c>
      <c r="Q3212">
        <v>24.01</v>
      </c>
      <c r="R3212">
        <v>24.68</v>
      </c>
      <c r="S3212">
        <v>24.83</v>
      </c>
      <c r="T3212">
        <v>5.76</v>
      </c>
      <c r="U3212">
        <v>0.79</v>
      </c>
      <c r="V3212">
        <v>-15.89</v>
      </c>
      <c r="W3212">
        <v>-147</v>
      </c>
      <c r="X3212">
        <v>25.07</v>
      </c>
      <c r="Y3212" t="s">
        <v>2991</v>
      </c>
      <c r="Z3212" t="s">
        <v>1579</v>
      </c>
      <c r="AA3212">
        <v>0.86</v>
      </c>
      <c r="AB3212">
        <v>25</v>
      </c>
      <c r="AC3212">
        <v>146</v>
      </c>
      <c r="AD3212">
        <v>5.96</v>
      </c>
      <c r="AE3212" t="s">
        <v>918</v>
      </c>
      <c r="AF3212" t="s">
        <v>3615</v>
      </c>
      <c r="AG3212" t="s">
        <v>3067</v>
      </c>
      <c r="AH3212" t="s">
        <v>5480</v>
      </c>
      <c r="AI3212">
        <v>-2.7</v>
      </c>
      <c r="AJ3212">
        <v>0.92</v>
      </c>
      <c r="AK3212">
        <v>28.63</v>
      </c>
      <c r="AL3212">
        <v>62.26</v>
      </c>
    </row>
    <row r="3213" spans="1:38" x14ac:dyDescent="0.25">
      <c r="A3213">
        <v>3212</v>
      </c>
      <c r="B3213" t="str">
        <f xml:space="preserve"> "600538"</f>
        <v>600538</v>
      </c>
      <c r="C3213" t="s">
        <v>9071</v>
      </c>
      <c r="D3213">
        <v>6.51</v>
      </c>
      <c r="E3213">
        <v>-0.15</v>
      </c>
      <c r="F3213">
        <v>-0.01</v>
      </c>
      <c r="G3213" t="s">
        <v>1743</v>
      </c>
      <c r="H3213">
        <v>12</v>
      </c>
      <c r="I3213">
        <v>6.5</v>
      </c>
      <c r="J3213">
        <v>6.51</v>
      </c>
      <c r="K3213">
        <v>0</v>
      </c>
      <c r="L3213">
        <v>0.81</v>
      </c>
      <c r="M3213" t="s">
        <v>9072</v>
      </c>
      <c r="N3213">
        <v>-116.06</v>
      </c>
      <c r="O3213" t="s">
        <v>2060</v>
      </c>
      <c r="P3213">
        <v>6.54</v>
      </c>
      <c r="Q3213">
        <v>6.45</v>
      </c>
      <c r="R3213">
        <v>6.5</v>
      </c>
      <c r="S3213">
        <v>6.52</v>
      </c>
      <c r="T3213">
        <v>1.38</v>
      </c>
      <c r="U3213">
        <v>0.68</v>
      </c>
      <c r="V3213">
        <v>-8.85</v>
      </c>
      <c r="W3213">
        <v>-482</v>
      </c>
      <c r="X3213">
        <v>6.49</v>
      </c>
      <c r="Y3213" t="s">
        <v>2614</v>
      </c>
      <c r="Z3213" t="s">
        <v>316</v>
      </c>
      <c r="AA3213">
        <v>2.21</v>
      </c>
      <c r="AB3213">
        <v>201</v>
      </c>
      <c r="AC3213">
        <v>223</v>
      </c>
      <c r="AD3213">
        <v>4.74</v>
      </c>
      <c r="AE3213" t="s">
        <v>4114</v>
      </c>
      <c r="AF3213" t="s">
        <v>1968</v>
      </c>
      <c r="AG3213" t="s">
        <v>4114</v>
      </c>
      <c r="AH3213" t="s">
        <v>1968</v>
      </c>
      <c r="AI3213">
        <v>-0.61</v>
      </c>
      <c r="AJ3213">
        <v>0.77</v>
      </c>
      <c r="AK3213">
        <v>3.86</v>
      </c>
      <c r="AL3213">
        <v>6.79</v>
      </c>
    </row>
    <row r="3214" spans="1:38" x14ac:dyDescent="0.25">
      <c r="A3214">
        <v>3213</v>
      </c>
      <c r="B3214" t="str">
        <f xml:space="preserve"> "300587"</f>
        <v>300587</v>
      </c>
      <c r="C3214" t="s">
        <v>9073</v>
      </c>
      <c r="D3214">
        <v>29.06</v>
      </c>
      <c r="E3214">
        <v>9.99</v>
      </c>
      <c r="F3214">
        <v>2.64</v>
      </c>
      <c r="G3214" t="s">
        <v>2966</v>
      </c>
      <c r="H3214">
        <v>10</v>
      </c>
      <c r="I3214">
        <v>29.06</v>
      </c>
      <c r="J3214" t="s">
        <v>616</v>
      </c>
      <c r="K3214">
        <v>0</v>
      </c>
      <c r="L3214">
        <v>9.64</v>
      </c>
      <c r="M3214" t="s">
        <v>9074</v>
      </c>
      <c r="N3214">
        <v>52.93</v>
      </c>
      <c r="O3214" t="s">
        <v>2128</v>
      </c>
      <c r="P3214">
        <v>29.06</v>
      </c>
      <c r="Q3214">
        <v>26.68</v>
      </c>
      <c r="R3214">
        <v>26.77</v>
      </c>
      <c r="S3214">
        <v>26.42</v>
      </c>
      <c r="T3214">
        <v>9.01</v>
      </c>
      <c r="U3214">
        <v>2.4</v>
      </c>
      <c r="V3214">
        <v>100</v>
      </c>
      <c r="W3214" t="s">
        <v>3941</v>
      </c>
      <c r="X3214">
        <v>28.53</v>
      </c>
      <c r="Y3214" t="s">
        <v>1340</v>
      </c>
      <c r="Z3214">
        <v>6809</v>
      </c>
      <c r="AA3214">
        <v>2.68</v>
      </c>
      <c r="AB3214" t="s">
        <v>3941</v>
      </c>
      <c r="AC3214">
        <v>0</v>
      </c>
      <c r="AD3214">
        <v>3.77</v>
      </c>
      <c r="AE3214" t="s">
        <v>1718</v>
      </c>
      <c r="AF3214" t="s">
        <v>1968</v>
      </c>
      <c r="AG3214" t="s">
        <v>6886</v>
      </c>
      <c r="AH3214" t="s">
        <v>5711</v>
      </c>
      <c r="AI3214">
        <v>8.27</v>
      </c>
      <c r="AJ3214">
        <v>14.41</v>
      </c>
      <c r="AK3214">
        <v>16.37</v>
      </c>
      <c r="AL3214">
        <v>29.76</v>
      </c>
    </row>
    <row r="3215" spans="1:38" x14ac:dyDescent="0.25">
      <c r="A3215">
        <v>3214</v>
      </c>
      <c r="B3215" t="str">
        <f xml:space="preserve"> "000890"</f>
        <v>000890</v>
      </c>
      <c r="C3215" t="s">
        <v>9075</v>
      </c>
      <c r="D3215">
        <v>7.96</v>
      </c>
      <c r="E3215">
        <v>0</v>
      </c>
      <c r="F3215">
        <v>0</v>
      </c>
      <c r="G3215" t="s">
        <v>2702</v>
      </c>
      <c r="H3215">
        <v>427</v>
      </c>
      <c r="I3215">
        <v>7.95</v>
      </c>
      <c r="J3215">
        <v>7.96</v>
      </c>
      <c r="K3215">
        <v>0</v>
      </c>
      <c r="L3215">
        <v>1.29</v>
      </c>
      <c r="M3215" t="s">
        <v>9076</v>
      </c>
      <c r="N3215">
        <v>51.36</v>
      </c>
      <c r="O3215" t="s">
        <v>1229</v>
      </c>
      <c r="P3215">
        <v>7.99</v>
      </c>
      <c r="Q3215">
        <v>7.87</v>
      </c>
      <c r="R3215">
        <v>7.91</v>
      </c>
      <c r="S3215">
        <v>7.96</v>
      </c>
      <c r="T3215">
        <v>1.51</v>
      </c>
      <c r="U3215">
        <v>0.78</v>
      </c>
      <c r="V3215">
        <v>10.29</v>
      </c>
      <c r="W3215">
        <v>823</v>
      </c>
      <c r="X3215">
        <v>7.94</v>
      </c>
      <c r="Y3215" t="s">
        <v>2846</v>
      </c>
      <c r="Z3215" t="s">
        <v>3181</v>
      </c>
      <c r="AA3215">
        <v>1.23</v>
      </c>
      <c r="AB3215">
        <v>757</v>
      </c>
      <c r="AC3215">
        <v>449</v>
      </c>
      <c r="AD3215">
        <v>3.51</v>
      </c>
      <c r="AE3215" t="s">
        <v>3721</v>
      </c>
      <c r="AF3215" t="s">
        <v>1968</v>
      </c>
      <c r="AG3215" t="s">
        <v>3721</v>
      </c>
      <c r="AH3215" t="s">
        <v>1968</v>
      </c>
      <c r="AI3215">
        <v>0.51</v>
      </c>
      <c r="AJ3215">
        <v>1.92</v>
      </c>
      <c r="AK3215">
        <v>4.97</v>
      </c>
      <c r="AL3215">
        <v>9.57</v>
      </c>
    </row>
    <row r="3216" spans="1:38" x14ac:dyDescent="0.25">
      <c r="A3216">
        <v>3215</v>
      </c>
      <c r="B3216" t="str">
        <f xml:space="preserve"> "002144"</f>
        <v>002144</v>
      </c>
      <c r="C3216" t="s">
        <v>9077</v>
      </c>
      <c r="D3216">
        <v>17.02</v>
      </c>
      <c r="E3216">
        <v>0.65</v>
      </c>
      <c r="F3216">
        <v>0.11</v>
      </c>
      <c r="G3216" t="s">
        <v>3579</v>
      </c>
      <c r="H3216">
        <v>509</v>
      </c>
      <c r="I3216">
        <v>17.02</v>
      </c>
      <c r="J3216">
        <v>17.03</v>
      </c>
      <c r="K3216">
        <v>-0.18</v>
      </c>
      <c r="L3216">
        <v>1.54</v>
      </c>
      <c r="M3216" t="s">
        <v>9078</v>
      </c>
      <c r="N3216">
        <v>29.61</v>
      </c>
      <c r="O3216" t="s">
        <v>1443</v>
      </c>
      <c r="P3216">
        <v>17.190000000000001</v>
      </c>
      <c r="Q3216">
        <v>16.760000000000002</v>
      </c>
      <c r="R3216">
        <v>16.87</v>
      </c>
      <c r="S3216">
        <v>16.91</v>
      </c>
      <c r="T3216">
        <v>2.54</v>
      </c>
      <c r="U3216">
        <v>1.1299999999999999</v>
      </c>
      <c r="V3216">
        <v>46.34</v>
      </c>
      <c r="W3216">
        <v>596</v>
      </c>
      <c r="X3216">
        <v>17.03</v>
      </c>
      <c r="Y3216" t="s">
        <v>1411</v>
      </c>
      <c r="Z3216" t="s">
        <v>5181</v>
      </c>
      <c r="AA3216">
        <v>1.03</v>
      </c>
      <c r="AB3216">
        <v>35</v>
      </c>
      <c r="AC3216">
        <v>5</v>
      </c>
      <c r="AD3216">
        <v>1.82</v>
      </c>
      <c r="AE3216" t="s">
        <v>3310</v>
      </c>
      <c r="AF3216" t="s">
        <v>3355</v>
      </c>
      <c r="AG3216" t="s">
        <v>3110</v>
      </c>
      <c r="AH3216" t="s">
        <v>2395</v>
      </c>
      <c r="AI3216">
        <v>0.71</v>
      </c>
      <c r="AJ3216">
        <v>5</v>
      </c>
      <c r="AK3216">
        <v>4.57</v>
      </c>
      <c r="AL3216">
        <v>8.36</v>
      </c>
    </row>
    <row r="3217" spans="1:38" x14ac:dyDescent="0.25">
      <c r="A3217">
        <v>3216</v>
      </c>
      <c r="B3217" t="str">
        <f xml:space="preserve"> "600560"</f>
        <v>600560</v>
      </c>
      <c r="C3217" t="s">
        <v>9079</v>
      </c>
      <c r="D3217">
        <v>13.41</v>
      </c>
      <c r="E3217">
        <v>-0.3</v>
      </c>
      <c r="F3217">
        <v>-0.04</v>
      </c>
      <c r="G3217" t="s">
        <v>3877</v>
      </c>
      <c r="H3217">
        <v>56</v>
      </c>
      <c r="I3217">
        <v>13.42</v>
      </c>
      <c r="J3217">
        <v>13.43</v>
      </c>
      <c r="K3217">
        <v>0.15</v>
      </c>
      <c r="L3217">
        <v>1.35</v>
      </c>
      <c r="M3217" t="s">
        <v>9080</v>
      </c>
      <c r="N3217">
        <v>131.63999999999999</v>
      </c>
      <c r="O3217" t="s">
        <v>648</v>
      </c>
      <c r="P3217">
        <v>13.43</v>
      </c>
      <c r="Q3217">
        <v>13.24</v>
      </c>
      <c r="R3217">
        <v>13.4</v>
      </c>
      <c r="S3217">
        <v>13.45</v>
      </c>
      <c r="T3217">
        <v>1.41</v>
      </c>
      <c r="U3217">
        <v>0.92</v>
      </c>
      <c r="V3217">
        <v>-58.46</v>
      </c>
      <c r="W3217">
        <v>-698</v>
      </c>
      <c r="X3217">
        <v>13.34</v>
      </c>
      <c r="Y3217" t="s">
        <v>2061</v>
      </c>
      <c r="Z3217" t="s">
        <v>2002</v>
      </c>
      <c r="AA3217">
        <v>1.7</v>
      </c>
      <c r="AB3217">
        <v>60</v>
      </c>
      <c r="AC3217">
        <v>110</v>
      </c>
      <c r="AD3217">
        <v>4.09</v>
      </c>
      <c r="AE3217" t="s">
        <v>3123</v>
      </c>
      <c r="AF3217" t="s">
        <v>1880</v>
      </c>
      <c r="AG3217" t="s">
        <v>3123</v>
      </c>
      <c r="AH3217" t="s">
        <v>1880</v>
      </c>
      <c r="AI3217">
        <v>1.59</v>
      </c>
      <c r="AJ3217">
        <v>5.84</v>
      </c>
      <c r="AK3217">
        <v>5.09</v>
      </c>
      <c r="AL3217">
        <v>8.67</v>
      </c>
    </row>
    <row r="3218" spans="1:38" x14ac:dyDescent="0.25">
      <c r="A3218">
        <v>3217</v>
      </c>
      <c r="B3218" t="str">
        <f xml:space="preserve"> "300605"</f>
        <v>300605</v>
      </c>
      <c r="C3218" t="s">
        <v>9081</v>
      </c>
      <c r="D3218">
        <v>35.700000000000003</v>
      </c>
      <c r="E3218">
        <v>3.33</v>
      </c>
      <c r="F3218">
        <v>1.1499999999999999</v>
      </c>
      <c r="G3218" t="s">
        <v>4237</v>
      </c>
      <c r="H3218">
        <v>220</v>
      </c>
      <c r="I3218">
        <v>35.700000000000003</v>
      </c>
      <c r="J3218">
        <v>35.71</v>
      </c>
      <c r="K3218">
        <v>0.06</v>
      </c>
      <c r="L3218">
        <v>7.37</v>
      </c>
      <c r="M3218" t="s">
        <v>9082</v>
      </c>
      <c r="N3218">
        <v>108.48</v>
      </c>
      <c r="O3218" t="s">
        <v>893</v>
      </c>
      <c r="P3218">
        <v>35.880000000000003</v>
      </c>
      <c r="Q3218">
        <v>34.380000000000003</v>
      </c>
      <c r="R3218">
        <v>34.67</v>
      </c>
      <c r="S3218">
        <v>34.549999999999997</v>
      </c>
      <c r="T3218">
        <v>4.34</v>
      </c>
      <c r="U3218">
        <v>1.17</v>
      </c>
      <c r="V3218">
        <v>73.8</v>
      </c>
      <c r="W3218">
        <v>211</v>
      </c>
      <c r="X3218">
        <v>35.380000000000003</v>
      </c>
      <c r="Y3218">
        <v>6432</v>
      </c>
      <c r="Z3218">
        <v>9054</v>
      </c>
      <c r="AA3218">
        <v>0.71</v>
      </c>
      <c r="AB3218">
        <v>160</v>
      </c>
      <c r="AC3218">
        <v>13</v>
      </c>
      <c r="AD3218">
        <v>7.31</v>
      </c>
      <c r="AE3218" t="s">
        <v>7149</v>
      </c>
      <c r="AF3218" t="s">
        <v>1880</v>
      </c>
      <c r="AG3218" t="s">
        <v>7584</v>
      </c>
      <c r="AH3218" t="s">
        <v>3841</v>
      </c>
      <c r="AI3218">
        <v>-0.45</v>
      </c>
      <c r="AJ3218">
        <v>0.68</v>
      </c>
      <c r="AK3218">
        <v>19.72</v>
      </c>
      <c r="AL3218">
        <v>38.94</v>
      </c>
    </row>
    <row r="3219" spans="1:38" x14ac:dyDescent="0.25">
      <c r="A3219">
        <v>3218</v>
      </c>
      <c r="B3219" t="str">
        <f xml:space="preserve"> "600235"</f>
        <v>600235</v>
      </c>
      <c r="C3219" t="s">
        <v>9083</v>
      </c>
      <c r="D3219">
        <v>8.5299999999999994</v>
      </c>
      <c r="E3219">
        <v>0.35</v>
      </c>
      <c r="F3219">
        <v>0.03</v>
      </c>
      <c r="G3219" t="s">
        <v>5016</v>
      </c>
      <c r="H3219">
        <v>50</v>
      </c>
      <c r="I3219">
        <v>8.5299999999999994</v>
      </c>
      <c r="J3219">
        <v>8.5399999999999991</v>
      </c>
      <c r="K3219">
        <v>0</v>
      </c>
      <c r="L3219">
        <v>0.73</v>
      </c>
      <c r="M3219" t="s">
        <v>9084</v>
      </c>
      <c r="N3219">
        <v>143.22999999999999</v>
      </c>
      <c r="O3219" t="s">
        <v>1874</v>
      </c>
      <c r="P3219">
        <v>8.5399999999999991</v>
      </c>
      <c r="Q3219">
        <v>8.44</v>
      </c>
      <c r="R3219">
        <v>8.5</v>
      </c>
      <c r="S3219">
        <v>8.5</v>
      </c>
      <c r="T3219">
        <v>1.18</v>
      </c>
      <c r="U3219">
        <v>0.42</v>
      </c>
      <c r="V3219">
        <v>-27.22</v>
      </c>
      <c r="W3219">
        <v>-549</v>
      </c>
      <c r="X3219">
        <v>8.49</v>
      </c>
      <c r="Y3219" t="s">
        <v>545</v>
      </c>
      <c r="Z3219" t="s">
        <v>1799</v>
      </c>
      <c r="AA3219">
        <v>1.01</v>
      </c>
      <c r="AB3219">
        <v>90</v>
      </c>
      <c r="AC3219">
        <v>323</v>
      </c>
      <c r="AD3219">
        <v>2.36</v>
      </c>
      <c r="AE3219" t="s">
        <v>3724</v>
      </c>
      <c r="AF3219" t="s">
        <v>1880</v>
      </c>
      <c r="AG3219" t="s">
        <v>3724</v>
      </c>
      <c r="AH3219" t="s">
        <v>1880</v>
      </c>
      <c r="AI3219">
        <v>0.83</v>
      </c>
      <c r="AJ3219">
        <v>3.02</v>
      </c>
      <c r="AK3219">
        <v>4.34</v>
      </c>
      <c r="AL3219">
        <v>9.4700000000000006</v>
      </c>
    </row>
    <row r="3220" spans="1:38" x14ac:dyDescent="0.25">
      <c r="A3220">
        <v>3219</v>
      </c>
      <c r="B3220" t="str">
        <f xml:space="preserve"> "600719"</f>
        <v>600719</v>
      </c>
      <c r="C3220" t="s">
        <v>9085</v>
      </c>
      <c r="D3220">
        <v>7.4</v>
      </c>
      <c r="E3220">
        <v>-0.54</v>
      </c>
      <c r="F3220">
        <v>-0.04</v>
      </c>
      <c r="G3220" t="s">
        <v>2731</v>
      </c>
      <c r="H3220">
        <v>100</v>
      </c>
      <c r="I3220">
        <v>7.4</v>
      </c>
      <c r="J3220">
        <v>7.41</v>
      </c>
      <c r="K3220">
        <v>0</v>
      </c>
      <c r="L3220">
        <v>0.59</v>
      </c>
      <c r="M3220" t="s">
        <v>6686</v>
      </c>
      <c r="N3220">
        <v>90.42</v>
      </c>
      <c r="O3220" t="s">
        <v>186</v>
      </c>
      <c r="P3220">
        <v>7.52</v>
      </c>
      <c r="Q3220">
        <v>7.38</v>
      </c>
      <c r="R3220">
        <v>7.48</v>
      </c>
      <c r="S3220">
        <v>7.44</v>
      </c>
      <c r="T3220">
        <v>1.88</v>
      </c>
      <c r="U3220">
        <v>1.1399999999999999</v>
      </c>
      <c r="V3220">
        <v>-13.56</v>
      </c>
      <c r="W3220">
        <v>-543</v>
      </c>
      <c r="X3220">
        <v>7.44</v>
      </c>
      <c r="Y3220" t="s">
        <v>4590</v>
      </c>
      <c r="Z3220">
        <v>8631</v>
      </c>
      <c r="AA3220">
        <v>1.75</v>
      </c>
      <c r="AB3220">
        <v>350</v>
      </c>
      <c r="AC3220">
        <v>190</v>
      </c>
      <c r="AD3220">
        <v>4.05</v>
      </c>
      <c r="AE3220" t="s">
        <v>2626</v>
      </c>
      <c r="AF3220" t="s">
        <v>1910</v>
      </c>
      <c r="AG3220" t="s">
        <v>2626</v>
      </c>
      <c r="AH3220" t="s">
        <v>1910</v>
      </c>
      <c r="AI3220">
        <v>-0.8</v>
      </c>
      <c r="AJ3220">
        <v>2.78</v>
      </c>
      <c r="AK3220">
        <v>1.65</v>
      </c>
      <c r="AL3220">
        <v>3.16</v>
      </c>
    </row>
    <row r="3221" spans="1:38" x14ac:dyDescent="0.25">
      <c r="A3221">
        <v>3220</v>
      </c>
      <c r="B3221" t="str">
        <f xml:space="preserve"> "300371"</f>
        <v>300371</v>
      </c>
      <c r="C3221" t="s">
        <v>9086</v>
      </c>
      <c r="D3221">
        <v>24.88</v>
      </c>
      <c r="E3221">
        <v>1.76</v>
      </c>
      <c r="F3221">
        <v>0.43</v>
      </c>
      <c r="G3221" t="s">
        <v>316</v>
      </c>
      <c r="H3221">
        <v>86</v>
      </c>
      <c r="I3221">
        <v>24.87</v>
      </c>
      <c r="J3221">
        <v>24.88</v>
      </c>
      <c r="K3221">
        <v>0.04</v>
      </c>
      <c r="L3221">
        <v>2.09</v>
      </c>
      <c r="M3221" t="s">
        <v>7535</v>
      </c>
      <c r="N3221">
        <v>135.78</v>
      </c>
      <c r="O3221" t="s">
        <v>1372</v>
      </c>
      <c r="P3221">
        <v>24.96</v>
      </c>
      <c r="Q3221">
        <v>24</v>
      </c>
      <c r="R3221">
        <v>24.66</v>
      </c>
      <c r="S3221">
        <v>24.45</v>
      </c>
      <c r="T3221">
        <v>3.93</v>
      </c>
      <c r="U3221">
        <v>1.46</v>
      </c>
      <c r="V3221">
        <v>22.26</v>
      </c>
      <c r="W3221">
        <v>75</v>
      </c>
      <c r="X3221">
        <v>24.69</v>
      </c>
      <c r="Y3221">
        <v>6174</v>
      </c>
      <c r="Z3221">
        <v>5573</v>
      </c>
      <c r="AA3221">
        <v>1.1100000000000001</v>
      </c>
      <c r="AB3221">
        <v>81</v>
      </c>
      <c r="AC3221">
        <v>40</v>
      </c>
      <c r="AD3221">
        <v>5.45</v>
      </c>
      <c r="AE3221" t="s">
        <v>918</v>
      </c>
      <c r="AF3221" t="s">
        <v>1910</v>
      </c>
      <c r="AG3221" t="s">
        <v>7656</v>
      </c>
      <c r="AH3221" t="s">
        <v>803</v>
      </c>
      <c r="AI3221">
        <v>-0.48</v>
      </c>
      <c r="AJ3221">
        <v>4.49</v>
      </c>
      <c r="AK3221">
        <v>4.62</v>
      </c>
      <c r="AL3221">
        <v>9.26</v>
      </c>
    </row>
    <row r="3222" spans="1:38" x14ac:dyDescent="0.25">
      <c r="A3222">
        <v>3221</v>
      </c>
      <c r="B3222" t="str">
        <f xml:space="preserve"> "603908"</f>
        <v>603908</v>
      </c>
      <c r="C3222" t="s">
        <v>9087</v>
      </c>
      <c r="D3222">
        <v>44.76</v>
      </c>
      <c r="E3222">
        <v>1.8</v>
      </c>
      <c r="F3222">
        <v>0.79</v>
      </c>
      <c r="G3222">
        <v>9049</v>
      </c>
      <c r="H3222">
        <v>10</v>
      </c>
      <c r="I3222">
        <v>44.75</v>
      </c>
      <c r="J3222">
        <v>44.78</v>
      </c>
      <c r="K3222">
        <v>-7.0000000000000007E-2</v>
      </c>
      <c r="L3222">
        <v>5.42</v>
      </c>
      <c r="M3222" t="s">
        <v>9088</v>
      </c>
      <c r="N3222">
        <v>33</v>
      </c>
      <c r="O3222" t="s">
        <v>1443</v>
      </c>
      <c r="P3222">
        <v>45.1</v>
      </c>
      <c r="Q3222">
        <v>43.8</v>
      </c>
      <c r="R3222">
        <v>44.1</v>
      </c>
      <c r="S3222">
        <v>43.97</v>
      </c>
      <c r="T3222">
        <v>2.96</v>
      </c>
      <c r="U3222">
        <v>2.2799999999999998</v>
      </c>
      <c r="V3222">
        <v>-5.51</v>
      </c>
      <c r="W3222">
        <v>-7</v>
      </c>
      <c r="X3222">
        <v>44.63</v>
      </c>
      <c r="Y3222">
        <v>3934</v>
      </c>
      <c r="Z3222">
        <v>5115</v>
      </c>
      <c r="AA3222">
        <v>0.77</v>
      </c>
      <c r="AB3222">
        <v>13</v>
      </c>
      <c r="AC3222">
        <v>6</v>
      </c>
      <c r="AD3222">
        <v>6.78</v>
      </c>
      <c r="AE3222" t="s">
        <v>3012</v>
      </c>
      <c r="AF3222" t="s">
        <v>1910</v>
      </c>
      <c r="AG3222" t="s">
        <v>8854</v>
      </c>
      <c r="AH3222" t="s">
        <v>4471</v>
      </c>
      <c r="AI3222">
        <v>1.57</v>
      </c>
      <c r="AJ3222">
        <v>5.69</v>
      </c>
      <c r="AK3222">
        <v>10.94</v>
      </c>
      <c r="AL3222">
        <v>17.32</v>
      </c>
    </row>
    <row r="3223" spans="1:38" x14ac:dyDescent="0.25">
      <c r="A3223">
        <v>3222</v>
      </c>
      <c r="B3223" t="str">
        <f xml:space="preserve"> "300283"</f>
        <v>300283</v>
      </c>
      <c r="C3223" t="s">
        <v>9089</v>
      </c>
      <c r="D3223">
        <v>7.2</v>
      </c>
      <c r="E3223">
        <v>1.27</v>
      </c>
      <c r="F3223">
        <v>0.09</v>
      </c>
      <c r="G3223" t="s">
        <v>344</v>
      </c>
      <c r="H3223">
        <v>1294</v>
      </c>
      <c r="I3223">
        <v>7.19</v>
      </c>
      <c r="J3223">
        <v>7.2</v>
      </c>
      <c r="K3223">
        <v>0.14000000000000001</v>
      </c>
      <c r="L3223">
        <v>2.73</v>
      </c>
      <c r="M3223" t="s">
        <v>9090</v>
      </c>
      <c r="N3223">
        <v>178.77</v>
      </c>
      <c r="O3223" t="s">
        <v>859</v>
      </c>
      <c r="P3223">
        <v>7.23</v>
      </c>
      <c r="Q3223">
        <v>7.06</v>
      </c>
      <c r="R3223">
        <v>7.07</v>
      </c>
      <c r="S3223">
        <v>7.11</v>
      </c>
      <c r="T3223">
        <v>2.39</v>
      </c>
      <c r="U3223">
        <v>2.27</v>
      </c>
      <c r="V3223">
        <v>-67.040000000000006</v>
      </c>
      <c r="W3223">
        <v>-5248</v>
      </c>
      <c r="X3223">
        <v>7.16</v>
      </c>
      <c r="Y3223" t="s">
        <v>2754</v>
      </c>
      <c r="Z3223" t="s">
        <v>3987</v>
      </c>
      <c r="AA3223">
        <v>0.94</v>
      </c>
      <c r="AB3223">
        <v>3</v>
      </c>
      <c r="AC3223">
        <v>85</v>
      </c>
      <c r="AD3223">
        <v>5.25</v>
      </c>
      <c r="AE3223" t="s">
        <v>3080</v>
      </c>
      <c r="AF3223" t="s">
        <v>1231</v>
      </c>
      <c r="AG3223" t="s">
        <v>2964</v>
      </c>
      <c r="AH3223" t="s">
        <v>2347</v>
      </c>
      <c r="AI3223">
        <v>0.14000000000000001</v>
      </c>
      <c r="AJ3223">
        <v>4.8</v>
      </c>
      <c r="AK3223">
        <v>4.91</v>
      </c>
      <c r="AL3223">
        <v>8.74</v>
      </c>
    </row>
    <row r="3224" spans="1:38" x14ac:dyDescent="0.25">
      <c r="A3224">
        <v>3223</v>
      </c>
      <c r="B3224" t="str">
        <f xml:space="preserve"> "300254"</f>
        <v>300254</v>
      </c>
      <c r="C3224" t="s">
        <v>9091</v>
      </c>
      <c r="D3224">
        <v>14.29</v>
      </c>
      <c r="E3224">
        <v>0.92</v>
      </c>
      <c r="F3224">
        <v>0.13</v>
      </c>
      <c r="G3224" t="s">
        <v>3825</v>
      </c>
      <c r="H3224">
        <v>465</v>
      </c>
      <c r="I3224">
        <v>14.28</v>
      </c>
      <c r="J3224">
        <v>14.29</v>
      </c>
      <c r="K3224">
        <v>0</v>
      </c>
      <c r="L3224">
        <v>1.49</v>
      </c>
      <c r="M3224" t="s">
        <v>8166</v>
      </c>
      <c r="N3224">
        <v>69.84</v>
      </c>
      <c r="O3224" t="s">
        <v>392</v>
      </c>
      <c r="P3224">
        <v>14.34</v>
      </c>
      <c r="Q3224">
        <v>14.06</v>
      </c>
      <c r="R3224">
        <v>14.23</v>
      </c>
      <c r="S3224">
        <v>14.16</v>
      </c>
      <c r="T3224">
        <v>1.98</v>
      </c>
      <c r="U3224">
        <v>0.75</v>
      </c>
      <c r="V3224">
        <v>31.31</v>
      </c>
      <c r="W3224">
        <v>766</v>
      </c>
      <c r="X3224">
        <v>14.23</v>
      </c>
      <c r="Y3224">
        <v>9368</v>
      </c>
      <c r="Z3224" t="s">
        <v>2616</v>
      </c>
      <c r="AA3224">
        <v>0.72</v>
      </c>
      <c r="AB3224">
        <v>15</v>
      </c>
      <c r="AC3224">
        <v>273</v>
      </c>
      <c r="AD3224">
        <v>3.63</v>
      </c>
      <c r="AE3224" t="s">
        <v>2964</v>
      </c>
      <c r="AF3224" t="s">
        <v>1231</v>
      </c>
      <c r="AG3224" t="s">
        <v>2878</v>
      </c>
      <c r="AH3224" t="s">
        <v>4000</v>
      </c>
      <c r="AI3224">
        <v>-0.83</v>
      </c>
      <c r="AJ3224">
        <v>6.17</v>
      </c>
      <c r="AK3224">
        <v>5.38</v>
      </c>
      <c r="AL3224">
        <v>11.41</v>
      </c>
    </row>
    <row r="3225" spans="1:38" x14ac:dyDescent="0.25">
      <c r="A3225">
        <v>3224</v>
      </c>
      <c r="B3225" t="str">
        <f xml:space="preserve"> "600615"</f>
        <v>600615</v>
      </c>
      <c r="C3225" t="s">
        <v>9092</v>
      </c>
      <c r="D3225">
        <v>15.81</v>
      </c>
      <c r="E3225">
        <v>-0.32</v>
      </c>
      <c r="F3225">
        <v>-0.05</v>
      </c>
      <c r="G3225" t="s">
        <v>2518</v>
      </c>
      <c r="H3225">
        <v>1</v>
      </c>
      <c r="I3225">
        <v>15.81</v>
      </c>
      <c r="J3225">
        <v>15.82</v>
      </c>
      <c r="K3225">
        <v>0.06</v>
      </c>
      <c r="L3225">
        <v>0.72</v>
      </c>
      <c r="M3225" t="s">
        <v>6159</v>
      </c>
      <c r="N3225">
        <v>14.65</v>
      </c>
      <c r="O3225" t="s">
        <v>1229</v>
      </c>
      <c r="P3225">
        <v>15.85</v>
      </c>
      <c r="Q3225">
        <v>15.65</v>
      </c>
      <c r="R3225">
        <v>15.82</v>
      </c>
      <c r="S3225">
        <v>15.86</v>
      </c>
      <c r="T3225">
        <v>1.26</v>
      </c>
      <c r="U3225">
        <v>0.84</v>
      </c>
      <c r="V3225">
        <v>-3.58</v>
      </c>
      <c r="W3225">
        <v>-42</v>
      </c>
      <c r="X3225">
        <v>15.74</v>
      </c>
      <c r="Y3225">
        <v>6941</v>
      </c>
      <c r="Z3225">
        <v>6489</v>
      </c>
      <c r="AA3225">
        <v>1.07</v>
      </c>
      <c r="AB3225">
        <v>4</v>
      </c>
      <c r="AC3225">
        <v>70</v>
      </c>
      <c r="AD3225">
        <v>5.07</v>
      </c>
      <c r="AE3225" t="s">
        <v>1371</v>
      </c>
      <c r="AF3225" t="s">
        <v>1850</v>
      </c>
      <c r="AG3225" t="s">
        <v>1371</v>
      </c>
      <c r="AH3225" t="s">
        <v>1850</v>
      </c>
      <c r="AI3225">
        <v>-0.44</v>
      </c>
      <c r="AJ3225">
        <v>2.86</v>
      </c>
      <c r="AK3225">
        <v>2.25</v>
      </c>
      <c r="AL3225">
        <v>4.99</v>
      </c>
    </row>
    <row r="3226" spans="1:38" x14ac:dyDescent="0.25">
      <c r="A3226">
        <v>3225</v>
      </c>
      <c r="B3226" t="str">
        <f xml:space="preserve"> "300460"</f>
        <v>300460</v>
      </c>
      <c r="C3226" t="s">
        <v>9093</v>
      </c>
      <c r="D3226">
        <v>17.63</v>
      </c>
      <c r="E3226">
        <v>-1.84</v>
      </c>
      <c r="F3226">
        <v>-0.33</v>
      </c>
      <c r="G3226" t="s">
        <v>2731</v>
      </c>
      <c r="H3226">
        <v>526</v>
      </c>
      <c r="I3226">
        <v>17.63</v>
      </c>
      <c r="J3226">
        <v>17.649999999999999</v>
      </c>
      <c r="K3226">
        <v>0.17</v>
      </c>
      <c r="L3226">
        <v>2.4700000000000002</v>
      </c>
      <c r="M3226" t="s">
        <v>9094</v>
      </c>
      <c r="N3226">
        <v>235.39</v>
      </c>
      <c r="O3226" t="s">
        <v>380</v>
      </c>
      <c r="P3226">
        <v>17.850000000000001</v>
      </c>
      <c r="Q3226">
        <v>17.39</v>
      </c>
      <c r="R3226">
        <v>17.670000000000002</v>
      </c>
      <c r="S3226">
        <v>17.96</v>
      </c>
      <c r="T3226">
        <v>2.56</v>
      </c>
      <c r="U3226">
        <v>1.06</v>
      </c>
      <c r="V3226">
        <v>46.6</v>
      </c>
      <c r="W3226">
        <v>295</v>
      </c>
      <c r="X3226">
        <v>17.61</v>
      </c>
      <c r="Y3226" t="s">
        <v>3234</v>
      </c>
      <c r="Z3226">
        <v>9617</v>
      </c>
      <c r="AA3226">
        <v>1.47</v>
      </c>
      <c r="AB3226">
        <v>126</v>
      </c>
      <c r="AC3226">
        <v>31</v>
      </c>
      <c r="AD3226">
        <v>4.5</v>
      </c>
      <c r="AE3226" t="s">
        <v>2368</v>
      </c>
      <c r="AF3226" t="s">
        <v>1850</v>
      </c>
      <c r="AG3226" t="s">
        <v>9095</v>
      </c>
      <c r="AH3226" t="s">
        <v>2840</v>
      </c>
      <c r="AI3226">
        <v>0.17</v>
      </c>
      <c r="AJ3226">
        <v>4.57</v>
      </c>
      <c r="AK3226">
        <v>8.25</v>
      </c>
      <c r="AL3226">
        <v>14.16</v>
      </c>
    </row>
    <row r="3227" spans="1:38" x14ac:dyDescent="0.25">
      <c r="A3227">
        <v>3226</v>
      </c>
      <c r="B3227" t="str">
        <f xml:space="preserve"> "300636"</f>
        <v>300636</v>
      </c>
      <c r="C3227" t="s">
        <v>9096</v>
      </c>
      <c r="D3227">
        <v>36.479999999999997</v>
      </c>
      <c r="E3227">
        <v>2.1800000000000002</v>
      </c>
      <c r="F3227">
        <v>0.78</v>
      </c>
      <c r="G3227" t="s">
        <v>124</v>
      </c>
      <c r="H3227">
        <v>90</v>
      </c>
      <c r="I3227">
        <v>36.47</v>
      </c>
      <c r="J3227">
        <v>36.479999999999997</v>
      </c>
      <c r="K3227">
        <v>0</v>
      </c>
      <c r="L3227">
        <v>6.29</v>
      </c>
      <c r="M3227" t="s">
        <v>8850</v>
      </c>
      <c r="N3227">
        <v>44.41</v>
      </c>
      <c r="O3227" t="s">
        <v>392</v>
      </c>
      <c r="P3227">
        <v>36.69</v>
      </c>
      <c r="Q3227">
        <v>35.590000000000003</v>
      </c>
      <c r="R3227">
        <v>35.590000000000003</v>
      </c>
      <c r="S3227">
        <v>35.700000000000003</v>
      </c>
      <c r="T3227">
        <v>3.08</v>
      </c>
      <c r="U3227">
        <v>1.19</v>
      </c>
      <c r="V3227">
        <v>16.809999999999999</v>
      </c>
      <c r="W3227">
        <v>40</v>
      </c>
      <c r="X3227">
        <v>36.43</v>
      </c>
      <c r="Y3227">
        <v>5227</v>
      </c>
      <c r="Z3227">
        <v>7362</v>
      </c>
      <c r="AA3227">
        <v>0.71</v>
      </c>
      <c r="AB3227">
        <v>90</v>
      </c>
      <c r="AC3227">
        <v>16</v>
      </c>
      <c r="AD3227">
        <v>4.75</v>
      </c>
      <c r="AE3227" t="s">
        <v>9097</v>
      </c>
      <c r="AF3227" t="s">
        <v>1850</v>
      </c>
      <c r="AG3227" t="s">
        <v>5562</v>
      </c>
      <c r="AH3227" t="s">
        <v>3149</v>
      </c>
      <c r="AI3227">
        <v>0.16</v>
      </c>
      <c r="AJ3227">
        <v>5.71</v>
      </c>
      <c r="AK3227">
        <v>18.27</v>
      </c>
      <c r="AL3227">
        <v>32.83</v>
      </c>
    </row>
    <row r="3228" spans="1:38" x14ac:dyDescent="0.25">
      <c r="A3228">
        <v>3227</v>
      </c>
      <c r="B3228" t="str">
        <f xml:space="preserve"> "002760"</f>
        <v>002760</v>
      </c>
      <c r="C3228" t="s">
        <v>9098</v>
      </c>
      <c r="D3228">
        <v>33.58</v>
      </c>
      <c r="E3228">
        <v>1.1399999999999999</v>
      </c>
      <c r="F3228">
        <v>0.38</v>
      </c>
      <c r="G3228">
        <v>5702</v>
      </c>
      <c r="H3228">
        <v>51</v>
      </c>
      <c r="I3228">
        <v>33.57</v>
      </c>
      <c r="J3228">
        <v>33.58</v>
      </c>
      <c r="K3228">
        <v>0</v>
      </c>
      <c r="L3228">
        <v>1.25</v>
      </c>
      <c r="M3228" t="s">
        <v>9099</v>
      </c>
      <c r="N3228">
        <v>-152.63999999999999</v>
      </c>
      <c r="O3228" t="s">
        <v>1229</v>
      </c>
      <c r="P3228">
        <v>33.869999999999997</v>
      </c>
      <c r="Q3228">
        <v>33.200000000000003</v>
      </c>
      <c r="R3228">
        <v>33.35</v>
      </c>
      <c r="S3228">
        <v>33.200000000000003</v>
      </c>
      <c r="T3228">
        <v>2.02</v>
      </c>
      <c r="U3228">
        <v>0.6</v>
      </c>
      <c r="V3228">
        <v>29.07</v>
      </c>
      <c r="W3228">
        <v>132</v>
      </c>
      <c r="X3228">
        <v>33.659999999999997</v>
      </c>
      <c r="Y3228">
        <v>2803</v>
      </c>
      <c r="Z3228">
        <v>2899</v>
      </c>
      <c r="AA3228">
        <v>0.97</v>
      </c>
      <c r="AB3228">
        <v>15</v>
      </c>
      <c r="AC3228">
        <v>2</v>
      </c>
      <c r="AD3228">
        <v>5.3</v>
      </c>
      <c r="AE3228" t="s">
        <v>7464</v>
      </c>
      <c r="AF3228" t="s">
        <v>1123</v>
      </c>
      <c r="AG3228" t="s">
        <v>3943</v>
      </c>
      <c r="AH3228" t="s">
        <v>2422</v>
      </c>
      <c r="AI3228">
        <v>-1.64</v>
      </c>
      <c r="AJ3228">
        <v>0.33</v>
      </c>
      <c r="AK3228">
        <v>4.38</v>
      </c>
      <c r="AL3228">
        <v>11.73</v>
      </c>
    </row>
    <row r="3229" spans="1:38" x14ac:dyDescent="0.25">
      <c r="A3229">
        <v>3228</v>
      </c>
      <c r="B3229" t="str">
        <f xml:space="preserve"> "002796"</f>
        <v>002796</v>
      </c>
      <c r="C3229" t="s">
        <v>9100</v>
      </c>
      <c r="D3229">
        <v>36.9</v>
      </c>
      <c r="E3229">
        <v>-0.56999999999999995</v>
      </c>
      <c r="F3229">
        <v>-0.21</v>
      </c>
      <c r="G3229">
        <v>9669</v>
      </c>
      <c r="H3229">
        <v>131</v>
      </c>
      <c r="I3229">
        <v>36.9</v>
      </c>
      <c r="J3229">
        <v>36.909999999999997</v>
      </c>
      <c r="K3229">
        <v>-0.08</v>
      </c>
      <c r="L3229">
        <v>3.24</v>
      </c>
      <c r="M3229" t="s">
        <v>9101</v>
      </c>
      <c r="N3229">
        <v>96.73</v>
      </c>
      <c r="O3229" t="s">
        <v>1229</v>
      </c>
      <c r="P3229">
        <v>37.799999999999997</v>
      </c>
      <c r="Q3229">
        <v>36.83</v>
      </c>
      <c r="R3229">
        <v>37.799999999999997</v>
      </c>
      <c r="S3229">
        <v>37.11</v>
      </c>
      <c r="T3229">
        <v>2.61</v>
      </c>
      <c r="U3229">
        <v>1.1000000000000001</v>
      </c>
      <c r="V3229">
        <v>-34.39</v>
      </c>
      <c r="W3229">
        <v>-87</v>
      </c>
      <c r="X3229">
        <v>37.130000000000003</v>
      </c>
      <c r="Y3229">
        <v>4980</v>
      </c>
      <c r="Z3229">
        <v>4689</v>
      </c>
      <c r="AA3229">
        <v>1.06</v>
      </c>
      <c r="AB3229">
        <v>34</v>
      </c>
      <c r="AC3229">
        <v>10</v>
      </c>
      <c r="AD3229">
        <v>6.08</v>
      </c>
      <c r="AE3229" t="s">
        <v>5802</v>
      </c>
      <c r="AF3229" t="s">
        <v>775</v>
      </c>
      <c r="AG3229" t="s">
        <v>9102</v>
      </c>
      <c r="AH3229" t="s">
        <v>2501</v>
      </c>
      <c r="AI3229">
        <v>0.96</v>
      </c>
      <c r="AJ3229">
        <v>5.67</v>
      </c>
      <c r="AK3229">
        <v>10.29</v>
      </c>
      <c r="AL3229">
        <v>17.989999999999998</v>
      </c>
    </row>
    <row r="3230" spans="1:38" x14ac:dyDescent="0.25">
      <c r="A3230">
        <v>3229</v>
      </c>
      <c r="B3230" t="str">
        <f xml:space="preserve"> "600095"</f>
        <v>600095</v>
      </c>
      <c r="C3230" t="s">
        <v>9103</v>
      </c>
      <c r="D3230">
        <v>8.16</v>
      </c>
      <c r="E3230">
        <v>0.12</v>
      </c>
      <c r="F3230">
        <v>0.01</v>
      </c>
      <c r="G3230" t="s">
        <v>2193</v>
      </c>
      <c r="H3230">
        <v>6</v>
      </c>
      <c r="I3230">
        <v>8.16</v>
      </c>
      <c r="J3230">
        <v>8.17</v>
      </c>
      <c r="K3230">
        <v>0</v>
      </c>
      <c r="L3230">
        <v>0.81</v>
      </c>
      <c r="M3230" t="s">
        <v>9104</v>
      </c>
      <c r="N3230">
        <v>-125.08</v>
      </c>
      <c r="O3230" t="s">
        <v>244</v>
      </c>
      <c r="P3230">
        <v>8.17</v>
      </c>
      <c r="Q3230">
        <v>8.1</v>
      </c>
      <c r="R3230">
        <v>8.1300000000000008</v>
      </c>
      <c r="S3230">
        <v>8.15</v>
      </c>
      <c r="T3230">
        <v>0.86</v>
      </c>
      <c r="U3230">
        <v>0.59</v>
      </c>
      <c r="V3230">
        <v>1.81</v>
      </c>
      <c r="W3230">
        <v>106</v>
      </c>
      <c r="X3230">
        <v>8.14</v>
      </c>
      <c r="Y3230" t="s">
        <v>1576</v>
      </c>
      <c r="Z3230" t="s">
        <v>2991</v>
      </c>
      <c r="AA3230">
        <v>1.47</v>
      </c>
      <c r="AB3230">
        <v>237</v>
      </c>
      <c r="AC3230">
        <v>568</v>
      </c>
      <c r="AD3230">
        <v>4.1500000000000004</v>
      </c>
      <c r="AE3230" t="s">
        <v>2686</v>
      </c>
      <c r="AF3230" t="s">
        <v>775</v>
      </c>
      <c r="AG3230" t="s">
        <v>2686</v>
      </c>
      <c r="AH3230" t="s">
        <v>775</v>
      </c>
      <c r="AI3230">
        <v>-2.2799999999999998</v>
      </c>
      <c r="AJ3230">
        <v>-0.97</v>
      </c>
      <c r="AK3230">
        <v>4.3899999999999997</v>
      </c>
      <c r="AL3230">
        <v>7.68</v>
      </c>
    </row>
    <row r="3231" spans="1:38" x14ac:dyDescent="0.25">
      <c r="A3231">
        <v>3230</v>
      </c>
      <c r="B3231" t="str">
        <f xml:space="preserve"> "600689"</f>
        <v>600689</v>
      </c>
      <c r="C3231" t="s">
        <v>9105</v>
      </c>
      <c r="D3231">
        <v>14.66</v>
      </c>
      <c r="E3231">
        <v>-0.95</v>
      </c>
      <c r="F3231">
        <v>-0.14000000000000001</v>
      </c>
      <c r="G3231" t="s">
        <v>1285</v>
      </c>
      <c r="H3231">
        <v>12</v>
      </c>
      <c r="I3231">
        <v>14.67</v>
      </c>
      <c r="J3231">
        <v>14.68</v>
      </c>
      <c r="K3231">
        <v>7.0000000000000007E-2</v>
      </c>
      <c r="L3231">
        <v>1.63</v>
      </c>
      <c r="M3231" t="s">
        <v>9106</v>
      </c>
      <c r="N3231">
        <v>42.66</v>
      </c>
      <c r="O3231" t="s">
        <v>1443</v>
      </c>
      <c r="P3231">
        <v>14.81</v>
      </c>
      <c r="Q3231">
        <v>14.56</v>
      </c>
      <c r="R3231">
        <v>14.72</v>
      </c>
      <c r="S3231">
        <v>14.8</v>
      </c>
      <c r="T3231">
        <v>1.69</v>
      </c>
      <c r="U3231">
        <v>0.82</v>
      </c>
      <c r="V3231">
        <v>17.43</v>
      </c>
      <c r="W3231">
        <v>220</v>
      </c>
      <c r="X3231">
        <v>14.67</v>
      </c>
      <c r="Y3231" t="s">
        <v>2255</v>
      </c>
      <c r="Z3231">
        <v>8968</v>
      </c>
      <c r="AA3231">
        <v>1.77</v>
      </c>
      <c r="AB3231">
        <v>170</v>
      </c>
      <c r="AC3231">
        <v>196</v>
      </c>
      <c r="AD3231">
        <v>6.24</v>
      </c>
      <c r="AE3231" t="s">
        <v>3229</v>
      </c>
      <c r="AF3231" t="s">
        <v>775</v>
      </c>
      <c r="AG3231" t="s">
        <v>2231</v>
      </c>
      <c r="AH3231" t="s">
        <v>4084</v>
      </c>
      <c r="AI3231">
        <v>-0.81</v>
      </c>
      <c r="AJ3231">
        <v>2.66</v>
      </c>
      <c r="AK3231">
        <v>6.88</v>
      </c>
      <c r="AL3231">
        <v>11.53</v>
      </c>
    </row>
    <row r="3232" spans="1:38" x14ac:dyDescent="0.25">
      <c r="A3232">
        <v>3231</v>
      </c>
      <c r="B3232" t="str">
        <f xml:space="preserve"> "000785"</f>
        <v>000785</v>
      </c>
      <c r="C3232" t="s">
        <v>9107</v>
      </c>
      <c r="D3232">
        <v>11.68</v>
      </c>
      <c r="E3232">
        <v>1.21</v>
      </c>
      <c r="F3232">
        <v>0.14000000000000001</v>
      </c>
      <c r="G3232" t="s">
        <v>1576</v>
      </c>
      <c r="H3232">
        <v>2052</v>
      </c>
      <c r="I3232">
        <v>11.68</v>
      </c>
      <c r="J3232">
        <v>11.69</v>
      </c>
      <c r="K3232">
        <v>0.86</v>
      </c>
      <c r="L3232">
        <v>0.69</v>
      </c>
      <c r="M3232" t="s">
        <v>5804</v>
      </c>
      <c r="N3232">
        <v>32.979999999999997</v>
      </c>
      <c r="O3232" t="s">
        <v>532</v>
      </c>
      <c r="P3232">
        <v>11.68</v>
      </c>
      <c r="Q3232">
        <v>11.43</v>
      </c>
      <c r="R3232">
        <v>11.58</v>
      </c>
      <c r="S3232">
        <v>11.54</v>
      </c>
      <c r="T3232">
        <v>2.17</v>
      </c>
      <c r="U3232">
        <v>0.67</v>
      </c>
      <c r="V3232">
        <v>52.93</v>
      </c>
      <c r="W3232">
        <v>533</v>
      </c>
      <c r="X3232">
        <v>11.53</v>
      </c>
      <c r="Y3232">
        <v>7211</v>
      </c>
      <c r="Z3232" t="s">
        <v>1685</v>
      </c>
      <c r="AA3232">
        <v>0.71</v>
      </c>
      <c r="AB3232">
        <v>55</v>
      </c>
      <c r="AC3232">
        <v>6</v>
      </c>
      <c r="AD3232">
        <v>3.58</v>
      </c>
      <c r="AE3232" t="s">
        <v>4761</v>
      </c>
      <c r="AF3232" t="s">
        <v>2341</v>
      </c>
      <c r="AG3232" t="s">
        <v>4761</v>
      </c>
      <c r="AH3232" t="s">
        <v>2341</v>
      </c>
      <c r="AI3232">
        <v>0.52</v>
      </c>
      <c r="AJ3232">
        <v>3.09</v>
      </c>
      <c r="AK3232">
        <v>2.68</v>
      </c>
      <c r="AL3232">
        <v>5.83</v>
      </c>
    </row>
    <row r="3233" spans="1:38" x14ac:dyDescent="0.25">
      <c r="A3233">
        <v>3232</v>
      </c>
      <c r="B3233" t="str">
        <f xml:space="preserve"> "300539"</f>
        <v>300539</v>
      </c>
      <c r="C3233" t="s">
        <v>9108</v>
      </c>
      <c r="D3233">
        <v>14.02</v>
      </c>
      <c r="E3233">
        <v>0.86</v>
      </c>
      <c r="F3233">
        <v>0.12</v>
      </c>
      <c r="G3233" t="s">
        <v>3639</v>
      </c>
      <c r="H3233">
        <v>445</v>
      </c>
      <c r="I3233">
        <v>14.01</v>
      </c>
      <c r="J3233">
        <v>14.02</v>
      </c>
      <c r="K3233">
        <v>0</v>
      </c>
      <c r="L3233">
        <v>7.36</v>
      </c>
      <c r="M3233" t="s">
        <v>9109</v>
      </c>
      <c r="N3233">
        <v>91.68</v>
      </c>
      <c r="O3233" t="s">
        <v>2128</v>
      </c>
      <c r="P3233">
        <v>14.23</v>
      </c>
      <c r="Q3233">
        <v>13.78</v>
      </c>
      <c r="R3233">
        <v>13.78</v>
      </c>
      <c r="S3233">
        <v>13.9</v>
      </c>
      <c r="T3233">
        <v>3.24</v>
      </c>
      <c r="U3233">
        <v>2.08</v>
      </c>
      <c r="V3233">
        <v>-49.45</v>
      </c>
      <c r="W3233">
        <v>-478</v>
      </c>
      <c r="X3233">
        <v>14.05</v>
      </c>
      <c r="Y3233" t="s">
        <v>3181</v>
      </c>
      <c r="Z3233" t="s">
        <v>1887</v>
      </c>
      <c r="AA3233">
        <v>0.97</v>
      </c>
      <c r="AB3233">
        <v>45</v>
      </c>
      <c r="AC3233">
        <v>452</v>
      </c>
      <c r="AD3233">
        <v>8.1</v>
      </c>
      <c r="AE3233" t="s">
        <v>2519</v>
      </c>
      <c r="AF3233" t="s">
        <v>2341</v>
      </c>
      <c r="AG3233" t="s">
        <v>9110</v>
      </c>
      <c r="AH3233" t="s">
        <v>5903</v>
      </c>
      <c r="AI3233">
        <v>2.79</v>
      </c>
      <c r="AJ3233">
        <v>8.35</v>
      </c>
      <c r="AK3233">
        <v>16.23</v>
      </c>
      <c r="AL3233">
        <v>25.09</v>
      </c>
    </row>
    <row r="3234" spans="1:38" x14ac:dyDescent="0.25">
      <c r="A3234">
        <v>3233</v>
      </c>
      <c r="B3234" t="str">
        <f xml:space="preserve"> "002693"</f>
        <v>002693</v>
      </c>
      <c r="C3234" t="s">
        <v>9111</v>
      </c>
      <c r="D3234">
        <v>7.23</v>
      </c>
      <c r="E3234">
        <v>0.14000000000000001</v>
      </c>
      <c r="F3234">
        <v>0.01</v>
      </c>
      <c r="G3234" t="s">
        <v>2360</v>
      </c>
      <c r="H3234">
        <v>363</v>
      </c>
      <c r="I3234">
        <v>7.23</v>
      </c>
      <c r="J3234">
        <v>7.24</v>
      </c>
      <c r="K3234">
        <v>0</v>
      </c>
      <c r="L3234">
        <v>0.55000000000000004</v>
      </c>
      <c r="M3234" t="s">
        <v>9112</v>
      </c>
      <c r="N3234">
        <v>-83.47</v>
      </c>
      <c r="O3234" t="s">
        <v>392</v>
      </c>
      <c r="P3234">
        <v>7.3</v>
      </c>
      <c r="Q3234">
        <v>7.2</v>
      </c>
      <c r="R3234">
        <v>7.2</v>
      </c>
      <c r="S3234">
        <v>7.22</v>
      </c>
      <c r="T3234">
        <v>1.39</v>
      </c>
      <c r="U3234">
        <v>0.46</v>
      </c>
      <c r="V3234">
        <v>2.37</v>
      </c>
      <c r="W3234">
        <v>86</v>
      </c>
      <c r="X3234">
        <v>7.25</v>
      </c>
      <c r="Y3234" t="s">
        <v>1259</v>
      </c>
      <c r="Z3234">
        <v>9871</v>
      </c>
      <c r="AA3234">
        <v>1.23</v>
      </c>
      <c r="AB3234">
        <v>50</v>
      </c>
      <c r="AC3234">
        <v>241</v>
      </c>
      <c r="AD3234">
        <v>5.18</v>
      </c>
      <c r="AE3234" t="s">
        <v>2626</v>
      </c>
      <c r="AF3234" t="s">
        <v>2341</v>
      </c>
      <c r="AG3234" t="s">
        <v>4660</v>
      </c>
      <c r="AH3234" t="s">
        <v>1644</v>
      </c>
      <c r="AI3234">
        <v>-3.73</v>
      </c>
      <c r="AJ3234">
        <v>3.29</v>
      </c>
      <c r="AK3234">
        <v>3.3</v>
      </c>
      <c r="AL3234">
        <v>6.49</v>
      </c>
    </row>
    <row r="3235" spans="1:38" x14ac:dyDescent="0.25">
      <c r="A3235">
        <v>3234</v>
      </c>
      <c r="B3235" t="str">
        <f xml:space="preserve"> "002871"</f>
        <v>002871</v>
      </c>
      <c r="C3235" t="s">
        <v>9113</v>
      </c>
      <c r="D3235">
        <v>43.06</v>
      </c>
      <c r="E3235">
        <v>3.48</v>
      </c>
      <c r="F3235">
        <v>1.45</v>
      </c>
      <c r="G3235" t="s">
        <v>1705</v>
      </c>
      <c r="H3235">
        <v>425</v>
      </c>
      <c r="I3235">
        <v>43.05</v>
      </c>
      <c r="J3235">
        <v>43.06</v>
      </c>
      <c r="K3235">
        <v>-0.14000000000000001</v>
      </c>
      <c r="L3235">
        <v>15.92</v>
      </c>
      <c r="M3235" t="s">
        <v>485</v>
      </c>
      <c r="N3235">
        <v>50.65</v>
      </c>
      <c r="O3235" t="s">
        <v>648</v>
      </c>
      <c r="P3235">
        <v>43.18</v>
      </c>
      <c r="Q3235">
        <v>41.32</v>
      </c>
      <c r="R3235">
        <v>41.6</v>
      </c>
      <c r="S3235">
        <v>41.61</v>
      </c>
      <c r="T3235">
        <v>4.47</v>
      </c>
      <c r="U3235">
        <v>1.49</v>
      </c>
      <c r="V3235">
        <v>-49.06</v>
      </c>
      <c r="W3235">
        <v>-262</v>
      </c>
      <c r="X3235">
        <v>42.64</v>
      </c>
      <c r="Y3235" t="s">
        <v>1836</v>
      </c>
      <c r="Z3235" t="s">
        <v>1278</v>
      </c>
      <c r="AA3235">
        <v>0.67</v>
      </c>
      <c r="AB3235">
        <v>9</v>
      </c>
      <c r="AC3235">
        <v>95</v>
      </c>
      <c r="AD3235">
        <v>5.63</v>
      </c>
      <c r="AE3235" t="s">
        <v>7579</v>
      </c>
      <c r="AF3235" t="s">
        <v>2341</v>
      </c>
      <c r="AG3235" t="s">
        <v>6757</v>
      </c>
      <c r="AH3235" t="s">
        <v>9114</v>
      </c>
      <c r="AI3235">
        <v>1.44</v>
      </c>
      <c r="AJ3235">
        <v>4.49</v>
      </c>
      <c r="AK3235">
        <v>32.880000000000003</v>
      </c>
      <c r="AL3235">
        <v>69.47</v>
      </c>
    </row>
    <row r="3236" spans="1:38" x14ac:dyDescent="0.25">
      <c r="A3236">
        <v>3235</v>
      </c>
      <c r="B3236" t="str">
        <f xml:space="preserve"> "600379"</f>
        <v>600379</v>
      </c>
      <c r="C3236" t="s">
        <v>9115</v>
      </c>
      <c r="D3236">
        <v>12.41</v>
      </c>
      <c r="E3236">
        <v>1.22</v>
      </c>
      <c r="F3236">
        <v>0.15</v>
      </c>
      <c r="G3236" t="s">
        <v>4118</v>
      </c>
      <c r="H3236">
        <v>70</v>
      </c>
      <c r="I3236">
        <v>12.39</v>
      </c>
      <c r="J3236">
        <v>12.41</v>
      </c>
      <c r="K3236">
        <v>0.4</v>
      </c>
      <c r="L3236">
        <v>0.86</v>
      </c>
      <c r="M3236" t="s">
        <v>9116</v>
      </c>
      <c r="N3236">
        <v>63.04</v>
      </c>
      <c r="O3236" t="s">
        <v>680</v>
      </c>
      <c r="P3236">
        <v>12.42</v>
      </c>
      <c r="Q3236">
        <v>12.15</v>
      </c>
      <c r="R3236">
        <v>12.26</v>
      </c>
      <c r="S3236">
        <v>12.26</v>
      </c>
      <c r="T3236">
        <v>2.2000000000000002</v>
      </c>
      <c r="U3236">
        <v>0.85</v>
      </c>
      <c r="V3236">
        <v>-42.28</v>
      </c>
      <c r="W3236">
        <v>-909</v>
      </c>
      <c r="X3236">
        <v>12.28</v>
      </c>
      <c r="Y3236">
        <v>8696</v>
      </c>
      <c r="Z3236" t="s">
        <v>316</v>
      </c>
      <c r="AA3236">
        <v>0.74</v>
      </c>
      <c r="AB3236">
        <v>6</v>
      </c>
      <c r="AC3236">
        <v>26</v>
      </c>
      <c r="AD3236">
        <v>6.18</v>
      </c>
      <c r="AE3236" t="s">
        <v>4080</v>
      </c>
      <c r="AF3236" t="s">
        <v>2341</v>
      </c>
      <c r="AG3236" t="s">
        <v>4080</v>
      </c>
      <c r="AH3236" t="s">
        <v>2341</v>
      </c>
      <c r="AI3236">
        <v>1.39</v>
      </c>
      <c r="AJ3236">
        <v>4.9000000000000004</v>
      </c>
      <c r="AK3236">
        <v>2.62</v>
      </c>
      <c r="AL3236">
        <v>5.95</v>
      </c>
    </row>
    <row r="3237" spans="1:38" x14ac:dyDescent="0.25">
      <c r="A3237">
        <v>3236</v>
      </c>
      <c r="B3237" t="str">
        <f xml:space="preserve"> "603860"</f>
        <v>603860</v>
      </c>
      <c r="C3237" t="s">
        <v>9117</v>
      </c>
      <c r="D3237">
        <v>43.84</v>
      </c>
      <c r="E3237">
        <v>1.25</v>
      </c>
      <c r="F3237">
        <v>0.54</v>
      </c>
      <c r="G3237" t="s">
        <v>3798</v>
      </c>
      <c r="H3237">
        <v>10</v>
      </c>
      <c r="I3237">
        <v>43.9</v>
      </c>
      <c r="J3237">
        <v>43.91</v>
      </c>
      <c r="K3237">
        <v>0.21</v>
      </c>
      <c r="L3237">
        <v>8.7799999999999994</v>
      </c>
      <c r="M3237" t="s">
        <v>9118</v>
      </c>
      <c r="N3237">
        <v>118.13</v>
      </c>
      <c r="O3237" t="s">
        <v>263</v>
      </c>
      <c r="P3237">
        <v>44</v>
      </c>
      <c r="Q3237">
        <v>42.53</v>
      </c>
      <c r="R3237">
        <v>43.02</v>
      </c>
      <c r="S3237">
        <v>43.3</v>
      </c>
      <c r="T3237">
        <v>3.39</v>
      </c>
      <c r="U3237">
        <v>0.82</v>
      </c>
      <c r="V3237">
        <v>8.02</v>
      </c>
      <c r="W3237">
        <v>15</v>
      </c>
      <c r="X3237">
        <v>43.46</v>
      </c>
      <c r="Y3237">
        <v>7235</v>
      </c>
      <c r="Z3237">
        <v>7412</v>
      </c>
      <c r="AA3237">
        <v>0.98</v>
      </c>
      <c r="AB3237">
        <v>44</v>
      </c>
      <c r="AC3237">
        <v>7</v>
      </c>
      <c r="AD3237">
        <v>5.57</v>
      </c>
      <c r="AE3237" t="s">
        <v>6060</v>
      </c>
      <c r="AF3237" t="s">
        <v>1644</v>
      </c>
      <c r="AG3237" t="s">
        <v>6061</v>
      </c>
      <c r="AH3237" t="s">
        <v>6295</v>
      </c>
      <c r="AI3237">
        <v>-1.44</v>
      </c>
      <c r="AJ3237">
        <v>-7.0000000000000007E-2</v>
      </c>
      <c r="AK3237">
        <v>30.53</v>
      </c>
      <c r="AL3237">
        <v>62.07</v>
      </c>
    </row>
    <row r="3238" spans="1:38" x14ac:dyDescent="0.25">
      <c r="A3238">
        <v>3237</v>
      </c>
      <c r="B3238" t="str">
        <f xml:space="preserve"> "002758"</f>
        <v>002758</v>
      </c>
      <c r="C3238" t="s">
        <v>9119</v>
      </c>
      <c r="D3238">
        <v>13.92</v>
      </c>
      <c r="E3238">
        <v>1.0900000000000001</v>
      </c>
      <c r="F3238">
        <v>0.15</v>
      </c>
      <c r="G3238" t="s">
        <v>1374</v>
      </c>
      <c r="H3238">
        <v>190</v>
      </c>
      <c r="I3238">
        <v>13.91</v>
      </c>
      <c r="J3238">
        <v>13.92</v>
      </c>
      <c r="K3238">
        <v>0.14000000000000001</v>
      </c>
      <c r="L3238">
        <v>2.11</v>
      </c>
      <c r="M3238" t="s">
        <v>9120</v>
      </c>
      <c r="N3238">
        <v>61.24</v>
      </c>
      <c r="O3238" t="s">
        <v>392</v>
      </c>
      <c r="P3238">
        <v>14.05</v>
      </c>
      <c r="Q3238">
        <v>13.62</v>
      </c>
      <c r="R3238">
        <v>13.65</v>
      </c>
      <c r="S3238">
        <v>13.77</v>
      </c>
      <c r="T3238">
        <v>3.12</v>
      </c>
      <c r="U3238">
        <v>1.45</v>
      </c>
      <c r="V3238">
        <v>-15.35</v>
      </c>
      <c r="W3238">
        <v>-240</v>
      </c>
      <c r="X3238">
        <v>13.91</v>
      </c>
      <c r="Y3238">
        <v>8924</v>
      </c>
      <c r="Z3238" t="s">
        <v>1349</v>
      </c>
      <c r="AA3238">
        <v>0.52</v>
      </c>
      <c r="AB3238">
        <v>5</v>
      </c>
      <c r="AC3238">
        <v>42</v>
      </c>
      <c r="AD3238">
        <v>5.2</v>
      </c>
      <c r="AE3238" t="s">
        <v>1538</v>
      </c>
      <c r="AF3238" t="s">
        <v>1644</v>
      </c>
      <c r="AG3238" t="s">
        <v>734</v>
      </c>
      <c r="AH3238" t="s">
        <v>531</v>
      </c>
      <c r="AI3238">
        <v>1.61</v>
      </c>
      <c r="AJ3238">
        <v>7.82</v>
      </c>
      <c r="AK3238">
        <v>5.84</v>
      </c>
      <c r="AL3238">
        <v>9.3800000000000008</v>
      </c>
    </row>
    <row r="3239" spans="1:38" x14ac:dyDescent="0.25">
      <c r="A3239">
        <v>3238</v>
      </c>
      <c r="B3239" t="str">
        <f xml:space="preserve"> "600421"</f>
        <v>600421</v>
      </c>
      <c r="C3239" t="s">
        <v>9121</v>
      </c>
      <c r="D3239">
        <v>14.9</v>
      </c>
      <c r="E3239">
        <v>-0.13</v>
      </c>
      <c r="F3239">
        <v>-0.02</v>
      </c>
      <c r="G3239">
        <v>5994</v>
      </c>
      <c r="H3239">
        <v>109</v>
      </c>
      <c r="I3239">
        <v>14.88</v>
      </c>
      <c r="J3239">
        <v>14.89</v>
      </c>
      <c r="K3239">
        <v>0.2</v>
      </c>
      <c r="L3239">
        <v>0.31</v>
      </c>
      <c r="M3239" t="s">
        <v>9122</v>
      </c>
      <c r="N3239">
        <v>-1336.8</v>
      </c>
      <c r="O3239" t="s">
        <v>648</v>
      </c>
      <c r="P3239">
        <v>15.07</v>
      </c>
      <c r="Q3239">
        <v>14.8</v>
      </c>
      <c r="R3239">
        <v>15.07</v>
      </c>
      <c r="S3239">
        <v>14.92</v>
      </c>
      <c r="T3239">
        <v>1.81</v>
      </c>
      <c r="U3239">
        <v>0.7</v>
      </c>
      <c r="V3239">
        <v>-4.03</v>
      </c>
      <c r="W3239">
        <v>-29</v>
      </c>
      <c r="X3239">
        <v>14.88</v>
      </c>
      <c r="Y3239">
        <v>3002</v>
      </c>
      <c r="Z3239">
        <v>2992</v>
      </c>
      <c r="AA3239">
        <v>1</v>
      </c>
      <c r="AB3239">
        <v>63</v>
      </c>
      <c r="AC3239">
        <v>9</v>
      </c>
      <c r="AD3239">
        <v>375.39</v>
      </c>
      <c r="AE3239" t="s">
        <v>5384</v>
      </c>
      <c r="AF3239" t="s">
        <v>2795</v>
      </c>
      <c r="AG3239" t="s">
        <v>5384</v>
      </c>
      <c r="AH3239" t="s">
        <v>2795</v>
      </c>
      <c r="AI3239">
        <v>-0.53</v>
      </c>
      <c r="AJ3239">
        <v>1.57</v>
      </c>
      <c r="AK3239">
        <v>1.27</v>
      </c>
      <c r="AL3239">
        <v>2.4900000000000002</v>
      </c>
    </row>
    <row r="3240" spans="1:38" x14ac:dyDescent="0.25">
      <c r="A3240">
        <v>3239</v>
      </c>
      <c r="B3240" t="str">
        <f xml:space="preserve"> "300260"</f>
        <v>300260</v>
      </c>
      <c r="C3240" t="s">
        <v>9123</v>
      </c>
      <c r="D3240">
        <v>14.43</v>
      </c>
      <c r="E3240">
        <v>0.56000000000000005</v>
      </c>
      <c r="F3240">
        <v>0.08</v>
      </c>
      <c r="G3240" t="s">
        <v>2518</v>
      </c>
      <c r="H3240">
        <v>365</v>
      </c>
      <c r="I3240">
        <v>14.43</v>
      </c>
      <c r="J3240">
        <v>14.46</v>
      </c>
      <c r="K3240">
        <v>0.21</v>
      </c>
      <c r="L3240">
        <v>1.33</v>
      </c>
      <c r="M3240" t="s">
        <v>7974</v>
      </c>
      <c r="N3240">
        <v>116.62</v>
      </c>
      <c r="O3240" t="s">
        <v>859</v>
      </c>
      <c r="P3240">
        <v>14.55</v>
      </c>
      <c r="Q3240">
        <v>14.25</v>
      </c>
      <c r="R3240">
        <v>14.35</v>
      </c>
      <c r="S3240">
        <v>14.35</v>
      </c>
      <c r="T3240">
        <v>2.09</v>
      </c>
      <c r="U3240">
        <v>1</v>
      </c>
      <c r="V3240">
        <v>85.6</v>
      </c>
      <c r="W3240">
        <v>1070</v>
      </c>
      <c r="X3240">
        <v>14.45</v>
      </c>
      <c r="Y3240">
        <v>8191</v>
      </c>
      <c r="Z3240">
        <v>5242</v>
      </c>
      <c r="AA3240">
        <v>1.56</v>
      </c>
      <c r="AB3240">
        <v>122</v>
      </c>
      <c r="AC3240">
        <v>17</v>
      </c>
      <c r="AD3240">
        <v>4.42</v>
      </c>
      <c r="AE3240" t="s">
        <v>1404</v>
      </c>
      <c r="AF3240" t="s">
        <v>2795</v>
      </c>
      <c r="AG3240" t="s">
        <v>1442</v>
      </c>
      <c r="AH3240" t="s">
        <v>801</v>
      </c>
      <c r="AI3240">
        <v>1.55</v>
      </c>
      <c r="AJ3240">
        <v>7.61</v>
      </c>
      <c r="AK3240">
        <v>4.2699999999999996</v>
      </c>
      <c r="AL3240">
        <v>7.97</v>
      </c>
    </row>
    <row r="3241" spans="1:38" x14ac:dyDescent="0.25">
      <c r="A3241">
        <v>3240</v>
      </c>
      <c r="B3241" t="str">
        <f xml:space="preserve"> "300606"</f>
        <v>300606</v>
      </c>
      <c r="C3241" t="s">
        <v>9124</v>
      </c>
      <c r="D3241">
        <v>32.659999999999997</v>
      </c>
      <c r="E3241">
        <v>-0.4</v>
      </c>
      <c r="F3241">
        <v>-0.13</v>
      </c>
      <c r="G3241" t="s">
        <v>433</v>
      </c>
      <c r="H3241">
        <v>386</v>
      </c>
      <c r="I3241">
        <v>32.659999999999997</v>
      </c>
      <c r="J3241">
        <v>32.67</v>
      </c>
      <c r="K3241">
        <v>-0.12</v>
      </c>
      <c r="L3241">
        <v>6.82</v>
      </c>
      <c r="M3241" t="s">
        <v>9125</v>
      </c>
      <c r="N3241">
        <v>56.15</v>
      </c>
      <c r="O3241" t="s">
        <v>2647</v>
      </c>
      <c r="P3241">
        <v>32.869999999999997</v>
      </c>
      <c r="Q3241">
        <v>32.020000000000003</v>
      </c>
      <c r="R3241">
        <v>32.64</v>
      </c>
      <c r="S3241">
        <v>32.79</v>
      </c>
      <c r="T3241">
        <v>2.59</v>
      </c>
      <c r="U3241">
        <v>1.54</v>
      </c>
      <c r="V3241">
        <v>-3.48</v>
      </c>
      <c r="W3241">
        <v>-15</v>
      </c>
      <c r="X3241">
        <v>32.47</v>
      </c>
      <c r="Y3241">
        <v>8363</v>
      </c>
      <c r="Z3241">
        <v>6842</v>
      </c>
      <c r="AA3241">
        <v>1.22</v>
      </c>
      <c r="AB3241">
        <v>30</v>
      </c>
      <c r="AC3241">
        <v>1</v>
      </c>
      <c r="AD3241">
        <v>6.81</v>
      </c>
      <c r="AE3241" t="s">
        <v>9126</v>
      </c>
      <c r="AF3241" t="s">
        <v>2795</v>
      </c>
      <c r="AG3241" t="s">
        <v>9127</v>
      </c>
      <c r="AH3241" t="s">
        <v>3063</v>
      </c>
      <c r="AI3241">
        <v>3.35</v>
      </c>
      <c r="AJ3241">
        <v>8.94</v>
      </c>
      <c r="AK3241">
        <v>18.739999999999998</v>
      </c>
      <c r="AL3241">
        <v>28.88</v>
      </c>
    </row>
    <row r="3242" spans="1:38" x14ac:dyDescent="0.25">
      <c r="A3242">
        <v>3241</v>
      </c>
      <c r="B3242" t="str">
        <f xml:space="preserve"> "300275"</f>
        <v>300275</v>
      </c>
      <c r="C3242" t="s">
        <v>9128</v>
      </c>
      <c r="D3242">
        <v>17.73</v>
      </c>
      <c r="E3242">
        <v>-0.23</v>
      </c>
      <c r="F3242">
        <v>-0.04</v>
      </c>
      <c r="G3242" t="s">
        <v>1780</v>
      </c>
      <c r="H3242">
        <v>1834</v>
      </c>
      <c r="I3242">
        <v>17.72</v>
      </c>
      <c r="J3242">
        <v>17.73</v>
      </c>
      <c r="K3242">
        <v>-0.11</v>
      </c>
      <c r="L3242">
        <v>10.96</v>
      </c>
      <c r="M3242" t="s">
        <v>1640</v>
      </c>
      <c r="N3242">
        <v>57.62</v>
      </c>
      <c r="O3242" t="s">
        <v>1372</v>
      </c>
      <c r="P3242">
        <v>17.87</v>
      </c>
      <c r="Q3242">
        <v>17.399999999999999</v>
      </c>
      <c r="R3242">
        <v>17.8</v>
      </c>
      <c r="S3242">
        <v>17.77</v>
      </c>
      <c r="T3242">
        <v>2.64</v>
      </c>
      <c r="U3242">
        <v>0.77</v>
      </c>
      <c r="V3242">
        <v>-55.63</v>
      </c>
      <c r="W3242">
        <v>-1033</v>
      </c>
      <c r="X3242">
        <v>17.64</v>
      </c>
      <c r="Y3242" t="s">
        <v>1006</v>
      </c>
      <c r="Z3242" t="s">
        <v>4185</v>
      </c>
      <c r="AA3242">
        <v>1.25</v>
      </c>
      <c r="AB3242">
        <v>139</v>
      </c>
      <c r="AC3242">
        <v>474</v>
      </c>
      <c r="AD3242">
        <v>5.42</v>
      </c>
      <c r="AE3242" t="s">
        <v>608</v>
      </c>
      <c r="AF3242" t="s">
        <v>2795</v>
      </c>
      <c r="AG3242" t="s">
        <v>918</v>
      </c>
      <c r="AH3242" t="s">
        <v>1896</v>
      </c>
      <c r="AI3242">
        <v>2.4300000000000002</v>
      </c>
      <c r="AJ3242">
        <v>17.5</v>
      </c>
      <c r="AK3242">
        <v>43.35</v>
      </c>
      <c r="AL3242">
        <v>82.43</v>
      </c>
    </row>
    <row r="3243" spans="1:38" x14ac:dyDescent="0.25">
      <c r="A3243">
        <v>3242</v>
      </c>
      <c r="B3243" t="str">
        <f xml:space="preserve"> "000779"</f>
        <v>000779</v>
      </c>
      <c r="C3243" t="s">
        <v>9129</v>
      </c>
      <c r="D3243">
        <v>15.62</v>
      </c>
      <c r="E3243">
        <v>-2.0099999999999998</v>
      </c>
      <c r="F3243">
        <v>-0.32</v>
      </c>
      <c r="G3243" t="s">
        <v>3877</v>
      </c>
      <c r="H3243">
        <v>430</v>
      </c>
      <c r="I3243">
        <v>15.62</v>
      </c>
      <c r="J3243">
        <v>15.63</v>
      </c>
      <c r="K3243">
        <v>0</v>
      </c>
      <c r="L3243">
        <v>1.62</v>
      </c>
      <c r="M3243" t="s">
        <v>9130</v>
      </c>
      <c r="N3243">
        <v>24.62</v>
      </c>
      <c r="O3243" t="s">
        <v>1443</v>
      </c>
      <c r="P3243">
        <v>15.99</v>
      </c>
      <c r="Q3243">
        <v>15.62</v>
      </c>
      <c r="R3243">
        <v>15.9</v>
      </c>
      <c r="S3243">
        <v>15.94</v>
      </c>
      <c r="T3243">
        <v>2.3199999999999998</v>
      </c>
      <c r="U3243">
        <v>0.71</v>
      </c>
      <c r="V3243">
        <v>72.37</v>
      </c>
      <c r="W3243">
        <v>1973</v>
      </c>
      <c r="X3243">
        <v>15.74</v>
      </c>
      <c r="Y3243" t="s">
        <v>884</v>
      </c>
      <c r="Z3243" t="s">
        <v>3041</v>
      </c>
      <c r="AA3243">
        <v>1.77</v>
      </c>
      <c r="AB3243">
        <v>18</v>
      </c>
      <c r="AC3243">
        <v>138</v>
      </c>
      <c r="AD3243">
        <v>9.4700000000000006</v>
      </c>
      <c r="AE3243" t="s">
        <v>823</v>
      </c>
      <c r="AF3243" t="s">
        <v>2795</v>
      </c>
      <c r="AG3243" t="s">
        <v>823</v>
      </c>
      <c r="AH3243" t="s">
        <v>2795</v>
      </c>
      <c r="AI3243">
        <v>-0.95</v>
      </c>
      <c r="AJ3243">
        <v>4.97</v>
      </c>
      <c r="AK3243">
        <v>6.1</v>
      </c>
      <c r="AL3243">
        <v>13.04</v>
      </c>
    </row>
    <row r="3244" spans="1:38" x14ac:dyDescent="0.25">
      <c r="A3244">
        <v>3243</v>
      </c>
      <c r="B3244" t="str">
        <f xml:space="preserve"> "002725"</f>
        <v>002725</v>
      </c>
      <c r="C3244" t="s">
        <v>9131</v>
      </c>
      <c r="D3244">
        <v>18.2</v>
      </c>
      <c r="E3244">
        <v>-0.66</v>
      </c>
      <c r="F3244">
        <v>-0.12</v>
      </c>
      <c r="G3244">
        <v>9496</v>
      </c>
      <c r="H3244">
        <v>200</v>
      </c>
      <c r="I3244">
        <v>18.2</v>
      </c>
      <c r="J3244">
        <v>18.21</v>
      </c>
      <c r="K3244">
        <v>-0.05</v>
      </c>
      <c r="L3244">
        <v>1.39</v>
      </c>
      <c r="M3244" t="s">
        <v>9132</v>
      </c>
      <c r="N3244">
        <v>79.900000000000006</v>
      </c>
      <c r="O3244" t="s">
        <v>169</v>
      </c>
      <c r="P3244">
        <v>18.420000000000002</v>
      </c>
      <c r="Q3244">
        <v>18.149999999999999</v>
      </c>
      <c r="R3244">
        <v>18.2</v>
      </c>
      <c r="S3244">
        <v>18.32</v>
      </c>
      <c r="T3244">
        <v>1.47</v>
      </c>
      <c r="U3244">
        <v>0.66</v>
      </c>
      <c r="V3244">
        <v>47.67</v>
      </c>
      <c r="W3244">
        <v>282</v>
      </c>
      <c r="X3244">
        <v>18.21</v>
      </c>
      <c r="Y3244">
        <v>6109</v>
      </c>
      <c r="Z3244">
        <v>3386</v>
      </c>
      <c r="AA3244">
        <v>1.8</v>
      </c>
      <c r="AB3244">
        <v>153</v>
      </c>
      <c r="AC3244">
        <v>21</v>
      </c>
      <c r="AD3244">
        <v>3.2</v>
      </c>
      <c r="AE3244" t="s">
        <v>4326</v>
      </c>
      <c r="AF3244" t="s">
        <v>2795</v>
      </c>
      <c r="AG3244" t="s">
        <v>6313</v>
      </c>
      <c r="AH3244" t="s">
        <v>361</v>
      </c>
      <c r="AI3244">
        <v>-1.3</v>
      </c>
      <c r="AJ3244">
        <v>2.02</v>
      </c>
      <c r="AK3244">
        <v>5.78</v>
      </c>
      <c r="AL3244">
        <v>11.89</v>
      </c>
    </row>
    <row r="3245" spans="1:38" x14ac:dyDescent="0.25">
      <c r="A3245">
        <v>3244</v>
      </c>
      <c r="B3245" t="str">
        <f xml:space="preserve"> "300592"</f>
        <v>300592</v>
      </c>
      <c r="C3245" t="s">
        <v>9133</v>
      </c>
      <c r="D3245">
        <v>23.75</v>
      </c>
      <c r="E3245">
        <v>0.42</v>
      </c>
      <c r="F3245">
        <v>0.1</v>
      </c>
      <c r="G3245" t="s">
        <v>1074</v>
      </c>
      <c r="H3245">
        <v>287</v>
      </c>
      <c r="I3245">
        <v>23.74</v>
      </c>
      <c r="J3245">
        <v>23.75</v>
      </c>
      <c r="K3245">
        <v>0.04</v>
      </c>
      <c r="L3245">
        <v>10.63</v>
      </c>
      <c r="M3245" t="s">
        <v>7417</v>
      </c>
      <c r="N3245">
        <v>127.01</v>
      </c>
      <c r="O3245" t="s">
        <v>2309</v>
      </c>
      <c r="P3245">
        <v>23.97</v>
      </c>
      <c r="Q3245">
        <v>23.02</v>
      </c>
      <c r="R3245">
        <v>23.6</v>
      </c>
      <c r="S3245">
        <v>23.65</v>
      </c>
      <c r="T3245">
        <v>4.0199999999999996</v>
      </c>
      <c r="U3245">
        <v>0.92</v>
      </c>
      <c r="V3245">
        <v>79.569999999999993</v>
      </c>
      <c r="W3245">
        <v>1830</v>
      </c>
      <c r="X3245">
        <v>23.53</v>
      </c>
      <c r="Y3245" t="s">
        <v>125</v>
      </c>
      <c r="Z3245" t="s">
        <v>1349</v>
      </c>
      <c r="AA3245">
        <v>0.89</v>
      </c>
      <c r="AB3245">
        <v>2014</v>
      </c>
      <c r="AC3245">
        <v>68</v>
      </c>
      <c r="AD3245">
        <v>6.34</v>
      </c>
      <c r="AE3245" t="s">
        <v>943</v>
      </c>
      <c r="AF3245" t="s">
        <v>2795</v>
      </c>
      <c r="AG3245" t="s">
        <v>6260</v>
      </c>
      <c r="AH3245" t="s">
        <v>5196</v>
      </c>
      <c r="AI3245">
        <v>-1.98</v>
      </c>
      <c r="AJ3245">
        <v>3.04</v>
      </c>
      <c r="AK3245">
        <v>40.69</v>
      </c>
      <c r="AL3245">
        <v>68.48</v>
      </c>
    </row>
    <row r="3246" spans="1:38" x14ac:dyDescent="0.25">
      <c r="A3246">
        <v>3245</v>
      </c>
      <c r="B3246" t="str">
        <f xml:space="preserve"> "000953"</f>
        <v>000953</v>
      </c>
      <c r="C3246" t="s">
        <v>9134</v>
      </c>
      <c r="D3246" t="s">
        <v>616</v>
      </c>
      <c r="E3246" t="s">
        <v>616</v>
      </c>
      <c r="F3246" t="s">
        <v>616</v>
      </c>
      <c r="G3246" t="s">
        <v>616</v>
      </c>
      <c r="H3246" t="s">
        <v>616</v>
      </c>
      <c r="I3246" t="s">
        <v>616</v>
      </c>
      <c r="J3246" t="s">
        <v>616</v>
      </c>
      <c r="K3246" t="s">
        <v>616</v>
      </c>
      <c r="L3246" t="s">
        <v>616</v>
      </c>
      <c r="M3246" t="s">
        <v>616</v>
      </c>
      <c r="N3246">
        <v>60.42</v>
      </c>
      <c r="O3246" t="s">
        <v>1936</v>
      </c>
      <c r="P3246" t="s">
        <v>616</v>
      </c>
      <c r="Q3246" t="s">
        <v>616</v>
      </c>
      <c r="R3246" t="s">
        <v>616</v>
      </c>
      <c r="S3246">
        <v>9.86</v>
      </c>
      <c r="T3246" t="s">
        <v>616</v>
      </c>
      <c r="U3246" t="s">
        <v>616</v>
      </c>
      <c r="V3246" t="s">
        <v>616</v>
      </c>
      <c r="W3246" t="s">
        <v>616</v>
      </c>
      <c r="X3246" t="s">
        <v>616</v>
      </c>
      <c r="Y3246" t="s">
        <v>616</v>
      </c>
      <c r="Z3246" t="s">
        <v>616</v>
      </c>
      <c r="AA3246" t="s">
        <v>616</v>
      </c>
      <c r="AB3246" t="s">
        <v>616</v>
      </c>
      <c r="AC3246" t="s">
        <v>616</v>
      </c>
      <c r="AD3246">
        <v>-45.42</v>
      </c>
      <c r="AE3246" t="s">
        <v>2268</v>
      </c>
      <c r="AF3246" t="s">
        <v>93</v>
      </c>
      <c r="AG3246" t="s">
        <v>2268</v>
      </c>
      <c r="AH3246" t="s">
        <v>93</v>
      </c>
      <c r="AI3246">
        <v>0</v>
      </c>
      <c r="AJ3246">
        <v>0</v>
      </c>
      <c r="AK3246">
        <v>0</v>
      </c>
      <c r="AL3246">
        <v>0</v>
      </c>
    </row>
    <row r="3247" spans="1:38" x14ac:dyDescent="0.25">
      <c r="A3247">
        <v>3246</v>
      </c>
      <c r="B3247" t="str">
        <f xml:space="preserve"> "300586"</f>
        <v>300586</v>
      </c>
      <c r="C3247" t="s">
        <v>9135</v>
      </c>
      <c r="D3247">
        <v>30.17</v>
      </c>
      <c r="E3247">
        <v>1.89</v>
      </c>
      <c r="F3247">
        <v>0.56000000000000005</v>
      </c>
      <c r="G3247" t="s">
        <v>5764</v>
      </c>
      <c r="H3247">
        <v>125</v>
      </c>
      <c r="I3247">
        <v>30.15</v>
      </c>
      <c r="J3247">
        <v>30.17</v>
      </c>
      <c r="K3247">
        <v>0</v>
      </c>
      <c r="L3247">
        <v>5.1100000000000003</v>
      </c>
      <c r="M3247" t="s">
        <v>9136</v>
      </c>
      <c r="N3247">
        <v>55.66</v>
      </c>
      <c r="O3247" t="s">
        <v>667</v>
      </c>
      <c r="P3247">
        <v>30.46</v>
      </c>
      <c r="Q3247">
        <v>29.55</v>
      </c>
      <c r="R3247">
        <v>29.56</v>
      </c>
      <c r="S3247">
        <v>29.61</v>
      </c>
      <c r="T3247">
        <v>3.07</v>
      </c>
      <c r="U3247">
        <v>0.54</v>
      </c>
      <c r="V3247">
        <v>-77.459999999999994</v>
      </c>
      <c r="W3247">
        <v>-729</v>
      </c>
      <c r="X3247">
        <v>30.05</v>
      </c>
      <c r="Y3247">
        <v>5489</v>
      </c>
      <c r="Z3247">
        <v>6778</v>
      </c>
      <c r="AA3247">
        <v>0.81</v>
      </c>
      <c r="AB3247">
        <v>10</v>
      </c>
      <c r="AC3247">
        <v>711</v>
      </c>
      <c r="AD3247">
        <v>5.17</v>
      </c>
      <c r="AE3247" t="s">
        <v>4331</v>
      </c>
      <c r="AF3247" t="s">
        <v>93</v>
      </c>
      <c r="AG3247" t="s">
        <v>6532</v>
      </c>
      <c r="AH3247" t="s">
        <v>3936</v>
      </c>
      <c r="AI3247">
        <v>-1.08</v>
      </c>
      <c r="AJ3247">
        <v>6.8</v>
      </c>
      <c r="AK3247">
        <v>15.78</v>
      </c>
      <c r="AL3247">
        <v>52.59</v>
      </c>
    </row>
    <row r="3248" spans="1:38" x14ac:dyDescent="0.25">
      <c r="A3248">
        <v>3247</v>
      </c>
      <c r="B3248" t="str">
        <f xml:space="preserve"> "002272"</f>
        <v>002272</v>
      </c>
      <c r="C3248" t="s">
        <v>9137</v>
      </c>
      <c r="D3248">
        <v>6.9</v>
      </c>
      <c r="E3248">
        <v>0.28999999999999998</v>
      </c>
      <c r="F3248">
        <v>0.02</v>
      </c>
      <c r="G3248" t="s">
        <v>1960</v>
      </c>
      <c r="H3248">
        <v>411</v>
      </c>
      <c r="I3248">
        <v>6.9</v>
      </c>
      <c r="J3248">
        <v>6.92</v>
      </c>
      <c r="K3248">
        <v>-0.43</v>
      </c>
      <c r="L3248">
        <v>1.21</v>
      </c>
      <c r="M3248" t="s">
        <v>6269</v>
      </c>
      <c r="N3248">
        <v>516.16999999999996</v>
      </c>
      <c r="O3248" t="s">
        <v>648</v>
      </c>
      <c r="P3248">
        <v>6.94</v>
      </c>
      <c r="Q3248">
        <v>6.87</v>
      </c>
      <c r="R3248">
        <v>6.89</v>
      </c>
      <c r="S3248">
        <v>6.88</v>
      </c>
      <c r="T3248">
        <v>1.02</v>
      </c>
      <c r="U3248">
        <v>0.82</v>
      </c>
      <c r="V3248">
        <v>-43.6</v>
      </c>
      <c r="W3248">
        <v>-3304</v>
      </c>
      <c r="X3248">
        <v>6.9</v>
      </c>
      <c r="Y3248" t="s">
        <v>1724</v>
      </c>
      <c r="Z3248" t="s">
        <v>3603</v>
      </c>
      <c r="AA3248">
        <v>1.19</v>
      </c>
      <c r="AB3248">
        <v>698</v>
      </c>
      <c r="AC3248">
        <v>92</v>
      </c>
      <c r="AD3248">
        <v>2.4700000000000002</v>
      </c>
      <c r="AE3248" t="s">
        <v>1893</v>
      </c>
      <c r="AF3248" t="s">
        <v>93</v>
      </c>
      <c r="AG3248" t="s">
        <v>103</v>
      </c>
      <c r="AH3248" t="s">
        <v>662</v>
      </c>
      <c r="AI3248">
        <v>-0.86</v>
      </c>
      <c r="AJ3248">
        <v>2.83</v>
      </c>
      <c r="AK3248">
        <v>4.37</v>
      </c>
      <c r="AL3248">
        <v>8.58</v>
      </c>
    </row>
    <row r="3249" spans="1:38" x14ac:dyDescent="0.25">
      <c r="A3249">
        <v>3248</v>
      </c>
      <c r="B3249" t="str">
        <f xml:space="preserve"> "002205"</f>
        <v>002205</v>
      </c>
      <c r="C3249" t="s">
        <v>9138</v>
      </c>
      <c r="D3249">
        <v>24.92</v>
      </c>
      <c r="E3249">
        <v>0.77</v>
      </c>
      <c r="F3249">
        <v>0.19</v>
      </c>
      <c r="G3249" t="s">
        <v>1153</v>
      </c>
      <c r="H3249">
        <v>372</v>
      </c>
      <c r="I3249">
        <v>24.92</v>
      </c>
      <c r="J3249">
        <v>24.93</v>
      </c>
      <c r="K3249">
        <v>0</v>
      </c>
      <c r="L3249">
        <v>1.21</v>
      </c>
      <c r="M3249" t="s">
        <v>9139</v>
      </c>
      <c r="N3249">
        <v>-308.56</v>
      </c>
      <c r="O3249" t="s">
        <v>562</v>
      </c>
      <c r="P3249">
        <v>24.97</v>
      </c>
      <c r="Q3249">
        <v>24.6</v>
      </c>
      <c r="R3249">
        <v>24.7</v>
      </c>
      <c r="S3249">
        <v>24.73</v>
      </c>
      <c r="T3249">
        <v>1.5</v>
      </c>
      <c r="U3249">
        <v>0.94</v>
      </c>
      <c r="V3249">
        <v>-62.15</v>
      </c>
      <c r="W3249">
        <v>-601</v>
      </c>
      <c r="X3249">
        <v>24.81</v>
      </c>
      <c r="Y3249">
        <v>5911</v>
      </c>
      <c r="Z3249">
        <v>8121</v>
      </c>
      <c r="AA3249">
        <v>0.73</v>
      </c>
      <c r="AB3249">
        <v>13</v>
      </c>
      <c r="AC3249">
        <v>120</v>
      </c>
      <c r="AD3249">
        <v>3.18</v>
      </c>
      <c r="AE3249" t="s">
        <v>2748</v>
      </c>
      <c r="AF3249" t="s">
        <v>863</v>
      </c>
      <c r="AG3249" t="s">
        <v>2748</v>
      </c>
      <c r="AH3249" t="s">
        <v>863</v>
      </c>
      <c r="AI3249">
        <v>0.36</v>
      </c>
      <c r="AJ3249">
        <v>1.51</v>
      </c>
      <c r="AK3249">
        <v>3.42</v>
      </c>
      <c r="AL3249">
        <v>7.64</v>
      </c>
    </row>
    <row r="3250" spans="1:38" x14ac:dyDescent="0.25">
      <c r="A3250">
        <v>3249</v>
      </c>
      <c r="B3250" t="str">
        <f xml:space="preserve"> "300046"</f>
        <v>300046</v>
      </c>
      <c r="C3250" t="s">
        <v>9140</v>
      </c>
      <c r="D3250">
        <v>20.37</v>
      </c>
      <c r="E3250">
        <v>1.04</v>
      </c>
      <c r="F3250">
        <v>0.21</v>
      </c>
      <c r="G3250" t="s">
        <v>712</v>
      </c>
      <c r="H3250">
        <v>518</v>
      </c>
      <c r="I3250">
        <v>20.350000000000001</v>
      </c>
      <c r="J3250">
        <v>20.37</v>
      </c>
      <c r="K3250">
        <v>-0.05</v>
      </c>
      <c r="L3250">
        <v>1.99</v>
      </c>
      <c r="M3250" t="s">
        <v>9141</v>
      </c>
      <c r="N3250">
        <v>53.6</v>
      </c>
      <c r="O3250" t="s">
        <v>380</v>
      </c>
      <c r="P3250">
        <v>20.6</v>
      </c>
      <c r="Q3250">
        <v>20.079999999999998</v>
      </c>
      <c r="R3250">
        <v>20.2</v>
      </c>
      <c r="S3250">
        <v>20.16</v>
      </c>
      <c r="T3250">
        <v>2.58</v>
      </c>
      <c r="U3250">
        <v>0.79</v>
      </c>
      <c r="V3250">
        <v>-38.880000000000003</v>
      </c>
      <c r="W3250">
        <v>-360</v>
      </c>
      <c r="X3250">
        <v>20.329999999999998</v>
      </c>
      <c r="Y3250" t="s">
        <v>5621</v>
      </c>
      <c r="Z3250" t="s">
        <v>3798</v>
      </c>
      <c r="AA3250">
        <v>0.94</v>
      </c>
      <c r="AB3250">
        <v>156</v>
      </c>
      <c r="AC3250">
        <v>122</v>
      </c>
      <c r="AD3250">
        <v>3.56</v>
      </c>
      <c r="AE3250" t="s">
        <v>223</v>
      </c>
      <c r="AF3250" t="s">
        <v>863</v>
      </c>
      <c r="AG3250" t="s">
        <v>223</v>
      </c>
      <c r="AH3250" t="s">
        <v>863</v>
      </c>
      <c r="AI3250">
        <v>-0.2</v>
      </c>
      <c r="AJ3250">
        <v>0.59</v>
      </c>
      <c r="AK3250">
        <v>6.3</v>
      </c>
      <c r="AL3250">
        <v>14.57</v>
      </c>
    </row>
    <row r="3251" spans="1:38" x14ac:dyDescent="0.25">
      <c r="A3251">
        <v>3250</v>
      </c>
      <c r="B3251" t="str">
        <f xml:space="preserve"> "603701"</f>
        <v>603701</v>
      </c>
      <c r="C3251" t="s">
        <v>9142</v>
      </c>
      <c r="D3251" t="s">
        <v>616</v>
      </c>
      <c r="E3251" t="s">
        <v>616</v>
      </c>
      <c r="F3251" t="s">
        <v>616</v>
      </c>
      <c r="G3251" t="s">
        <v>616</v>
      </c>
      <c r="H3251" t="s">
        <v>616</v>
      </c>
      <c r="I3251" t="s">
        <v>616</v>
      </c>
      <c r="J3251" t="s">
        <v>616</v>
      </c>
      <c r="K3251" t="s">
        <v>616</v>
      </c>
      <c r="L3251" t="s">
        <v>616</v>
      </c>
      <c r="M3251" t="s">
        <v>616</v>
      </c>
      <c r="N3251">
        <v>35.68</v>
      </c>
      <c r="O3251" t="s">
        <v>648</v>
      </c>
      <c r="P3251" t="s">
        <v>616</v>
      </c>
      <c r="Q3251" t="s">
        <v>616</v>
      </c>
      <c r="R3251" t="s">
        <v>616</v>
      </c>
      <c r="S3251">
        <v>24.19</v>
      </c>
      <c r="T3251" t="s">
        <v>616</v>
      </c>
      <c r="U3251" t="s">
        <v>616</v>
      </c>
      <c r="V3251" t="s">
        <v>616</v>
      </c>
      <c r="W3251" t="s">
        <v>616</v>
      </c>
      <c r="X3251" t="s">
        <v>616</v>
      </c>
      <c r="Y3251" t="s">
        <v>616</v>
      </c>
      <c r="Z3251" t="s">
        <v>616</v>
      </c>
      <c r="AA3251" t="s">
        <v>616</v>
      </c>
      <c r="AB3251" t="s">
        <v>616</v>
      </c>
      <c r="AC3251" t="s">
        <v>616</v>
      </c>
      <c r="AD3251">
        <v>5.0599999999999996</v>
      </c>
      <c r="AE3251" t="s">
        <v>918</v>
      </c>
      <c r="AF3251" t="s">
        <v>863</v>
      </c>
      <c r="AG3251" t="s">
        <v>9143</v>
      </c>
      <c r="AH3251" t="s">
        <v>1202</v>
      </c>
      <c r="AI3251">
        <v>0</v>
      </c>
      <c r="AJ3251">
        <v>0</v>
      </c>
      <c r="AK3251">
        <v>0</v>
      </c>
      <c r="AL3251">
        <v>1.6</v>
      </c>
    </row>
    <row r="3252" spans="1:38" x14ac:dyDescent="0.25">
      <c r="A3252">
        <v>3251</v>
      </c>
      <c r="B3252" t="str">
        <f xml:space="preserve"> "600980"</f>
        <v>600980</v>
      </c>
      <c r="C3252" t="s">
        <v>9144</v>
      </c>
      <c r="D3252">
        <v>18.989999999999998</v>
      </c>
      <c r="E3252">
        <v>0.64</v>
      </c>
      <c r="F3252">
        <v>0.12</v>
      </c>
      <c r="G3252" t="s">
        <v>6292</v>
      </c>
      <c r="H3252">
        <v>4</v>
      </c>
      <c r="I3252">
        <v>18.98</v>
      </c>
      <c r="J3252">
        <v>18.989999999999998</v>
      </c>
      <c r="K3252">
        <v>-0.11</v>
      </c>
      <c r="L3252">
        <v>1.23</v>
      </c>
      <c r="M3252" t="s">
        <v>6182</v>
      </c>
      <c r="N3252">
        <v>93.47</v>
      </c>
      <c r="O3252" t="s">
        <v>648</v>
      </c>
      <c r="P3252">
        <v>19.079999999999998</v>
      </c>
      <c r="Q3252">
        <v>18.75</v>
      </c>
      <c r="R3252">
        <v>18.850000000000001</v>
      </c>
      <c r="S3252">
        <v>18.87</v>
      </c>
      <c r="T3252">
        <v>1.75</v>
      </c>
      <c r="U3252">
        <v>0.59</v>
      </c>
      <c r="V3252">
        <v>-52.12</v>
      </c>
      <c r="W3252">
        <v>-270</v>
      </c>
      <c r="X3252">
        <v>18.98</v>
      </c>
      <c r="Y3252">
        <v>9069</v>
      </c>
      <c r="Z3252">
        <v>8561</v>
      </c>
      <c r="AA3252">
        <v>1.06</v>
      </c>
      <c r="AB3252">
        <v>13</v>
      </c>
      <c r="AC3252">
        <v>134</v>
      </c>
      <c r="AD3252">
        <v>5.4</v>
      </c>
      <c r="AE3252" t="s">
        <v>2231</v>
      </c>
      <c r="AF3252" t="s">
        <v>863</v>
      </c>
      <c r="AG3252" t="s">
        <v>2327</v>
      </c>
      <c r="AH3252" t="s">
        <v>1030</v>
      </c>
      <c r="AI3252">
        <v>-4.28</v>
      </c>
      <c r="AJ3252">
        <v>-4.67</v>
      </c>
      <c r="AK3252">
        <v>6.36</v>
      </c>
      <c r="AL3252">
        <v>11.63</v>
      </c>
    </row>
    <row r="3253" spans="1:38" x14ac:dyDescent="0.25">
      <c r="A3253">
        <v>3252</v>
      </c>
      <c r="B3253" t="str">
        <f xml:space="preserve"> "600883"</f>
        <v>600883</v>
      </c>
      <c r="C3253" t="s">
        <v>9145</v>
      </c>
      <c r="D3253">
        <v>12.24</v>
      </c>
      <c r="E3253">
        <v>1.75</v>
      </c>
      <c r="F3253">
        <v>0.21</v>
      </c>
      <c r="G3253" t="s">
        <v>4043</v>
      </c>
      <c r="H3253">
        <v>80</v>
      </c>
      <c r="I3253">
        <v>12.19</v>
      </c>
      <c r="J3253">
        <v>12.28</v>
      </c>
      <c r="K3253">
        <v>0.25</v>
      </c>
      <c r="L3253">
        <v>2.19</v>
      </c>
      <c r="M3253" t="s">
        <v>6097</v>
      </c>
      <c r="N3253">
        <v>35.58</v>
      </c>
      <c r="O3253" t="s">
        <v>562</v>
      </c>
      <c r="P3253">
        <v>12.38</v>
      </c>
      <c r="Q3253">
        <v>11.87</v>
      </c>
      <c r="R3253">
        <v>11.92</v>
      </c>
      <c r="S3253">
        <v>12.03</v>
      </c>
      <c r="T3253">
        <v>4.24</v>
      </c>
      <c r="U3253">
        <v>1.91</v>
      </c>
      <c r="V3253">
        <v>56.18</v>
      </c>
      <c r="W3253">
        <v>564</v>
      </c>
      <c r="X3253">
        <v>12.19</v>
      </c>
      <c r="Y3253" t="s">
        <v>3025</v>
      </c>
      <c r="Z3253" t="s">
        <v>2193</v>
      </c>
      <c r="AA3253">
        <v>0.78</v>
      </c>
      <c r="AB3253">
        <v>16</v>
      </c>
      <c r="AC3253">
        <v>22</v>
      </c>
      <c r="AD3253">
        <v>4.28</v>
      </c>
      <c r="AE3253" t="s">
        <v>4080</v>
      </c>
      <c r="AF3253" t="s">
        <v>863</v>
      </c>
      <c r="AG3253" t="s">
        <v>4080</v>
      </c>
      <c r="AH3253" t="s">
        <v>863</v>
      </c>
      <c r="AI3253">
        <v>4.7</v>
      </c>
      <c r="AJ3253">
        <v>9.8699999999999992</v>
      </c>
      <c r="AK3253">
        <v>4.88</v>
      </c>
      <c r="AL3253">
        <v>7.91</v>
      </c>
    </row>
    <row r="3254" spans="1:38" x14ac:dyDescent="0.25">
      <c r="A3254">
        <v>3253</v>
      </c>
      <c r="B3254" t="str">
        <f xml:space="preserve"> "300655"</f>
        <v>300655</v>
      </c>
      <c r="C3254" t="s">
        <v>9146</v>
      </c>
      <c r="D3254">
        <v>32.700000000000003</v>
      </c>
      <c r="E3254">
        <v>-0.52</v>
      </c>
      <c r="F3254">
        <v>-0.17</v>
      </c>
      <c r="G3254" t="s">
        <v>1278</v>
      </c>
      <c r="H3254">
        <v>524</v>
      </c>
      <c r="I3254">
        <v>32.700000000000003</v>
      </c>
      <c r="J3254">
        <v>32.78</v>
      </c>
      <c r="K3254">
        <v>-0.34</v>
      </c>
      <c r="L3254">
        <v>7.34</v>
      </c>
      <c r="M3254" t="s">
        <v>8646</v>
      </c>
      <c r="N3254">
        <v>100.86</v>
      </c>
      <c r="O3254" t="s">
        <v>667</v>
      </c>
      <c r="P3254">
        <v>33.44</v>
      </c>
      <c r="Q3254">
        <v>32.46</v>
      </c>
      <c r="R3254">
        <v>32.590000000000003</v>
      </c>
      <c r="S3254">
        <v>32.869999999999997</v>
      </c>
      <c r="T3254">
        <v>2.98</v>
      </c>
      <c r="U3254">
        <v>0.47</v>
      </c>
      <c r="V3254">
        <v>27.22</v>
      </c>
      <c r="W3254">
        <v>101</v>
      </c>
      <c r="X3254">
        <v>33.01</v>
      </c>
      <c r="Y3254">
        <v>8226</v>
      </c>
      <c r="Z3254">
        <v>7965</v>
      </c>
      <c r="AA3254">
        <v>1.03</v>
      </c>
      <c r="AB3254">
        <v>162</v>
      </c>
      <c r="AC3254">
        <v>4</v>
      </c>
      <c r="AD3254">
        <v>7.08</v>
      </c>
      <c r="AE3254" t="s">
        <v>9147</v>
      </c>
      <c r="AF3254" t="s">
        <v>863</v>
      </c>
      <c r="AG3254" t="s">
        <v>9148</v>
      </c>
      <c r="AH3254" t="s">
        <v>3328</v>
      </c>
      <c r="AI3254">
        <v>-6.84</v>
      </c>
      <c r="AJ3254">
        <v>-4.3899999999999997</v>
      </c>
      <c r="AK3254">
        <v>33.1</v>
      </c>
      <c r="AL3254">
        <v>84.68</v>
      </c>
    </row>
    <row r="3255" spans="1:38" x14ac:dyDescent="0.25">
      <c r="A3255">
        <v>3254</v>
      </c>
      <c r="B3255" t="str">
        <f xml:space="preserve"> "300652"</f>
        <v>300652</v>
      </c>
      <c r="C3255" t="s">
        <v>9149</v>
      </c>
      <c r="D3255">
        <v>32.78</v>
      </c>
      <c r="E3255">
        <v>4.03</v>
      </c>
      <c r="F3255">
        <v>1.27</v>
      </c>
      <c r="G3255" t="s">
        <v>754</v>
      </c>
      <c r="H3255">
        <v>435</v>
      </c>
      <c r="I3255">
        <v>32.78</v>
      </c>
      <c r="J3255">
        <v>32.79</v>
      </c>
      <c r="K3255">
        <v>-0.03</v>
      </c>
      <c r="L3255">
        <v>13.58</v>
      </c>
      <c r="M3255" t="s">
        <v>9150</v>
      </c>
      <c r="N3255">
        <v>40.880000000000003</v>
      </c>
      <c r="O3255" t="s">
        <v>169</v>
      </c>
      <c r="P3255">
        <v>33.58</v>
      </c>
      <c r="Q3255">
        <v>31.39</v>
      </c>
      <c r="R3255">
        <v>31.46</v>
      </c>
      <c r="S3255">
        <v>31.51</v>
      </c>
      <c r="T3255">
        <v>6.95</v>
      </c>
      <c r="U3255">
        <v>2.1</v>
      </c>
      <c r="V3255">
        <v>-3.95</v>
      </c>
      <c r="W3255">
        <v>-18</v>
      </c>
      <c r="X3255">
        <v>32.700000000000003</v>
      </c>
      <c r="Y3255" t="s">
        <v>1821</v>
      </c>
      <c r="Z3255" t="s">
        <v>2968</v>
      </c>
      <c r="AA3255">
        <v>0.82</v>
      </c>
      <c r="AB3255">
        <v>76</v>
      </c>
      <c r="AC3255">
        <v>48</v>
      </c>
      <c r="AD3255">
        <v>4.68</v>
      </c>
      <c r="AE3255" t="s">
        <v>7464</v>
      </c>
      <c r="AF3255" t="s">
        <v>6741</v>
      </c>
      <c r="AG3255" t="s">
        <v>7465</v>
      </c>
      <c r="AH3255" t="s">
        <v>3328</v>
      </c>
      <c r="AI3255">
        <v>1.96</v>
      </c>
      <c r="AJ3255">
        <v>7.02</v>
      </c>
      <c r="AK3255">
        <v>26.95</v>
      </c>
      <c r="AL3255">
        <v>46.01</v>
      </c>
    </row>
    <row r="3256" spans="1:38" x14ac:dyDescent="0.25">
      <c r="A3256">
        <v>3255</v>
      </c>
      <c r="B3256" t="str">
        <f xml:space="preserve"> "002862"</f>
        <v>002862</v>
      </c>
      <c r="C3256" t="s">
        <v>9151</v>
      </c>
      <c r="D3256">
        <v>36.020000000000003</v>
      </c>
      <c r="E3256">
        <v>5.94</v>
      </c>
      <c r="F3256">
        <v>2.02</v>
      </c>
      <c r="G3256" t="s">
        <v>713</v>
      </c>
      <c r="H3256">
        <v>481</v>
      </c>
      <c r="I3256">
        <v>36.01</v>
      </c>
      <c r="J3256">
        <v>36.020000000000003</v>
      </c>
      <c r="K3256">
        <v>0</v>
      </c>
      <c r="L3256">
        <v>8.48</v>
      </c>
      <c r="M3256" t="s">
        <v>7711</v>
      </c>
      <c r="N3256">
        <v>83.47</v>
      </c>
      <c r="O3256" t="s">
        <v>807</v>
      </c>
      <c r="P3256">
        <v>37.299999999999997</v>
      </c>
      <c r="Q3256">
        <v>33.409999999999997</v>
      </c>
      <c r="R3256">
        <v>33.979999999999997</v>
      </c>
      <c r="S3256">
        <v>34</v>
      </c>
      <c r="T3256">
        <v>11.44</v>
      </c>
      <c r="U3256">
        <v>2.2999999999999998</v>
      </c>
      <c r="V3256">
        <v>23.02</v>
      </c>
      <c r="W3256">
        <v>180</v>
      </c>
      <c r="X3256">
        <v>35.47</v>
      </c>
      <c r="Y3256">
        <v>6862</v>
      </c>
      <c r="Z3256" t="s">
        <v>1685</v>
      </c>
      <c r="AA3256">
        <v>0.68</v>
      </c>
      <c r="AB3256">
        <v>34</v>
      </c>
      <c r="AC3256">
        <v>187</v>
      </c>
      <c r="AD3256">
        <v>5.59</v>
      </c>
      <c r="AE3256" t="s">
        <v>5802</v>
      </c>
      <c r="AF3256" t="s">
        <v>6741</v>
      </c>
      <c r="AG3256" t="s">
        <v>5562</v>
      </c>
      <c r="AH3256" t="s">
        <v>4658</v>
      </c>
      <c r="AI3256">
        <v>4.5599999999999996</v>
      </c>
      <c r="AJ3256">
        <v>12.56</v>
      </c>
      <c r="AK3256">
        <v>18.899999999999999</v>
      </c>
      <c r="AL3256">
        <v>26.94</v>
      </c>
    </row>
    <row r="3257" spans="1:38" x14ac:dyDescent="0.25">
      <c r="A3257">
        <v>3256</v>
      </c>
      <c r="B3257" t="str">
        <f xml:space="preserve"> "600213"</f>
        <v>600213</v>
      </c>
      <c r="C3257" t="s">
        <v>9152</v>
      </c>
      <c r="D3257">
        <v>13.09</v>
      </c>
      <c r="E3257">
        <v>-5.56</v>
      </c>
      <c r="F3257">
        <v>-0.77</v>
      </c>
      <c r="G3257" t="s">
        <v>194</v>
      </c>
      <c r="H3257">
        <v>29</v>
      </c>
      <c r="I3257">
        <v>13.1</v>
      </c>
      <c r="J3257">
        <v>13.11</v>
      </c>
      <c r="K3257">
        <v>0.31</v>
      </c>
      <c r="L3257">
        <v>5.66</v>
      </c>
      <c r="M3257" t="s">
        <v>3697</v>
      </c>
      <c r="N3257">
        <v>104.58</v>
      </c>
      <c r="O3257" t="s">
        <v>169</v>
      </c>
      <c r="P3257">
        <v>13.73</v>
      </c>
      <c r="Q3257">
        <v>12.96</v>
      </c>
      <c r="R3257">
        <v>13.51</v>
      </c>
      <c r="S3257">
        <v>13.86</v>
      </c>
      <c r="T3257">
        <v>5.56</v>
      </c>
      <c r="U3257">
        <v>0.72</v>
      </c>
      <c r="V3257">
        <v>71.02</v>
      </c>
      <c r="W3257">
        <v>495</v>
      </c>
      <c r="X3257">
        <v>13.29</v>
      </c>
      <c r="Y3257" t="s">
        <v>942</v>
      </c>
      <c r="Z3257" t="s">
        <v>953</v>
      </c>
      <c r="AA3257">
        <v>1.71</v>
      </c>
      <c r="AB3257">
        <v>103</v>
      </c>
      <c r="AC3257">
        <v>18</v>
      </c>
      <c r="AD3257">
        <v>19.87</v>
      </c>
      <c r="AE3257" t="s">
        <v>2151</v>
      </c>
      <c r="AF3257" t="s">
        <v>6741</v>
      </c>
      <c r="AG3257" t="s">
        <v>2151</v>
      </c>
      <c r="AH3257" t="s">
        <v>6741</v>
      </c>
      <c r="AI3257">
        <v>-8.08</v>
      </c>
      <c r="AJ3257">
        <v>-4.87</v>
      </c>
      <c r="AK3257">
        <v>17.09</v>
      </c>
      <c r="AL3257">
        <v>45.2</v>
      </c>
    </row>
    <row r="3258" spans="1:38" x14ac:dyDescent="0.25">
      <c r="A3258">
        <v>3257</v>
      </c>
      <c r="B3258" t="str">
        <f xml:space="preserve"> "002058"</f>
        <v>002058</v>
      </c>
      <c r="C3258" t="s">
        <v>9153</v>
      </c>
      <c r="D3258">
        <v>20.059999999999999</v>
      </c>
      <c r="E3258">
        <v>0.3</v>
      </c>
      <c r="F3258">
        <v>0.06</v>
      </c>
      <c r="G3258">
        <v>8777</v>
      </c>
      <c r="H3258">
        <v>38</v>
      </c>
      <c r="I3258">
        <v>20.059999999999999</v>
      </c>
      <c r="J3258">
        <v>20.07</v>
      </c>
      <c r="K3258">
        <v>0.3</v>
      </c>
      <c r="L3258">
        <v>0.61</v>
      </c>
      <c r="M3258" t="s">
        <v>9154</v>
      </c>
      <c r="N3258">
        <v>-312.07</v>
      </c>
      <c r="O3258" t="s">
        <v>1372</v>
      </c>
      <c r="P3258">
        <v>20.16</v>
      </c>
      <c r="Q3258">
        <v>18.149999999999999</v>
      </c>
      <c r="R3258">
        <v>20.149999999999999</v>
      </c>
      <c r="S3258">
        <v>20</v>
      </c>
      <c r="T3258">
        <v>10.050000000000001</v>
      </c>
      <c r="U3258">
        <v>1.74</v>
      </c>
      <c r="V3258">
        <v>-79.03</v>
      </c>
      <c r="W3258">
        <v>-897</v>
      </c>
      <c r="X3258">
        <v>20.02</v>
      </c>
      <c r="Y3258">
        <v>4750</v>
      </c>
      <c r="Z3258">
        <v>4027</v>
      </c>
      <c r="AA3258">
        <v>1.18</v>
      </c>
      <c r="AB3258">
        <v>4</v>
      </c>
      <c r="AC3258">
        <v>106</v>
      </c>
      <c r="AD3258">
        <v>15.97</v>
      </c>
      <c r="AE3258" t="s">
        <v>2327</v>
      </c>
      <c r="AF3258" t="s">
        <v>6741</v>
      </c>
      <c r="AG3258" t="s">
        <v>2327</v>
      </c>
      <c r="AH3258" t="s">
        <v>6741</v>
      </c>
      <c r="AI3258">
        <v>-0.3</v>
      </c>
      <c r="AJ3258">
        <v>4.53</v>
      </c>
      <c r="AK3258">
        <v>1.25</v>
      </c>
      <c r="AL3258">
        <v>2.38</v>
      </c>
    </row>
    <row r="3259" spans="1:38" x14ac:dyDescent="0.25">
      <c r="A3259">
        <v>3258</v>
      </c>
      <c r="B3259" t="str">
        <f xml:space="preserve"> "600247"</f>
        <v>600247</v>
      </c>
      <c r="C3259" t="s">
        <v>9155</v>
      </c>
      <c r="D3259">
        <v>8.5299999999999994</v>
      </c>
      <c r="E3259">
        <v>-0.7</v>
      </c>
      <c r="F3259">
        <v>-0.06</v>
      </c>
      <c r="G3259" t="s">
        <v>2089</v>
      </c>
      <c r="H3259">
        <v>166</v>
      </c>
      <c r="I3259">
        <v>8.51</v>
      </c>
      <c r="J3259">
        <v>8.52</v>
      </c>
      <c r="K3259">
        <v>-0.35</v>
      </c>
      <c r="L3259">
        <v>0.36</v>
      </c>
      <c r="M3259" t="s">
        <v>9156</v>
      </c>
      <c r="N3259">
        <v>-4.3499999999999996</v>
      </c>
      <c r="O3259" t="s">
        <v>532</v>
      </c>
      <c r="P3259">
        <v>8.6</v>
      </c>
      <c r="Q3259">
        <v>8.4600000000000009</v>
      </c>
      <c r="R3259">
        <v>8.59</v>
      </c>
      <c r="S3259">
        <v>8.59</v>
      </c>
      <c r="T3259">
        <v>1.63</v>
      </c>
      <c r="U3259">
        <v>0.93</v>
      </c>
      <c r="V3259">
        <v>42.93</v>
      </c>
      <c r="W3259">
        <v>951</v>
      </c>
      <c r="X3259">
        <v>8.52</v>
      </c>
      <c r="Y3259">
        <v>7132</v>
      </c>
      <c r="Z3259">
        <v>4856</v>
      </c>
      <c r="AA3259">
        <v>1.47</v>
      </c>
      <c r="AB3259">
        <v>1014</v>
      </c>
      <c r="AC3259">
        <v>334</v>
      </c>
      <c r="AD3259">
        <v>-11.26</v>
      </c>
      <c r="AE3259" t="s">
        <v>1512</v>
      </c>
      <c r="AF3259" t="s">
        <v>939</v>
      </c>
      <c r="AG3259" t="s">
        <v>1512</v>
      </c>
      <c r="AH3259" t="s">
        <v>939</v>
      </c>
      <c r="AI3259">
        <v>-0.47</v>
      </c>
      <c r="AJ3259">
        <v>0.71</v>
      </c>
      <c r="AK3259">
        <v>1.1399999999999999</v>
      </c>
      <c r="AL3259">
        <v>2.2799999999999998</v>
      </c>
    </row>
    <row r="3260" spans="1:38" x14ac:dyDescent="0.25">
      <c r="A3260">
        <v>3259</v>
      </c>
      <c r="B3260" t="str">
        <f xml:space="preserve"> "300576"</f>
        <v>300576</v>
      </c>
      <c r="C3260" t="s">
        <v>9157</v>
      </c>
      <c r="D3260">
        <v>23.91</v>
      </c>
      <c r="E3260">
        <v>2.1800000000000002</v>
      </c>
      <c r="F3260">
        <v>0.51</v>
      </c>
      <c r="G3260" t="s">
        <v>3950</v>
      </c>
      <c r="H3260">
        <v>318</v>
      </c>
      <c r="I3260">
        <v>23.9</v>
      </c>
      <c r="J3260">
        <v>23.91</v>
      </c>
      <c r="K3260">
        <v>0.08</v>
      </c>
      <c r="L3260">
        <v>5.13</v>
      </c>
      <c r="M3260" t="s">
        <v>9158</v>
      </c>
      <c r="N3260">
        <v>76.760000000000005</v>
      </c>
      <c r="O3260" t="s">
        <v>667</v>
      </c>
      <c r="P3260">
        <v>24.28</v>
      </c>
      <c r="Q3260">
        <v>23.31</v>
      </c>
      <c r="R3260">
        <v>23.42</v>
      </c>
      <c r="S3260">
        <v>23.4</v>
      </c>
      <c r="T3260">
        <v>4.1500000000000004</v>
      </c>
      <c r="U3260">
        <v>0.86</v>
      </c>
      <c r="V3260">
        <v>26.48</v>
      </c>
      <c r="W3260">
        <v>101</v>
      </c>
      <c r="X3260">
        <v>23.93</v>
      </c>
      <c r="Y3260">
        <v>6553</v>
      </c>
      <c r="Z3260">
        <v>8840</v>
      </c>
      <c r="AA3260">
        <v>0.74</v>
      </c>
      <c r="AB3260">
        <v>78</v>
      </c>
      <c r="AC3260">
        <v>33</v>
      </c>
      <c r="AD3260">
        <v>7.37</v>
      </c>
      <c r="AE3260" t="s">
        <v>918</v>
      </c>
      <c r="AF3260" t="s">
        <v>939</v>
      </c>
      <c r="AG3260" t="s">
        <v>3067</v>
      </c>
      <c r="AH3260" t="s">
        <v>3478</v>
      </c>
      <c r="AI3260">
        <v>-1.28</v>
      </c>
      <c r="AJ3260">
        <v>-1.6</v>
      </c>
      <c r="AK3260">
        <v>15.25</v>
      </c>
      <c r="AL3260">
        <v>34.840000000000003</v>
      </c>
    </row>
    <row r="3261" spans="1:38" x14ac:dyDescent="0.25">
      <c r="A3261">
        <v>3260</v>
      </c>
      <c r="B3261" t="str">
        <f xml:space="preserve"> "600156"</f>
        <v>600156</v>
      </c>
      <c r="C3261" t="s">
        <v>9159</v>
      </c>
      <c r="D3261">
        <v>7.13</v>
      </c>
      <c r="E3261">
        <v>0.42</v>
      </c>
      <c r="F3261">
        <v>0.03</v>
      </c>
      <c r="G3261" t="s">
        <v>3798</v>
      </c>
      <c r="H3261">
        <v>68</v>
      </c>
      <c r="I3261">
        <v>7.13</v>
      </c>
      <c r="J3261">
        <v>7.14</v>
      </c>
      <c r="K3261">
        <v>0.14000000000000001</v>
      </c>
      <c r="L3261">
        <v>0.36</v>
      </c>
      <c r="M3261" t="s">
        <v>9160</v>
      </c>
      <c r="N3261">
        <v>-43.53</v>
      </c>
      <c r="O3261" t="s">
        <v>1443</v>
      </c>
      <c r="P3261">
        <v>7.13</v>
      </c>
      <c r="Q3261">
        <v>7.05</v>
      </c>
      <c r="R3261">
        <v>7.1</v>
      </c>
      <c r="S3261">
        <v>7.1</v>
      </c>
      <c r="T3261">
        <v>1.1299999999999999</v>
      </c>
      <c r="U3261">
        <v>0.76</v>
      </c>
      <c r="V3261">
        <v>59.39</v>
      </c>
      <c r="W3261">
        <v>1705</v>
      </c>
      <c r="X3261">
        <v>7.09</v>
      </c>
      <c r="Y3261">
        <v>8827</v>
      </c>
      <c r="Z3261">
        <v>5805</v>
      </c>
      <c r="AA3261">
        <v>1.52</v>
      </c>
      <c r="AB3261">
        <v>80</v>
      </c>
      <c r="AC3261">
        <v>102</v>
      </c>
      <c r="AD3261">
        <v>4.24</v>
      </c>
      <c r="AE3261" t="s">
        <v>2640</v>
      </c>
      <c r="AF3261" t="s">
        <v>939</v>
      </c>
      <c r="AG3261" t="s">
        <v>2640</v>
      </c>
      <c r="AH3261" t="s">
        <v>939</v>
      </c>
      <c r="AI3261">
        <v>-0.83</v>
      </c>
      <c r="AJ3261">
        <v>3.48</v>
      </c>
      <c r="AK3261">
        <v>1.3</v>
      </c>
      <c r="AL3261">
        <v>2.74</v>
      </c>
    </row>
    <row r="3262" spans="1:38" x14ac:dyDescent="0.25">
      <c r="A3262">
        <v>3261</v>
      </c>
      <c r="B3262" t="str">
        <f xml:space="preserve"> "600371"</f>
        <v>600371</v>
      </c>
      <c r="C3262" t="s">
        <v>9161</v>
      </c>
      <c r="D3262">
        <v>12.71</v>
      </c>
      <c r="E3262">
        <v>-0.63</v>
      </c>
      <c r="F3262">
        <v>-0.08</v>
      </c>
      <c r="G3262" t="s">
        <v>2932</v>
      </c>
      <c r="H3262">
        <v>27</v>
      </c>
      <c r="I3262">
        <v>12.73</v>
      </c>
      <c r="J3262">
        <v>12.74</v>
      </c>
      <c r="K3262">
        <v>0</v>
      </c>
      <c r="L3262">
        <v>1.02</v>
      </c>
      <c r="M3262" t="s">
        <v>9162</v>
      </c>
      <c r="N3262">
        <v>55.23</v>
      </c>
      <c r="O3262" t="s">
        <v>622</v>
      </c>
      <c r="P3262">
        <v>12.83</v>
      </c>
      <c r="Q3262">
        <v>12.53</v>
      </c>
      <c r="R3262">
        <v>12.83</v>
      </c>
      <c r="S3262">
        <v>12.79</v>
      </c>
      <c r="T3262">
        <v>2.35</v>
      </c>
      <c r="U3262">
        <v>0.78</v>
      </c>
      <c r="V3262">
        <v>12.58</v>
      </c>
      <c r="W3262">
        <v>80</v>
      </c>
      <c r="X3262">
        <v>12.68</v>
      </c>
      <c r="Y3262" t="s">
        <v>545</v>
      </c>
      <c r="Z3262" t="s">
        <v>4791</v>
      </c>
      <c r="AA3262">
        <v>1.28</v>
      </c>
      <c r="AB3262">
        <v>10</v>
      </c>
      <c r="AC3262">
        <v>49</v>
      </c>
      <c r="AD3262">
        <v>6.54</v>
      </c>
      <c r="AE3262" t="s">
        <v>845</v>
      </c>
      <c r="AF3262" t="s">
        <v>3668</v>
      </c>
      <c r="AG3262" t="s">
        <v>845</v>
      </c>
      <c r="AH3262" t="s">
        <v>3668</v>
      </c>
      <c r="AI3262">
        <v>-2.5299999999999998</v>
      </c>
      <c r="AJ3262">
        <v>3.67</v>
      </c>
      <c r="AK3262">
        <v>3.17</v>
      </c>
      <c r="AL3262">
        <v>7.57</v>
      </c>
    </row>
    <row r="3263" spans="1:38" x14ac:dyDescent="0.25">
      <c r="A3263">
        <v>3262</v>
      </c>
      <c r="B3263" t="str">
        <f xml:space="preserve"> "002883"</f>
        <v>002883</v>
      </c>
      <c r="C3263" t="s">
        <v>9163</v>
      </c>
      <c r="D3263">
        <v>53.55</v>
      </c>
      <c r="E3263">
        <v>2.66</v>
      </c>
      <c r="F3263">
        <v>1.39</v>
      </c>
      <c r="G3263" t="s">
        <v>1349</v>
      </c>
      <c r="H3263">
        <v>210</v>
      </c>
      <c r="I3263">
        <v>53.54</v>
      </c>
      <c r="J3263">
        <v>53.55</v>
      </c>
      <c r="K3263">
        <v>-7.0000000000000007E-2</v>
      </c>
      <c r="L3263">
        <v>12.89</v>
      </c>
      <c r="M3263" t="s">
        <v>9164</v>
      </c>
      <c r="N3263">
        <v>68.099999999999994</v>
      </c>
      <c r="O3263" t="s">
        <v>263</v>
      </c>
      <c r="P3263">
        <v>54.63</v>
      </c>
      <c r="Q3263">
        <v>52.1</v>
      </c>
      <c r="R3263">
        <v>52.35</v>
      </c>
      <c r="S3263">
        <v>52.16</v>
      </c>
      <c r="T3263">
        <v>4.8499999999999996</v>
      </c>
      <c r="U3263">
        <v>1.57</v>
      </c>
      <c r="V3263">
        <v>-47.14</v>
      </c>
      <c r="W3263">
        <v>-132</v>
      </c>
      <c r="X3263">
        <v>53.6</v>
      </c>
      <c r="Y3263">
        <v>7765</v>
      </c>
      <c r="Z3263">
        <v>9424</v>
      </c>
      <c r="AA3263">
        <v>0.82</v>
      </c>
      <c r="AB3263">
        <v>2</v>
      </c>
      <c r="AC3263">
        <v>3</v>
      </c>
      <c r="AD3263">
        <v>8.11</v>
      </c>
      <c r="AE3263" t="s">
        <v>7962</v>
      </c>
      <c r="AF3263" t="s">
        <v>3668</v>
      </c>
      <c r="AG3263" t="s">
        <v>9165</v>
      </c>
      <c r="AH3263" t="s">
        <v>4052</v>
      </c>
      <c r="AI3263">
        <v>1.42</v>
      </c>
      <c r="AJ3263">
        <v>5.62</v>
      </c>
      <c r="AK3263">
        <v>29.44</v>
      </c>
      <c r="AL3263">
        <v>53.99</v>
      </c>
    </row>
    <row r="3264" spans="1:38" x14ac:dyDescent="0.25">
      <c r="A3264">
        <v>3263</v>
      </c>
      <c r="B3264" t="str">
        <f xml:space="preserve"> "300656"</f>
        <v>300656</v>
      </c>
      <c r="C3264" t="s">
        <v>9166</v>
      </c>
      <c r="D3264">
        <v>47.46</v>
      </c>
      <c r="E3264">
        <v>-2.33</v>
      </c>
      <c r="F3264">
        <v>-1.1299999999999999</v>
      </c>
      <c r="G3264" t="s">
        <v>2459</v>
      </c>
      <c r="H3264">
        <v>275</v>
      </c>
      <c r="I3264">
        <v>47.46</v>
      </c>
      <c r="J3264">
        <v>47.47</v>
      </c>
      <c r="K3264">
        <v>0.02</v>
      </c>
      <c r="L3264">
        <v>20.68</v>
      </c>
      <c r="M3264" t="s">
        <v>3154</v>
      </c>
      <c r="N3264">
        <v>77.430000000000007</v>
      </c>
      <c r="O3264" t="s">
        <v>553</v>
      </c>
      <c r="P3264">
        <v>47.47</v>
      </c>
      <c r="Q3264">
        <v>45.21</v>
      </c>
      <c r="R3264">
        <v>46.8</v>
      </c>
      <c r="S3264">
        <v>48.59</v>
      </c>
      <c r="T3264">
        <v>4.6500000000000004</v>
      </c>
      <c r="U3264">
        <v>1.4</v>
      </c>
      <c r="V3264">
        <v>76.56</v>
      </c>
      <c r="W3264">
        <v>418</v>
      </c>
      <c r="X3264">
        <v>46.75</v>
      </c>
      <c r="Y3264" t="s">
        <v>3519</v>
      </c>
      <c r="Z3264" t="s">
        <v>530</v>
      </c>
      <c r="AA3264">
        <v>1.08</v>
      </c>
      <c r="AB3264">
        <v>240</v>
      </c>
      <c r="AC3264">
        <v>17</v>
      </c>
      <c r="AD3264">
        <v>7.25</v>
      </c>
      <c r="AE3264" t="s">
        <v>5162</v>
      </c>
      <c r="AF3264" t="s">
        <v>7674</v>
      </c>
      <c r="AG3264" t="s">
        <v>7030</v>
      </c>
      <c r="AH3264" t="s">
        <v>4034</v>
      </c>
      <c r="AI3264">
        <v>-5.89</v>
      </c>
      <c r="AJ3264">
        <v>-0.46</v>
      </c>
      <c r="AK3264">
        <v>55.04</v>
      </c>
      <c r="AL3264">
        <v>94.73</v>
      </c>
    </row>
    <row r="3265" spans="1:38" x14ac:dyDescent="0.25">
      <c r="A3265">
        <v>3264</v>
      </c>
      <c r="B3265" t="str">
        <f xml:space="preserve"> "002420"</f>
        <v>002420</v>
      </c>
      <c r="C3265" t="s">
        <v>9167</v>
      </c>
      <c r="D3265">
        <v>7.1</v>
      </c>
      <c r="E3265">
        <v>0.28000000000000003</v>
      </c>
      <c r="F3265">
        <v>0.02</v>
      </c>
      <c r="G3265" t="s">
        <v>2126</v>
      </c>
      <c r="H3265">
        <v>149</v>
      </c>
      <c r="I3265">
        <v>7.09</v>
      </c>
      <c r="J3265">
        <v>7.1</v>
      </c>
      <c r="K3265">
        <v>0</v>
      </c>
      <c r="L3265">
        <v>0.46</v>
      </c>
      <c r="M3265" t="s">
        <v>9168</v>
      </c>
      <c r="N3265">
        <v>-27.18</v>
      </c>
      <c r="O3265" t="s">
        <v>2128</v>
      </c>
      <c r="P3265">
        <v>7.1</v>
      </c>
      <c r="Q3265">
        <v>7.02</v>
      </c>
      <c r="R3265">
        <v>7.04</v>
      </c>
      <c r="S3265">
        <v>7.08</v>
      </c>
      <c r="T3265">
        <v>1.1299999999999999</v>
      </c>
      <c r="U3265">
        <v>0.81</v>
      </c>
      <c r="V3265">
        <v>-78.209999999999994</v>
      </c>
      <c r="W3265">
        <v>-4493</v>
      </c>
      <c r="X3265">
        <v>7.07</v>
      </c>
      <c r="Y3265">
        <v>7600</v>
      </c>
      <c r="Z3265" t="s">
        <v>2800</v>
      </c>
      <c r="AA3265">
        <v>0.72</v>
      </c>
      <c r="AB3265">
        <v>141</v>
      </c>
      <c r="AC3265">
        <v>2113</v>
      </c>
      <c r="AD3265">
        <v>1.77</v>
      </c>
      <c r="AE3265" t="s">
        <v>1922</v>
      </c>
      <c r="AF3265" t="s">
        <v>7674</v>
      </c>
      <c r="AG3265" t="s">
        <v>4560</v>
      </c>
      <c r="AH3265" t="s">
        <v>7198</v>
      </c>
      <c r="AI3265">
        <v>1.43</v>
      </c>
      <c r="AJ3265">
        <v>5.5</v>
      </c>
      <c r="AK3265">
        <v>1.82</v>
      </c>
      <c r="AL3265">
        <v>3.33</v>
      </c>
    </row>
    <row r="3266" spans="1:38" x14ac:dyDescent="0.25">
      <c r="A3266">
        <v>3265</v>
      </c>
      <c r="B3266" t="str">
        <f xml:space="preserve"> "002810"</f>
        <v>002810</v>
      </c>
      <c r="C3266" t="s">
        <v>9169</v>
      </c>
      <c r="D3266">
        <v>29.79</v>
      </c>
      <c r="E3266">
        <v>2.94</v>
      </c>
      <c r="F3266">
        <v>0.85</v>
      </c>
      <c r="G3266" t="s">
        <v>3238</v>
      </c>
      <c r="H3266">
        <v>354</v>
      </c>
      <c r="I3266">
        <v>29.78</v>
      </c>
      <c r="J3266">
        <v>29.79</v>
      </c>
      <c r="K3266">
        <v>0</v>
      </c>
      <c r="L3266">
        <v>3.56</v>
      </c>
      <c r="M3266" t="s">
        <v>9170</v>
      </c>
      <c r="N3266">
        <v>50.72</v>
      </c>
      <c r="O3266" t="s">
        <v>667</v>
      </c>
      <c r="P3266">
        <v>29.85</v>
      </c>
      <c r="Q3266">
        <v>28.77</v>
      </c>
      <c r="R3266">
        <v>28.77</v>
      </c>
      <c r="S3266">
        <v>28.94</v>
      </c>
      <c r="T3266">
        <v>3.73</v>
      </c>
      <c r="U3266">
        <v>2.57</v>
      </c>
      <c r="V3266">
        <v>-73.72</v>
      </c>
      <c r="W3266">
        <v>-561</v>
      </c>
      <c r="X3266">
        <v>29.54</v>
      </c>
      <c r="Y3266">
        <v>6786</v>
      </c>
      <c r="Z3266" t="s">
        <v>1869</v>
      </c>
      <c r="AA3266">
        <v>0.59</v>
      </c>
      <c r="AB3266">
        <v>38</v>
      </c>
      <c r="AC3266">
        <v>62</v>
      </c>
      <c r="AD3266">
        <v>4.38</v>
      </c>
      <c r="AE3266" t="s">
        <v>9171</v>
      </c>
      <c r="AF3266" t="s">
        <v>7674</v>
      </c>
      <c r="AG3266" t="s">
        <v>9172</v>
      </c>
      <c r="AH3266" t="s">
        <v>1225</v>
      </c>
      <c r="AI3266">
        <v>1.53</v>
      </c>
      <c r="AJ3266">
        <v>5.3</v>
      </c>
      <c r="AK3266">
        <v>6.46</v>
      </c>
      <c r="AL3266">
        <v>10.48</v>
      </c>
    </row>
    <row r="3267" spans="1:38" x14ac:dyDescent="0.25">
      <c r="A3267">
        <v>3266</v>
      </c>
      <c r="B3267" t="str">
        <f xml:space="preserve"> "002886"</f>
        <v>002886</v>
      </c>
      <c r="C3267" t="s">
        <v>9173</v>
      </c>
      <c r="D3267">
        <v>36.200000000000003</v>
      </c>
      <c r="E3267">
        <v>1.51</v>
      </c>
      <c r="F3267">
        <v>0.54</v>
      </c>
      <c r="G3267" t="s">
        <v>1579</v>
      </c>
      <c r="H3267">
        <v>309</v>
      </c>
      <c r="I3267">
        <v>36.200000000000003</v>
      </c>
      <c r="J3267">
        <v>36.21</v>
      </c>
      <c r="K3267">
        <v>-0.08</v>
      </c>
      <c r="L3267">
        <v>6.98</v>
      </c>
      <c r="M3267" t="s">
        <v>9174</v>
      </c>
      <c r="N3267">
        <v>80.13</v>
      </c>
      <c r="O3267" t="s">
        <v>2128</v>
      </c>
      <c r="P3267">
        <v>36.5</v>
      </c>
      <c r="Q3267">
        <v>35.549999999999997</v>
      </c>
      <c r="R3267">
        <v>35.71</v>
      </c>
      <c r="S3267">
        <v>35.659999999999997</v>
      </c>
      <c r="T3267">
        <v>2.66</v>
      </c>
      <c r="U3267">
        <v>0.48</v>
      </c>
      <c r="V3267">
        <v>-4.92</v>
      </c>
      <c r="W3267">
        <v>-9</v>
      </c>
      <c r="X3267">
        <v>36.159999999999997</v>
      </c>
      <c r="Y3267">
        <v>7021</v>
      </c>
      <c r="Z3267">
        <v>6662</v>
      </c>
      <c r="AA3267">
        <v>1.05</v>
      </c>
      <c r="AB3267">
        <v>14</v>
      </c>
      <c r="AC3267">
        <v>33</v>
      </c>
      <c r="AD3267">
        <v>4.7</v>
      </c>
      <c r="AE3267" t="s">
        <v>7956</v>
      </c>
      <c r="AF3267" t="s">
        <v>2104</v>
      </c>
      <c r="AG3267" t="s">
        <v>8967</v>
      </c>
      <c r="AH3267" t="s">
        <v>6054</v>
      </c>
      <c r="AI3267">
        <v>-8.2799999999999994</v>
      </c>
      <c r="AJ3267">
        <v>-7.32</v>
      </c>
      <c r="AK3267">
        <v>39.270000000000003</v>
      </c>
      <c r="AL3267">
        <v>79.73</v>
      </c>
    </row>
    <row r="3268" spans="1:38" x14ac:dyDescent="0.25">
      <c r="A3268">
        <v>3267</v>
      </c>
      <c r="B3268" t="str">
        <f xml:space="preserve"> "300637"</f>
        <v>300637</v>
      </c>
      <c r="C3268" t="s">
        <v>9175</v>
      </c>
      <c r="D3268">
        <v>23.65</v>
      </c>
      <c r="E3268">
        <v>3.37</v>
      </c>
      <c r="F3268">
        <v>0.77</v>
      </c>
      <c r="G3268" t="s">
        <v>2962</v>
      </c>
      <c r="H3268">
        <v>589</v>
      </c>
      <c r="I3268">
        <v>23.65</v>
      </c>
      <c r="J3268">
        <v>23.67</v>
      </c>
      <c r="K3268">
        <v>0</v>
      </c>
      <c r="L3268">
        <v>16.3</v>
      </c>
      <c r="M3268" t="s">
        <v>485</v>
      </c>
      <c r="N3268">
        <v>60.13</v>
      </c>
      <c r="O3268" t="s">
        <v>667</v>
      </c>
      <c r="P3268">
        <v>24.12</v>
      </c>
      <c r="Q3268">
        <v>22.78</v>
      </c>
      <c r="R3268">
        <v>22.85</v>
      </c>
      <c r="S3268">
        <v>22.88</v>
      </c>
      <c r="T3268">
        <v>5.86</v>
      </c>
      <c r="U3268">
        <v>3.98</v>
      </c>
      <c r="V3268">
        <v>61.03</v>
      </c>
      <c r="W3268">
        <v>498</v>
      </c>
      <c r="X3268">
        <v>23.61</v>
      </c>
      <c r="Y3268" t="s">
        <v>3892</v>
      </c>
      <c r="Z3268" t="s">
        <v>1949</v>
      </c>
      <c r="AA3268">
        <v>0.67</v>
      </c>
      <c r="AB3268">
        <v>18</v>
      </c>
      <c r="AC3268">
        <v>20</v>
      </c>
      <c r="AD3268">
        <v>5.95</v>
      </c>
      <c r="AE3268" t="s">
        <v>918</v>
      </c>
      <c r="AF3268" t="s">
        <v>2104</v>
      </c>
      <c r="AG3268" t="s">
        <v>3067</v>
      </c>
      <c r="AH3268" t="s">
        <v>2746</v>
      </c>
      <c r="AI3268">
        <v>2.74</v>
      </c>
      <c r="AJ3268">
        <v>6.58</v>
      </c>
      <c r="AK3268">
        <v>25.66</v>
      </c>
      <c r="AL3268">
        <v>36.76</v>
      </c>
    </row>
    <row r="3269" spans="1:38" x14ac:dyDescent="0.25">
      <c r="A3269">
        <v>3268</v>
      </c>
      <c r="B3269" t="str">
        <f xml:space="preserve"> "300329"</f>
        <v>300329</v>
      </c>
      <c r="C3269" t="s">
        <v>9176</v>
      </c>
      <c r="D3269">
        <v>11.22</v>
      </c>
      <c r="E3269">
        <v>1.36</v>
      </c>
      <c r="F3269">
        <v>0.15</v>
      </c>
      <c r="G3269" t="s">
        <v>832</v>
      </c>
      <c r="H3269">
        <v>562</v>
      </c>
      <c r="I3269">
        <v>11.21</v>
      </c>
      <c r="J3269">
        <v>11.22</v>
      </c>
      <c r="K3269">
        <v>0</v>
      </c>
      <c r="L3269">
        <v>1.84</v>
      </c>
      <c r="M3269" t="s">
        <v>8184</v>
      </c>
      <c r="N3269">
        <v>69.7</v>
      </c>
      <c r="O3269" t="s">
        <v>807</v>
      </c>
      <c r="P3269">
        <v>11.28</v>
      </c>
      <c r="Q3269">
        <v>11.04</v>
      </c>
      <c r="R3269">
        <v>11.07</v>
      </c>
      <c r="S3269">
        <v>11.07</v>
      </c>
      <c r="T3269">
        <v>2.17</v>
      </c>
      <c r="U3269">
        <v>1.1599999999999999</v>
      </c>
      <c r="V3269">
        <v>-33.840000000000003</v>
      </c>
      <c r="W3269">
        <v>-1072</v>
      </c>
      <c r="X3269">
        <v>11.21</v>
      </c>
      <c r="Y3269" t="s">
        <v>3251</v>
      </c>
      <c r="Z3269" t="s">
        <v>3086</v>
      </c>
      <c r="AA3269">
        <v>0.69</v>
      </c>
      <c r="AB3269">
        <v>405</v>
      </c>
      <c r="AC3269">
        <v>808</v>
      </c>
      <c r="AD3269">
        <v>3.46</v>
      </c>
      <c r="AE3269" t="s">
        <v>4761</v>
      </c>
      <c r="AF3269" t="s">
        <v>395</v>
      </c>
      <c r="AG3269" t="s">
        <v>4761</v>
      </c>
      <c r="AH3269" t="s">
        <v>1023</v>
      </c>
      <c r="AI3269">
        <v>0.99</v>
      </c>
      <c r="AJ3269">
        <v>6.45</v>
      </c>
      <c r="AK3269">
        <v>5.95</v>
      </c>
      <c r="AL3269">
        <v>9.75</v>
      </c>
    </row>
    <row r="3270" spans="1:38" x14ac:dyDescent="0.25">
      <c r="A3270">
        <v>3269</v>
      </c>
      <c r="B3270" t="str">
        <f xml:space="preserve"> "600241"</f>
        <v>600241</v>
      </c>
      <c r="C3270" t="s">
        <v>9177</v>
      </c>
      <c r="D3270">
        <v>12.44</v>
      </c>
      <c r="E3270">
        <v>0.73</v>
      </c>
      <c r="F3270">
        <v>0.09</v>
      </c>
      <c r="G3270" t="s">
        <v>4399</v>
      </c>
      <c r="H3270">
        <v>100</v>
      </c>
      <c r="I3270">
        <v>12.42</v>
      </c>
      <c r="J3270">
        <v>12.43</v>
      </c>
      <c r="K3270">
        <v>0.24</v>
      </c>
      <c r="L3270">
        <v>0.74</v>
      </c>
      <c r="M3270" t="s">
        <v>9178</v>
      </c>
      <c r="N3270">
        <v>-818.73</v>
      </c>
      <c r="O3270" t="s">
        <v>2001</v>
      </c>
      <c r="P3270">
        <v>12.48</v>
      </c>
      <c r="Q3270">
        <v>12.32</v>
      </c>
      <c r="R3270">
        <v>12.42</v>
      </c>
      <c r="S3270">
        <v>12.35</v>
      </c>
      <c r="T3270">
        <v>1.3</v>
      </c>
      <c r="U3270">
        <v>0.89</v>
      </c>
      <c r="V3270">
        <v>39.26</v>
      </c>
      <c r="W3270">
        <v>362</v>
      </c>
      <c r="X3270">
        <v>12.41</v>
      </c>
      <c r="Y3270">
        <v>6685</v>
      </c>
      <c r="Z3270">
        <v>7641</v>
      </c>
      <c r="AA3270">
        <v>0.87</v>
      </c>
      <c r="AB3270">
        <v>18</v>
      </c>
      <c r="AC3270">
        <v>40</v>
      </c>
      <c r="AD3270">
        <v>4.45</v>
      </c>
      <c r="AE3270" t="s">
        <v>2942</v>
      </c>
      <c r="AF3270" t="s">
        <v>1023</v>
      </c>
      <c r="AG3270" t="s">
        <v>1088</v>
      </c>
      <c r="AH3270" t="s">
        <v>2062</v>
      </c>
      <c r="AI3270">
        <v>-2.2000000000000002</v>
      </c>
      <c r="AJ3270">
        <v>0.08</v>
      </c>
      <c r="AK3270">
        <v>2.65</v>
      </c>
      <c r="AL3270">
        <v>4.8899999999999997</v>
      </c>
    </row>
    <row r="3271" spans="1:38" x14ac:dyDescent="0.25">
      <c r="A3271">
        <v>3270</v>
      </c>
      <c r="B3271" t="str">
        <f xml:space="preserve"> "603041"</f>
        <v>603041</v>
      </c>
      <c r="C3271" t="s">
        <v>9179</v>
      </c>
      <c r="D3271">
        <v>28.11</v>
      </c>
      <c r="E3271">
        <v>2.2200000000000002</v>
      </c>
      <c r="F3271">
        <v>0.61</v>
      </c>
      <c r="G3271" t="s">
        <v>4788</v>
      </c>
      <c r="H3271">
        <v>5</v>
      </c>
      <c r="I3271">
        <v>28.13</v>
      </c>
      <c r="J3271">
        <v>28.14</v>
      </c>
      <c r="K3271">
        <v>7.0000000000000007E-2</v>
      </c>
      <c r="L3271">
        <v>8.33</v>
      </c>
      <c r="M3271" t="s">
        <v>9180</v>
      </c>
      <c r="N3271">
        <v>47.08</v>
      </c>
      <c r="O3271" t="s">
        <v>667</v>
      </c>
      <c r="P3271">
        <v>28.35</v>
      </c>
      <c r="Q3271">
        <v>27.4</v>
      </c>
      <c r="R3271">
        <v>27.52</v>
      </c>
      <c r="S3271">
        <v>27.5</v>
      </c>
      <c r="T3271">
        <v>3.45</v>
      </c>
      <c r="U3271">
        <v>1.69</v>
      </c>
      <c r="V3271">
        <v>-30</v>
      </c>
      <c r="W3271">
        <v>-78</v>
      </c>
      <c r="X3271">
        <v>27.98</v>
      </c>
      <c r="Y3271">
        <v>9101</v>
      </c>
      <c r="Z3271" t="s">
        <v>316</v>
      </c>
      <c r="AA3271">
        <v>0.78</v>
      </c>
      <c r="AB3271">
        <v>1</v>
      </c>
      <c r="AC3271">
        <v>69</v>
      </c>
      <c r="AD3271">
        <v>4.09</v>
      </c>
      <c r="AE3271" t="s">
        <v>4464</v>
      </c>
      <c r="AF3271" t="s">
        <v>1023</v>
      </c>
      <c r="AG3271" t="s">
        <v>5931</v>
      </c>
      <c r="AH3271" t="s">
        <v>448</v>
      </c>
      <c r="AI3271">
        <v>1.96</v>
      </c>
      <c r="AJ3271">
        <v>4.8099999999999996</v>
      </c>
      <c r="AK3271">
        <v>17.690000000000001</v>
      </c>
      <c r="AL3271">
        <v>32.97</v>
      </c>
    </row>
    <row r="3272" spans="1:38" x14ac:dyDescent="0.25">
      <c r="A3272">
        <v>3271</v>
      </c>
      <c r="B3272" t="str">
        <f xml:space="preserve"> "603226"</f>
        <v>603226</v>
      </c>
      <c r="C3272" t="s">
        <v>9181</v>
      </c>
      <c r="D3272">
        <v>32.409999999999997</v>
      </c>
      <c r="E3272">
        <v>2.82</v>
      </c>
      <c r="F3272">
        <v>0.89</v>
      </c>
      <c r="G3272" t="s">
        <v>2459</v>
      </c>
      <c r="H3272">
        <v>1</v>
      </c>
      <c r="I3272">
        <v>32.42</v>
      </c>
      <c r="J3272">
        <v>32.43</v>
      </c>
      <c r="K3272">
        <v>0</v>
      </c>
      <c r="L3272">
        <v>14.29</v>
      </c>
      <c r="M3272" t="s">
        <v>9182</v>
      </c>
      <c r="N3272">
        <v>42.26</v>
      </c>
      <c r="O3272" t="s">
        <v>1469</v>
      </c>
      <c r="P3272">
        <v>32.75</v>
      </c>
      <c r="Q3272">
        <v>31.41</v>
      </c>
      <c r="R3272">
        <v>31.41</v>
      </c>
      <c r="S3272">
        <v>31.52</v>
      </c>
      <c r="T3272">
        <v>4.25</v>
      </c>
      <c r="U3272">
        <v>2.73</v>
      </c>
      <c r="V3272">
        <v>-81.8</v>
      </c>
      <c r="W3272">
        <v>-387</v>
      </c>
      <c r="X3272">
        <v>32.22</v>
      </c>
      <c r="Y3272" t="s">
        <v>3041</v>
      </c>
      <c r="Z3272" t="s">
        <v>3042</v>
      </c>
      <c r="AA3272">
        <v>0.55000000000000004</v>
      </c>
      <c r="AB3272">
        <v>24</v>
      </c>
      <c r="AC3272">
        <v>9</v>
      </c>
      <c r="AD3272">
        <v>4.13</v>
      </c>
      <c r="AE3272" t="s">
        <v>7961</v>
      </c>
      <c r="AF3272" t="s">
        <v>1023</v>
      </c>
      <c r="AG3272" t="s">
        <v>8737</v>
      </c>
      <c r="AH3272" t="s">
        <v>6558</v>
      </c>
      <c r="AI3272">
        <v>2.34</v>
      </c>
      <c r="AJ3272">
        <v>4.72</v>
      </c>
      <c r="AK3272">
        <v>24.42</v>
      </c>
      <c r="AL3272">
        <v>40.49</v>
      </c>
    </row>
    <row r="3273" spans="1:38" x14ac:dyDescent="0.25">
      <c r="A3273">
        <v>3272</v>
      </c>
      <c r="B3273" t="str">
        <f xml:space="preserve"> "002395"</f>
        <v>002395</v>
      </c>
      <c r="C3273" t="s">
        <v>9183</v>
      </c>
      <c r="D3273">
        <v>15.7</v>
      </c>
      <c r="E3273">
        <v>3.15</v>
      </c>
      <c r="F3273">
        <v>0.48</v>
      </c>
      <c r="G3273" t="s">
        <v>2548</v>
      </c>
      <c r="H3273">
        <v>864</v>
      </c>
      <c r="I3273">
        <v>15.69</v>
      </c>
      <c r="J3273">
        <v>15.7</v>
      </c>
      <c r="K3273">
        <v>0</v>
      </c>
      <c r="L3273">
        <v>1.57</v>
      </c>
      <c r="M3273" t="s">
        <v>9184</v>
      </c>
      <c r="N3273">
        <v>122.53</v>
      </c>
      <c r="O3273" t="s">
        <v>2128</v>
      </c>
      <c r="P3273">
        <v>15.75</v>
      </c>
      <c r="Q3273">
        <v>15.13</v>
      </c>
      <c r="R3273">
        <v>15.18</v>
      </c>
      <c r="S3273">
        <v>15.22</v>
      </c>
      <c r="T3273">
        <v>4.07</v>
      </c>
      <c r="U3273">
        <v>2.2400000000000002</v>
      </c>
      <c r="V3273">
        <v>-66.56</v>
      </c>
      <c r="W3273">
        <v>-1401</v>
      </c>
      <c r="X3273">
        <v>15.5</v>
      </c>
      <c r="Y3273">
        <v>9571</v>
      </c>
      <c r="Z3273" t="s">
        <v>2383</v>
      </c>
      <c r="AA3273">
        <v>0.52</v>
      </c>
      <c r="AB3273">
        <v>13</v>
      </c>
      <c r="AC3273">
        <v>742</v>
      </c>
      <c r="AD3273">
        <v>3.37</v>
      </c>
      <c r="AE3273" t="s">
        <v>7355</v>
      </c>
      <c r="AF3273" t="s">
        <v>1023</v>
      </c>
      <c r="AG3273" t="s">
        <v>7355</v>
      </c>
      <c r="AH3273" t="s">
        <v>1023</v>
      </c>
      <c r="AI3273">
        <v>3.02</v>
      </c>
      <c r="AJ3273">
        <v>7.53</v>
      </c>
      <c r="AK3273">
        <v>3.22</v>
      </c>
      <c r="AL3273">
        <v>5.08</v>
      </c>
    </row>
    <row r="3274" spans="1:38" x14ac:dyDescent="0.25">
      <c r="A3274">
        <v>3273</v>
      </c>
      <c r="B3274" t="str">
        <f xml:space="preserve"> "600493"</f>
        <v>600493</v>
      </c>
      <c r="C3274" t="s">
        <v>9185</v>
      </c>
      <c r="D3274">
        <v>10.32</v>
      </c>
      <c r="E3274">
        <v>0.19</v>
      </c>
      <c r="F3274">
        <v>0.02</v>
      </c>
      <c r="G3274" t="s">
        <v>2232</v>
      </c>
      <c r="H3274">
        <v>100</v>
      </c>
      <c r="I3274">
        <v>10.31</v>
      </c>
      <c r="J3274">
        <v>10.32</v>
      </c>
      <c r="K3274">
        <v>0</v>
      </c>
      <c r="L3274">
        <v>0.44</v>
      </c>
      <c r="M3274" t="s">
        <v>9186</v>
      </c>
      <c r="N3274">
        <v>142.32</v>
      </c>
      <c r="O3274" t="s">
        <v>1443</v>
      </c>
      <c r="P3274">
        <v>10.35</v>
      </c>
      <c r="Q3274">
        <v>10.24</v>
      </c>
      <c r="R3274">
        <v>10.33</v>
      </c>
      <c r="S3274">
        <v>10.3</v>
      </c>
      <c r="T3274">
        <v>1.07</v>
      </c>
      <c r="U3274">
        <v>0.54</v>
      </c>
      <c r="V3274">
        <v>-37.020000000000003</v>
      </c>
      <c r="W3274">
        <v>-636</v>
      </c>
      <c r="X3274">
        <v>10.3</v>
      </c>
      <c r="Y3274">
        <v>6963</v>
      </c>
      <c r="Z3274">
        <v>5133</v>
      </c>
      <c r="AA3274">
        <v>1.36</v>
      </c>
      <c r="AB3274">
        <v>65</v>
      </c>
      <c r="AC3274">
        <v>57</v>
      </c>
      <c r="AD3274">
        <v>4.12</v>
      </c>
      <c r="AE3274" t="s">
        <v>2333</v>
      </c>
      <c r="AF3274" t="s">
        <v>1023</v>
      </c>
      <c r="AG3274" t="s">
        <v>2333</v>
      </c>
      <c r="AH3274" t="s">
        <v>1023</v>
      </c>
      <c r="AI3274">
        <v>-0.39</v>
      </c>
      <c r="AJ3274">
        <v>3.1</v>
      </c>
      <c r="AK3274">
        <v>1.96</v>
      </c>
      <c r="AL3274">
        <v>4.5599999999999996</v>
      </c>
    </row>
    <row r="3275" spans="1:38" x14ac:dyDescent="0.25">
      <c r="A3275">
        <v>3274</v>
      </c>
      <c r="B3275" t="str">
        <f xml:space="preserve"> "000622"</f>
        <v>000622</v>
      </c>
      <c r="C3275" t="s">
        <v>9187</v>
      </c>
      <c r="D3275">
        <v>6.6</v>
      </c>
      <c r="E3275">
        <v>-1.93</v>
      </c>
      <c r="F3275">
        <v>-0.13</v>
      </c>
      <c r="G3275" t="s">
        <v>521</v>
      </c>
      <c r="H3275">
        <v>2029</v>
      </c>
      <c r="I3275">
        <v>6.59</v>
      </c>
      <c r="J3275">
        <v>6.6</v>
      </c>
      <c r="K3275">
        <v>-0.45</v>
      </c>
      <c r="L3275">
        <v>5.88</v>
      </c>
      <c r="M3275" t="s">
        <v>3697</v>
      </c>
      <c r="N3275">
        <v>-176.73</v>
      </c>
      <c r="O3275" t="s">
        <v>648</v>
      </c>
      <c r="P3275">
        <v>7.15</v>
      </c>
      <c r="Q3275">
        <v>6.43</v>
      </c>
      <c r="R3275">
        <v>6.56</v>
      </c>
      <c r="S3275">
        <v>6.73</v>
      </c>
      <c r="T3275">
        <v>10.7</v>
      </c>
      <c r="U3275">
        <v>3.16</v>
      </c>
      <c r="V3275">
        <v>-23.94</v>
      </c>
      <c r="W3275">
        <v>-912</v>
      </c>
      <c r="X3275">
        <v>6.63</v>
      </c>
      <c r="Y3275" t="s">
        <v>1895</v>
      </c>
      <c r="Z3275" t="s">
        <v>5595</v>
      </c>
      <c r="AA3275">
        <v>1.74</v>
      </c>
      <c r="AB3275">
        <v>259</v>
      </c>
      <c r="AC3275">
        <v>654</v>
      </c>
      <c r="AD3275">
        <v>14.49</v>
      </c>
      <c r="AE3275" t="s">
        <v>5453</v>
      </c>
      <c r="AF3275" t="s">
        <v>1023</v>
      </c>
      <c r="AG3275" t="s">
        <v>5453</v>
      </c>
      <c r="AH3275" t="s">
        <v>1023</v>
      </c>
      <c r="AI3275">
        <v>8.5500000000000007</v>
      </c>
      <c r="AJ3275">
        <v>12.63</v>
      </c>
      <c r="AK3275">
        <v>13.31</v>
      </c>
      <c r="AL3275">
        <v>15.18</v>
      </c>
    </row>
    <row r="3276" spans="1:38" x14ac:dyDescent="0.25">
      <c r="A3276">
        <v>3275</v>
      </c>
      <c r="B3276" t="str">
        <f xml:space="preserve"> "600857"</f>
        <v>600857</v>
      </c>
      <c r="C3276" t="s">
        <v>9188</v>
      </c>
      <c r="D3276">
        <v>12.46</v>
      </c>
      <c r="E3276">
        <v>0.08</v>
      </c>
      <c r="F3276">
        <v>0.01</v>
      </c>
      <c r="G3276">
        <v>8279</v>
      </c>
      <c r="H3276">
        <v>1</v>
      </c>
      <c r="I3276">
        <v>12.46</v>
      </c>
      <c r="J3276">
        <v>12.48</v>
      </c>
      <c r="K3276">
        <v>0.08</v>
      </c>
      <c r="L3276">
        <v>0.37</v>
      </c>
      <c r="M3276" t="s">
        <v>9189</v>
      </c>
      <c r="N3276">
        <v>66.47</v>
      </c>
      <c r="O3276" t="s">
        <v>532</v>
      </c>
      <c r="P3276">
        <v>12.55</v>
      </c>
      <c r="Q3276">
        <v>12.43</v>
      </c>
      <c r="R3276">
        <v>12.47</v>
      </c>
      <c r="S3276">
        <v>12.45</v>
      </c>
      <c r="T3276">
        <v>0.96</v>
      </c>
      <c r="U3276">
        <v>0.72</v>
      </c>
      <c r="V3276">
        <v>5.43</v>
      </c>
      <c r="W3276">
        <v>38</v>
      </c>
      <c r="X3276">
        <v>12.47</v>
      </c>
      <c r="Y3276">
        <v>4470</v>
      </c>
      <c r="Z3276">
        <v>3809</v>
      </c>
      <c r="AA3276">
        <v>1.17</v>
      </c>
      <c r="AB3276">
        <v>61</v>
      </c>
      <c r="AC3276">
        <v>55</v>
      </c>
      <c r="AD3276">
        <v>4.34</v>
      </c>
      <c r="AE3276" t="s">
        <v>3123</v>
      </c>
      <c r="AF3276" t="s">
        <v>1408</v>
      </c>
      <c r="AG3276" t="s">
        <v>3123</v>
      </c>
      <c r="AH3276" t="s">
        <v>1408</v>
      </c>
      <c r="AI3276">
        <v>-0.08</v>
      </c>
      <c r="AJ3276">
        <v>2.2999999999999998</v>
      </c>
      <c r="AK3276">
        <v>1.51</v>
      </c>
      <c r="AL3276">
        <v>2.93</v>
      </c>
    </row>
    <row r="3277" spans="1:38" x14ac:dyDescent="0.25">
      <c r="A3277">
        <v>3276</v>
      </c>
      <c r="B3277" t="str">
        <f xml:space="preserve"> "300442"</f>
        <v>300442</v>
      </c>
      <c r="C3277" t="s">
        <v>9190</v>
      </c>
      <c r="D3277">
        <v>27.93</v>
      </c>
      <c r="E3277">
        <v>0.9</v>
      </c>
      <c r="F3277">
        <v>0.25</v>
      </c>
      <c r="G3277">
        <v>7720</v>
      </c>
      <c r="H3277">
        <v>141</v>
      </c>
      <c r="I3277">
        <v>27.85</v>
      </c>
      <c r="J3277">
        <v>27.93</v>
      </c>
      <c r="K3277">
        <v>-0.14000000000000001</v>
      </c>
      <c r="L3277">
        <v>1.33</v>
      </c>
      <c r="M3277" t="s">
        <v>9191</v>
      </c>
      <c r="N3277">
        <v>566.61</v>
      </c>
      <c r="O3277" t="s">
        <v>648</v>
      </c>
      <c r="P3277">
        <v>27.97</v>
      </c>
      <c r="Q3277">
        <v>27.52</v>
      </c>
      <c r="R3277">
        <v>27.69</v>
      </c>
      <c r="S3277">
        <v>27.68</v>
      </c>
      <c r="T3277">
        <v>1.63</v>
      </c>
      <c r="U3277">
        <v>1.03</v>
      </c>
      <c r="V3277">
        <v>-18.309999999999999</v>
      </c>
      <c r="W3277">
        <v>-97</v>
      </c>
      <c r="X3277">
        <v>27.77</v>
      </c>
      <c r="Y3277">
        <v>3591</v>
      </c>
      <c r="Z3277">
        <v>4129</v>
      </c>
      <c r="AA3277">
        <v>0.87</v>
      </c>
      <c r="AB3277">
        <v>124</v>
      </c>
      <c r="AC3277">
        <v>3</v>
      </c>
      <c r="AD3277">
        <v>2.88</v>
      </c>
      <c r="AE3277" t="s">
        <v>4464</v>
      </c>
      <c r="AF3277" t="s">
        <v>1479</v>
      </c>
      <c r="AG3277" t="s">
        <v>9192</v>
      </c>
      <c r="AH3277" t="s">
        <v>2648</v>
      </c>
      <c r="AI3277">
        <v>-0.92</v>
      </c>
      <c r="AJ3277">
        <v>2.23</v>
      </c>
      <c r="AK3277">
        <v>4.33</v>
      </c>
      <c r="AL3277">
        <v>7.77</v>
      </c>
    </row>
    <row r="3278" spans="1:38" x14ac:dyDescent="0.25">
      <c r="A3278">
        <v>3277</v>
      </c>
      <c r="B3278" t="str">
        <f xml:space="preserve"> "600302"</f>
        <v>600302</v>
      </c>
      <c r="C3278" t="s">
        <v>9193</v>
      </c>
      <c r="D3278">
        <v>8.07</v>
      </c>
      <c r="E3278">
        <v>0</v>
      </c>
      <c r="F3278">
        <v>0</v>
      </c>
      <c r="G3278" t="s">
        <v>2518</v>
      </c>
      <c r="H3278">
        <v>23</v>
      </c>
      <c r="I3278">
        <v>8.06</v>
      </c>
      <c r="J3278">
        <v>8.07</v>
      </c>
      <c r="K3278">
        <v>0.12</v>
      </c>
      <c r="L3278">
        <v>0.39</v>
      </c>
      <c r="M3278" t="s">
        <v>9194</v>
      </c>
      <c r="N3278">
        <v>2815.95</v>
      </c>
      <c r="O3278" t="s">
        <v>2647</v>
      </c>
      <c r="P3278">
        <v>8.09</v>
      </c>
      <c r="Q3278">
        <v>7.98</v>
      </c>
      <c r="R3278">
        <v>8.06</v>
      </c>
      <c r="S3278">
        <v>8.07</v>
      </c>
      <c r="T3278">
        <v>1.36</v>
      </c>
      <c r="U3278">
        <v>0.61</v>
      </c>
      <c r="V3278">
        <v>-9.25</v>
      </c>
      <c r="W3278">
        <v>-175</v>
      </c>
      <c r="X3278">
        <v>8.06</v>
      </c>
      <c r="Y3278">
        <v>5408</v>
      </c>
      <c r="Z3278">
        <v>8007</v>
      </c>
      <c r="AA3278">
        <v>0.68</v>
      </c>
      <c r="AB3278">
        <v>425</v>
      </c>
      <c r="AC3278">
        <v>56</v>
      </c>
      <c r="AD3278">
        <v>2.29</v>
      </c>
      <c r="AE3278" t="s">
        <v>5176</v>
      </c>
      <c r="AF3278" t="s">
        <v>1479</v>
      </c>
      <c r="AG3278" t="s">
        <v>5176</v>
      </c>
      <c r="AH3278" t="s">
        <v>1479</v>
      </c>
      <c r="AI3278">
        <v>0.37</v>
      </c>
      <c r="AJ3278">
        <v>2.67</v>
      </c>
      <c r="AK3278">
        <v>1.79</v>
      </c>
      <c r="AL3278">
        <v>3.59</v>
      </c>
    </row>
    <row r="3279" spans="1:38" x14ac:dyDescent="0.25">
      <c r="A3279">
        <v>3278</v>
      </c>
      <c r="B3279" t="str">
        <f xml:space="preserve"> "600128"</f>
        <v>600128</v>
      </c>
      <c r="C3279" t="s">
        <v>9195</v>
      </c>
      <c r="D3279">
        <v>11.3</v>
      </c>
      <c r="E3279">
        <v>0.53</v>
      </c>
      <c r="F3279">
        <v>0.06</v>
      </c>
      <c r="G3279" t="s">
        <v>2061</v>
      </c>
      <c r="H3279">
        <v>30</v>
      </c>
      <c r="I3279">
        <v>11.29</v>
      </c>
      <c r="J3279">
        <v>11.3</v>
      </c>
      <c r="K3279">
        <v>0</v>
      </c>
      <c r="L3279">
        <v>0.77</v>
      </c>
      <c r="M3279" t="s">
        <v>7631</v>
      </c>
      <c r="N3279">
        <v>1175.6400000000001</v>
      </c>
      <c r="O3279" t="s">
        <v>2001</v>
      </c>
      <c r="P3279">
        <v>11.33</v>
      </c>
      <c r="Q3279">
        <v>11.21</v>
      </c>
      <c r="R3279">
        <v>11.25</v>
      </c>
      <c r="S3279">
        <v>11.24</v>
      </c>
      <c r="T3279">
        <v>1.07</v>
      </c>
      <c r="U3279">
        <v>0.78</v>
      </c>
      <c r="V3279">
        <v>5.62</v>
      </c>
      <c r="W3279">
        <v>88</v>
      </c>
      <c r="X3279">
        <v>11.28</v>
      </c>
      <c r="Y3279">
        <v>9721</v>
      </c>
      <c r="Z3279">
        <v>9298</v>
      </c>
      <c r="AA3279">
        <v>1.05</v>
      </c>
      <c r="AB3279">
        <v>37</v>
      </c>
      <c r="AC3279">
        <v>60</v>
      </c>
      <c r="AD3279">
        <v>2.0499999999999998</v>
      </c>
      <c r="AE3279" t="s">
        <v>4126</v>
      </c>
      <c r="AF3279" t="s">
        <v>1479</v>
      </c>
      <c r="AG3279" t="s">
        <v>4126</v>
      </c>
      <c r="AH3279" t="s">
        <v>1479</v>
      </c>
      <c r="AI3279">
        <v>-0.18</v>
      </c>
      <c r="AJ3279">
        <v>2.63</v>
      </c>
      <c r="AK3279">
        <v>2.9</v>
      </c>
      <c r="AL3279">
        <v>5.71</v>
      </c>
    </row>
    <row r="3280" spans="1:38" x14ac:dyDescent="0.25">
      <c r="A3280">
        <v>3279</v>
      </c>
      <c r="B3280" t="str">
        <f xml:space="preserve"> "600145"</f>
        <v>600145</v>
      </c>
      <c r="C3280" t="s">
        <v>9196</v>
      </c>
      <c r="D3280" t="s">
        <v>616</v>
      </c>
      <c r="E3280" t="s">
        <v>616</v>
      </c>
      <c r="F3280" t="s">
        <v>616</v>
      </c>
      <c r="G3280" t="s">
        <v>616</v>
      </c>
      <c r="H3280" t="s">
        <v>616</v>
      </c>
      <c r="I3280" t="s">
        <v>616</v>
      </c>
      <c r="J3280" t="s">
        <v>616</v>
      </c>
      <c r="K3280" t="s">
        <v>616</v>
      </c>
      <c r="L3280" t="s">
        <v>616</v>
      </c>
      <c r="M3280" t="s">
        <v>616</v>
      </c>
      <c r="N3280">
        <v>342.39</v>
      </c>
      <c r="O3280" t="s">
        <v>1058</v>
      </c>
      <c r="P3280" t="s">
        <v>616</v>
      </c>
      <c r="Q3280" t="s">
        <v>616</v>
      </c>
      <c r="R3280" t="s">
        <v>616</v>
      </c>
      <c r="S3280">
        <v>1.87</v>
      </c>
      <c r="T3280" t="s">
        <v>616</v>
      </c>
      <c r="U3280" t="s">
        <v>616</v>
      </c>
      <c r="V3280" t="s">
        <v>616</v>
      </c>
      <c r="W3280" t="s">
        <v>616</v>
      </c>
      <c r="X3280" t="s">
        <v>616</v>
      </c>
      <c r="Y3280" t="s">
        <v>616</v>
      </c>
      <c r="Z3280" t="s">
        <v>616</v>
      </c>
      <c r="AA3280" t="s">
        <v>616</v>
      </c>
      <c r="AB3280" t="s">
        <v>616</v>
      </c>
      <c r="AC3280" t="s">
        <v>616</v>
      </c>
      <c r="AD3280">
        <v>4.5</v>
      </c>
      <c r="AE3280" t="s">
        <v>2945</v>
      </c>
      <c r="AF3280" t="s">
        <v>1479</v>
      </c>
      <c r="AG3280" t="s">
        <v>2945</v>
      </c>
      <c r="AH3280" t="s">
        <v>1479</v>
      </c>
      <c r="AI3280">
        <v>0</v>
      </c>
      <c r="AJ3280">
        <v>0</v>
      </c>
      <c r="AK3280">
        <v>0</v>
      </c>
      <c r="AL3280">
        <v>0</v>
      </c>
    </row>
    <row r="3281" spans="1:38" x14ac:dyDescent="0.25">
      <c r="A3281">
        <v>3280</v>
      </c>
      <c r="B3281" t="str">
        <f xml:space="preserve"> "300120"</f>
        <v>300120</v>
      </c>
      <c r="C3281" t="s">
        <v>9197</v>
      </c>
      <c r="D3281">
        <v>13.6</v>
      </c>
      <c r="E3281">
        <v>0.67</v>
      </c>
      <c r="F3281">
        <v>0.09</v>
      </c>
      <c r="G3281" t="s">
        <v>480</v>
      </c>
      <c r="H3281">
        <v>574</v>
      </c>
      <c r="I3281">
        <v>13.59</v>
      </c>
      <c r="J3281">
        <v>13.6</v>
      </c>
      <c r="K3281">
        <v>0.52</v>
      </c>
      <c r="L3281">
        <v>0.81</v>
      </c>
      <c r="M3281" t="s">
        <v>9198</v>
      </c>
      <c r="N3281">
        <v>88.87</v>
      </c>
      <c r="O3281" t="s">
        <v>1229</v>
      </c>
      <c r="P3281">
        <v>13.65</v>
      </c>
      <c r="Q3281">
        <v>13.41</v>
      </c>
      <c r="R3281">
        <v>13.51</v>
      </c>
      <c r="S3281">
        <v>13.51</v>
      </c>
      <c r="T3281">
        <v>1.78</v>
      </c>
      <c r="U3281">
        <v>0.79</v>
      </c>
      <c r="V3281">
        <v>-2.77</v>
      </c>
      <c r="W3281">
        <v>-9</v>
      </c>
      <c r="X3281">
        <v>13.55</v>
      </c>
      <c r="Y3281">
        <v>5956</v>
      </c>
      <c r="Z3281">
        <v>7379</v>
      </c>
      <c r="AA3281">
        <v>0.81</v>
      </c>
      <c r="AB3281">
        <v>2</v>
      </c>
      <c r="AC3281">
        <v>6</v>
      </c>
      <c r="AD3281">
        <v>4.51</v>
      </c>
      <c r="AE3281" t="s">
        <v>2526</v>
      </c>
      <c r="AF3281" t="s">
        <v>7198</v>
      </c>
      <c r="AG3281" t="s">
        <v>608</v>
      </c>
      <c r="AH3281" t="s">
        <v>3436</v>
      </c>
      <c r="AI3281">
        <v>-1.0900000000000001</v>
      </c>
      <c r="AJ3281">
        <v>3.9</v>
      </c>
      <c r="AK3281">
        <v>2.74</v>
      </c>
      <c r="AL3281">
        <v>5.96</v>
      </c>
    </row>
    <row r="3282" spans="1:38" x14ac:dyDescent="0.25">
      <c r="A3282">
        <v>3281</v>
      </c>
      <c r="B3282" t="str">
        <f xml:space="preserve"> "603617"</f>
        <v>603617</v>
      </c>
      <c r="C3282" t="s">
        <v>9199</v>
      </c>
      <c r="D3282">
        <v>27.79</v>
      </c>
      <c r="E3282">
        <v>2.96</v>
      </c>
      <c r="F3282">
        <v>0.8</v>
      </c>
      <c r="G3282" t="s">
        <v>2459</v>
      </c>
      <c r="H3282">
        <v>24</v>
      </c>
      <c r="I3282">
        <v>27.78</v>
      </c>
      <c r="J3282">
        <v>27.79</v>
      </c>
      <c r="K3282">
        <v>0</v>
      </c>
      <c r="L3282">
        <v>12.4</v>
      </c>
      <c r="M3282" t="s">
        <v>9200</v>
      </c>
      <c r="N3282">
        <v>36.4</v>
      </c>
      <c r="O3282" t="s">
        <v>648</v>
      </c>
      <c r="P3282">
        <v>27.93</v>
      </c>
      <c r="Q3282">
        <v>26.86</v>
      </c>
      <c r="R3282">
        <v>26.99</v>
      </c>
      <c r="S3282">
        <v>26.99</v>
      </c>
      <c r="T3282">
        <v>3.96</v>
      </c>
      <c r="U3282">
        <v>2.0299999999999998</v>
      </c>
      <c r="V3282">
        <v>-60.18</v>
      </c>
      <c r="W3282">
        <v>-357</v>
      </c>
      <c r="X3282">
        <v>27.56</v>
      </c>
      <c r="Y3282" t="s">
        <v>480</v>
      </c>
      <c r="Z3282" t="s">
        <v>1113</v>
      </c>
      <c r="AA3282">
        <v>0.75</v>
      </c>
      <c r="AB3282">
        <v>42</v>
      </c>
      <c r="AC3282">
        <v>22</v>
      </c>
      <c r="AD3282">
        <v>6.16</v>
      </c>
      <c r="AE3282" t="s">
        <v>4464</v>
      </c>
      <c r="AF3282" t="s">
        <v>7198</v>
      </c>
      <c r="AG3282" t="s">
        <v>5931</v>
      </c>
      <c r="AH3282" t="s">
        <v>4686</v>
      </c>
      <c r="AI3282">
        <v>1.83</v>
      </c>
      <c r="AJ3282">
        <v>7.21</v>
      </c>
      <c r="AK3282">
        <v>25.17</v>
      </c>
      <c r="AL3282">
        <v>42.88</v>
      </c>
    </row>
    <row r="3283" spans="1:38" x14ac:dyDescent="0.25">
      <c r="A3283">
        <v>3282</v>
      </c>
      <c r="B3283" t="str">
        <f xml:space="preserve"> "600520"</f>
        <v>600520</v>
      </c>
      <c r="C3283" t="s">
        <v>9201</v>
      </c>
      <c r="D3283">
        <v>17.510000000000002</v>
      </c>
      <c r="E3283">
        <v>0</v>
      </c>
      <c r="F3283">
        <v>0</v>
      </c>
      <c r="G3283">
        <v>7502</v>
      </c>
      <c r="H3283">
        <v>15</v>
      </c>
      <c r="I3283">
        <v>17.5</v>
      </c>
      <c r="J3283">
        <v>17.52</v>
      </c>
      <c r="K3283">
        <v>0.06</v>
      </c>
      <c r="L3283">
        <v>0.47</v>
      </c>
      <c r="M3283" t="s">
        <v>9202</v>
      </c>
      <c r="N3283">
        <v>-490.19</v>
      </c>
      <c r="O3283" t="s">
        <v>648</v>
      </c>
      <c r="P3283">
        <v>17.66</v>
      </c>
      <c r="Q3283">
        <v>17.43</v>
      </c>
      <c r="R3283">
        <v>17.66</v>
      </c>
      <c r="S3283">
        <v>17.510000000000002</v>
      </c>
      <c r="T3283">
        <v>1.31</v>
      </c>
      <c r="U3283">
        <v>0.61</v>
      </c>
      <c r="V3283">
        <v>39.090000000000003</v>
      </c>
      <c r="W3283">
        <v>227</v>
      </c>
      <c r="X3283">
        <v>17.510000000000002</v>
      </c>
      <c r="Y3283">
        <v>4186</v>
      </c>
      <c r="Z3283">
        <v>3316</v>
      </c>
      <c r="AA3283">
        <v>1.26</v>
      </c>
      <c r="AB3283">
        <v>39</v>
      </c>
      <c r="AC3283">
        <v>15</v>
      </c>
      <c r="AD3283">
        <v>6.51</v>
      </c>
      <c r="AE3283" t="s">
        <v>2091</v>
      </c>
      <c r="AF3283" t="s">
        <v>1292</v>
      </c>
      <c r="AG3283" t="s">
        <v>2091</v>
      </c>
      <c r="AH3283" t="s">
        <v>1292</v>
      </c>
      <c r="AI3283">
        <v>-0.96</v>
      </c>
      <c r="AJ3283">
        <v>0</v>
      </c>
      <c r="AK3283">
        <v>2.2000000000000002</v>
      </c>
      <c r="AL3283">
        <v>4.34</v>
      </c>
    </row>
    <row r="3284" spans="1:38" x14ac:dyDescent="0.25">
      <c r="A3284">
        <v>3283</v>
      </c>
      <c r="B3284" t="str">
        <f xml:space="preserve"> "300557"</f>
        <v>300557</v>
      </c>
      <c r="C3284" t="s">
        <v>9203</v>
      </c>
      <c r="D3284">
        <v>49.8</v>
      </c>
      <c r="E3284">
        <v>1.32</v>
      </c>
      <c r="F3284">
        <v>0.65</v>
      </c>
      <c r="G3284">
        <v>5858</v>
      </c>
      <c r="H3284">
        <v>223</v>
      </c>
      <c r="I3284">
        <v>49.8</v>
      </c>
      <c r="J3284">
        <v>49.81</v>
      </c>
      <c r="K3284">
        <v>0</v>
      </c>
      <c r="L3284">
        <v>4.18</v>
      </c>
      <c r="M3284" t="s">
        <v>9204</v>
      </c>
      <c r="N3284">
        <v>184.51</v>
      </c>
      <c r="O3284" t="s">
        <v>1372</v>
      </c>
      <c r="P3284">
        <v>49.93</v>
      </c>
      <c r="Q3284">
        <v>49.08</v>
      </c>
      <c r="R3284">
        <v>49.13</v>
      </c>
      <c r="S3284">
        <v>49.15</v>
      </c>
      <c r="T3284">
        <v>1.73</v>
      </c>
      <c r="U3284">
        <v>0.75</v>
      </c>
      <c r="V3284">
        <v>-18.32</v>
      </c>
      <c r="W3284">
        <v>-48</v>
      </c>
      <c r="X3284">
        <v>49.6</v>
      </c>
      <c r="Y3284">
        <v>2381</v>
      </c>
      <c r="Z3284">
        <v>3477</v>
      </c>
      <c r="AA3284">
        <v>0.68</v>
      </c>
      <c r="AB3284">
        <v>78</v>
      </c>
      <c r="AC3284">
        <v>43</v>
      </c>
      <c r="AD3284">
        <v>6.08</v>
      </c>
      <c r="AE3284" t="s">
        <v>9205</v>
      </c>
      <c r="AF3284" t="s">
        <v>1292</v>
      </c>
      <c r="AG3284" t="s">
        <v>9206</v>
      </c>
      <c r="AH3284" t="s">
        <v>7425</v>
      </c>
      <c r="AI3284">
        <v>-0.44</v>
      </c>
      <c r="AJ3284">
        <v>-2.16</v>
      </c>
      <c r="AK3284">
        <v>11.09</v>
      </c>
      <c r="AL3284">
        <v>32.18</v>
      </c>
    </row>
    <row r="3285" spans="1:38" x14ac:dyDescent="0.25">
      <c r="A3285">
        <v>3284</v>
      </c>
      <c r="B3285" t="str">
        <f xml:space="preserve"> "300235"</f>
        <v>300235</v>
      </c>
      <c r="C3285" t="s">
        <v>9207</v>
      </c>
      <c r="D3285">
        <v>16.5</v>
      </c>
      <c r="E3285">
        <v>-0.54</v>
      </c>
      <c r="F3285">
        <v>-0.09</v>
      </c>
      <c r="G3285" t="s">
        <v>2370</v>
      </c>
      <c r="H3285">
        <v>141</v>
      </c>
      <c r="I3285">
        <v>16.489999999999998</v>
      </c>
      <c r="J3285">
        <v>16.5</v>
      </c>
      <c r="K3285">
        <v>0</v>
      </c>
      <c r="L3285">
        <v>1.32</v>
      </c>
      <c r="M3285" t="s">
        <v>7584</v>
      </c>
      <c r="N3285">
        <v>-678.2</v>
      </c>
      <c r="O3285" t="s">
        <v>553</v>
      </c>
      <c r="P3285">
        <v>16.600000000000001</v>
      </c>
      <c r="Q3285">
        <v>16.32</v>
      </c>
      <c r="R3285">
        <v>16.600000000000001</v>
      </c>
      <c r="S3285">
        <v>16.59</v>
      </c>
      <c r="T3285">
        <v>1.69</v>
      </c>
      <c r="U3285">
        <v>0.6</v>
      </c>
      <c r="V3285">
        <v>-47.17</v>
      </c>
      <c r="W3285">
        <v>-654</v>
      </c>
      <c r="X3285">
        <v>16.45</v>
      </c>
      <c r="Y3285">
        <v>7151</v>
      </c>
      <c r="Z3285">
        <v>5614</v>
      </c>
      <c r="AA3285">
        <v>1.27</v>
      </c>
      <c r="AB3285">
        <v>19</v>
      </c>
      <c r="AC3285">
        <v>430</v>
      </c>
      <c r="AD3285">
        <v>4.8099999999999996</v>
      </c>
      <c r="AE3285" t="s">
        <v>2368</v>
      </c>
      <c r="AF3285" t="s">
        <v>1292</v>
      </c>
      <c r="AG3285" t="s">
        <v>3525</v>
      </c>
      <c r="AH3285" t="s">
        <v>1477</v>
      </c>
      <c r="AI3285">
        <v>-0.96</v>
      </c>
      <c r="AJ3285">
        <v>4.96</v>
      </c>
      <c r="AK3285">
        <v>5.37</v>
      </c>
      <c r="AL3285">
        <v>12.31</v>
      </c>
    </row>
    <row r="3286" spans="1:38" x14ac:dyDescent="0.25">
      <c r="A3286">
        <v>3285</v>
      </c>
      <c r="B3286" t="str">
        <f xml:space="preserve"> "300573"</f>
        <v>300573</v>
      </c>
      <c r="C3286" t="s">
        <v>9208</v>
      </c>
      <c r="D3286">
        <v>34.520000000000003</v>
      </c>
      <c r="E3286">
        <v>2.2200000000000002</v>
      </c>
      <c r="F3286">
        <v>0.75</v>
      </c>
      <c r="G3286" t="s">
        <v>4399</v>
      </c>
      <c r="H3286">
        <v>208</v>
      </c>
      <c r="I3286">
        <v>34.51</v>
      </c>
      <c r="J3286">
        <v>34.520000000000003</v>
      </c>
      <c r="K3286">
        <v>0.15</v>
      </c>
      <c r="L3286">
        <v>7.15</v>
      </c>
      <c r="M3286" t="s">
        <v>9209</v>
      </c>
      <c r="N3286">
        <v>48.14</v>
      </c>
      <c r="O3286" t="s">
        <v>392</v>
      </c>
      <c r="P3286">
        <v>34.770000000000003</v>
      </c>
      <c r="Q3286">
        <v>33.68</v>
      </c>
      <c r="R3286">
        <v>33.68</v>
      </c>
      <c r="S3286">
        <v>33.770000000000003</v>
      </c>
      <c r="T3286">
        <v>3.23</v>
      </c>
      <c r="U3286">
        <v>1.07</v>
      </c>
      <c r="V3286">
        <v>64.63</v>
      </c>
      <c r="W3286">
        <v>190</v>
      </c>
      <c r="X3286">
        <v>34.369999999999997</v>
      </c>
      <c r="Y3286">
        <v>6389</v>
      </c>
      <c r="Z3286">
        <v>7902</v>
      </c>
      <c r="AA3286">
        <v>0.81</v>
      </c>
      <c r="AB3286">
        <v>128</v>
      </c>
      <c r="AC3286">
        <v>17</v>
      </c>
      <c r="AD3286">
        <v>5.12</v>
      </c>
      <c r="AE3286" t="s">
        <v>5802</v>
      </c>
      <c r="AF3286" t="s">
        <v>1382</v>
      </c>
      <c r="AG3286" t="s">
        <v>5562</v>
      </c>
      <c r="AH3286" t="s">
        <v>758</v>
      </c>
      <c r="AI3286">
        <v>-1.9</v>
      </c>
      <c r="AJ3286">
        <v>3.54</v>
      </c>
      <c r="AK3286">
        <v>21.82</v>
      </c>
      <c r="AL3286">
        <v>40.53</v>
      </c>
    </row>
    <row r="3287" spans="1:38" x14ac:dyDescent="0.25">
      <c r="A3287">
        <v>3286</v>
      </c>
      <c r="B3287" t="str">
        <f xml:space="preserve"> "603031"</f>
        <v>603031</v>
      </c>
      <c r="C3287" t="s">
        <v>9210</v>
      </c>
      <c r="D3287">
        <v>34.5</v>
      </c>
      <c r="E3287">
        <v>4.26</v>
      </c>
      <c r="F3287">
        <v>1.41</v>
      </c>
      <c r="G3287" t="s">
        <v>432</v>
      </c>
      <c r="H3287">
        <v>5</v>
      </c>
      <c r="I3287">
        <v>34.450000000000003</v>
      </c>
      <c r="J3287">
        <v>34.479999999999997</v>
      </c>
      <c r="K3287">
        <v>-0.14000000000000001</v>
      </c>
      <c r="L3287">
        <v>5.43</v>
      </c>
      <c r="M3287" t="s">
        <v>9211</v>
      </c>
      <c r="N3287">
        <v>73.59</v>
      </c>
      <c r="O3287" t="s">
        <v>532</v>
      </c>
      <c r="P3287">
        <v>35.799999999999997</v>
      </c>
      <c r="Q3287">
        <v>32.81</v>
      </c>
      <c r="R3287">
        <v>32.85</v>
      </c>
      <c r="S3287">
        <v>33.090000000000003</v>
      </c>
      <c r="T3287">
        <v>9.0399999999999991</v>
      </c>
      <c r="U3287">
        <v>3.46</v>
      </c>
      <c r="V3287">
        <v>54.42</v>
      </c>
      <c r="W3287">
        <v>191</v>
      </c>
      <c r="X3287">
        <v>34.43</v>
      </c>
      <c r="Y3287" t="s">
        <v>2284</v>
      </c>
      <c r="Z3287" t="s">
        <v>2241</v>
      </c>
      <c r="AA3287">
        <v>0.92</v>
      </c>
      <c r="AB3287">
        <v>2</v>
      </c>
      <c r="AC3287">
        <v>1</v>
      </c>
      <c r="AD3287">
        <v>4.79</v>
      </c>
      <c r="AE3287" t="s">
        <v>5802</v>
      </c>
      <c r="AF3287" t="s">
        <v>1382</v>
      </c>
      <c r="AG3287" t="s">
        <v>9212</v>
      </c>
      <c r="AH3287" t="s">
        <v>1047</v>
      </c>
      <c r="AI3287">
        <v>4.2</v>
      </c>
      <c r="AJ3287">
        <v>8.42</v>
      </c>
      <c r="AK3287">
        <v>8.69</v>
      </c>
      <c r="AL3287">
        <v>13.26</v>
      </c>
    </row>
    <row r="3288" spans="1:38" x14ac:dyDescent="0.25">
      <c r="A3288">
        <v>3287</v>
      </c>
      <c r="B3288" t="str">
        <f xml:space="preserve"> "603536"</f>
        <v>603536</v>
      </c>
      <c r="C3288" t="s">
        <v>9213</v>
      </c>
      <c r="D3288">
        <v>22.98</v>
      </c>
      <c r="E3288">
        <v>1.68</v>
      </c>
      <c r="F3288">
        <v>0.38</v>
      </c>
      <c r="G3288" t="s">
        <v>1908</v>
      </c>
      <c r="H3288">
        <v>1</v>
      </c>
      <c r="I3288">
        <v>22.98</v>
      </c>
      <c r="J3288">
        <v>23.07</v>
      </c>
      <c r="K3288">
        <v>-0.52</v>
      </c>
      <c r="L3288">
        <v>10.69</v>
      </c>
      <c r="M3288" t="s">
        <v>9214</v>
      </c>
      <c r="N3288">
        <v>82.63</v>
      </c>
      <c r="O3288" t="s">
        <v>406</v>
      </c>
      <c r="P3288">
        <v>23.35</v>
      </c>
      <c r="Q3288">
        <v>22.48</v>
      </c>
      <c r="R3288">
        <v>22.48</v>
      </c>
      <c r="S3288">
        <v>22.6</v>
      </c>
      <c r="T3288">
        <v>3.85</v>
      </c>
      <c r="U3288">
        <v>1.96</v>
      </c>
      <c r="V3288">
        <v>20.5</v>
      </c>
      <c r="W3288">
        <v>75</v>
      </c>
      <c r="X3288">
        <v>23.03</v>
      </c>
      <c r="Y3288">
        <v>9329</v>
      </c>
      <c r="Z3288" t="s">
        <v>1887</v>
      </c>
      <c r="AA3288">
        <v>0.41</v>
      </c>
      <c r="AB3288">
        <v>47</v>
      </c>
      <c r="AC3288">
        <v>17</v>
      </c>
      <c r="AD3288">
        <v>4.59</v>
      </c>
      <c r="AE3288" t="s">
        <v>918</v>
      </c>
      <c r="AF3288" t="s">
        <v>1382</v>
      </c>
      <c r="AG3288" t="s">
        <v>3067</v>
      </c>
      <c r="AH3288" t="s">
        <v>1997</v>
      </c>
      <c r="AI3288">
        <v>0</v>
      </c>
      <c r="AJ3288">
        <v>1.73</v>
      </c>
      <c r="AK3288">
        <v>23.8</v>
      </c>
      <c r="AL3288">
        <v>37.950000000000003</v>
      </c>
    </row>
    <row r="3289" spans="1:38" x14ac:dyDescent="0.25">
      <c r="A3289">
        <v>3288</v>
      </c>
      <c r="B3289" t="str">
        <f xml:space="preserve"> "600189"</f>
        <v>600189</v>
      </c>
      <c r="C3289" t="s">
        <v>9215</v>
      </c>
      <c r="D3289">
        <v>8.8800000000000008</v>
      </c>
      <c r="E3289">
        <v>1.1399999999999999</v>
      </c>
      <c r="F3289">
        <v>0.1</v>
      </c>
      <c r="G3289" t="s">
        <v>1565</v>
      </c>
      <c r="H3289">
        <v>5</v>
      </c>
      <c r="I3289">
        <v>8.8800000000000008</v>
      </c>
      <c r="J3289">
        <v>8.89</v>
      </c>
      <c r="K3289">
        <v>0</v>
      </c>
      <c r="L3289">
        <v>0.72</v>
      </c>
      <c r="M3289" t="s">
        <v>9216</v>
      </c>
      <c r="N3289">
        <v>-37.880000000000003</v>
      </c>
      <c r="O3289" t="s">
        <v>1469</v>
      </c>
      <c r="P3289">
        <v>8.9</v>
      </c>
      <c r="Q3289">
        <v>8.74</v>
      </c>
      <c r="R3289">
        <v>8.81</v>
      </c>
      <c r="S3289">
        <v>8.7799999999999994</v>
      </c>
      <c r="T3289">
        <v>1.82</v>
      </c>
      <c r="U3289">
        <v>1.22</v>
      </c>
      <c r="V3289">
        <v>-52.84</v>
      </c>
      <c r="W3289">
        <v>-1553</v>
      </c>
      <c r="X3289">
        <v>8.82</v>
      </c>
      <c r="Y3289">
        <v>8458</v>
      </c>
      <c r="Z3289" t="s">
        <v>1153</v>
      </c>
      <c r="AA3289">
        <v>0.61</v>
      </c>
      <c r="AB3289">
        <v>119</v>
      </c>
      <c r="AC3289">
        <v>381</v>
      </c>
      <c r="AD3289">
        <v>2.0099999999999998</v>
      </c>
      <c r="AE3289" t="s">
        <v>4731</v>
      </c>
      <c r="AF3289" t="s">
        <v>1382</v>
      </c>
      <c r="AG3289" t="s">
        <v>4731</v>
      </c>
      <c r="AH3289" t="s">
        <v>1382</v>
      </c>
      <c r="AI3289">
        <v>0.79</v>
      </c>
      <c r="AJ3289">
        <v>4.59</v>
      </c>
      <c r="AK3289">
        <v>1.93</v>
      </c>
      <c r="AL3289">
        <v>3.69</v>
      </c>
    </row>
    <row r="3290" spans="1:38" x14ac:dyDescent="0.25">
      <c r="A3290">
        <v>3289</v>
      </c>
      <c r="B3290" t="str">
        <f xml:space="preserve"> "600731"</f>
        <v>600731</v>
      </c>
      <c r="C3290" t="s">
        <v>9217</v>
      </c>
      <c r="D3290">
        <v>8.42</v>
      </c>
      <c r="E3290">
        <v>0.12</v>
      </c>
      <c r="F3290">
        <v>0.01</v>
      </c>
      <c r="G3290" t="s">
        <v>1493</v>
      </c>
      <c r="H3290">
        <v>8</v>
      </c>
      <c r="I3290">
        <v>8.41</v>
      </c>
      <c r="J3290">
        <v>8.42</v>
      </c>
      <c r="K3290">
        <v>0</v>
      </c>
      <c r="L3290">
        <v>0.55000000000000004</v>
      </c>
      <c r="M3290" t="s">
        <v>9218</v>
      </c>
      <c r="N3290">
        <v>88.74</v>
      </c>
      <c r="O3290" t="s">
        <v>2060</v>
      </c>
      <c r="P3290">
        <v>8.44</v>
      </c>
      <c r="Q3290">
        <v>8.35</v>
      </c>
      <c r="R3290">
        <v>8.3699999999999992</v>
      </c>
      <c r="S3290">
        <v>8.41</v>
      </c>
      <c r="T3290">
        <v>1.07</v>
      </c>
      <c r="U3290">
        <v>0.6</v>
      </c>
      <c r="V3290">
        <v>-36.46</v>
      </c>
      <c r="W3290">
        <v>-1135</v>
      </c>
      <c r="X3290">
        <v>8.4</v>
      </c>
      <c r="Y3290">
        <v>8955</v>
      </c>
      <c r="Z3290">
        <v>8850</v>
      </c>
      <c r="AA3290">
        <v>1.01</v>
      </c>
      <c r="AB3290">
        <v>137</v>
      </c>
      <c r="AC3290">
        <v>359</v>
      </c>
      <c r="AD3290">
        <v>3.53</v>
      </c>
      <c r="AE3290" t="s">
        <v>3853</v>
      </c>
      <c r="AF3290" t="s">
        <v>1382</v>
      </c>
      <c r="AG3290" t="s">
        <v>3853</v>
      </c>
      <c r="AH3290" t="s">
        <v>1480</v>
      </c>
      <c r="AI3290">
        <v>-0.12</v>
      </c>
      <c r="AJ3290">
        <v>3.31</v>
      </c>
      <c r="AK3290">
        <v>2.27</v>
      </c>
      <c r="AL3290">
        <v>5.0999999999999996</v>
      </c>
    </row>
    <row r="3291" spans="1:38" x14ac:dyDescent="0.25">
      <c r="A3291">
        <v>3290</v>
      </c>
      <c r="B3291" t="str">
        <f xml:space="preserve"> "603679"</f>
        <v>603679</v>
      </c>
      <c r="C3291" t="s">
        <v>9219</v>
      </c>
      <c r="D3291">
        <v>27.54</v>
      </c>
      <c r="E3291">
        <v>2.2999999999999998</v>
      </c>
      <c r="F3291">
        <v>0.62</v>
      </c>
      <c r="G3291" t="s">
        <v>1095</v>
      </c>
      <c r="H3291">
        <v>1</v>
      </c>
      <c r="I3291">
        <v>27.54</v>
      </c>
      <c r="J3291">
        <v>27.55</v>
      </c>
      <c r="K3291">
        <v>0.11</v>
      </c>
      <c r="L3291">
        <v>5</v>
      </c>
      <c r="M3291" t="s">
        <v>9220</v>
      </c>
      <c r="N3291">
        <v>86.59</v>
      </c>
      <c r="O3291" t="s">
        <v>380</v>
      </c>
      <c r="P3291">
        <v>27.65</v>
      </c>
      <c r="Q3291">
        <v>26.72</v>
      </c>
      <c r="R3291">
        <v>26.72</v>
      </c>
      <c r="S3291">
        <v>26.92</v>
      </c>
      <c r="T3291">
        <v>3.45</v>
      </c>
      <c r="U3291">
        <v>1.2</v>
      </c>
      <c r="V3291">
        <v>-25.58</v>
      </c>
      <c r="W3291">
        <v>-121</v>
      </c>
      <c r="X3291">
        <v>27.35</v>
      </c>
      <c r="Y3291">
        <v>5135</v>
      </c>
      <c r="Z3291">
        <v>7363</v>
      </c>
      <c r="AA3291">
        <v>0.7</v>
      </c>
      <c r="AB3291">
        <v>6</v>
      </c>
      <c r="AC3291">
        <v>58</v>
      </c>
      <c r="AD3291">
        <v>5.75</v>
      </c>
      <c r="AE3291" t="s">
        <v>4464</v>
      </c>
      <c r="AF3291" t="s">
        <v>1480</v>
      </c>
      <c r="AG3291" t="s">
        <v>5931</v>
      </c>
      <c r="AH3291" t="s">
        <v>1997</v>
      </c>
      <c r="AI3291">
        <v>1.32</v>
      </c>
      <c r="AJ3291">
        <v>5.84</v>
      </c>
      <c r="AK3291">
        <v>12.97</v>
      </c>
      <c r="AL3291">
        <v>25.75</v>
      </c>
    </row>
    <row r="3292" spans="1:38" x14ac:dyDescent="0.25">
      <c r="A3292">
        <v>3291</v>
      </c>
      <c r="B3292" t="str">
        <f xml:space="preserve"> "300509"</f>
        <v>300509</v>
      </c>
      <c r="C3292" t="s">
        <v>9221</v>
      </c>
      <c r="D3292">
        <v>34.4</v>
      </c>
      <c r="E3292">
        <v>1.5</v>
      </c>
      <c r="F3292">
        <v>0.51</v>
      </c>
      <c r="G3292" t="s">
        <v>3041</v>
      </c>
      <c r="H3292">
        <v>196</v>
      </c>
      <c r="I3292">
        <v>34.4</v>
      </c>
      <c r="J3292">
        <v>34.409999999999997</v>
      </c>
      <c r="K3292">
        <v>-0.03</v>
      </c>
      <c r="L3292">
        <v>4.16</v>
      </c>
      <c r="M3292" t="s">
        <v>9222</v>
      </c>
      <c r="N3292">
        <v>62.92</v>
      </c>
      <c r="O3292" t="s">
        <v>648</v>
      </c>
      <c r="P3292">
        <v>34.85</v>
      </c>
      <c r="Q3292">
        <v>33.9</v>
      </c>
      <c r="R3292">
        <v>34.1</v>
      </c>
      <c r="S3292">
        <v>33.89</v>
      </c>
      <c r="T3292">
        <v>2.8</v>
      </c>
      <c r="U3292">
        <v>0.99</v>
      </c>
      <c r="V3292">
        <v>-2.48</v>
      </c>
      <c r="W3292">
        <v>-9</v>
      </c>
      <c r="X3292">
        <v>34.49</v>
      </c>
      <c r="Y3292">
        <v>4909</v>
      </c>
      <c r="Z3292">
        <v>6027</v>
      </c>
      <c r="AA3292">
        <v>0.81</v>
      </c>
      <c r="AB3292">
        <v>52</v>
      </c>
      <c r="AC3292">
        <v>62</v>
      </c>
      <c r="AD3292">
        <v>4.87</v>
      </c>
      <c r="AE3292" t="s">
        <v>5802</v>
      </c>
      <c r="AF3292" t="s">
        <v>1480</v>
      </c>
      <c r="AG3292" t="s">
        <v>7260</v>
      </c>
      <c r="AH3292" t="s">
        <v>3663</v>
      </c>
      <c r="AI3292">
        <v>-1.71</v>
      </c>
      <c r="AJ3292">
        <v>6.47</v>
      </c>
      <c r="AK3292">
        <v>12.98</v>
      </c>
      <c r="AL3292">
        <v>25.19</v>
      </c>
    </row>
    <row r="3293" spans="1:38" x14ac:dyDescent="0.25">
      <c r="A3293">
        <v>3292</v>
      </c>
      <c r="B3293" t="str">
        <f xml:space="preserve"> "603991"</f>
        <v>603991</v>
      </c>
      <c r="C3293" t="s">
        <v>9223</v>
      </c>
      <c r="D3293">
        <v>36.9</v>
      </c>
      <c r="E3293">
        <v>1.46</v>
      </c>
      <c r="F3293">
        <v>0.53</v>
      </c>
      <c r="G3293" t="s">
        <v>1114</v>
      </c>
      <c r="H3293">
        <v>37</v>
      </c>
      <c r="I3293">
        <v>36.869999999999997</v>
      </c>
      <c r="J3293">
        <v>36.909999999999997</v>
      </c>
      <c r="K3293">
        <v>-0.14000000000000001</v>
      </c>
      <c r="L3293">
        <v>7.89</v>
      </c>
      <c r="M3293" t="s">
        <v>9224</v>
      </c>
      <c r="N3293">
        <v>102.3</v>
      </c>
      <c r="O3293" t="s">
        <v>2128</v>
      </c>
      <c r="P3293">
        <v>37.090000000000003</v>
      </c>
      <c r="Q3293">
        <v>36.21</v>
      </c>
      <c r="R3293">
        <v>36.44</v>
      </c>
      <c r="S3293">
        <v>36.369999999999997</v>
      </c>
      <c r="T3293">
        <v>2.42</v>
      </c>
      <c r="U3293">
        <v>0.89</v>
      </c>
      <c r="V3293">
        <v>-11.68</v>
      </c>
      <c r="W3293">
        <v>-23</v>
      </c>
      <c r="X3293">
        <v>36.78</v>
      </c>
      <c r="Y3293">
        <v>6268</v>
      </c>
      <c r="Z3293">
        <v>8478</v>
      </c>
      <c r="AA3293">
        <v>0.74</v>
      </c>
      <c r="AB3293">
        <v>7</v>
      </c>
      <c r="AC3293">
        <v>8</v>
      </c>
      <c r="AD3293">
        <v>6.3</v>
      </c>
      <c r="AE3293" t="s">
        <v>4960</v>
      </c>
      <c r="AF3293" t="s">
        <v>1480</v>
      </c>
      <c r="AG3293" t="s">
        <v>9225</v>
      </c>
      <c r="AH3293" t="s">
        <v>758</v>
      </c>
      <c r="AI3293">
        <v>0.63</v>
      </c>
      <c r="AJ3293">
        <v>-1.89</v>
      </c>
      <c r="AK3293">
        <v>18.579999999999998</v>
      </c>
      <c r="AL3293">
        <v>52.27</v>
      </c>
    </row>
    <row r="3294" spans="1:38" x14ac:dyDescent="0.25">
      <c r="A3294">
        <v>3293</v>
      </c>
      <c r="B3294" t="str">
        <f xml:space="preserve"> "603268"</f>
        <v>603268</v>
      </c>
      <c r="C3294" t="s">
        <v>9226</v>
      </c>
      <c r="D3294">
        <v>30.69</v>
      </c>
      <c r="E3294">
        <v>2.2000000000000002</v>
      </c>
      <c r="F3294">
        <v>0.66</v>
      </c>
      <c r="G3294" t="s">
        <v>2518</v>
      </c>
      <c r="H3294">
        <v>12</v>
      </c>
      <c r="I3294">
        <v>30.7</v>
      </c>
      <c r="J3294">
        <v>30.71</v>
      </c>
      <c r="K3294">
        <v>7.0000000000000007E-2</v>
      </c>
      <c r="L3294">
        <v>3.26</v>
      </c>
      <c r="M3294" t="s">
        <v>9090</v>
      </c>
      <c r="N3294">
        <v>67.22</v>
      </c>
      <c r="O3294" t="s">
        <v>1058</v>
      </c>
      <c r="P3294">
        <v>30.79</v>
      </c>
      <c r="Q3294">
        <v>29.78</v>
      </c>
      <c r="R3294">
        <v>30.03</v>
      </c>
      <c r="S3294">
        <v>30.03</v>
      </c>
      <c r="T3294">
        <v>3.36</v>
      </c>
      <c r="U3294">
        <v>2.19</v>
      </c>
      <c r="V3294">
        <v>17.63</v>
      </c>
      <c r="W3294">
        <v>104</v>
      </c>
      <c r="X3294">
        <v>30.3</v>
      </c>
      <c r="Y3294">
        <v>6247</v>
      </c>
      <c r="Z3294">
        <v>7157</v>
      </c>
      <c r="AA3294">
        <v>0.87</v>
      </c>
      <c r="AB3294">
        <v>135</v>
      </c>
      <c r="AC3294">
        <v>59</v>
      </c>
      <c r="AD3294">
        <v>4.5999999999999996</v>
      </c>
      <c r="AE3294" t="s">
        <v>9227</v>
      </c>
      <c r="AF3294" t="s">
        <v>2608</v>
      </c>
      <c r="AG3294" t="s">
        <v>9228</v>
      </c>
      <c r="AH3294" t="s">
        <v>126</v>
      </c>
      <c r="AI3294">
        <v>2.2999999999999998</v>
      </c>
      <c r="AJ3294">
        <v>5.97</v>
      </c>
      <c r="AK3294">
        <v>6.1</v>
      </c>
      <c r="AL3294">
        <v>10.7</v>
      </c>
    </row>
    <row r="3295" spans="1:38" x14ac:dyDescent="0.25">
      <c r="A3295">
        <v>3294</v>
      </c>
      <c r="B3295" t="str">
        <f xml:space="preserve"> "600448"</f>
        <v>600448</v>
      </c>
      <c r="C3295" t="s">
        <v>9229</v>
      </c>
      <c r="D3295">
        <v>6.49</v>
      </c>
      <c r="E3295">
        <v>1.72</v>
      </c>
      <c r="F3295">
        <v>0.11</v>
      </c>
      <c r="G3295" t="s">
        <v>197</v>
      </c>
      <c r="H3295">
        <v>20</v>
      </c>
      <c r="I3295">
        <v>6.49</v>
      </c>
      <c r="J3295">
        <v>6.5</v>
      </c>
      <c r="K3295">
        <v>-0.15</v>
      </c>
      <c r="L3295">
        <v>1.47</v>
      </c>
      <c r="M3295" t="s">
        <v>9230</v>
      </c>
      <c r="N3295">
        <v>178.8</v>
      </c>
      <c r="O3295" t="s">
        <v>1443</v>
      </c>
      <c r="P3295">
        <v>6.54</v>
      </c>
      <c r="Q3295">
        <v>6.32</v>
      </c>
      <c r="R3295">
        <v>6.37</v>
      </c>
      <c r="S3295">
        <v>6.38</v>
      </c>
      <c r="T3295">
        <v>3.45</v>
      </c>
      <c r="U3295">
        <v>1.1399999999999999</v>
      </c>
      <c r="V3295">
        <v>3.9</v>
      </c>
      <c r="W3295">
        <v>243</v>
      </c>
      <c r="X3295">
        <v>6.46</v>
      </c>
      <c r="Y3295" t="s">
        <v>1285</v>
      </c>
      <c r="Z3295" t="s">
        <v>1334</v>
      </c>
      <c r="AA3295">
        <v>0.67</v>
      </c>
      <c r="AB3295">
        <v>406</v>
      </c>
      <c r="AC3295">
        <v>244</v>
      </c>
      <c r="AD3295">
        <v>3.21</v>
      </c>
      <c r="AE3295" t="s">
        <v>5070</v>
      </c>
      <c r="AF3295" t="s">
        <v>2608</v>
      </c>
      <c r="AG3295" t="s">
        <v>5070</v>
      </c>
      <c r="AH3295" t="s">
        <v>2608</v>
      </c>
      <c r="AI3295">
        <v>0.93</v>
      </c>
      <c r="AJ3295">
        <v>7.81</v>
      </c>
      <c r="AK3295">
        <v>3.51</v>
      </c>
      <c r="AL3295">
        <v>7.93</v>
      </c>
    </row>
    <row r="3296" spans="1:38" x14ac:dyDescent="0.25">
      <c r="A3296">
        <v>3295</v>
      </c>
      <c r="B3296" t="str">
        <f xml:space="preserve"> "300313"</f>
        <v>300313</v>
      </c>
      <c r="C3296" t="s">
        <v>9231</v>
      </c>
      <c r="D3296">
        <v>13.87</v>
      </c>
      <c r="E3296">
        <v>0.36</v>
      </c>
      <c r="F3296">
        <v>0.05</v>
      </c>
      <c r="G3296" t="s">
        <v>3931</v>
      </c>
      <c r="H3296">
        <v>527</v>
      </c>
      <c r="I3296">
        <v>13.87</v>
      </c>
      <c r="J3296">
        <v>13.88</v>
      </c>
      <c r="K3296">
        <v>0</v>
      </c>
      <c r="L3296">
        <v>1.32</v>
      </c>
      <c r="M3296" t="s">
        <v>9232</v>
      </c>
      <c r="N3296">
        <v>814.83</v>
      </c>
      <c r="O3296" t="s">
        <v>622</v>
      </c>
      <c r="P3296">
        <v>14</v>
      </c>
      <c r="Q3296">
        <v>13.71</v>
      </c>
      <c r="R3296">
        <v>14</v>
      </c>
      <c r="S3296">
        <v>13.82</v>
      </c>
      <c r="T3296">
        <v>2.1</v>
      </c>
      <c r="U3296">
        <v>0.51</v>
      </c>
      <c r="V3296">
        <v>13.92</v>
      </c>
      <c r="W3296">
        <v>237</v>
      </c>
      <c r="X3296">
        <v>13.86</v>
      </c>
      <c r="Y3296" t="s">
        <v>2518</v>
      </c>
      <c r="Z3296" t="s">
        <v>1785</v>
      </c>
      <c r="AA3296">
        <v>1.25</v>
      </c>
      <c r="AB3296">
        <v>658</v>
      </c>
      <c r="AC3296">
        <v>9</v>
      </c>
      <c r="AD3296">
        <v>7.61</v>
      </c>
      <c r="AE3296" t="s">
        <v>4935</v>
      </c>
      <c r="AF3296" t="s">
        <v>2608</v>
      </c>
      <c r="AG3296" t="s">
        <v>2637</v>
      </c>
      <c r="AH3296" t="s">
        <v>2663</v>
      </c>
      <c r="AI3296">
        <v>0.28999999999999998</v>
      </c>
      <c r="AJ3296">
        <v>4.29</v>
      </c>
      <c r="AK3296">
        <v>6.15</v>
      </c>
      <c r="AL3296">
        <v>14.26</v>
      </c>
    </row>
    <row r="3297" spans="1:38" x14ac:dyDescent="0.25">
      <c r="A3297">
        <v>3296</v>
      </c>
      <c r="B3297" t="str">
        <f xml:space="preserve"> "600796"</f>
        <v>600796</v>
      </c>
      <c r="C3297" t="s">
        <v>9233</v>
      </c>
      <c r="D3297">
        <v>9.08</v>
      </c>
      <c r="E3297">
        <v>0.11</v>
      </c>
      <c r="F3297">
        <v>0.01</v>
      </c>
      <c r="G3297" t="s">
        <v>4590</v>
      </c>
      <c r="H3297">
        <v>5</v>
      </c>
      <c r="I3297">
        <v>9.08</v>
      </c>
      <c r="J3297">
        <v>9.09</v>
      </c>
      <c r="K3297">
        <v>0</v>
      </c>
      <c r="L3297">
        <v>0.5</v>
      </c>
      <c r="M3297" t="s">
        <v>9234</v>
      </c>
      <c r="N3297">
        <v>38.729999999999997</v>
      </c>
      <c r="O3297" t="s">
        <v>2060</v>
      </c>
      <c r="P3297">
        <v>9.1</v>
      </c>
      <c r="Q3297">
        <v>9.02</v>
      </c>
      <c r="R3297">
        <v>9.0299999999999994</v>
      </c>
      <c r="S3297">
        <v>9.07</v>
      </c>
      <c r="T3297">
        <v>0.88</v>
      </c>
      <c r="U3297">
        <v>0.53</v>
      </c>
      <c r="V3297">
        <v>-42.5</v>
      </c>
      <c r="W3297">
        <v>-1225</v>
      </c>
      <c r="X3297">
        <v>9.06</v>
      </c>
      <c r="Y3297">
        <v>7683</v>
      </c>
      <c r="Z3297">
        <v>7414</v>
      </c>
      <c r="AA3297">
        <v>1.04</v>
      </c>
      <c r="AB3297">
        <v>485</v>
      </c>
      <c r="AC3297">
        <v>703</v>
      </c>
      <c r="AD3297">
        <v>4.37</v>
      </c>
      <c r="AE3297" t="s">
        <v>4836</v>
      </c>
      <c r="AF3297" t="s">
        <v>2608</v>
      </c>
      <c r="AG3297" t="s">
        <v>4836</v>
      </c>
      <c r="AH3297" t="s">
        <v>2608</v>
      </c>
      <c r="AI3297">
        <v>0.11</v>
      </c>
      <c r="AJ3297">
        <v>4.49</v>
      </c>
      <c r="AK3297">
        <v>2.5099999999999998</v>
      </c>
      <c r="AL3297">
        <v>5.22</v>
      </c>
    </row>
    <row r="3298" spans="1:38" x14ac:dyDescent="0.25">
      <c r="A3298">
        <v>3297</v>
      </c>
      <c r="B3298" t="str">
        <f xml:space="preserve"> "300622"</f>
        <v>300622</v>
      </c>
      <c r="C3298" t="s">
        <v>9235</v>
      </c>
      <c r="D3298">
        <v>31.86</v>
      </c>
      <c r="E3298">
        <v>10.01</v>
      </c>
      <c r="F3298">
        <v>2.9</v>
      </c>
      <c r="G3298" t="s">
        <v>2298</v>
      </c>
      <c r="H3298">
        <v>18</v>
      </c>
      <c r="I3298">
        <v>31.86</v>
      </c>
      <c r="J3298" t="s">
        <v>616</v>
      </c>
      <c r="K3298">
        <v>0</v>
      </c>
      <c r="L3298">
        <v>14.26</v>
      </c>
      <c r="M3298" t="s">
        <v>9236</v>
      </c>
      <c r="N3298">
        <v>63.83</v>
      </c>
      <c r="O3298" t="s">
        <v>859</v>
      </c>
      <c r="P3298">
        <v>31.86</v>
      </c>
      <c r="Q3298">
        <v>29.01</v>
      </c>
      <c r="R3298">
        <v>29.17</v>
      </c>
      <c r="S3298">
        <v>28.96</v>
      </c>
      <c r="T3298">
        <v>9.84</v>
      </c>
      <c r="U3298">
        <v>3.01</v>
      </c>
      <c r="V3298">
        <v>100</v>
      </c>
      <c r="W3298" t="s">
        <v>2551</v>
      </c>
      <c r="X3298">
        <v>30.88</v>
      </c>
      <c r="Y3298" t="s">
        <v>3950</v>
      </c>
      <c r="Z3298" t="s">
        <v>433</v>
      </c>
      <c r="AA3298">
        <v>1.02</v>
      </c>
      <c r="AB3298" t="s">
        <v>2551</v>
      </c>
      <c r="AC3298">
        <v>0</v>
      </c>
      <c r="AD3298">
        <v>6.47</v>
      </c>
      <c r="AE3298" t="s">
        <v>9237</v>
      </c>
      <c r="AF3298" t="s">
        <v>355</v>
      </c>
      <c r="AG3298" t="s">
        <v>7631</v>
      </c>
      <c r="AH3298" t="s">
        <v>9238</v>
      </c>
      <c r="AI3298">
        <v>6.41</v>
      </c>
      <c r="AJ3298">
        <v>9.86</v>
      </c>
      <c r="AK3298">
        <v>23.2</v>
      </c>
      <c r="AL3298">
        <v>37.94</v>
      </c>
    </row>
    <row r="3299" spans="1:38" x14ac:dyDescent="0.25">
      <c r="A3299">
        <v>3298</v>
      </c>
      <c r="B3299" t="str">
        <f xml:space="preserve"> "300472"</f>
        <v>300472</v>
      </c>
      <c r="C3299" t="s">
        <v>9239</v>
      </c>
      <c r="D3299">
        <v>27.28</v>
      </c>
      <c r="E3299">
        <v>0.59</v>
      </c>
      <c r="F3299">
        <v>0.16</v>
      </c>
      <c r="G3299">
        <v>4029</v>
      </c>
      <c r="H3299">
        <v>47</v>
      </c>
      <c r="I3299">
        <v>27.26</v>
      </c>
      <c r="J3299">
        <v>27.28</v>
      </c>
      <c r="K3299">
        <v>-0.15</v>
      </c>
      <c r="L3299">
        <v>1.21</v>
      </c>
      <c r="M3299" t="s">
        <v>9240</v>
      </c>
      <c r="N3299">
        <v>338.46</v>
      </c>
      <c r="O3299" t="s">
        <v>253</v>
      </c>
      <c r="P3299">
        <v>27.43</v>
      </c>
      <c r="Q3299">
        <v>27.01</v>
      </c>
      <c r="R3299">
        <v>27.01</v>
      </c>
      <c r="S3299">
        <v>27.12</v>
      </c>
      <c r="T3299">
        <v>1.55</v>
      </c>
      <c r="U3299">
        <v>0.71</v>
      </c>
      <c r="V3299">
        <v>-24.35</v>
      </c>
      <c r="W3299">
        <v>-56</v>
      </c>
      <c r="X3299">
        <v>27.28</v>
      </c>
      <c r="Y3299">
        <v>1954</v>
      </c>
      <c r="Z3299">
        <v>2075</v>
      </c>
      <c r="AA3299">
        <v>0.94</v>
      </c>
      <c r="AB3299">
        <v>27</v>
      </c>
      <c r="AC3299">
        <v>3</v>
      </c>
      <c r="AD3299">
        <v>7.06</v>
      </c>
      <c r="AE3299" t="s">
        <v>4464</v>
      </c>
      <c r="AF3299" t="s">
        <v>355</v>
      </c>
      <c r="AG3299" t="s">
        <v>9241</v>
      </c>
      <c r="AH3299" t="s">
        <v>2677</v>
      </c>
      <c r="AI3299">
        <v>-2.15</v>
      </c>
      <c r="AJ3299">
        <v>1.87</v>
      </c>
      <c r="AK3299">
        <v>4.71</v>
      </c>
      <c r="AL3299">
        <v>9.68</v>
      </c>
    </row>
    <row r="3300" spans="1:38" x14ac:dyDescent="0.25">
      <c r="A3300">
        <v>3299</v>
      </c>
      <c r="B3300" t="str">
        <f xml:space="preserve"> "002209"</f>
        <v>002209</v>
      </c>
      <c r="C3300" t="s">
        <v>9242</v>
      </c>
      <c r="D3300">
        <v>13.96</v>
      </c>
      <c r="E3300">
        <v>0.43</v>
      </c>
      <c r="F3300">
        <v>0.06</v>
      </c>
      <c r="G3300" t="s">
        <v>2313</v>
      </c>
      <c r="H3300">
        <v>117</v>
      </c>
      <c r="I3300">
        <v>13.94</v>
      </c>
      <c r="J3300">
        <v>13.96</v>
      </c>
      <c r="K3300">
        <v>0.22</v>
      </c>
      <c r="L3300">
        <v>0.82</v>
      </c>
      <c r="M3300" t="s">
        <v>3862</v>
      </c>
      <c r="N3300">
        <v>-151.83000000000001</v>
      </c>
      <c r="O3300" t="s">
        <v>2647</v>
      </c>
      <c r="P3300">
        <v>14.08</v>
      </c>
      <c r="Q3300">
        <v>13.8</v>
      </c>
      <c r="R3300">
        <v>13.82</v>
      </c>
      <c r="S3300">
        <v>13.9</v>
      </c>
      <c r="T3300">
        <v>2.0099999999999998</v>
      </c>
      <c r="U3300">
        <v>0.82</v>
      </c>
      <c r="V3300">
        <v>-74.19</v>
      </c>
      <c r="W3300">
        <v>-1305</v>
      </c>
      <c r="X3300">
        <v>13.89</v>
      </c>
      <c r="Y3300">
        <v>7999</v>
      </c>
      <c r="Z3300">
        <v>7701</v>
      </c>
      <c r="AA3300">
        <v>1.04</v>
      </c>
      <c r="AB3300">
        <v>20</v>
      </c>
      <c r="AC3300">
        <v>36</v>
      </c>
      <c r="AD3300">
        <v>4.51</v>
      </c>
      <c r="AE3300" t="s">
        <v>1935</v>
      </c>
      <c r="AF3300" t="s">
        <v>355</v>
      </c>
      <c r="AG3300" t="s">
        <v>3084</v>
      </c>
      <c r="AH3300" t="s">
        <v>3473</v>
      </c>
      <c r="AI3300">
        <v>-2.38</v>
      </c>
      <c r="AJ3300">
        <v>1.53</v>
      </c>
      <c r="AK3300">
        <v>2.2400000000000002</v>
      </c>
      <c r="AL3300">
        <v>5.82</v>
      </c>
    </row>
    <row r="3301" spans="1:38" x14ac:dyDescent="0.25">
      <c r="A3301">
        <v>3300</v>
      </c>
      <c r="B3301" t="str">
        <f xml:space="preserve"> "002687"</f>
        <v>002687</v>
      </c>
      <c r="C3301" t="s">
        <v>9243</v>
      </c>
      <c r="D3301">
        <v>7.68</v>
      </c>
      <c r="E3301">
        <v>-0.9</v>
      </c>
      <c r="F3301">
        <v>-7.0000000000000007E-2</v>
      </c>
      <c r="G3301" t="s">
        <v>1374</v>
      </c>
      <c r="H3301">
        <v>258</v>
      </c>
      <c r="I3301">
        <v>7.68</v>
      </c>
      <c r="J3301">
        <v>7.69</v>
      </c>
      <c r="K3301">
        <v>0.13</v>
      </c>
      <c r="L3301">
        <v>0.82</v>
      </c>
      <c r="M3301" t="s">
        <v>9244</v>
      </c>
      <c r="N3301">
        <v>37.94</v>
      </c>
      <c r="O3301" t="s">
        <v>1443</v>
      </c>
      <c r="P3301">
        <v>7.77</v>
      </c>
      <c r="Q3301">
        <v>7.66</v>
      </c>
      <c r="R3301">
        <v>7.75</v>
      </c>
      <c r="S3301">
        <v>7.75</v>
      </c>
      <c r="T3301">
        <v>1.42</v>
      </c>
      <c r="U3301">
        <v>0.74</v>
      </c>
      <c r="V3301">
        <v>34.78</v>
      </c>
      <c r="W3301">
        <v>820</v>
      </c>
      <c r="X3301">
        <v>7.71</v>
      </c>
      <c r="Y3301" t="s">
        <v>2968</v>
      </c>
      <c r="Z3301">
        <v>9677</v>
      </c>
      <c r="AA3301">
        <v>1.7</v>
      </c>
      <c r="AB3301">
        <v>164</v>
      </c>
      <c r="AC3301">
        <v>179</v>
      </c>
      <c r="AD3301">
        <v>2.78</v>
      </c>
      <c r="AE3301" t="s">
        <v>2012</v>
      </c>
      <c r="AF3301" t="s">
        <v>355</v>
      </c>
      <c r="AG3301" t="s">
        <v>2264</v>
      </c>
      <c r="AH3301" t="s">
        <v>3257</v>
      </c>
      <c r="AI3301">
        <v>-1.29</v>
      </c>
      <c r="AJ3301">
        <v>2.2599999999999998</v>
      </c>
      <c r="AK3301">
        <v>3.36</v>
      </c>
      <c r="AL3301">
        <v>6.37</v>
      </c>
    </row>
    <row r="3302" spans="1:38" x14ac:dyDescent="0.25">
      <c r="A3302">
        <v>3301</v>
      </c>
      <c r="B3302" t="str">
        <f xml:space="preserve"> "300164"</f>
        <v>300164</v>
      </c>
      <c r="C3302" t="s">
        <v>9245</v>
      </c>
      <c r="D3302" t="s">
        <v>616</v>
      </c>
      <c r="E3302" t="s">
        <v>616</v>
      </c>
      <c r="F3302" t="s">
        <v>616</v>
      </c>
      <c r="G3302" t="s">
        <v>616</v>
      </c>
      <c r="H3302" t="s">
        <v>616</v>
      </c>
      <c r="I3302" t="s">
        <v>616</v>
      </c>
      <c r="J3302" t="s">
        <v>616</v>
      </c>
      <c r="K3302" t="s">
        <v>616</v>
      </c>
      <c r="L3302" t="s">
        <v>616</v>
      </c>
      <c r="M3302" t="s">
        <v>616</v>
      </c>
      <c r="N3302">
        <v>333.77</v>
      </c>
      <c r="O3302" t="s">
        <v>61</v>
      </c>
      <c r="P3302" t="s">
        <v>616</v>
      </c>
      <c r="Q3302" t="s">
        <v>616</v>
      </c>
      <c r="R3302" t="s">
        <v>616</v>
      </c>
      <c r="S3302">
        <v>6.06</v>
      </c>
      <c r="T3302" t="s">
        <v>616</v>
      </c>
      <c r="U3302" t="s">
        <v>616</v>
      </c>
      <c r="V3302" t="s">
        <v>616</v>
      </c>
      <c r="W3302" t="s">
        <v>616</v>
      </c>
      <c r="X3302" t="s">
        <v>616</v>
      </c>
      <c r="Y3302" t="s">
        <v>616</v>
      </c>
      <c r="Z3302" t="s">
        <v>616</v>
      </c>
      <c r="AA3302" t="s">
        <v>616</v>
      </c>
      <c r="AB3302" t="s">
        <v>616</v>
      </c>
      <c r="AC3302" t="s">
        <v>616</v>
      </c>
      <c r="AD3302">
        <v>1.74</v>
      </c>
      <c r="AE3302" t="s">
        <v>1676</v>
      </c>
      <c r="AF3302" t="s">
        <v>1030</v>
      </c>
      <c r="AG3302" t="s">
        <v>5539</v>
      </c>
      <c r="AH3302" t="s">
        <v>1981</v>
      </c>
      <c r="AI3302">
        <v>0</v>
      </c>
      <c r="AJ3302">
        <v>0</v>
      </c>
      <c r="AK3302">
        <v>0</v>
      </c>
      <c r="AL3302">
        <v>0</v>
      </c>
    </row>
    <row r="3303" spans="1:38" x14ac:dyDescent="0.25">
      <c r="A3303">
        <v>3302</v>
      </c>
      <c r="B3303" t="str">
        <f xml:space="preserve"> "600767"</f>
        <v>600767</v>
      </c>
      <c r="C3303" t="s">
        <v>9246</v>
      </c>
      <c r="D3303">
        <v>7.98</v>
      </c>
      <c r="E3303">
        <v>1.1399999999999999</v>
      </c>
      <c r="F3303">
        <v>0.09</v>
      </c>
      <c r="G3303" t="s">
        <v>2061</v>
      </c>
      <c r="H3303">
        <v>42</v>
      </c>
      <c r="I3303">
        <v>7.97</v>
      </c>
      <c r="J3303">
        <v>7.98</v>
      </c>
      <c r="K3303">
        <v>0.13</v>
      </c>
      <c r="L3303">
        <v>0.56000000000000005</v>
      </c>
      <c r="M3303" t="s">
        <v>9247</v>
      </c>
      <c r="N3303">
        <v>-43.1</v>
      </c>
      <c r="O3303" t="s">
        <v>893</v>
      </c>
      <c r="P3303">
        <v>8.0299999999999994</v>
      </c>
      <c r="Q3303">
        <v>7.85</v>
      </c>
      <c r="R3303">
        <v>7.92</v>
      </c>
      <c r="S3303">
        <v>7.89</v>
      </c>
      <c r="T3303">
        <v>2.2799999999999998</v>
      </c>
      <c r="U3303">
        <v>0.63</v>
      </c>
      <c r="V3303">
        <v>-38.82</v>
      </c>
      <c r="W3303">
        <v>-753</v>
      </c>
      <c r="X3303">
        <v>7.97</v>
      </c>
      <c r="Y3303">
        <v>8497</v>
      </c>
      <c r="Z3303" t="s">
        <v>2800</v>
      </c>
      <c r="AA3303">
        <v>0.81</v>
      </c>
      <c r="AB3303">
        <v>351</v>
      </c>
      <c r="AC3303">
        <v>10</v>
      </c>
      <c r="AD3303">
        <v>14.18</v>
      </c>
      <c r="AE3303" t="s">
        <v>1034</v>
      </c>
      <c r="AF3303" t="s">
        <v>1030</v>
      </c>
      <c r="AG3303" t="s">
        <v>1034</v>
      </c>
      <c r="AH3303" t="s">
        <v>1030</v>
      </c>
      <c r="AI3303">
        <v>-0.37</v>
      </c>
      <c r="AJ3303">
        <v>6.97</v>
      </c>
      <c r="AK3303">
        <v>2</v>
      </c>
      <c r="AL3303">
        <v>4.96</v>
      </c>
    </row>
    <row r="3304" spans="1:38" x14ac:dyDescent="0.25">
      <c r="A3304">
        <v>3303</v>
      </c>
      <c r="B3304" t="str">
        <f xml:space="preserve"> "600444"</f>
        <v>600444</v>
      </c>
      <c r="C3304" t="s">
        <v>9248</v>
      </c>
      <c r="D3304">
        <v>18.579999999999998</v>
      </c>
      <c r="E3304">
        <v>-0.27</v>
      </c>
      <c r="F3304">
        <v>-0.05</v>
      </c>
      <c r="G3304" t="s">
        <v>2459</v>
      </c>
      <c r="H3304">
        <v>15</v>
      </c>
      <c r="I3304">
        <v>18.59</v>
      </c>
      <c r="J3304">
        <v>18.600000000000001</v>
      </c>
      <c r="K3304">
        <v>0.16</v>
      </c>
      <c r="L3304">
        <v>2.95</v>
      </c>
      <c r="M3304" t="s">
        <v>9249</v>
      </c>
      <c r="N3304">
        <v>132.66999999999999</v>
      </c>
      <c r="O3304" t="s">
        <v>648</v>
      </c>
      <c r="P3304">
        <v>18.68</v>
      </c>
      <c r="Q3304">
        <v>18.239999999999998</v>
      </c>
      <c r="R3304">
        <v>18.440000000000001</v>
      </c>
      <c r="S3304">
        <v>18.63</v>
      </c>
      <c r="T3304">
        <v>2.36</v>
      </c>
      <c r="U3304">
        <v>0.47</v>
      </c>
      <c r="V3304">
        <v>-18.170000000000002</v>
      </c>
      <c r="W3304">
        <v>-111</v>
      </c>
      <c r="X3304">
        <v>18.45</v>
      </c>
      <c r="Y3304" t="s">
        <v>4590</v>
      </c>
      <c r="Z3304" t="s">
        <v>2558</v>
      </c>
      <c r="AA3304">
        <v>0.95</v>
      </c>
      <c r="AB3304">
        <v>55</v>
      </c>
      <c r="AC3304">
        <v>109</v>
      </c>
      <c r="AD3304">
        <v>7.72</v>
      </c>
      <c r="AE3304" t="s">
        <v>1862</v>
      </c>
      <c r="AF3304" t="s">
        <v>1030</v>
      </c>
      <c r="AG3304" t="s">
        <v>1907</v>
      </c>
      <c r="AH3304" t="s">
        <v>931</v>
      </c>
      <c r="AI3304">
        <v>-3.88</v>
      </c>
      <c r="AJ3304">
        <v>-6.59</v>
      </c>
      <c r="AK3304">
        <v>11.99</v>
      </c>
      <c r="AL3304">
        <v>34.369999999999997</v>
      </c>
    </row>
    <row r="3305" spans="1:38" x14ac:dyDescent="0.25">
      <c r="A3305">
        <v>3304</v>
      </c>
      <c r="B3305" t="str">
        <f xml:space="preserve"> "600766"</f>
        <v>600766</v>
      </c>
      <c r="C3305" t="s">
        <v>9250</v>
      </c>
      <c r="D3305">
        <v>12.1</v>
      </c>
      <c r="E3305">
        <v>-1.39</v>
      </c>
      <c r="F3305">
        <v>-0.17</v>
      </c>
      <c r="G3305" t="s">
        <v>5033</v>
      </c>
      <c r="H3305">
        <v>1</v>
      </c>
      <c r="I3305">
        <v>12.1</v>
      </c>
      <c r="J3305">
        <v>12.11</v>
      </c>
      <c r="K3305">
        <v>0</v>
      </c>
      <c r="L3305">
        <v>1.1399999999999999</v>
      </c>
      <c r="M3305" t="s">
        <v>9251</v>
      </c>
      <c r="N3305">
        <v>636.20000000000005</v>
      </c>
      <c r="O3305" t="s">
        <v>788</v>
      </c>
      <c r="P3305">
        <v>12.17</v>
      </c>
      <c r="Q3305">
        <v>12.03</v>
      </c>
      <c r="R3305">
        <v>12.04</v>
      </c>
      <c r="S3305">
        <v>12.27</v>
      </c>
      <c r="T3305">
        <v>1.1399999999999999</v>
      </c>
      <c r="U3305">
        <v>1.04</v>
      </c>
      <c r="V3305">
        <v>-1.87</v>
      </c>
      <c r="W3305">
        <v>-27</v>
      </c>
      <c r="X3305">
        <v>12.08</v>
      </c>
      <c r="Y3305" t="s">
        <v>2255</v>
      </c>
      <c r="Z3305">
        <v>9702</v>
      </c>
      <c r="AA3305">
        <v>1.63</v>
      </c>
      <c r="AB3305">
        <v>148</v>
      </c>
      <c r="AC3305">
        <v>294</v>
      </c>
      <c r="AD3305">
        <v>48.58</v>
      </c>
      <c r="AE3305" t="s">
        <v>3123</v>
      </c>
      <c r="AF3305" t="s">
        <v>6810</v>
      </c>
      <c r="AG3305" t="s">
        <v>3123</v>
      </c>
      <c r="AH3305" t="s">
        <v>6810</v>
      </c>
      <c r="AI3305">
        <v>1.0900000000000001</v>
      </c>
      <c r="AJ3305">
        <v>3.24</v>
      </c>
      <c r="AK3305">
        <v>4.5199999999999996</v>
      </c>
      <c r="AL3305">
        <v>6.63</v>
      </c>
    </row>
    <row r="3306" spans="1:38" x14ac:dyDescent="0.25">
      <c r="A3306">
        <v>3305</v>
      </c>
      <c r="B3306" t="str">
        <f xml:space="preserve"> "000611"</f>
        <v>000611</v>
      </c>
      <c r="C3306" t="s">
        <v>9252</v>
      </c>
      <c r="D3306">
        <v>8.43</v>
      </c>
      <c r="E3306">
        <v>-0.12</v>
      </c>
      <c r="F3306">
        <v>-0.01</v>
      </c>
      <c r="G3306" t="s">
        <v>2433</v>
      </c>
      <c r="H3306">
        <v>386</v>
      </c>
      <c r="I3306">
        <v>8.43</v>
      </c>
      <c r="J3306">
        <v>8.4499999999999993</v>
      </c>
      <c r="K3306">
        <v>0</v>
      </c>
      <c r="L3306">
        <v>0.98</v>
      </c>
      <c r="M3306" t="s">
        <v>6269</v>
      </c>
      <c r="N3306">
        <v>-161.86000000000001</v>
      </c>
      <c r="O3306" t="s">
        <v>1443</v>
      </c>
      <c r="P3306">
        <v>8.59</v>
      </c>
      <c r="Q3306">
        <v>8.39</v>
      </c>
      <c r="R3306">
        <v>8.41</v>
      </c>
      <c r="S3306">
        <v>8.44</v>
      </c>
      <c r="T3306">
        <v>2.37</v>
      </c>
      <c r="U3306">
        <v>0.98</v>
      </c>
      <c r="V3306">
        <v>-10.37</v>
      </c>
      <c r="W3306">
        <v>-254</v>
      </c>
      <c r="X3306">
        <v>8.48</v>
      </c>
      <c r="Y3306" t="s">
        <v>2252</v>
      </c>
      <c r="Z3306" t="s">
        <v>1077</v>
      </c>
      <c r="AA3306">
        <v>1.36</v>
      </c>
      <c r="AB3306">
        <v>350</v>
      </c>
      <c r="AC3306">
        <v>44</v>
      </c>
      <c r="AD3306">
        <v>5.1100000000000003</v>
      </c>
      <c r="AE3306" t="s">
        <v>391</v>
      </c>
      <c r="AF3306" t="s">
        <v>6810</v>
      </c>
      <c r="AG3306" t="s">
        <v>2264</v>
      </c>
      <c r="AH3306" t="s">
        <v>1053</v>
      </c>
      <c r="AI3306">
        <v>-2.4300000000000002</v>
      </c>
      <c r="AJ3306">
        <v>-4.3099999999999996</v>
      </c>
      <c r="AK3306">
        <v>2.77</v>
      </c>
      <c r="AL3306">
        <v>5.99</v>
      </c>
    </row>
    <row r="3307" spans="1:38" x14ac:dyDescent="0.25">
      <c r="A3307">
        <v>3306</v>
      </c>
      <c r="B3307" t="str">
        <f xml:space="preserve"> "300651"</f>
        <v>300651</v>
      </c>
      <c r="C3307" t="s">
        <v>9253</v>
      </c>
      <c r="D3307">
        <v>35.6</v>
      </c>
      <c r="E3307">
        <v>5.7</v>
      </c>
      <c r="F3307">
        <v>1.92</v>
      </c>
      <c r="G3307" t="s">
        <v>2453</v>
      </c>
      <c r="H3307">
        <v>711</v>
      </c>
      <c r="I3307">
        <v>35.54</v>
      </c>
      <c r="J3307">
        <v>35.6</v>
      </c>
      <c r="K3307">
        <v>0</v>
      </c>
      <c r="L3307">
        <v>7.84</v>
      </c>
      <c r="M3307" t="s">
        <v>9254</v>
      </c>
      <c r="N3307">
        <v>145.16</v>
      </c>
      <c r="O3307" t="s">
        <v>807</v>
      </c>
      <c r="P3307">
        <v>36</v>
      </c>
      <c r="Q3307">
        <v>33.409999999999997</v>
      </c>
      <c r="R3307">
        <v>33.78</v>
      </c>
      <c r="S3307">
        <v>33.68</v>
      </c>
      <c r="T3307">
        <v>7.69</v>
      </c>
      <c r="U3307">
        <v>0.98</v>
      </c>
      <c r="V3307">
        <v>-49.89</v>
      </c>
      <c r="W3307">
        <v>-235</v>
      </c>
      <c r="X3307">
        <v>34.72</v>
      </c>
      <c r="Y3307">
        <v>5313</v>
      </c>
      <c r="Z3307">
        <v>9529</v>
      </c>
      <c r="AA3307">
        <v>0.56000000000000005</v>
      </c>
      <c r="AB3307">
        <v>9</v>
      </c>
      <c r="AC3307">
        <v>235</v>
      </c>
      <c r="AD3307">
        <v>4.6399999999999997</v>
      </c>
      <c r="AE3307" t="s">
        <v>9255</v>
      </c>
      <c r="AF3307" t="s">
        <v>547</v>
      </c>
      <c r="AG3307" t="s">
        <v>9256</v>
      </c>
      <c r="AH3307" t="s">
        <v>4961</v>
      </c>
      <c r="AI3307">
        <v>-0.03</v>
      </c>
      <c r="AJ3307">
        <v>5.23</v>
      </c>
      <c r="AK3307">
        <v>20.56</v>
      </c>
      <c r="AL3307">
        <v>47.89</v>
      </c>
    </row>
    <row r="3308" spans="1:38" x14ac:dyDescent="0.25">
      <c r="A3308">
        <v>3307</v>
      </c>
      <c r="B3308" t="str">
        <f xml:space="preserve"> "600506"</f>
        <v>600506</v>
      </c>
      <c r="C3308" t="s">
        <v>9257</v>
      </c>
      <c r="D3308">
        <v>18.239999999999998</v>
      </c>
      <c r="E3308">
        <v>0.33</v>
      </c>
      <c r="F3308">
        <v>0.06</v>
      </c>
      <c r="G3308">
        <v>6453</v>
      </c>
      <c r="H3308">
        <v>5</v>
      </c>
      <c r="I3308">
        <v>18.25</v>
      </c>
      <c r="J3308">
        <v>18.260000000000002</v>
      </c>
      <c r="K3308">
        <v>0.16</v>
      </c>
      <c r="L3308">
        <v>0.44</v>
      </c>
      <c r="M3308" t="s">
        <v>9258</v>
      </c>
      <c r="N3308">
        <v>-10501.03</v>
      </c>
      <c r="O3308" t="s">
        <v>622</v>
      </c>
      <c r="P3308">
        <v>18.420000000000002</v>
      </c>
      <c r="Q3308">
        <v>18.149999999999999</v>
      </c>
      <c r="R3308">
        <v>18.36</v>
      </c>
      <c r="S3308">
        <v>18.18</v>
      </c>
      <c r="T3308">
        <v>1.49</v>
      </c>
      <c r="U3308">
        <v>0.75</v>
      </c>
      <c r="V3308">
        <v>19.52</v>
      </c>
      <c r="W3308">
        <v>49</v>
      </c>
      <c r="X3308">
        <v>18.23</v>
      </c>
      <c r="Y3308">
        <v>4162</v>
      </c>
      <c r="Z3308">
        <v>2291</v>
      </c>
      <c r="AA3308">
        <v>1.82</v>
      </c>
      <c r="AB3308">
        <v>13</v>
      </c>
      <c r="AC3308">
        <v>25</v>
      </c>
      <c r="AD3308">
        <v>10.11</v>
      </c>
      <c r="AE3308" t="s">
        <v>1333</v>
      </c>
      <c r="AF3308" t="s">
        <v>1053</v>
      </c>
      <c r="AG3308" t="s">
        <v>1333</v>
      </c>
      <c r="AH3308" t="s">
        <v>1053</v>
      </c>
      <c r="AI3308">
        <v>-0.55000000000000004</v>
      </c>
      <c r="AJ3308">
        <v>3.34</v>
      </c>
      <c r="AK3308">
        <v>1.55</v>
      </c>
      <c r="AL3308">
        <v>3.37</v>
      </c>
    </row>
    <row r="3309" spans="1:38" x14ac:dyDescent="0.25">
      <c r="A3309">
        <v>3308</v>
      </c>
      <c r="B3309" t="str">
        <f xml:space="preserve"> "300139"</f>
        <v>300139</v>
      </c>
      <c r="C3309" t="s">
        <v>9259</v>
      </c>
      <c r="D3309">
        <v>9.8000000000000007</v>
      </c>
      <c r="E3309">
        <v>-4.8499999999999996</v>
      </c>
      <c r="F3309">
        <v>-0.5</v>
      </c>
      <c r="G3309" t="s">
        <v>630</v>
      </c>
      <c r="H3309">
        <v>1149</v>
      </c>
      <c r="I3309">
        <v>9.8000000000000007</v>
      </c>
      <c r="J3309">
        <v>9.81</v>
      </c>
      <c r="K3309">
        <v>0</v>
      </c>
      <c r="L3309">
        <v>6.1</v>
      </c>
      <c r="M3309" t="s">
        <v>3361</v>
      </c>
      <c r="N3309">
        <v>1666.38</v>
      </c>
      <c r="O3309" t="s">
        <v>380</v>
      </c>
      <c r="P3309">
        <v>9.9499999999999993</v>
      </c>
      <c r="Q3309">
        <v>9.59</v>
      </c>
      <c r="R3309">
        <v>9.84</v>
      </c>
      <c r="S3309">
        <v>10.3</v>
      </c>
      <c r="T3309">
        <v>3.5</v>
      </c>
      <c r="U3309">
        <v>2.4900000000000002</v>
      </c>
      <c r="V3309">
        <v>10.94</v>
      </c>
      <c r="W3309">
        <v>272</v>
      </c>
      <c r="X3309">
        <v>9.75</v>
      </c>
      <c r="Y3309" t="s">
        <v>4917</v>
      </c>
      <c r="Z3309" t="s">
        <v>2836</v>
      </c>
      <c r="AA3309">
        <v>1.32</v>
      </c>
      <c r="AB3309">
        <v>657</v>
      </c>
      <c r="AC3309">
        <v>243</v>
      </c>
      <c r="AD3309">
        <v>2.0499999999999998</v>
      </c>
      <c r="AE3309" t="s">
        <v>5381</v>
      </c>
      <c r="AF3309" t="s">
        <v>1053</v>
      </c>
      <c r="AG3309" t="s">
        <v>1853</v>
      </c>
      <c r="AH3309" t="s">
        <v>1085</v>
      </c>
      <c r="AI3309">
        <v>-8.75</v>
      </c>
      <c r="AJ3309">
        <v>-2.4900000000000002</v>
      </c>
      <c r="AK3309">
        <v>10.4</v>
      </c>
      <c r="AL3309">
        <v>18.34</v>
      </c>
    </row>
    <row r="3310" spans="1:38" x14ac:dyDescent="0.25">
      <c r="A3310">
        <v>3309</v>
      </c>
      <c r="B3310" t="str">
        <f xml:space="preserve"> "600608"</f>
        <v>600608</v>
      </c>
      <c r="C3310" t="s">
        <v>9260</v>
      </c>
      <c r="D3310">
        <v>8.16</v>
      </c>
      <c r="E3310">
        <v>-0.49</v>
      </c>
      <c r="F3310">
        <v>-0.04</v>
      </c>
      <c r="G3310">
        <v>7682</v>
      </c>
      <c r="H3310">
        <v>10</v>
      </c>
      <c r="I3310">
        <v>8.15</v>
      </c>
      <c r="J3310">
        <v>8.16</v>
      </c>
      <c r="K3310">
        <v>-0.12</v>
      </c>
      <c r="L3310">
        <v>0.24</v>
      </c>
      <c r="M3310" t="s">
        <v>9261</v>
      </c>
      <c r="N3310">
        <v>-102.19</v>
      </c>
      <c r="O3310" t="s">
        <v>1229</v>
      </c>
      <c r="P3310">
        <v>8.25</v>
      </c>
      <c r="Q3310">
        <v>8.08</v>
      </c>
      <c r="R3310">
        <v>8.1999999999999993</v>
      </c>
      <c r="S3310">
        <v>8.1999999999999993</v>
      </c>
      <c r="T3310">
        <v>2.0699999999999998</v>
      </c>
      <c r="U3310">
        <v>0.81</v>
      </c>
      <c r="V3310">
        <v>-20.399999999999999</v>
      </c>
      <c r="W3310">
        <v>-345</v>
      </c>
      <c r="X3310">
        <v>8.15</v>
      </c>
      <c r="Y3310">
        <v>4924</v>
      </c>
      <c r="Z3310">
        <v>2758</v>
      </c>
      <c r="AA3310">
        <v>1.79</v>
      </c>
      <c r="AB3310">
        <v>63</v>
      </c>
      <c r="AC3310">
        <v>63</v>
      </c>
      <c r="AD3310">
        <v>-102.11</v>
      </c>
      <c r="AE3310" t="s">
        <v>4642</v>
      </c>
      <c r="AF3310" t="s">
        <v>1223</v>
      </c>
      <c r="AG3310" t="s">
        <v>103</v>
      </c>
      <c r="AH3310" t="s">
        <v>2597</v>
      </c>
      <c r="AI3310">
        <v>1.37</v>
      </c>
      <c r="AJ3310">
        <v>3.42</v>
      </c>
      <c r="AK3310">
        <v>1.06</v>
      </c>
      <c r="AL3310">
        <v>1.74</v>
      </c>
    </row>
    <row r="3311" spans="1:38" x14ac:dyDescent="0.25">
      <c r="A3311">
        <v>3310</v>
      </c>
      <c r="B3311" t="str">
        <f xml:space="preserve"> "300517"</f>
        <v>300517</v>
      </c>
      <c r="C3311" t="s">
        <v>9262</v>
      </c>
      <c r="D3311">
        <v>26.13</v>
      </c>
      <c r="E3311">
        <v>2.96</v>
      </c>
      <c r="F3311">
        <v>0.75</v>
      </c>
      <c r="G3311" t="s">
        <v>2950</v>
      </c>
      <c r="H3311">
        <v>583</v>
      </c>
      <c r="I3311">
        <v>26.13</v>
      </c>
      <c r="J3311">
        <v>26.14</v>
      </c>
      <c r="K3311">
        <v>0</v>
      </c>
      <c r="L3311">
        <v>7.03</v>
      </c>
      <c r="M3311" t="s">
        <v>9263</v>
      </c>
      <c r="N3311">
        <v>104.71</v>
      </c>
      <c r="O3311" t="s">
        <v>263</v>
      </c>
      <c r="P3311">
        <v>26.54</v>
      </c>
      <c r="Q3311">
        <v>25.12</v>
      </c>
      <c r="R3311">
        <v>25.37</v>
      </c>
      <c r="S3311">
        <v>25.38</v>
      </c>
      <c r="T3311">
        <v>5.59</v>
      </c>
      <c r="U3311">
        <v>2.39</v>
      </c>
      <c r="V3311">
        <v>22.95</v>
      </c>
      <c r="W3311">
        <v>140</v>
      </c>
      <c r="X3311">
        <v>26.11</v>
      </c>
      <c r="Y3311" t="s">
        <v>1579</v>
      </c>
      <c r="Z3311" t="s">
        <v>4590</v>
      </c>
      <c r="AA3311">
        <v>0.9</v>
      </c>
      <c r="AB3311">
        <v>47</v>
      </c>
      <c r="AC3311">
        <v>49</v>
      </c>
      <c r="AD3311">
        <v>4.5999999999999996</v>
      </c>
      <c r="AE3311" t="s">
        <v>2179</v>
      </c>
      <c r="AF3311" t="s">
        <v>1223</v>
      </c>
      <c r="AG3311" t="s">
        <v>9264</v>
      </c>
      <c r="AH3311" t="s">
        <v>1429</v>
      </c>
      <c r="AI3311">
        <v>2.0299999999999998</v>
      </c>
      <c r="AJ3311">
        <v>7.89</v>
      </c>
      <c r="AK3311">
        <v>11.8</v>
      </c>
      <c r="AL3311">
        <v>21.75</v>
      </c>
    </row>
    <row r="3312" spans="1:38" x14ac:dyDescent="0.25">
      <c r="A3312">
        <v>3311</v>
      </c>
      <c r="B3312" t="str">
        <f xml:space="preserve"> "603090"</f>
        <v>603090</v>
      </c>
      <c r="C3312" t="s">
        <v>9265</v>
      </c>
      <c r="D3312">
        <v>26.74</v>
      </c>
      <c r="E3312">
        <v>0.34</v>
      </c>
      <c r="F3312">
        <v>0.09</v>
      </c>
      <c r="G3312" t="s">
        <v>4399</v>
      </c>
      <c r="H3312">
        <v>5</v>
      </c>
      <c r="I3312">
        <v>26.72</v>
      </c>
      <c r="J3312">
        <v>26.73</v>
      </c>
      <c r="K3312">
        <v>7.0000000000000007E-2</v>
      </c>
      <c r="L3312">
        <v>3.5</v>
      </c>
      <c r="M3312" t="s">
        <v>8372</v>
      </c>
      <c r="N3312">
        <v>84.47</v>
      </c>
      <c r="O3312" t="s">
        <v>648</v>
      </c>
      <c r="P3312">
        <v>26.88</v>
      </c>
      <c r="Q3312">
        <v>25.92</v>
      </c>
      <c r="R3312">
        <v>26.15</v>
      </c>
      <c r="S3312">
        <v>26.65</v>
      </c>
      <c r="T3312">
        <v>3.6</v>
      </c>
      <c r="U3312">
        <v>1.42</v>
      </c>
      <c r="V3312">
        <v>-33.08</v>
      </c>
      <c r="W3312">
        <v>-87</v>
      </c>
      <c r="X3312">
        <v>26.47</v>
      </c>
      <c r="Y3312">
        <v>6037</v>
      </c>
      <c r="Z3312">
        <v>8214</v>
      </c>
      <c r="AA3312">
        <v>0.74</v>
      </c>
      <c r="AB3312">
        <v>55</v>
      </c>
      <c r="AC3312">
        <v>56</v>
      </c>
      <c r="AD3312">
        <v>5.95</v>
      </c>
      <c r="AE3312" t="s">
        <v>4464</v>
      </c>
      <c r="AF3312" t="s">
        <v>3473</v>
      </c>
      <c r="AG3312" t="s">
        <v>6900</v>
      </c>
      <c r="AH3312" t="s">
        <v>888</v>
      </c>
      <c r="AI3312">
        <v>-0.96</v>
      </c>
      <c r="AJ3312">
        <v>3.8</v>
      </c>
      <c r="AK3312">
        <v>8.74</v>
      </c>
      <c r="AL3312">
        <v>15.87</v>
      </c>
    </row>
    <row r="3313" spans="1:38" x14ac:dyDescent="0.25">
      <c r="A3313">
        <v>3312</v>
      </c>
      <c r="B3313" t="str">
        <f xml:space="preserve"> "002857"</f>
        <v>002857</v>
      </c>
      <c r="C3313" t="s">
        <v>9266</v>
      </c>
      <c r="D3313">
        <v>33.39</v>
      </c>
      <c r="E3313">
        <v>4.74</v>
      </c>
      <c r="F3313">
        <v>1.51</v>
      </c>
      <c r="G3313" t="s">
        <v>433</v>
      </c>
      <c r="H3313">
        <v>101</v>
      </c>
      <c r="I3313">
        <v>33.380000000000003</v>
      </c>
      <c r="J3313">
        <v>33.39</v>
      </c>
      <c r="K3313">
        <v>0.03</v>
      </c>
      <c r="L3313">
        <v>7.59</v>
      </c>
      <c r="M3313" t="s">
        <v>9267</v>
      </c>
      <c r="N3313">
        <v>2677.54</v>
      </c>
      <c r="O3313" t="s">
        <v>1372</v>
      </c>
      <c r="P3313">
        <v>34.4</v>
      </c>
      <c r="Q3313">
        <v>31.74</v>
      </c>
      <c r="R3313">
        <v>31.74</v>
      </c>
      <c r="S3313">
        <v>31.88</v>
      </c>
      <c r="T3313">
        <v>8.34</v>
      </c>
      <c r="U3313">
        <v>1.79</v>
      </c>
      <c r="V3313">
        <v>9.81</v>
      </c>
      <c r="W3313">
        <v>52</v>
      </c>
      <c r="X3313">
        <v>33.17</v>
      </c>
      <c r="Y3313">
        <v>6527</v>
      </c>
      <c r="Z3313">
        <v>8653</v>
      </c>
      <c r="AA3313">
        <v>0.75</v>
      </c>
      <c r="AB3313">
        <v>41</v>
      </c>
      <c r="AC3313">
        <v>163</v>
      </c>
      <c r="AD3313">
        <v>6.8</v>
      </c>
      <c r="AE3313" t="s">
        <v>5802</v>
      </c>
      <c r="AF3313" t="s">
        <v>3473</v>
      </c>
      <c r="AG3313" t="s">
        <v>5562</v>
      </c>
      <c r="AH3313" t="s">
        <v>3634</v>
      </c>
      <c r="AI3313">
        <v>2.77</v>
      </c>
      <c r="AJ3313">
        <v>9.48</v>
      </c>
      <c r="AK3313">
        <v>14.51</v>
      </c>
      <c r="AL3313">
        <v>28.73</v>
      </c>
    </row>
    <row r="3314" spans="1:38" x14ac:dyDescent="0.25">
      <c r="A3314">
        <v>3313</v>
      </c>
      <c r="B3314" t="str">
        <f xml:space="preserve"> "300452"</f>
        <v>300452</v>
      </c>
      <c r="C3314" t="s">
        <v>9268</v>
      </c>
      <c r="D3314">
        <v>28.74</v>
      </c>
      <c r="E3314">
        <v>1.34</v>
      </c>
      <c r="F3314">
        <v>0.38</v>
      </c>
      <c r="G3314">
        <v>7824</v>
      </c>
      <c r="H3314">
        <v>84</v>
      </c>
      <c r="I3314">
        <v>28.73</v>
      </c>
      <c r="J3314">
        <v>28.74</v>
      </c>
      <c r="K3314">
        <v>-0.14000000000000001</v>
      </c>
      <c r="L3314">
        <v>1.86</v>
      </c>
      <c r="M3314" t="s">
        <v>9269</v>
      </c>
      <c r="N3314">
        <v>53.04</v>
      </c>
      <c r="O3314" t="s">
        <v>392</v>
      </c>
      <c r="P3314">
        <v>28.88</v>
      </c>
      <c r="Q3314">
        <v>28.24</v>
      </c>
      <c r="R3314">
        <v>28.58</v>
      </c>
      <c r="S3314">
        <v>28.36</v>
      </c>
      <c r="T3314">
        <v>2.2599999999999998</v>
      </c>
      <c r="U3314">
        <v>0.72</v>
      </c>
      <c r="V3314">
        <v>-41.68</v>
      </c>
      <c r="W3314">
        <v>-213</v>
      </c>
      <c r="X3314">
        <v>28.66</v>
      </c>
      <c r="Y3314">
        <v>3957</v>
      </c>
      <c r="Z3314">
        <v>3866</v>
      </c>
      <c r="AA3314">
        <v>1.02</v>
      </c>
      <c r="AB3314">
        <v>62</v>
      </c>
      <c r="AC3314">
        <v>4</v>
      </c>
      <c r="AD3314">
        <v>6.44</v>
      </c>
      <c r="AE3314" t="s">
        <v>7084</v>
      </c>
      <c r="AF3314" t="s">
        <v>3473</v>
      </c>
      <c r="AG3314" t="s">
        <v>9270</v>
      </c>
      <c r="AH3314" t="s">
        <v>2071</v>
      </c>
      <c r="AI3314">
        <v>0.35</v>
      </c>
      <c r="AJ3314">
        <v>5.93</v>
      </c>
      <c r="AK3314">
        <v>8.98</v>
      </c>
      <c r="AL3314">
        <v>14.74</v>
      </c>
    </row>
    <row r="3315" spans="1:38" x14ac:dyDescent="0.25">
      <c r="A3315">
        <v>3314</v>
      </c>
      <c r="B3315" t="str">
        <f xml:space="preserve"> "300211"</f>
        <v>300211</v>
      </c>
      <c r="C3315" t="s">
        <v>9271</v>
      </c>
      <c r="D3315">
        <v>8.81</v>
      </c>
      <c r="E3315">
        <v>-1.1200000000000001</v>
      </c>
      <c r="F3315">
        <v>-0.1</v>
      </c>
      <c r="G3315" t="s">
        <v>4378</v>
      </c>
      <c r="H3315">
        <v>458</v>
      </c>
      <c r="I3315">
        <v>8.81</v>
      </c>
      <c r="J3315">
        <v>8.82</v>
      </c>
      <c r="K3315">
        <v>0</v>
      </c>
      <c r="L3315">
        <v>1.69</v>
      </c>
      <c r="M3315" t="s">
        <v>8604</v>
      </c>
      <c r="N3315">
        <v>488.55</v>
      </c>
      <c r="O3315" t="s">
        <v>580</v>
      </c>
      <c r="P3315">
        <v>8.92</v>
      </c>
      <c r="Q3315">
        <v>8.77</v>
      </c>
      <c r="R3315">
        <v>8.8800000000000008</v>
      </c>
      <c r="S3315">
        <v>8.91</v>
      </c>
      <c r="T3315">
        <v>1.68</v>
      </c>
      <c r="U3315">
        <v>0.5</v>
      </c>
      <c r="V3315">
        <v>42.27</v>
      </c>
      <c r="W3315">
        <v>578</v>
      </c>
      <c r="X3315">
        <v>8.81</v>
      </c>
      <c r="Y3315" t="s">
        <v>1986</v>
      </c>
      <c r="Z3315" t="s">
        <v>2002</v>
      </c>
      <c r="AA3315">
        <v>1.8</v>
      </c>
      <c r="AB3315">
        <v>303</v>
      </c>
      <c r="AC3315">
        <v>10</v>
      </c>
      <c r="AD3315">
        <v>5.33</v>
      </c>
      <c r="AE3315" t="s">
        <v>7152</v>
      </c>
      <c r="AF3315" t="s">
        <v>3473</v>
      </c>
      <c r="AG3315" t="s">
        <v>823</v>
      </c>
      <c r="AH3315" t="s">
        <v>1778</v>
      </c>
      <c r="AI3315">
        <v>-2.44</v>
      </c>
      <c r="AJ3315">
        <v>4.26</v>
      </c>
      <c r="AK3315">
        <v>5.3</v>
      </c>
      <c r="AL3315">
        <v>18.62</v>
      </c>
    </row>
    <row r="3316" spans="1:38" x14ac:dyDescent="0.25">
      <c r="A3316">
        <v>3315</v>
      </c>
      <c r="B3316" t="str">
        <f xml:space="preserve"> "600573"</f>
        <v>600573</v>
      </c>
      <c r="C3316" t="s">
        <v>9272</v>
      </c>
      <c r="D3316">
        <v>10.66</v>
      </c>
      <c r="E3316">
        <v>0.38</v>
      </c>
      <c r="F3316">
        <v>0.04</v>
      </c>
      <c r="G3316" t="s">
        <v>3326</v>
      </c>
      <c r="H3316">
        <v>10</v>
      </c>
      <c r="I3316">
        <v>10.66</v>
      </c>
      <c r="J3316">
        <v>10.67</v>
      </c>
      <c r="K3316">
        <v>-0.09</v>
      </c>
      <c r="L3316">
        <v>0.75</v>
      </c>
      <c r="M3316" t="s">
        <v>8176</v>
      </c>
      <c r="N3316">
        <v>663.7</v>
      </c>
      <c r="O3316" t="s">
        <v>123</v>
      </c>
      <c r="P3316">
        <v>10.75</v>
      </c>
      <c r="Q3316">
        <v>10.52</v>
      </c>
      <c r="R3316">
        <v>10.7</v>
      </c>
      <c r="S3316">
        <v>10.62</v>
      </c>
      <c r="T3316">
        <v>2.17</v>
      </c>
      <c r="U3316">
        <v>1.07</v>
      </c>
      <c r="V3316">
        <v>-30.82</v>
      </c>
      <c r="W3316">
        <v>-257</v>
      </c>
      <c r="X3316">
        <v>10.63</v>
      </c>
      <c r="Y3316" t="s">
        <v>1411</v>
      </c>
      <c r="Z3316">
        <v>7682</v>
      </c>
      <c r="AA3316">
        <v>1.43</v>
      </c>
      <c r="AB3316">
        <v>27</v>
      </c>
      <c r="AC3316">
        <v>65</v>
      </c>
      <c r="AD3316">
        <v>2.44</v>
      </c>
      <c r="AE3316" t="s">
        <v>4750</v>
      </c>
      <c r="AF3316" t="s">
        <v>3224</v>
      </c>
      <c r="AG3316" t="s">
        <v>4750</v>
      </c>
      <c r="AH3316" t="s">
        <v>3224</v>
      </c>
      <c r="AI3316">
        <v>0.28000000000000003</v>
      </c>
      <c r="AJ3316">
        <v>5.96</v>
      </c>
      <c r="AK3316">
        <v>2.39</v>
      </c>
      <c r="AL3316">
        <v>4.25</v>
      </c>
    </row>
    <row r="3317" spans="1:38" x14ac:dyDescent="0.25">
      <c r="A3317">
        <v>3316</v>
      </c>
      <c r="B3317" t="str">
        <f xml:space="preserve"> "300092"</f>
        <v>300092</v>
      </c>
      <c r="C3317" t="s">
        <v>9273</v>
      </c>
      <c r="D3317">
        <v>11.18</v>
      </c>
      <c r="E3317">
        <v>0.45</v>
      </c>
      <c r="F3317">
        <v>0.05</v>
      </c>
      <c r="G3317" t="s">
        <v>853</v>
      </c>
      <c r="H3317">
        <v>840</v>
      </c>
      <c r="I3317">
        <v>11.17</v>
      </c>
      <c r="J3317">
        <v>11.18</v>
      </c>
      <c r="K3317">
        <v>0.18</v>
      </c>
      <c r="L3317">
        <v>3.24</v>
      </c>
      <c r="M3317" t="s">
        <v>9274</v>
      </c>
      <c r="N3317">
        <v>268.20999999999998</v>
      </c>
      <c r="O3317" t="s">
        <v>648</v>
      </c>
      <c r="P3317">
        <v>11.23</v>
      </c>
      <c r="Q3317">
        <v>11.03</v>
      </c>
      <c r="R3317">
        <v>11.1</v>
      </c>
      <c r="S3317">
        <v>11.13</v>
      </c>
      <c r="T3317">
        <v>1.8</v>
      </c>
      <c r="U3317">
        <v>0.57999999999999996</v>
      </c>
      <c r="V3317">
        <v>47.81</v>
      </c>
      <c r="W3317">
        <v>1801</v>
      </c>
      <c r="X3317">
        <v>11.16</v>
      </c>
      <c r="Y3317" t="s">
        <v>1533</v>
      </c>
      <c r="Z3317" t="s">
        <v>1341</v>
      </c>
      <c r="AA3317">
        <v>1.0900000000000001</v>
      </c>
      <c r="AB3317">
        <v>460</v>
      </c>
      <c r="AC3317">
        <v>176</v>
      </c>
      <c r="AD3317">
        <v>5.07</v>
      </c>
      <c r="AE3317" t="s">
        <v>1197</v>
      </c>
      <c r="AF3317" t="s">
        <v>3224</v>
      </c>
      <c r="AG3317" t="s">
        <v>608</v>
      </c>
      <c r="AH3317" t="s">
        <v>2803</v>
      </c>
      <c r="AI3317">
        <v>-4.4400000000000004</v>
      </c>
      <c r="AJ3317">
        <v>-11.97</v>
      </c>
      <c r="AK3317">
        <v>16.38</v>
      </c>
      <c r="AL3317">
        <v>27.13</v>
      </c>
    </row>
    <row r="3318" spans="1:38" x14ac:dyDescent="0.25">
      <c r="A3318">
        <v>3317</v>
      </c>
      <c r="B3318" t="str">
        <f xml:space="preserve"> "300535"</f>
        <v>300535</v>
      </c>
      <c r="C3318" t="s">
        <v>9275</v>
      </c>
      <c r="D3318">
        <v>44.5</v>
      </c>
      <c r="E3318">
        <v>1.71</v>
      </c>
      <c r="F3318">
        <v>0.75</v>
      </c>
      <c r="G3318" t="s">
        <v>5181</v>
      </c>
      <c r="H3318">
        <v>158</v>
      </c>
      <c r="I3318">
        <v>44.5</v>
      </c>
      <c r="J3318">
        <v>44.51</v>
      </c>
      <c r="K3318">
        <v>0</v>
      </c>
      <c r="L3318">
        <v>3.33</v>
      </c>
      <c r="M3318" t="s">
        <v>9276</v>
      </c>
      <c r="N3318">
        <v>51.12</v>
      </c>
      <c r="O3318" t="s">
        <v>667</v>
      </c>
      <c r="P3318">
        <v>44.69</v>
      </c>
      <c r="Q3318">
        <v>43.63</v>
      </c>
      <c r="R3318">
        <v>43.88</v>
      </c>
      <c r="S3318">
        <v>43.75</v>
      </c>
      <c r="T3318">
        <v>2.42</v>
      </c>
      <c r="U3318">
        <v>1.59</v>
      </c>
      <c r="V3318">
        <v>35.619999999999997</v>
      </c>
      <c r="W3318">
        <v>52</v>
      </c>
      <c r="X3318">
        <v>44.22</v>
      </c>
      <c r="Y3318">
        <v>4933</v>
      </c>
      <c r="Z3318">
        <v>5632</v>
      </c>
      <c r="AA3318">
        <v>0.88</v>
      </c>
      <c r="AB3318">
        <v>65</v>
      </c>
      <c r="AC3318">
        <v>4</v>
      </c>
      <c r="AD3318">
        <v>4.17</v>
      </c>
      <c r="AE3318" t="s">
        <v>7610</v>
      </c>
      <c r="AF3318" t="s">
        <v>3224</v>
      </c>
      <c r="AG3318" t="s">
        <v>9277</v>
      </c>
      <c r="AH3318" t="s">
        <v>1715</v>
      </c>
      <c r="AI3318">
        <v>0.54</v>
      </c>
      <c r="AJ3318">
        <v>7</v>
      </c>
      <c r="AK3318">
        <v>8.58</v>
      </c>
      <c r="AL3318">
        <v>13.81</v>
      </c>
    </row>
    <row r="3319" spans="1:38" x14ac:dyDescent="0.25">
      <c r="A3319">
        <v>3318</v>
      </c>
      <c r="B3319" t="str">
        <f xml:space="preserve"> "300305"</f>
        <v>300305</v>
      </c>
      <c r="C3319" t="s">
        <v>9278</v>
      </c>
      <c r="D3319">
        <v>9.16</v>
      </c>
      <c r="E3319">
        <v>0.22</v>
      </c>
      <c r="F3319">
        <v>0.02</v>
      </c>
      <c r="G3319" t="s">
        <v>1565</v>
      </c>
      <c r="H3319">
        <v>360</v>
      </c>
      <c r="I3319">
        <v>9.15</v>
      </c>
      <c r="J3319">
        <v>9.16</v>
      </c>
      <c r="K3319">
        <v>-0.11</v>
      </c>
      <c r="L3319">
        <v>1.37</v>
      </c>
      <c r="M3319" t="s">
        <v>8951</v>
      </c>
      <c r="N3319">
        <v>37.520000000000003</v>
      </c>
      <c r="O3319" t="s">
        <v>859</v>
      </c>
      <c r="P3319">
        <v>9.19</v>
      </c>
      <c r="Q3319">
        <v>9.08</v>
      </c>
      <c r="R3319">
        <v>9.1300000000000008</v>
      </c>
      <c r="S3319">
        <v>9.14</v>
      </c>
      <c r="T3319">
        <v>1.2</v>
      </c>
      <c r="U3319">
        <v>0.74</v>
      </c>
      <c r="V3319">
        <v>2.4900000000000002</v>
      </c>
      <c r="W3319">
        <v>69</v>
      </c>
      <c r="X3319">
        <v>9.14</v>
      </c>
      <c r="Y3319" t="s">
        <v>124</v>
      </c>
      <c r="Z3319">
        <v>9802</v>
      </c>
      <c r="AA3319">
        <v>1.29</v>
      </c>
      <c r="AB3319">
        <v>9</v>
      </c>
      <c r="AC3319">
        <v>75</v>
      </c>
      <c r="AD3319">
        <v>1.88</v>
      </c>
      <c r="AE3319" t="s">
        <v>726</v>
      </c>
      <c r="AF3319" t="s">
        <v>3442</v>
      </c>
      <c r="AG3319" t="s">
        <v>2339</v>
      </c>
      <c r="AH3319" t="s">
        <v>2347</v>
      </c>
      <c r="AI3319">
        <v>-1.19</v>
      </c>
      <c r="AJ3319">
        <v>4.57</v>
      </c>
      <c r="AK3319">
        <v>4.55</v>
      </c>
      <c r="AL3319">
        <v>10.7</v>
      </c>
    </row>
    <row r="3320" spans="1:38" x14ac:dyDescent="0.25">
      <c r="A3320">
        <v>3319</v>
      </c>
      <c r="B3320" t="str">
        <f xml:space="preserve"> "002888"</f>
        <v>002888</v>
      </c>
      <c r="C3320" t="s">
        <v>9279</v>
      </c>
      <c r="D3320">
        <v>31.87</v>
      </c>
      <c r="E3320">
        <v>2.61</v>
      </c>
      <c r="F3320">
        <v>0.81</v>
      </c>
      <c r="G3320" t="s">
        <v>1578</v>
      </c>
      <c r="H3320">
        <v>231</v>
      </c>
      <c r="I3320">
        <v>31.86</v>
      </c>
      <c r="J3320">
        <v>31.87</v>
      </c>
      <c r="K3320">
        <v>0</v>
      </c>
      <c r="L3320">
        <v>7.98</v>
      </c>
      <c r="M3320" t="s">
        <v>9280</v>
      </c>
      <c r="N3320">
        <v>83.74</v>
      </c>
      <c r="O3320" t="s">
        <v>553</v>
      </c>
      <c r="P3320">
        <v>32.159999999999997</v>
      </c>
      <c r="Q3320">
        <v>30.92</v>
      </c>
      <c r="R3320">
        <v>31.08</v>
      </c>
      <c r="S3320">
        <v>31.06</v>
      </c>
      <c r="T3320">
        <v>3.99</v>
      </c>
      <c r="U3320">
        <v>1.05</v>
      </c>
      <c r="V3320">
        <v>-59.88</v>
      </c>
      <c r="W3320">
        <v>-178</v>
      </c>
      <c r="X3320">
        <v>31.69</v>
      </c>
      <c r="Y3320">
        <v>7025</v>
      </c>
      <c r="Z3320">
        <v>9558</v>
      </c>
      <c r="AA3320">
        <v>0.73</v>
      </c>
      <c r="AB3320">
        <v>14</v>
      </c>
      <c r="AC3320">
        <v>123</v>
      </c>
      <c r="AD3320">
        <v>6.37</v>
      </c>
      <c r="AE3320" t="s">
        <v>9281</v>
      </c>
      <c r="AF3320" t="s">
        <v>3442</v>
      </c>
      <c r="AG3320" t="s">
        <v>9282</v>
      </c>
      <c r="AH3320" t="s">
        <v>5274</v>
      </c>
      <c r="AI3320">
        <v>0.56999999999999995</v>
      </c>
      <c r="AJ3320">
        <v>6.2</v>
      </c>
      <c r="AK3320">
        <v>25.94</v>
      </c>
      <c r="AL3320">
        <v>46.12</v>
      </c>
    </row>
    <row r="3321" spans="1:38" x14ac:dyDescent="0.25">
      <c r="A3321">
        <v>3320</v>
      </c>
      <c r="B3321" t="str">
        <f xml:space="preserve"> "600099"</f>
        <v>600099</v>
      </c>
      <c r="C3321" t="s">
        <v>9283</v>
      </c>
      <c r="D3321">
        <v>12.04</v>
      </c>
      <c r="E3321">
        <v>0.42</v>
      </c>
      <c r="F3321">
        <v>0.05</v>
      </c>
      <c r="G3321" t="s">
        <v>1836</v>
      </c>
      <c r="H3321">
        <v>588</v>
      </c>
      <c r="I3321">
        <v>12.05</v>
      </c>
      <c r="J3321">
        <v>12.06</v>
      </c>
      <c r="K3321">
        <v>0.25</v>
      </c>
      <c r="L3321">
        <v>0.49</v>
      </c>
      <c r="M3321" t="s">
        <v>5438</v>
      </c>
      <c r="N3321">
        <v>971.1</v>
      </c>
      <c r="O3321" t="s">
        <v>253</v>
      </c>
      <c r="P3321">
        <v>12.07</v>
      </c>
      <c r="Q3321">
        <v>11.93</v>
      </c>
      <c r="R3321">
        <v>12.02</v>
      </c>
      <c r="S3321">
        <v>11.99</v>
      </c>
      <c r="T3321">
        <v>1.17</v>
      </c>
      <c r="U3321">
        <v>0.63</v>
      </c>
      <c r="V3321">
        <v>-42.67</v>
      </c>
      <c r="W3321">
        <v>-527</v>
      </c>
      <c r="X3321">
        <v>12.01</v>
      </c>
      <c r="Y3321">
        <v>4227</v>
      </c>
      <c r="Z3321">
        <v>6593</v>
      </c>
      <c r="AA3321">
        <v>0.64</v>
      </c>
      <c r="AB3321">
        <v>37</v>
      </c>
      <c r="AC3321">
        <v>57</v>
      </c>
      <c r="AD3321">
        <v>5.65</v>
      </c>
      <c r="AE3321" t="s">
        <v>1666</v>
      </c>
      <c r="AF3321" t="s">
        <v>1279</v>
      </c>
      <c r="AG3321" t="s">
        <v>1666</v>
      </c>
      <c r="AH3321" t="s">
        <v>1279</v>
      </c>
      <c r="AI3321">
        <v>-0.57999999999999996</v>
      </c>
      <c r="AJ3321">
        <v>5.52</v>
      </c>
      <c r="AK3321">
        <v>1.84</v>
      </c>
      <c r="AL3321">
        <v>4.4400000000000004</v>
      </c>
    </row>
    <row r="3322" spans="1:38" x14ac:dyDescent="0.25">
      <c r="A3322">
        <v>3321</v>
      </c>
      <c r="B3322" t="str">
        <f xml:space="preserve"> "002890"</f>
        <v>002890</v>
      </c>
      <c r="C3322" t="s">
        <v>9284</v>
      </c>
      <c r="D3322">
        <v>39.549999999999997</v>
      </c>
      <c r="E3322">
        <v>3.08</v>
      </c>
      <c r="F3322">
        <v>1.18</v>
      </c>
      <c r="G3322" t="s">
        <v>1285</v>
      </c>
      <c r="H3322">
        <v>469</v>
      </c>
      <c r="I3322">
        <v>39.54</v>
      </c>
      <c r="J3322">
        <v>39.549999999999997</v>
      </c>
      <c r="K3322">
        <v>0.03</v>
      </c>
      <c r="L3322">
        <v>14.87</v>
      </c>
      <c r="M3322" t="s">
        <v>4205</v>
      </c>
      <c r="N3322">
        <v>47.46</v>
      </c>
      <c r="O3322" t="s">
        <v>2647</v>
      </c>
      <c r="P3322">
        <v>40.049999999999997</v>
      </c>
      <c r="Q3322">
        <v>38.18</v>
      </c>
      <c r="R3322">
        <v>38.49</v>
      </c>
      <c r="S3322">
        <v>38.369999999999997</v>
      </c>
      <c r="T3322">
        <v>4.87</v>
      </c>
      <c r="U3322">
        <v>2.06</v>
      </c>
      <c r="V3322">
        <v>42.96</v>
      </c>
      <c r="W3322">
        <v>358</v>
      </c>
      <c r="X3322">
        <v>39.340000000000003</v>
      </c>
      <c r="Y3322" t="s">
        <v>1259</v>
      </c>
      <c r="Z3322" t="s">
        <v>124</v>
      </c>
      <c r="AA3322">
        <v>0.97</v>
      </c>
      <c r="AB3322">
        <v>555</v>
      </c>
      <c r="AC3322">
        <v>173</v>
      </c>
      <c r="AD3322">
        <v>5.36</v>
      </c>
      <c r="AE3322" t="s">
        <v>7395</v>
      </c>
      <c r="AF3322" t="s">
        <v>1279</v>
      </c>
      <c r="AG3322" t="s">
        <v>6785</v>
      </c>
      <c r="AH3322" t="s">
        <v>5481</v>
      </c>
      <c r="AI3322">
        <v>1.59</v>
      </c>
      <c r="AJ3322">
        <v>6.6</v>
      </c>
      <c r="AK3322">
        <v>30.4</v>
      </c>
      <c r="AL3322">
        <v>50.96</v>
      </c>
    </row>
    <row r="3323" spans="1:38" x14ac:dyDescent="0.25">
      <c r="A3323">
        <v>3322</v>
      </c>
      <c r="B3323" t="str">
        <f xml:space="preserve"> "300551"</f>
        <v>300551</v>
      </c>
      <c r="C3323" t="s">
        <v>9285</v>
      </c>
      <c r="D3323">
        <v>35.85</v>
      </c>
      <c r="E3323">
        <v>1.3</v>
      </c>
      <c r="F3323">
        <v>0.46</v>
      </c>
      <c r="G3323">
        <v>9672</v>
      </c>
      <c r="H3323">
        <v>173</v>
      </c>
      <c r="I3323">
        <v>35.83</v>
      </c>
      <c r="J3323">
        <v>35.85</v>
      </c>
      <c r="K3323">
        <v>0.22</v>
      </c>
      <c r="L3323">
        <v>5.27</v>
      </c>
      <c r="M3323" t="s">
        <v>9286</v>
      </c>
      <c r="N3323">
        <v>-192.67</v>
      </c>
      <c r="O3323" t="s">
        <v>2647</v>
      </c>
      <c r="P3323">
        <v>36.049999999999997</v>
      </c>
      <c r="Q3323">
        <v>34.61</v>
      </c>
      <c r="R3323">
        <v>35.01</v>
      </c>
      <c r="S3323">
        <v>35.39</v>
      </c>
      <c r="T3323">
        <v>4.07</v>
      </c>
      <c r="U3323">
        <v>1.43</v>
      </c>
      <c r="V3323">
        <v>12.31</v>
      </c>
      <c r="W3323">
        <v>16</v>
      </c>
      <c r="X3323">
        <v>35.619999999999997</v>
      </c>
      <c r="Y3323">
        <v>4953</v>
      </c>
      <c r="Z3323">
        <v>4719</v>
      </c>
      <c r="AA3323">
        <v>1.05</v>
      </c>
      <c r="AB3323">
        <v>18</v>
      </c>
      <c r="AC3323">
        <v>21</v>
      </c>
      <c r="AD3323">
        <v>5.23</v>
      </c>
      <c r="AE3323" t="s">
        <v>9287</v>
      </c>
      <c r="AF3323" t="s">
        <v>2182</v>
      </c>
      <c r="AG3323" t="s">
        <v>9288</v>
      </c>
      <c r="AH3323" t="s">
        <v>5282</v>
      </c>
      <c r="AI3323">
        <v>-0.83</v>
      </c>
      <c r="AJ3323">
        <v>5.0999999999999996</v>
      </c>
      <c r="AK3323">
        <v>12.55</v>
      </c>
      <c r="AL3323">
        <v>23.65</v>
      </c>
    </row>
    <row r="3324" spans="1:38" x14ac:dyDescent="0.25">
      <c r="A3324">
        <v>3323</v>
      </c>
      <c r="B3324" t="str">
        <f xml:space="preserve"> "300220"</f>
        <v>300220</v>
      </c>
      <c r="C3324" t="s">
        <v>9289</v>
      </c>
      <c r="D3324">
        <v>20.81</v>
      </c>
      <c r="E3324">
        <v>-0.28999999999999998</v>
      </c>
      <c r="F3324">
        <v>-0.06</v>
      </c>
      <c r="G3324" t="s">
        <v>2365</v>
      </c>
      <c r="H3324">
        <v>499</v>
      </c>
      <c r="I3324">
        <v>20.8</v>
      </c>
      <c r="J3324">
        <v>20.81</v>
      </c>
      <c r="K3324">
        <v>0.19</v>
      </c>
      <c r="L3324">
        <v>1.2</v>
      </c>
      <c r="M3324" t="s">
        <v>6188</v>
      </c>
      <c r="N3324">
        <v>197.94</v>
      </c>
      <c r="O3324" t="s">
        <v>380</v>
      </c>
      <c r="P3324">
        <v>20.9</v>
      </c>
      <c r="Q3324">
        <v>20.55</v>
      </c>
      <c r="R3324">
        <v>20.77</v>
      </c>
      <c r="S3324">
        <v>20.87</v>
      </c>
      <c r="T3324">
        <v>1.68</v>
      </c>
      <c r="U3324">
        <v>0.59</v>
      </c>
      <c r="V3324">
        <v>27.14</v>
      </c>
      <c r="W3324">
        <v>409</v>
      </c>
      <c r="X3324">
        <v>20.72</v>
      </c>
      <c r="Y3324">
        <v>8126</v>
      </c>
      <c r="Z3324">
        <v>6853</v>
      </c>
      <c r="AA3324">
        <v>1.19</v>
      </c>
      <c r="AB3324">
        <v>245</v>
      </c>
      <c r="AC3324">
        <v>19</v>
      </c>
      <c r="AD3324">
        <v>9.02</v>
      </c>
      <c r="AE3324" t="s">
        <v>3361</v>
      </c>
      <c r="AF3324" t="s">
        <v>877</v>
      </c>
      <c r="AG3324" t="s">
        <v>640</v>
      </c>
      <c r="AH3324" t="s">
        <v>2597</v>
      </c>
      <c r="AI3324">
        <v>-2.62</v>
      </c>
      <c r="AJ3324">
        <v>4.63</v>
      </c>
      <c r="AK3324">
        <v>5.59</v>
      </c>
      <c r="AL3324">
        <v>11.42</v>
      </c>
    </row>
    <row r="3325" spans="1:38" x14ac:dyDescent="0.25">
      <c r="A3325">
        <v>3324</v>
      </c>
      <c r="B3325" t="str">
        <f xml:space="preserve"> "002627"</f>
        <v>002627</v>
      </c>
      <c r="C3325" t="s">
        <v>9290</v>
      </c>
      <c r="D3325">
        <v>19.559999999999999</v>
      </c>
      <c r="E3325">
        <v>0.2</v>
      </c>
      <c r="F3325">
        <v>0.04</v>
      </c>
      <c r="G3325">
        <v>7899</v>
      </c>
      <c r="H3325">
        <v>118</v>
      </c>
      <c r="I3325">
        <v>19.559999999999999</v>
      </c>
      <c r="J3325">
        <v>19.57</v>
      </c>
      <c r="K3325">
        <v>0.05</v>
      </c>
      <c r="L3325">
        <v>0.6</v>
      </c>
      <c r="M3325" t="s">
        <v>9291</v>
      </c>
      <c r="N3325">
        <v>40.75</v>
      </c>
      <c r="O3325" t="s">
        <v>274</v>
      </c>
      <c r="P3325">
        <v>19.670000000000002</v>
      </c>
      <c r="Q3325">
        <v>19.36</v>
      </c>
      <c r="R3325">
        <v>19.57</v>
      </c>
      <c r="S3325">
        <v>19.52</v>
      </c>
      <c r="T3325">
        <v>1.59</v>
      </c>
      <c r="U3325">
        <v>0.76</v>
      </c>
      <c r="V3325">
        <v>-28.04</v>
      </c>
      <c r="W3325">
        <v>-209</v>
      </c>
      <c r="X3325">
        <v>19.47</v>
      </c>
      <c r="Y3325">
        <v>4194</v>
      </c>
      <c r="Z3325">
        <v>3704</v>
      </c>
      <c r="AA3325">
        <v>1.1299999999999999</v>
      </c>
      <c r="AB3325">
        <v>59</v>
      </c>
      <c r="AC3325">
        <v>123</v>
      </c>
      <c r="AD3325">
        <v>2.78</v>
      </c>
      <c r="AE3325" t="s">
        <v>2973</v>
      </c>
      <c r="AF3325" t="s">
        <v>2136</v>
      </c>
      <c r="AG3325" t="s">
        <v>2646</v>
      </c>
      <c r="AH3325" t="s">
        <v>705</v>
      </c>
      <c r="AI3325">
        <v>-0.61</v>
      </c>
      <c r="AJ3325">
        <v>2.89</v>
      </c>
      <c r="AK3325">
        <v>1.99</v>
      </c>
      <c r="AL3325">
        <v>4.55</v>
      </c>
    </row>
    <row r="3326" spans="1:38" x14ac:dyDescent="0.25">
      <c r="A3326">
        <v>3325</v>
      </c>
      <c r="B3326" t="str">
        <f xml:space="preserve"> "300028"</f>
        <v>300028</v>
      </c>
      <c r="C3326" t="s">
        <v>9292</v>
      </c>
      <c r="D3326">
        <v>7.58</v>
      </c>
      <c r="E3326">
        <v>0.8</v>
      </c>
      <c r="F3326">
        <v>0.06</v>
      </c>
      <c r="G3326" t="s">
        <v>2417</v>
      </c>
      <c r="H3326">
        <v>1548</v>
      </c>
      <c r="I3326">
        <v>7.57</v>
      </c>
      <c r="J3326">
        <v>7.58</v>
      </c>
      <c r="K3326">
        <v>0</v>
      </c>
      <c r="L3326">
        <v>1.48</v>
      </c>
      <c r="M3326" t="s">
        <v>1781</v>
      </c>
      <c r="N3326">
        <v>-58.12</v>
      </c>
      <c r="O3326" t="s">
        <v>1126</v>
      </c>
      <c r="P3326">
        <v>7.62</v>
      </c>
      <c r="Q3326">
        <v>7.45</v>
      </c>
      <c r="R3326">
        <v>7.5</v>
      </c>
      <c r="S3326">
        <v>7.52</v>
      </c>
      <c r="T3326">
        <v>2.2599999999999998</v>
      </c>
      <c r="U3326">
        <v>0.6</v>
      </c>
      <c r="V3326">
        <v>4.33</v>
      </c>
      <c r="W3326">
        <v>215</v>
      </c>
      <c r="X3326">
        <v>7.55</v>
      </c>
      <c r="Y3326" t="s">
        <v>1189</v>
      </c>
      <c r="Z3326" t="s">
        <v>1745</v>
      </c>
      <c r="AA3326">
        <v>1.28</v>
      </c>
      <c r="AB3326">
        <v>1390</v>
      </c>
      <c r="AC3326">
        <v>623</v>
      </c>
      <c r="AD3326">
        <v>7.96</v>
      </c>
      <c r="AE3326" t="s">
        <v>5326</v>
      </c>
      <c r="AF3326" t="s">
        <v>2136</v>
      </c>
      <c r="AG3326" t="s">
        <v>5326</v>
      </c>
      <c r="AH3326" t="s">
        <v>2136</v>
      </c>
      <c r="AI3326">
        <v>-1.69</v>
      </c>
      <c r="AJ3326">
        <v>5.13</v>
      </c>
      <c r="AK3326">
        <v>6.74</v>
      </c>
      <c r="AL3326">
        <v>13.86</v>
      </c>
    </row>
    <row r="3327" spans="1:38" x14ac:dyDescent="0.25">
      <c r="A3327">
        <v>3326</v>
      </c>
      <c r="B3327" t="str">
        <f xml:space="preserve"> "603029"</f>
        <v>603029</v>
      </c>
      <c r="C3327" t="s">
        <v>9293</v>
      </c>
      <c r="D3327" t="s">
        <v>616</v>
      </c>
      <c r="E3327" t="s">
        <v>616</v>
      </c>
      <c r="F3327" t="s">
        <v>616</v>
      </c>
      <c r="G3327" t="s">
        <v>616</v>
      </c>
      <c r="H3327" t="s">
        <v>616</v>
      </c>
      <c r="I3327" t="s">
        <v>616</v>
      </c>
      <c r="J3327" t="s">
        <v>616</v>
      </c>
      <c r="K3327" t="s">
        <v>616</v>
      </c>
      <c r="L3327" t="s">
        <v>616</v>
      </c>
      <c r="M3327" t="s">
        <v>616</v>
      </c>
      <c r="N3327">
        <v>-445.22</v>
      </c>
      <c r="O3327" t="s">
        <v>648</v>
      </c>
      <c r="P3327" t="s">
        <v>616</v>
      </c>
      <c r="Q3327" t="s">
        <v>616</v>
      </c>
      <c r="R3327" t="s">
        <v>616</v>
      </c>
      <c r="S3327">
        <v>27.92</v>
      </c>
      <c r="T3327" t="s">
        <v>616</v>
      </c>
      <c r="U3327" t="s">
        <v>616</v>
      </c>
      <c r="V3327" t="s">
        <v>616</v>
      </c>
      <c r="W3327" t="s">
        <v>616</v>
      </c>
      <c r="X3327" t="s">
        <v>616</v>
      </c>
      <c r="Y3327" t="s">
        <v>616</v>
      </c>
      <c r="Z3327" t="s">
        <v>616</v>
      </c>
      <c r="AA3327" t="s">
        <v>616</v>
      </c>
      <c r="AB3327" t="s">
        <v>616</v>
      </c>
      <c r="AC3327" t="s">
        <v>616</v>
      </c>
      <c r="AD3327">
        <v>3.74</v>
      </c>
      <c r="AE3327" t="s">
        <v>3722</v>
      </c>
      <c r="AF3327" t="s">
        <v>2136</v>
      </c>
      <c r="AG3327" t="s">
        <v>9294</v>
      </c>
      <c r="AH3327" t="s">
        <v>1766</v>
      </c>
      <c r="AI3327">
        <v>0</v>
      </c>
      <c r="AJ3327">
        <v>0</v>
      </c>
      <c r="AK3327">
        <v>0</v>
      </c>
      <c r="AL3327">
        <v>0</v>
      </c>
    </row>
    <row r="3328" spans="1:38" x14ac:dyDescent="0.25">
      <c r="A3328">
        <v>3327</v>
      </c>
      <c r="B3328" t="str">
        <f xml:space="preserve"> "000695"</f>
        <v>000695</v>
      </c>
      <c r="C3328" t="s">
        <v>9295</v>
      </c>
      <c r="D3328" t="s">
        <v>616</v>
      </c>
      <c r="E3328" t="s">
        <v>616</v>
      </c>
      <c r="F3328" t="s">
        <v>616</v>
      </c>
      <c r="G3328" t="s">
        <v>616</v>
      </c>
      <c r="H3328" t="s">
        <v>616</v>
      </c>
      <c r="I3328" t="s">
        <v>616</v>
      </c>
      <c r="J3328" t="s">
        <v>616</v>
      </c>
      <c r="K3328" t="s">
        <v>616</v>
      </c>
      <c r="L3328" t="s">
        <v>616</v>
      </c>
      <c r="M3328" t="s">
        <v>616</v>
      </c>
      <c r="N3328">
        <v>-85.93</v>
      </c>
      <c r="O3328" t="s">
        <v>186</v>
      </c>
      <c r="P3328" t="s">
        <v>616</v>
      </c>
      <c r="Q3328" t="s">
        <v>616</v>
      </c>
      <c r="R3328" t="s">
        <v>616</v>
      </c>
      <c r="S3328">
        <v>11.73</v>
      </c>
      <c r="T3328" t="s">
        <v>616</v>
      </c>
      <c r="U3328" t="s">
        <v>616</v>
      </c>
      <c r="V3328" t="s">
        <v>616</v>
      </c>
      <c r="W3328" t="s">
        <v>616</v>
      </c>
      <c r="X3328" t="s">
        <v>616</v>
      </c>
      <c r="Y3328" t="s">
        <v>616</v>
      </c>
      <c r="Z3328" t="s">
        <v>616</v>
      </c>
      <c r="AA3328" t="s">
        <v>616</v>
      </c>
      <c r="AB3328" t="s">
        <v>616</v>
      </c>
      <c r="AC3328" t="s">
        <v>616</v>
      </c>
      <c r="AD3328">
        <v>8.33</v>
      </c>
      <c r="AE3328" t="s">
        <v>2907</v>
      </c>
      <c r="AF3328" t="s">
        <v>2136</v>
      </c>
      <c r="AG3328" t="s">
        <v>2907</v>
      </c>
      <c r="AH3328" t="s">
        <v>2597</v>
      </c>
      <c r="AI3328">
        <v>0</v>
      </c>
      <c r="AJ3328">
        <v>0</v>
      </c>
      <c r="AK3328">
        <v>0</v>
      </c>
      <c r="AL3328">
        <v>0.63</v>
      </c>
    </row>
    <row r="3329" spans="1:38" x14ac:dyDescent="0.25">
      <c r="A3329">
        <v>3328</v>
      </c>
      <c r="B3329" t="str">
        <f xml:space="preserve"> "600540"</f>
        <v>600540</v>
      </c>
      <c r="C3329" t="s">
        <v>9296</v>
      </c>
      <c r="D3329">
        <v>5.51</v>
      </c>
      <c r="E3329">
        <v>0.55000000000000004</v>
      </c>
      <c r="F3329">
        <v>0.03</v>
      </c>
      <c r="G3329" t="s">
        <v>1532</v>
      </c>
      <c r="H3329">
        <v>105</v>
      </c>
      <c r="I3329">
        <v>5.5</v>
      </c>
      <c r="J3329">
        <v>5.51</v>
      </c>
      <c r="K3329">
        <v>0.18</v>
      </c>
      <c r="L3329">
        <v>0.72</v>
      </c>
      <c r="M3329" t="s">
        <v>9297</v>
      </c>
      <c r="N3329">
        <v>220.69</v>
      </c>
      <c r="O3329" t="s">
        <v>622</v>
      </c>
      <c r="P3329">
        <v>5.51</v>
      </c>
      <c r="Q3329">
        <v>5.46</v>
      </c>
      <c r="R3329">
        <v>5.51</v>
      </c>
      <c r="S3329">
        <v>5.48</v>
      </c>
      <c r="T3329">
        <v>0.91</v>
      </c>
      <c r="U3329">
        <v>0.94</v>
      </c>
      <c r="V3329">
        <v>28.02</v>
      </c>
      <c r="W3329">
        <v>1363</v>
      </c>
      <c r="X3329">
        <v>5.49</v>
      </c>
      <c r="Y3329" t="s">
        <v>3696</v>
      </c>
      <c r="Z3329" t="s">
        <v>2370</v>
      </c>
      <c r="AA3329">
        <v>1.61</v>
      </c>
      <c r="AB3329">
        <v>736</v>
      </c>
      <c r="AC3329">
        <v>5</v>
      </c>
      <c r="AD3329">
        <v>4.1900000000000004</v>
      </c>
      <c r="AE3329" t="s">
        <v>6453</v>
      </c>
      <c r="AF3329" t="s">
        <v>671</v>
      </c>
      <c r="AG3329" t="s">
        <v>4013</v>
      </c>
      <c r="AH3329" t="s">
        <v>2376</v>
      </c>
      <c r="AI3329">
        <v>1.66</v>
      </c>
      <c r="AJ3329">
        <v>4.3600000000000003</v>
      </c>
      <c r="AK3329">
        <v>2.4700000000000002</v>
      </c>
      <c r="AL3329">
        <v>4.54</v>
      </c>
    </row>
    <row r="3330" spans="1:38" x14ac:dyDescent="0.25">
      <c r="A3330">
        <v>3329</v>
      </c>
      <c r="B3330" t="str">
        <f xml:space="preserve"> "603269"</f>
        <v>603269</v>
      </c>
      <c r="C3330" t="s">
        <v>9298</v>
      </c>
      <c r="D3330">
        <v>28.29</v>
      </c>
      <c r="E3330">
        <v>2.84</v>
      </c>
      <c r="F3330">
        <v>0.78</v>
      </c>
      <c r="G3330" t="s">
        <v>1954</v>
      </c>
      <c r="H3330">
        <v>15</v>
      </c>
      <c r="I3330">
        <v>28.28</v>
      </c>
      <c r="J3330">
        <v>28.29</v>
      </c>
      <c r="K3330">
        <v>0.25</v>
      </c>
      <c r="L3330">
        <v>13.63</v>
      </c>
      <c r="M3330" t="s">
        <v>9299</v>
      </c>
      <c r="N3330">
        <v>95.37</v>
      </c>
      <c r="O3330" t="s">
        <v>648</v>
      </c>
      <c r="P3330">
        <v>28.3</v>
      </c>
      <c r="Q3330">
        <v>27.35</v>
      </c>
      <c r="R3330">
        <v>27.58</v>
      </c>
      <c r="S3330">
        <v>27.51</v>
      </c>
      <c r="T3330">
        <v>3.45</v>
      </c>
      <c r="U3330">
        <v>1.95</v>
      </c>
      <c r="V3330">
        <v>-42.61</v>
      </c>
      <c r="W3330">
        <v>-196</v>
      </c>
      <c r="X3330">
        <v>28.05</v>
      </c>
      <c r="Y3330" t="s">
        <v>1821</v>
      </c>
      <c r="Z3330" t="s">
        <v>6292</v>
      </c>
      <c r="AA3330">
        <v>0.77</v>
      </c>
      <c r="AB3330">
        <v>27</v>
      </c>
      <c r="AC3330">
        <v>3</v>
      </c>
      <c r="AD3330">
        <v>4.29</v>
      </c>
      <c r="AE3330" t="s">
        <v>9300</v>
      </c>
      <c r="AF3330" t="s">
        <v>671</v>
      </c>
      <c r="AG3330" t="s">
        <v>9301</v>
      </c>
      <c r="AH3330" t="s">
        <v>5994</v>
      </c>
      <c r="AI3330">
        <v>1.65</v>
      </c>
      <c r="AJ3330">
        <v>7.57</v>
      </c>
      <c r="AK3330">
        <v>28.54</v>
      </c>
      <c r="AL3330">
        <v>48.59</v>
      </c>
    </row>
    <row r="3331" spans="1:38" x14ac:dyDescent="0.25">
      <c r="A3331">
        <v>3330</v>
      </c>
      <c r="B3331" t="str">
        <f xml:space="preserve"> "603330"</f>
        <v>603330</v>
      </c>
      <c r="C3331" t="s">
        <v>9302</v>
      </c>
      <c r="D3331">
        <v>43.11</v>
      </c>
      <c r="E3331">
        <v>2.2799999999999998</v>
      </c>
      <c r="F3331">
        <v>0.96</v>
      </c>
      <c r="G3331" t="s">
        <v>4399</v>
      </c>
      <c r="H3331">
        <v>1</v>
      </c>
      <c r="I3331">
        <v>43.09</v>
      </c>
      <c r="J3331">
        <v>43.13</v>
      </c>
      <c r="K3331">
        <v>0.09</v>
      </c>
      <c r="L3331">
        <v>9.51</v>
      </c>
      <c r="M3331" t="s">
        <v>9303</v>
      </c>
      <c r="N3331">
        <v>153.83000000000001</v>
      </c>
      <c r="O3331" t="s">
        <v>2128</v>
      </c>
      <c r="P3331">
        <v>43.33</v>
      </c>
      <c r="Q3331">
        <v>42.38</v>
      </c>
      <c r="R3331">
        <v>42.58</v>
      </c>
      <c r="S3331">
        <v>42.15</v>
      </c>
      <c r="T3331">
        <v>2.25</v>
      </c>
      <c r="U3331">
        <v>1.79</v>
      </c>
      <c r="V3331">
        <v>1.73</v>
      </c>
      <c r="W3331">
        <v>5</v>
      </c>
      <c r="X3331">
        <v>43</v>
      </c>
      <c r="Y3331">
        <v>6161</v>
      </c>
      <c r="Z3331">
        <v>8101</v>
      </c>
      <c r="AA3331">
        <v>0.76</v>
      </c>
      <c r="AB3331">
        <v>14</v>
      </c>
      <c r="AC3331">
        <v>1</v>
      </c>
      <c r="AD3331">
        <v>4.43</v>
      </c>
      <c r="AE3331" t="s">
        <v>5162</v>
      </c>
      <c r="AF3331" t="s">
        <v>671</v>
      </c>
      <c r="AG3331" t="s">
        <v>7030</v>
      </c>
      <c r="AH3331" t="s">
        <v>5994</v>
      </c>
      <c r="AI3331">
        <v>-0.09</v>
      </c>
      <c r="AJ3331">
        <v>5.4</v>
      </c>
      <c r="AK3331">
        <v>20.420000000000002</v>
      </c>
      <c r="AL3331">
        <v>36.090000000000003</v>
      </c>
    </row>
    <row r="3332" spans="1:38" x14ac:dyDescent="0.25">
      <c r="A3332">
        <v>3331</v>
      </c>
      <c r="B3332" t="str">
        <f xml:space="preserve"> "002473"</f>
        <v>002473</v>
      </c>
      <c r="C3332" t="s">
        <v>9304</v>
      </c>
      <c r="D3332" t="s">
        <v>616</v>
      </c>
      <c r="E3332" t="s">
        <v>616</v>
      </c>
      <c r="F3332" t="s">
        <v>616</v>
      </c>
      <c r="G3332" t="s">
        <v>616</v>
      </c>
      <c r="H3332" t="s">
        <v>616</v>
      </c>
      <c r="I3332" t="s">
        <v>616</v>
      </c>
      <c r="J3332" t="s">
        <v>616</v>
      </c>
      <c r="K3332" t="s">
        <v>616</v>
      </c>
      <c r="L3332" t="s">
        <v>616</v>
      </c>
      <c r="M3332" t="s">
        <v>616</v>
      </c>
      <c r="N3332">
        <v>-104.79</v>
      </c>
      <c r="O3332" t="s">
        <v>215</v>
      </c>
      <c r="P3332" t="s">
        <v>616</v>
      </c>
      <c r="Q3332" t="s">
        <v>616</v>
      </c>
      <c r="R3332" t="s">
        <v>616</v>
      </c>
      <c r="S3332">
        <v>16.11</v>
      </c>
      <c r="T3332" t="s">
        <v>616</v>
      </c>
      <c r="U3332" t="s">
        <v>616</v>
      </c>
      <c r="V3332" t="s">
        <v>616</v>
      </c>
      <c r="W3332" t="s">
        <v>616</v>
      </c>
      <c r="X3332" t="s">
        <v>616</v>
      </c>
      <c r="Y3332" t="s">
        <v>616</v>
      </c>
      <c r="Z3332" t="s">
        <v>616</v>
      </c>
      <c r="AA3332" t="s">
        <v>616</v>
      </c>
      <c r="AB3332" t="s">
        <v>616</v>
      </c>
      <c r="AC3332" t="s">
        <v>616</v>
      </c>
      <c r="AD3332">
        <v>7.41</v>
      </c>
      <c r="AE3332" t="s">
        <v>4326</v>
      </c>
      <c r="AF3332" t="s">
        <v>705</v>
      </c>
      <c r="AG3332" t="s">
        <v>4326</v>
      </c>
      <c r="AH3332" t="s">
        <v>705</v>
      </c>
      <c r="AI3332">
        <v>0</v>
      </c>
      <c r="AJ3332">
        <v>0</v>
      </c>
      <c r="AK3332">
        <v>0</v>
      </c>
      <c r="AL3332">
        <v>0</v>
      </c>
    </row>
    <row r="3333" spans="1:38" x14ac:dyDescent="0.25">
      <c r="A3333">
        <v>3332</v>
      </c>
      <c r="B3333" t="str">
        <f xml:space="preserve"> "300650"</f>
        <v>300650</v>
      </c>
      <c r="C3333" t="s">
        <v>9305</v>
      </c>
      <c r="D3333">
        <v>40.520000000000003</v>
      </c>
      <c r="E3333">
        <v>9.99</v>
      </c>
      <c r="F3333">
        <v>3.68</v>
      </c>
      <c r="G3333" t="s">
        <v>2714</v>
      </c>
      <c r="H3333">
        <v>2956</v>
      </c>
      <c r="I3333">
        <v>40.520000000000003</v>
      </c>
      <c r="J3333" t="s">
        <v>616</v>
      </c>
      <c r="K3333">
        <v>0</v>
      </c>
      <c r="L3333">
        <v>22.35</v>
      </c>
      <c r="M3333" t="s">
        <v>3110</v>
      </c>
      <c r="N3333">
        <v>95.97</v>
      </c>
      <c r="O3333" t="s">
        <v>380</v>
      </c>
      <c r="P3333">
        <v>40.520000000000003</v>
      </c>
      <c r="Q3333">
        <v>38.409999999999997</v>
      </c>
      <c r="R3333">
        <v>39</v>
      </c>
      <c r="S3333">
        <v>36.840000000000003</v>
      </c>
      <c r="T3333">
        <v>5.73</v>
      </c>
      <c r="U3333">
        <v>4.29</v>
      </c>
      <c r="V3333">
        <v>100</v>
      </c>
      <c r="W3333">
        <v>3459</v>
      </c>
      <c r="X3333">
        <v>39.75</v>
      </c>
      <c r="Y3333" t="s">
        <v>1986</v>
      </c>
      <c r="Z3333" t="s">
        <v>4590</v>
      </c>
      <c r="AA3333">
        <v>1.33</v>
      </c>
      <c r="AB3333">
        <v>3435</v>
      </c>
      <c r="AC3333">
        <v>0</v>
      </c>
      <c r="AD3333">
        <v>5.94</v>
      </c>
      <c r="AE3333" t="s">
        <v>9306</v>
      </c>
      <c r="AF3333" t="s">
        <v>3243</v>
      </c>
      <c r="AG3333" t="s">
        <v>9307</v>
      </c>
      <c r="AH3333" t="s">
        <v>5441</v>
      </c>
      <c r="AI3333">
        <v>8.23</v>
      </c>
      <c r="AJ3333">
        <v>12.34</v>
      </c>
      <c r="AK3333">
        <v>32.65</v>
      </c>
      <c r="AL3333">
        <v>48.37</v>
      </c>
    </row>
    <row r="3334" spans="1:38" x14ac:dyDescent="0.25">
      <c r="A3334">
        <v>3333</v>
      </c>
      <c r="B3334" t="str">
        <f xml:space="preserve"> "300169"</f>
        <v>300169</v>
      </c>
      <c r="C3334" t="s">
        <v>9308</v>
      </c>
      <c r="D3334">
        <v>7.84</v>
      </c>
      <c r="E3334">
        <v>-0.51</v>
      </c>
      <c r="F3334">
        <v>-0.04</v>
      </c>
      <c r="G3334" t="s">
        <v>125</v>
      </c>
      <c r="H3334">
        <v>628</v>
      </c>
      <c r="I3334">
        <v>7.84</v>
      </c>
      <c r="J3334">
        <v>7.87</v>
      </c>
      <c r="K3334">
        <v>-0.25</v>
      </c>
      <c r="L3334">
        <v>0.59</v>
      </c>
      <c r="M3334" t="s">
        <v>7447</v>
      </c>
      <c r="N3334">
        <v>514.69000000000005</v>
      </c>
      <c r="O3334" t="s">
        <v>2128</v>
      </c>
      <c r="P3334">
        <v>7.9</v>
      </c>
      <c r="Q3334">
        <v>7.81</v>
      </c>
      <c r="R3334">
        <v>7.84</v>
      </c>
      <c r="S3334">
        <v>7.88</v>
      </c>
      <c r="T3334">
        <v>1.1399999999999999</v>
      </c>
      <c r="U3334">
        <v>0.28000000000000003</v>
      </c>
      <c r="V3334">
        <v>3.11</v>
      </c>
      <c r="W3334">
        <v>85</v>
      </c>
      <c r="X3334">
        <v>7.85</v>
      </c>
      <c r="Y3334">
        <v>9613</v>
      </c>
      <c r="Z3334">
        <v>5679</v>
      </c>
      <c r="AA3334">
        <v>1.69</v>
      </c>
      <c r="AB3334">
        <v>234</v>
      </c>
      <c r="AC3334">
        <v>103</v>
      </c>
      <c r="AD3334">
        <v>2.04</v>
      </c>
      <c r="AE3334" t="s">
        <v>3905</v>
      </c>
      <c r="AF3334" t="s">
        <v>3243</v>
      </c>
      <c r="AG3334" t="s">
        <v>149</v>
      </c>
      <c r="AH3334" t="s">
        <v>809</v>
      </c>
      <c r="AI3334">
        <v>-2</v>
      </c>
      <c r="AJ3334">
        <v>4.8099999999999996</v>
      </c>
      <c r="AK3334">
        <v>3.11</v>
      </c>
      <c r="AL3334">
        <v>11.16</v>
      </c>
    </row>
    <row r="3335" spans="1:38" x14ac:dyDescent="0.25">
      <c r="A3335">
        <v>3334</v>
      </c>
      <c r="B3335" t="str">
        <f xml:space="preserve"> "300553"</f>
        <v>300553</v>
      </c>
      <c r="C3335" t="s">
        <v>9309</v>
      </c>
      <c r="D3335">
        <v>53.24</v>
      </c>
      <c r="E3335">
        <v>2.76</v>
      </c>
      <c r="F3335">
        <v>1.43</v>
      </c>
      <c r="G3335">
        <v>8245</v>
      </c>
      <c r="H3335">
        <v>43</v>
      </c>
      <c r="I3335">
        <v>53.24</v>
      </c>
      <c r="J3335">
        <v>53.25</v>
      </c>
      <c r="K3335">
        <v>-0.11</v>
      </c>
      <c r="L3335">
        <v>6.87</v>
      </c>
      <c r="M3335" t="s">
        <v>9310</v>
      </c>
      <c r="N3335">
        <v>98.27</v>
      </c>
      <c r="O3335" t="s">
        <v>1372</v>
      </c>
      <c r="P3335">
        <v>54.77</v>
      </c>
      <c r="Q3335">
        <v>51.38</v>
      </c>
      <c r="R3335">
        <v>51.86</v>
      </c>
      <c r="S3335">
        <v>51.81</v>
      </c>
      <c r="T3335">
        <v>6.54</v>
      </c>
      <c r="U3335">
        <v>2.2200000000000002</v>
      </c>
      <c r="V3335">
        <v>45.96</v>
      </c>
      <c r="W3335">
        <v>262</v>
      </c>
      <c r="X3335">
        <v>53.32</v>
      </c>
      <c r="Y3335">
        <v>4345</v>
      </c>
      <c r="Z3335">
        <v>3900</v>
      </c>
      <c r="AA3335">
        <v>1.1100000000000001</v>
      </c>
      <c r="AB3335">
        <v>276</v>
      </c>
      <c r="AC3335">
        <v>10</v>
      </c>
      <c r="AD3335">
        <v>8.16</v>
      </c>
      <c r="AE3335" t="s">
        <v>2913</v>
      </c>
      <c r="AF3335" t="s">
        <v>3243</v>
      </c>
      <c r="AG3335" t="s">
        <v>9311</v>
      </c>
      <c r="AH3335" t="s">
        <v>9312</v>
      </c>
      <c r="AI3335">
        <v>0.83</v>
      </c>
      <c r="AJ3335">
        <v>5.45</v>
      </c>
      <c r="AK3335">
        <v>13.12</v>
      </c>
      <c r="AL3335">
        <v>22.33</v>
      </c>
    </row>
    <row r="3336" spans="1:38" x14ac:dyDescent="0.25">
      <c r="A3336">
        <v>3335</v>
      </c>
      <c r="B3336" t="str">
        <f xml:space="preserve"> "300022"</f>
        <v>300022</v>
      </c>
      <c r="C3336" t="s">
        <v>9313</v>
      </c>
      <c r="D3336" t="s">
        <v>616</v>
      </c>
      <c r="E3336" t="s">
        <v>616</v>
      </c>
      <c r="F3336" t="s">
        <v>616</v>
      </c>
      <c r="G3336" t="s">
        <v>616</v>
      </c>
      <c r="H3336" t="s">
        <v>616</v>
      </c>
      <c r="I3336" t="s">
        <v>616</v>
      </c>
      <c r="J3336" t="s">
        <v>616</v>
      </c>
      <c r="K3336" t="s">
        <v>616</v>
      </c>
      <c r="L3336" t="s">
        <v>616</v>
      </c>
      <c r="M3336" t="s">
        <v>616</v>
      </c>
      <c r="N3336">
        <v>-74.89</v>
      </c>
      <c r="O3336" t="s">
        <v>648</v>
      </c>
      <c r="P3336" t="s">
        <v>616</v>
      </c>
      <c r="Q3336" t="s">
        <v>616</v>
      </c>
      <c r="R3336" t="s">
        <v>616</v>
      </c>
      <c r="S3336">
        <v>6.72</v>
      </c>
      <c r="T3336" t="s">
        <v>616</v>
      </c>
      <c r="U3336" t="s">
        <v>616</v>
      </c>
      <c r="V3336" t="s">
        <v>616</v>
      </c>
      <c r="W3336" t="s">
        <v>616</v>
      </c>
      <c r="X3336" t="s">
        <v>616</v>
      </c>
      <c r="Y3336" t="s">
        <v>616</v>
      </c>
      <c r="Z3336" t="s">
        <v>616</v>
      </c>
      <c r="AA3336" t="s">
        <v>616</v>
      </c>
      <c r="AB3336" t="s">
        <v>616</v>
      </c>
      <c r="AC3336" t="s">
        <v>616</v>
      </c>
      <c r="AD3336">
        <v>10.91</v>
      </c>
      <c r="AE3336" t="s">
        <v>3721</v>
      </c>
      <c r="AF3336" t="s">
        <v>3243</v>
      </c>
      <c r="AG3336" t="s">
        <v>5819</v>
      </c>
      <c r="AH3336" t="s">
        <v>4000</v>
      </c>
      <c r="AI3336">
        <v>0</v>
      </c>
      <c r="AJ3336">
        <v>0</v>
      </c>
      <c r="AK3336">
        <v>0</v>
      </c>
      <c r="AL3336">
        <v>0</v>
      </c>
    </row>
    <row r="3337" spans="1:38" x14ac:dyDescent="0.25">
      <c r="A3337">
        <v>3336</v>
      </c>
      <c r="B3337" t="str">
        <f xml:space="preserve"> "002134"</f>
        <v>002134</v>
      </c>
      <c r="C3337" t="s">
        <v>9314</v>
      </c>
      <c r="D3337">
        <v>10.39</v>
      </c>
      <c r="E3337">
        <v>0.68</v>
      </c>
      <c r="F3337">
        <v>7.0000000000000007E-2</v>
      </c>
      <c r="G3337" t="s">
        <v>2968</v>
      </c>
      <c r="H3337">
        <v>548</v>
      </c>
      <c r="I3337">
        <v>10.38</v>
      </c>
      <c r="J3337">
        <v>10.39</v>
      </c>
      <c r="K3337">
        <v>0</v>
      </c>
      <c r="L3337">
        <v>0.67</v>
      </c>
      <c r="M3337" t="s">
        <v>9315</v>
      </c>
      <c r="N3337">
        <v>-157.58000000000001</v>
      </c>
      <c r="O3337" t="s">
        <v>380</v>
      </c>
      <c r="P3337">
        <v>10.48</v>
      </c>
      <c r="Q3337">
        <v>10.26</v>
      </c>
      <c r="R3337">
        <v>10.3</v>
      </c>
      <c r="S3337">
        <v>10.32</v>
      </c>
      <c r="T3337">
        <v>2.13</v>
      </c>
      <c r="U3337">
        <v>1.08</v>
      </c>
      <c r="V3337">
        <v>-45.87</v>
      </c>
      <c r="W3337">
        <v>-344</v>
      </c>
      <c r="X3337">
        <v>10.38</v>
      </c>
      <c r="Y3337">
        <v>8199</v>
      </c>
      <c r="Z3337">
        <v>8233</v>
      </c>
      <c r="AA3337">
        <v>1</v>
      </c>
      <c r="AB3337">
        <v>63</v>
      </c>
      <c r="AC3337">
        <v>15</v>
      </c>
      <c r="AD3337">
        <v>6.13</v>
      </c>
      <c r="AE3337" t="s">
        <v>4478</v>
      </c>
      <c r="AF3337" t="s">
        <v>2376</v>
      </c>
      <c r="AG3337" t="s">
        <v>4478</v>
      </c>
      <c r="AH3337" t="s">
        <v>2376</v>
      </c>
      <c r="AI3337">
        <v>1.27</v>
      </c>
      <c r="AJ3337">
        <v>2.67</v>
      </c>
      <c r="AK3337">
        <v>2.37</v>
      </c>
      <c r="AL3337">
        <v>3.77</v>
      </c>
    </row>
    <row r="3338" spans="1:38" x14ac:dyDescent="0.25">
      <c r="A3338">
        <v>3337</v>
      </c>
      <c r="B3338" t="str">
        <f xml:space="preserve"> "300640"</f>
        <v>300640</v>
      </c>
      <c r="C3338" t="s">
        <v>9316</v>
      </c>
      <c r="D3338">
        <v>31.92</v>
      </c>
      <c r="E3338">
        <v>4.9000000000000004</v>
      </c>
      <c r="F3338">
        <v>1.49</v>
      </c>
      <c r="G3338" t="s">
        <v>3181</v>
      </c>
      <c r="H3338">
        <v>487</v>
      </c>
      <c r="I3338">
        <v>31.92</v>
      </c>
      <c r="J3338">
        <v>31.94</v>
      </c>
      <c r="K3338">
        <v>-0.22</v>
      </c>
      <c r="L3338">
        <v>11.02</v>
      </c>
      <c r="M3338" t="s">
        <v>9317</v>
      </c>
      <c r="N3338">
        <v>63.5</v>
      </c>
      <c r="O3338" t="s">
        <v>5499</v>
      </c>
      <c r="P3338">
        <v>33.47</v>
      </c>
      <c r="Q3338">
        <v>30.36</v>
      </c>
      <c r="R3338">
        <v>30.5</v>
      </c>
      <c r="S3338">
        <v>30.43</v>
      </c>
      <c r="T3338">
        <v>10.220000000000001</v>
      </c>
      <c r="U3338">
        <v>2.79</v>
      </c>
      <c r="V3338">
        <v>-28.61</v>
      </c>
      <c r="W3338">
        <v>-323</v>
      </c>
      <c r="X3338">
        <v>32.31</v>
      </c>
      <c r="Y3338" t="s">
        <v>75</v>
      </c>
      <c r="Z3338" t="s">
        <v>2991</v>
      </c>
      <c r="AA3338">
        <v>0.87</v>
      </c>
      <c r="AB3338">
        <v>107</v>
      </c>
      <c r="AC3338">
        <v>6</v>
      </c>
      <c r="AD3338">
        <v>10.1</v>
      </c>
      <c r="AE3338" t="s">
        <v>5802</v>
      </c>
      <c r="AF3338" t="s">
        <v>2376</v>
      </c>
      <c r="AG3338" t="s">
        <v>5562</v>
      </c>
      <c r="AH3338" t="s">
        <v>4826</v>
      </c>
      <c r="AI3338">
        <v>3.27</v>
      </c>
      <c r="AJ3338">
        <v>8.57</v>
      </c>
      <c r="AK3338">
        <v>18.88</v>
      </c>
      <c r="AL3338">
        <v>30.8</v>
      </c>
    </row>
    <row r="3339" spans="1:38" x14ac:dyDescent="0.25">
      <c r="A3339">
        <v>3338</v>
      </c>
      <c r="B3339" t="str">
        <f xml:space="preserve"> "300126"</f>
        <v>300126</v>
      </c>
      <c r="C3339" t="s">
        <v>9318</v>
      </c>
      <c r="D3339">
        <v>8.36</v>
      </c>
      <c r="E3339">
        <v>0.12</v>
      </c>
      <c r="F3339">
        <v>0.01</v>
      </c>
      <c r="G3339" t="s">
        <v>3090</v>
      </c>
      <c r="H3339">
        <v>525</v>
      </c>
      <c r="I3339">
        <v>8.36</v>
      </c>
      <c r="J3339">
        <v>8.3699999999999992</v>
      </c>
      <c r="K3339">
        <v>-0.24</v>
      </c>
      <c r="L3339">
        <v>1.1299999999999999</v>
      </c>
      <c r="M3339" t="s">
        <v>8176</v>
      </c>
      <c r="N3339">
        <v>901.33</v>
      </c>
      <c r="O3339" t="s">
        <v>648</v>
      </c>
      <c r="P3339">
        <v>8.42</v>
      </c>
      <c r="Q3339">
        <v>8.2799999999999994</v>
      </c>
      <c r="R3339">
        <v>8.36</v>
      </c>
      <c r="S3339">
        <v>8.35</v>
      </c>
      <c r="T3339">
        <v>1.68</v>
      </c>
      <c r="U3339">
        <v>0.95</v>
      </c>
      <c r="V3339">
        <v>8.2799999999999994</v>
      </c>
      <c r="W3339">
        <v>242</v>
      </c>
      <c r="X3339">
        <v>8.35</v>
      </c>
      <c r="Y3339" t="s">
        <v>2800</v>
      </c>
      <c r="Z3339" t="s">
        <v>480</v>
      </c>
      <c r="AA3339">
        <v>0.79</v>
      </c>
      <c r="AB3339">
        <v>778</v>
      </c>
      <c r="AC3339">
        <v>39</v>
      </c>
      <c r="AD3339">
        <v>2.46</v>
      </c>
      <c r="AE3339" t="s">
        <v>4786</v>
      </c>
      <c r="AF3339" t="s">
        <v>2376</v>
      </c>
      <c r="AG3339" t="s">
        <v>1538</v>
      </c>
      <c r="AH3339" t="s">
        <v>2050</v>
      </c>
      <c r="AI3339">
        <v>0.36</v>
      </c>
      <c r="AJ3339">
        <v>6.77</v>
      </c>
      <c r="AK3339">
        <v>3.16</v>
      </c>
      <c r="AL3339">
        <v>7.07</v>
      </c>
    </row>
    <row r="3340" spans="1:38" x14ac:dyDescent="0.25">
      <c r="A3340">
        <v>3339</v>
      </c>
      <c r="B3340" t="str">
        <f xml:space="preserve"> "300387"</f>
        <v>300387</v>
      </c>
      <c r="C3340" t="s">
        <v>9319</v>
      </c>
      <c r="D3340">
        <v>20.399999999999999</v>
      </c>
      <c r="E3340">
        <v>0.94</v>
      </c>
      <c r="F3340">
        <v>0.19</v>
      </c>
      <c r="G3340" t="s">
        <v>1576</v>
      </c>
      <c r="H3340">
        <v>540</v>
      </c>
      <c r="I3340">
        <v>20.39</v>
      </c>
      <c r="J3340">
        <v>20.399999999999999</v>
      </c>
      <c r="K3340">
        <v>0</v>
      </c>
      <c r="L3340">
        <v>1.41</v>
      </c>
      <c r="M3340" t="s">
        <v>9320</v>
      </c>
      <c r="N3340">
        <v>29.04</v>
      </c>
      <c r="O3340" t="s">
        <v>667</v>
      </c>
      <c r="P3340">
        <v>20.57</v>
      </c>
      <c r="Q3340">
        <v>20.03</v>
      </c>
      <c r="R3340">
        <v>20.18</v>
      </c>
      <c r="S3340">
        <v>20.21</v>
      </c>
      <c r="T3340">
        <v>2.67</v>
      </c>
      <c r="U3340">
        <v>0.64</v>
      </c>
      <c r="V3340">
        <v>-20.190000000000001</v>
      </c>
      <c r="W3340">
        <v>-169</v>
      </c>
      <c r="X3340">
        <v>20.27</v>
      </c>
      <c r="Y3340">
        <v>8310</v>
      </c>
      <c r="Z3340">
        <v>8991</v>
      </c>
      <c r="AA3340">
        <v>0.92</v>
      </c>
      <c r="AB3340">
        <v>208</v>
      </c>
      <c r="AC3340">
        <v>4</v>
      </c>
      <c r="AD3340">
        <v>3.41</v>
      </c>
      <c r="AE3340" t="s">
        <v>640</v>
      </c>
      <c r="AF3340" t="s">
        <v>2376</v>
      </c>
      <c r="AG3340" t="s">
        <v>2442</v>
      </c>
      <c r="AH3340" t="s">
        <v>1061</v>
      </c>
      <c r="AI3340">
        <v>2.62</v>
      </c>
      <c r="AJ3340">
        <v>6.36</v>
      </c>
      <c r="AK3340">
        <v>6.86</v>
      </c>
      <c r="AL3340">
        <v>12.42</v>
      </c>
    </row>
    <row r="3341" spans="1:38" x14ac:dyDescent="0.25">
      <c r="A3341">
        <v>3340</v>
      </c>
      <c r="B3341" t="str">
        <f xml:space="preserve"> "300665"</f>
        <v>300665</v>
      </c>
      <c r="C3341" t="s">
        <v>9321</v>
      </c>
      <c r="D3341">
        <v>33.520000000000003</v>
      </c>
      <c r="E3341">
        <v>10.01</v>
      </c>
      <c r="F3341">
        <v>3.05</v>
      </c>
      <c r="G3341" t="s">
        <v>1524</v>
      </c>
      <c r="H3341">
        <v>55</v>
      </c>
      <c r="I3341">
        <v>33.520000000000003</v>
      </c>
      <c r="J3341" t="s">
        <v>616</v>
      </c>
      <c r="K3341">
        <v>0</v>
      </c>
      <c r="L3341">
        <v>23.54</v>
      </c>
      <c r="M3341" t="s">
        <v>1862</v>
      </c>
      <c r="N3341">
        <v>137.31</v>
      </c>
      <c r="O3341" t="s">
        <v>667</v>
      </c>
      <c r="P3341">
        <v>33.520000000000003</v>
      </c>
      <c r="Q3341">
        <v>30.49</v>
      </c>
      <c r="R3341">
        <v>30.49</v>
      </c>
      <c r="S3341">
        <v>30.47</v>
      </c>
      <c r="T3341">
        <v>9.94</v>
      </c>
      <c r="U3341">
        <v>3.65</v>
      </c>
      <c r="V3341">
        <v>100</v>
      </c>
      <c r="W3341" t="s">
        <v>1416</v>
      </c>
      <c r="X3341">
        <v>32.700000000000003</v>
      </c>
      <c r="Y3341" t="s">
        <v>2373</v>
      </c>
      <c r="Z3341" t="s">
        <v>3158</v>
      </c>
      <c r="AA3341">
        <v>1.44</v>
      </c>
      <c r="AB3341" t="s">
        <v>1416</v>
      </c>
      <c r="AC3341">
        <v>0</v>
      </c>
      <c r="AD3341">
        <v>6</v>
      </c>
      <c r="AE3341" t="s">
        <v>7647</v>
      </c>
      <c r="AF3341" t="s">
        <v>2376</v>
      </c>
      <c r="AG3341" t="s">
        <v>5657</v>
      </c>
      <c r="AH3341" t="s">
        <v>3382</v>
      </c>
      <c r="AI3341">
        <v>6.68</v>
      </c>
      <c r="AJ3341">
        <v>12.33</v>
      </c>
      <c r="AK3341">
        <v>37.97</v>
      </c>
      <c r="AL3341">
        <v>55.76</v>
      </c>
    </row>
    <row r="3342" spans="1:38" x14ac:dyDescent="0.25">
      <c r="A3342">
        <v>3341</v>
      </c>
      <c r="B3342" t="str">
        <f xml:space="preserve"> "002667"</f>
        <v>002667</v>
      </c>
      <c r="C3342" t="s">
        <v>9322</v>
      </c>
      <c r="D3342">
        <v>18.7</v>
      </c>
      <c r="E3342">
        <v>0.05</v>
      </c>
      <c r="F3342">
        <v>0.01</v>
      </c>
      <c r="G3342" t="s">
        <v>3357</v>
      </c>
      <c r="H3342">
        <v>934</v>
      </c>
      <c r="I3342">
        <v>18.690000000000001</v>
      </c>
      <c r="J3342">
        <v>18.7</v>
      </c>
      <c r="K3342">
        <v>0</v>
      </c>
      <c r="L3342">
        <v>2.66</v>
      </c>
      <c r="M3342" t="s">
        <v>9323</v>
      </c>
      <c r="N3342">
        <v>86.21</v>
      </c>
      <c r="O3342" t="s">
        <v>2647</v>
      </c>
      <c r="P3342">
        <v>18.809999999999999</v>
      </c>
      <c r="Q3342">
        <v>18.52</v>
      </c>
      <c r="R3342">
        <v>18.7</v>
      </c>
      <c r="S3342">
        <v>18.690000000000001</v>
      </c>
      <c r="T3342">
        <v>1.55</v>
      </c>
      <c r="U3342">
        <v>0.98</v>
      </c>
      <c r="V3342">
        <v>-71.3</v>
      </c>
      <c r="W3342">
        <v>-1635</v>
      </c>
      <c r="X3342">
        <v>18.68</v>
      </c>
      <c r="Y3342" t="s">
        <v>3095</v>
      </c>
      <c r="Z3342" t="s">
        <v>480</v>
      </c>
      <c r="AA3342">
        <v>0.87</v>
      </c>
      <c r="AB3342">
        <v>142</v>
      </c>
      <c r="AC3342">
        <v>992</v>
      </c>
      <c r="AD3342">
        <v>3.39</v>
      </c>
      <c r="AE3342" t="s">
        <v>1757</v>
      </c>
      <c r="AF3342" t="s">
        <v>1129</v>
      </c>
      <c r="AG3342" t="s">
        <v>9324</v>
      </c>
      <c r="AH3342" t="s">
        <v>2314</v>
      </c>
      <c r="AI3342">
        <v>2.52</v>
      </c>
      <c r="AJ3342">
        <v>3.03</v>
      </c>
      <c r="AK3342">
        <v>8.7799999999999994</v>
      </c>
      <c r="AL3342">
        <v>16.260000000000002</v>
      </c>
    </row>
    <row r="3343" spans="1:38" x14ac:dyDescent="0.25">
      <c r="A3343">
        <v>3342</v>
      </c>
      <c r="B3343" t="str">
        <f xml:space="preserve"> "603286"</f>
        <v>603286</v>
      </c>
      <c r="C3343" t="s">
        <v>9325</v>
      </c>
      <c r="D3343">
        <v>28.79</v>
      </c>
      <c r="E3343">
        <v>3.38</v>
      </c>
      <c r="F3343">
        <v>0.94</v>
      </c>
      <c r="G3343" t="s">
        <v>3039</v>
      </c>
      <c r="H3343">
        <v>20</v>
      </c>
      <c r="I3343">
        <v>28.79</v>
      </c>
      <c r="J3343">
        <v>28.8</v>
      </c>
      <c r="K3343">
        <v>-7.0000000000000007E-2</v>
      </c>
      <c r="L3343">
        <v>14.98</v>
      </c>
      <c r="M3343" t="s">
        <v>9326</v>
      </c>
      <c r="N3343">
        <v>75.290000000000006</v>
      </c>
      <c r="O3343" t="s">
        <v>169</v>
      </c>
      <c r="P3343">
        <v>28.96</v>
      </c>
      <c r="Q3343">
        <v>27.79</v>
      </c>
      <c r="R3343">
        <v>27.92</v>
      </c>
      <c r="S3343">
        <v>27.85</v>
      </c>
      <c r="T3343">
        <v>4.2</v>
      </c>
      <c r="U3343">
        <v>1.68</v>
      </c>
      <c r="V3343">
        <v>-87.84</v>
      </c>
      <c r="W3343">
        <v>-448</v>
      </c>
      <c r="X3343">
        <v>28.6</v>
      </c>
      <c r="Y3343" t="s">
        <v>1799</v>
      </c>
      <c r="Z3343" t="s">
        <v>2509</v>
      </c>
      <c r="AA3343">
        <v>0.63</v>
      </c>
      <c r="AB3343">
        <v>8</v>
      </c>
      <c r="AC3343">
        <v>96</v>
      </c>
      <c r="AD3343">
        <v>6.24</v>
      </c>
      <c r="AE3343" t="s">
        <v>9327</v>
      </c>
      <c r="AF3343" t="s">
        <v>1129</v>
      </c>
      <c r="AG3343" t="s">
        <v>9328</v>
      </c>
      <c r="AH3343" t="s">
        <v>5769</v>
      </c>
      <c r="AI3343">
        <v>2.06</v>
      </c>
      <c r="AJ3343">
        <v>6.08</v>
      </c>
      <c r="AK3343">
        <v>37.729999999999997</v>
      </c>
      <c r="AL3343">
        <v>59.48</v>
      </c>
    </row>
    <row r="3344" spans="1:38" x14ac:dyDescent="0.25">
      <c r="A3344">
        <v>3343</v>
      </c>
      <c r="B3344" t="str">
        <f xml:space="preserve"> "300405"</f>
        <v>300405</v>
      </c>
      <c r="C3344" t="s">
        <v>9329</v>
      </c>
      <c r="D3344">
        <v>21.62</v>
      </c>
      <c r="E3344">
        <v>0.7</v>
      </c>
      <c r="F3344">
        <v>0.15</v>
      </c>
      <c r="G3344" t="s">
        <v>1411</v>
      </c>
      <c r="H3344">
        <v>215</v>
      </c>
      <c r="I3344">
        <v>21.62</v>
      </c>
      <c r="J3344">
        <v>21.63</v>
      </c>
      <c r="K3344">
        <v>0.09</v>
      </c>
      <c r="L3344">
        <v>2.1800000000000002</v>
      </c>
      <c r="M3344" t="s">
        <v>9330</v>
      </c>
      <c r="N3344">
        <v>88.6</v>
      </c>
      <c r="O3344" t="s">
        <v>667</v>
      </c>
      <c r="P3344">
        <v>21.72</v>
      </c>
      <c r="Q3344">
        <v>21.4</v>
      </c>
      <c r="R3344">
        <v>21.44</v>
      </c>
      <c r="S3344">
        <v>21.47</v>
      </c>
      <c r="T3344">
        <v>1.49</v>
      </c>
      <c r="U3344">
        <v>1.1599999999999999</v>
      </c>
      <c r="V3344">
        <v>-30.94</v>
      </c>
      <c r="W3344">
        <v>-117</v>
      </c>
      <c r="X3344">
        <v>21.58</v>
      </c>
      <c r="Y3344">
        <v>4677</v>
      </c>
      <c r="Z3344">
        <v>6321</v>
      </c>
      <c r="AA3344">
        <v>0.74</v>
      </c>
      <c r="AB3344">
        <v>33</v>
      </c>
      <c r="AC3344">
        <v>37</v>
      </c>
      <c r="AD3344">
        <v>2.69</v>
      </c>
      <c r="AE3344" t="s">
        <v>2827</v>
      </c>
      <c r="AF3344" t="s">
        <v>2663</v>
      </c>
      <c r="AG3344" t="s">
        <v>9331</v>
      </c>
      <c r="AH3344" t="s">
        <v>888</v>
      </c>
      <c r="AI3344">
        <v>-1.32</v>
      </c>
      <c r="AJ3344">
        <v>2.76</v>
      </c>
      <c r="AK3344">
        <v>7.3</v>
      </c>
      <c r="AL3344">
        <v>11.58</v>
      </c>
    </row>
    <row r="3345" spans="1:38" x14ac:dyDescent="0.25">
      <c r="A3345">
        <v>3344</v>
      </c>
      <c r="B3345" t="str">
        <f xml:space="preserve"> "000995"</f>
        <v>000995</v>
      </c>
      <c r="C3345" t="s">
        <v>9332</v>
      </c>
      <c r="D3345" t="s">
        <v>616</v>
      </c>
      <c r="E3345" t="s">
        <v>616</v>
      </c>
      <c r="F3345" t="s">
        <v>616</v>
      </c>
      <c r="G3345" t="s">
        <v>616</v>
      </c>
      <c r="H3345" t="s">
        <v>616</v>
      </c>
      <c r="I3345" t="s">
        <v>616</v>
      </c>
      <c r="J3345" t="s">
        <v>616</v>
      </c>
      <c r="K3345" t="s">
        <v>616</v>
      </c>
      <c r="L3345" t="s">
        <v>616</v>
      </c>
      <c r="M3345" t="s">
        <v>616</v>
      </c>
      <c r="N3345">
        <v>-23.19</v>
      </c>
      <c r="O3345" t="s">
        <v>123</v>
      </c>
      <c r="P3345" t="s">
        <v>616</v>
      </c>
      <c r="Q3345" t="s">
        <v>616</v>
      </c>
      <c r="R3345" t="s">
        <v>616</v>
      </c>
      <c r="S3345">
        <v>14.28</v>
      </c>
      <c r="T3345" t="s">
        <v>616</v>
      </c>
      <c r="U3345" t="s">
        <v>616</v>
      </c>
      <c r="V3345" t="s">
        <v>616</v>
      </c>
      <c r="W3345" t="s">
        <v>616</v>
      </c>
      <c r="X3345" t="s">
        <v>616</v>
      </c>
      <c r="Y3345" t="s">
        <v>616</v>
      </c>
      <c r="Z3345" t="s">
        <v>616</v>
      </c>
      <c r="AA3345" t="s">
        <v>616</v>
      </c>
      <c r="AB3345" t="s">
        <v>616</v>
      </c>
      <c r="AC3345" t="s">
        <v>616</v>
      </c>
      <c r="AD3345">
        <v>-261.36</v>
      </c>
      <c r="AE3345" t="s">
        <v>3310</v>
      </c>
      <c r="AF3345" t="s">
        <v>2663</v>
      </c>
      <c r="AG3345" t="s">
        <v>3310</v>
      </c>
      <c r="AH3345" t="s">
        <v>2663</v>
      </c>
      <c r="AI3345">
        <v>0</v>
      </c>
      <c r="AJ3345">
        <v>0</v>
      </c>
      <c r="AK3345">
        <v>0</v>
      </c>
      <c r="AL3345">
        <v>0</v>
      </c>
    </row>
    <row r="3346" spans="1:38" x14ac:dyDescent="0.25">
      <c r="A3346">
        <v>3345</v>
      </c>
      <c r="B3346" t="str">
        <f xml:space="preserve"> "000668"</f>
        <v>000668</v>
      </c>
      <c r="C3346" t="s">
        <v>9333</v>
      </c>
      <c r="D3346">
        <v>17.23</v>
      </c>
      <c r="E3346">
        <v>0</v>
      </c>
      <c r="F3346">
        <v>0</v>
      </c>
      <c r="G3346">
        <v>7231</v>
      </c>
      <c r="H3346">
        <v>104</v>
      </c>
      <c r="I3346">
        <v>17.23</v>
      </c>
      <c r="J3346">
        <v>17.239999999999998</v>
      </c>
      <c r="K3346">
        <v>0</v>
      </c>
      <c r="L3346">
        <v>0.49</v>
      </c>
      <c r="M3346" t="s">
        <v>9334</v>
      </c>
      <c r="N3346">
        <v>-251.61</v>
      </c>
      <c r="O3346" t="s">
        <v>244</v>
      </c>
      <c r="P3346">
        <v>17.32</v>
      </c>
      <c r="Q3346">
        <v>17.16</v>
      </c>
      <c r="R3346">
        <v>17.23</v>
      </c>
      <c r="S3346">
        <v>17.23</v>
      </c>
      <c r="T3346">
        <v>0.93</v>
      </c>
      <c r="U3346">
        <v>1.0900000000000001</v>
      </c>
      <c r="V3346">
        <v>-79.77</v>
      </c>
      <c r="W3346">
        <v>-749</v>
      </c>
      <c r="X3346">
        <v>17.25</v>
      </c>
      <c r="Y3346">
        <v>1269</v>
      </c>
      <c r="Z3346">
        <v>5962</v>
      </c>
      <c r="AA3346">
        <v>0.21</v>
      </c>
      <c r="AB3346">
        <v>4</v>
      </c>
      <c r="AC3346">
        <v>43</v>
      </c>
      <c r="AD3346">
        <v>4.22</v>
      </c>
      <c r="AE3346" t="s">
        <v>2523</v>
      </c>
      <c r="AF3346" t="s">
        <v>2663</v>
      </c>
      <c r="AG3346" t="s">
        <v>2523</v>
      </c>
      <c r="AH3346" t="s">
        <v>2663</v>
      </c>
      <c r="AI3346">
        <v>0.41</v>
      </c>
      <c r="AJ3346">
        <v>2.62</v>
      </c>
      <c r="AK3346">
        <v>1.52</v>
      </c>
      <c r="AL3346">
        <v>2.76</v>
      </c>
    </row>
    <row r="3347" spans="1:38" x14ac:dyDescent="0.25">
      <c r="A3347">
        <v>3346</v>
      </c>
      <c r="B3347" t="str">
        <f xml:space="preserve"> "603580"</f>
        <v>603580</v>
      </c>
      <c r="C3347" t="s">
        <v>9335</v>
      </c>
      <c r="D3347">
        <v>37.869999999999997</v>
      </c>
      <c r="E3347">
        <v>3.33</v>
      </c>
      <c r="F3347">
        <v>1.22</v>
      </c>
      <c r="G3347" t="s">
        <v>1961</v>
      </c>
      <c r="H3347">
        <v>11</v>
      </c>
      <c r="I3347">
        <v>37.79</v>
      </c>
      <c r="J3347">
        <v>37.81</v>
      </c>
      <c r="K3347">
        <v>0.11</v>
      </c>
      <c r="L3347">
        <v>14.37</v>
      </c>
      <c r="M3347" t="s">
        <v>9336</v>
      </c>
      <c r="N3347">
        <v>92.29</v>
      </c>
      <c r="O3347" t="s">
        <v>2128</v>
      </c>
      <c r="P3347">
        <v>38.68</v>
      </c>
      <c r="Q3347">
        <v>36.450000000000003</v>
      </c>
      <c r="R3347">
        <v>36.450000000000003</v>
      </c>
      <c r="S3347">
        <v>36.65</v>
      </c>
      <c r="T3347">
        <v>6.08</v>
      </c>
      <c r="U3347">
        <v>2.0499999999999998</v>
      </c>
      <c r="V3347">
        <v>-22.58</v>
      </c>
      <c r="W3347">
        <v>-112</v>
      </c>
      <c r="X3347">
        <v>37.799999999999997</v>
      </c>
      <c r="Y3347" t="s">
        <v>3095</v>
      </c>
      <c r="Z3347" t="s">
        <v>5764</v>
      </c>
      <c r="AA3347">
        <v>0.94</v>
      </c>
      <c r="AB3347">
        <v>9</v>
      </c>
      <c r="AC3347">
        <v>1</v>
      </c>
      <c r="AD3347">
        <v>7</v>
      </c>
      <c r="AE3347" t="s">
        <v>7395</v>
      </c>
      <c r="AF3347" t="s">
        <v>2920</v>
      </c>
      <c r="AG3347" t="s">
        <v>6785</v>
      </c>
      <c r="AH3347" t="s">
        <v>3792</v>
      </c>
      <c r="AI3347">
        <v>1.28</v>
      </c>
      <c r="AJ3347">
        <v>3.73</v>
      </c>
      <c r="AK3347">
        <v>29.41</v>
      </c>
      <c r="AL3347">
        <v>49.35</v>
      </c>
    </row>
    <row r="3348" spans="1:38" x14ac:dyDescent="0.25">
      <c r="A3348">
        <v>3347</v>
      </c>
      <c r="B3348" t="str">
        <f xml:space="preserve"> "300538"</f>
        <v>300538</v>
      </c>
      <c r="C3348" t="s">
        <v>9337</v>
      </c>
      <c r="D3348">
        <v>44.7</v>
      </c>
      <c r="E3348">
        <v>2.36</v>
      </c>
      <c r="F3348">
        <v>1.03</v>
      </c>
      <c r="G3348">
        <v>7900</v>
      </c>
      <c r="H3348">
        <v>141</v>
      </c>
      <c r="I3348">
        <v>44.7</v>
      </c>
      <c r="J3348">
        <v>44.72</v>
      </c>
      <c r="K3348">
        <v>-0.2</v>
      </c>
      <c r="L3348">
        <v>5.64</v>
      </c>
      <c r="M3348" t="s">
        <v>9338</v>
      </c>
      <c r="N3348">
        <v>180.36</v>
      </c>
      <c r="O3348" t="s">
        <v>667</v>
      </c>
      <c r="P3348">
        <v>45.58</v>
      </c>
      <c r="Q3348">
        <v>43.54</v>
      </c>
      <c r="R3348">
        <v>43.71</v>
      </c>
      <c r="S3348">
        <v>43.67</v>
      </c>
      <c r="T3348">
        <v>4.67</v>
      </c>
      <c r="U3348">
        <v>2.42</v>
      </c>
      <c r="V3348">
        <v>-25.66</v>
      </c>
      <c r="W3348">
        <v>-29</v>
      </c>
      <c r="X3348">
        <v>44.53</v>
      </c>
      <c r="Y3348">
        <v>3739</v>
      </c>
      <c r="Z3348">
        <v>4161</v>
      </c>
      <c r="AA3348">
        <v>0.9</v>
      </c>
      <c r="AB3348">
        <v>12</v>
      </c>
      <c r="AC3348">
        <v>2</v>
      </c>
      <c r="AD3348">
        <v>6.55</v>
      </c>
      <c r="AE3348" t="s">
        <v>6078</v>
      </c>
      <c r="AF3348" t="s">
        <v>2920</v>
      </c>
      <c r="AG3348" t="s">
        <v>9206</v>
      </c>
      <c r="AH3348" t="s">
        <v>9339</v>
      </c>
      <c r="AI3348">
        <v>1.18</v>
      </c>
      <c r="AJ3348">
        <v>5.42</v>
      </c>
      <c r="AK3348">
        <v>10.79</v>
      </c>
      <c r="AL3348">
        <v>17.29</v>
      </c>
    </row>
    <row r="3349" spans="1:38" x14ac:dyDescent="0.25">
      <c r="A3349">
        <v>3348</v>
      </c>
      <c r="B3349" t="str">
        <f xml:space="preserve"> "000713"</f>
        <v>000713</v>
      </c>
      <c r="C3349" t="s">
        <v>9340</v>
      </c>
      <c r="D3349">
        <v>8.43</v>
      </c>
      <c r="E3349">
        <v>0.12</v>
      </c>
      <c r="F3349">
        <v>0.01</v>
      </c>
      <c r="G3349" t="s">
        <v>3158</v>
      </c>
      <c r="H3349">
        <v>693</v>
      </c>
      <c r="I3349">
        <v>8.42</v>
      </c>
      <c r="J3349">
        <v>8.43</v>
      </c>
      <c r="K3349">
        <v>0</v>
      </c>
      <c r="L3349">
        <v>0.62</v>
      </c>
      <c r="M3349" t="s">
        <v>9341</v>
      </c>
      <c r="N3349">
        <v>-52.94</v>
      </c>
      <c r="O3349" t="s">
        <v>622</v>
      </c>
      <c r="P3349">
        <v>8.4700000000000006</v>
      </c>
      <c r="Q3349">
        <v>8.36</v>
      </c>
      <c r="R3349">
        <v>8.42</v>
      </c>
      <c r="S3349">
        <v>8.42</v>
      </c>
      <c r="T3349">
        <v>1.31</v>
      </c>
      <c r="U3349">
        <v>0.72</v>
      </c>
      <c r="V3349">
        <v>-18.43</v>
      </c>
      <c r="W3349">
        <v>-496</v>
      </c>
      <c r="X3349">
        <v>8.42</v>
      </c>
      <c r="Y3349">
        <v>9288</v>
      </c>
      <c r="Z3349">
        <v>9093</v>
      </c>
      <c r="AA3349">
        <v>1.02</v>
      </c>
      <c r="AB3349">
        <v>217</v>
      </c>
      <c r="AC3349">
        <v>119</v>
      </c>
      <c r="AD3349">
        <v>1.86</v>
      </c>
      <c r="AE3349" t="s">
        <v>4522</v>
      </c>
      <c r="AF3349" t="s">
        <v>2920</v>
      </c>
      <c r="AG3349" t="s">
        <v>4522</v>
      </c>
      <c r="AH3349" t="s">
        <v>2920</v>
      </c>
      <c r="AI3349">
        <v>-1.17</v>
      </c>
      <c r="AJ3349">
        <v>2.5499999999999998</v>
      </c>
      <c r="AK3349">
        <v>2.4700000000000002</v>
      </c>
      <c r="AL3349">
        <v>4.87</v>
      </c>
    </row>
    <row r="3350" spans="1:38" x14ac:dyDescent="0.25">
      <c r="A3350">
        <v>3349</v>
      </c>
      <c r="B3350" t="str">
        <f xml:space="preserve"> "300680"</f>
        <v>300680</v>
      </c>
      <c r="C3350" t="s">
        <v>9342</v>
      </c>
      <c r="D3350">
        <v>37.03</v>
      </c>
      <c r="E3350">
        <v>3</v>
      </c>
      <c r="F3350">
        <v>1.08</v>
      </c>
      <c r="G3350" t="s">
        <v>1565</v>
      </c>
      <c r="H3350">
        <v>357</v>
      </c>
      <c r="I3350">
        <v>37.020000000000003</v>
      </c>
      <c r="J3350">
        <v>37.03</v>
      </c>
      <c r="K3350">
        <v>0.08</v>
      </c>
      <c r="L3350">
        <v>13.18</v>
      </c>
      <c r="M3350" t="s">
        <v>9343</v>
      </c>
      <c r="N3350">
        <v>88.29</v>
      </c>
      <c r="O3350" t="s">
        <v>169</v>
      </c>
      <c r="P3350">
        <v>37.5</v>
      </c>
      <c r="Q3350">
        <v>35.520000000000003</v>
      </c>
      <c r="R3350">
        <v>35.950000000000003</v>
      </c>
      <c r="S3350">
        <v>35.950000000000003</v>
      </c>
      <c r="T3350">
        <v>5.51</v>
      </c>
      <c r="U3350">
        <v>1.63</v>
      </c>
      <c r="V3350">
        <v>11.11</v>
      </c>
      <c r="W3350">
        <v>23</v>
      </c>
      <c r="X3350">
        <v>37.03</v>
      </c>
      <c r="Y3350" t="s">
        <v>2284</v>
      </c>
      <c r="Z3350" t="s">
        <v>2089</v>
      </c>
      <c r="AA3350">
        <v>0.87</v>
      </c>
      <c r="AB3350">
        <v>10</v>
      </c>
      <c r="AC3350">
        <v>26</v>
      </c>
      <c r="AD3350">
        <v>7.51</v>
      </c>
      <c r="AE3350" t="s">
        <v>7579</v>
      </c>
      <c r="AF3350" t="s">
        <v>2920</v>
      </c>
      <c r="AG3350" t="s">
        <v>6757</v>
      </c>
      <c r="AH3350" t="s">
        <v>4640</v>
      </c>
      <c r="AI3350">
        <v>1.65</v>
      </c>
      <c r="AJ3350">
        <v>8.43</v>
      </c>
      <c r="AK3350">
        <v>30.53</v>
      </c>
      <c r="AL3350">
        <v>53.73</v>
      </c>
    </row>
    <row r="3351" spans="1:38" x14ac:dyDescent="0.25">
      <c r="A3351">
        <v>3350</v>
      </c>
      <c r="B3351" t="str">
        <f xml:space="preserve"> "300243"</f>
        <v>300243</v>
      </c>
      <c r="C3351" t="s">
        <v>9344</v>
      </c>
      <c r="D3351">
        <v>12.15</v>
      </c>
      <c r="E3351">
        <v>-1.78</v>
      </c>
      <c r="F3351">
        <v>-0.22</v>
      </c>
      <c r="G3351" t="s">
        <v>2099</v>
      </c>
      <c r="H3351">
        <v>322</v>
      </c>
      <c r="I3351">
        <v>12.15</v>
      </c>
      <c r="J3351">
        <v>12.16</v>
      </c>
      <c r="K3351">
        <v>0.25</v>
      </c>
      <c r="L3351">
        <v>1.71</v>
      </c>
      <c r="M3351" t="s">
        <v>9345</v>
      </c>
      <c r="N3351">
        <v>84.82</v>
      </c>
      <c r="O3351" t="s">
        <v>667</v>
      </c>
      <c r="P3351">
        <v>12.3</v>
      </c>
      <c r="Q3351">
        <v>11.85</v>
      </c>
      <c r="R3351">
        <v>12.2</v>
      </c>
      <c r="S3351">
        <v>12.37</v>
      </c>
      <c r="T3351">
        <v>3.64</v>
      </c>
      <c r="U3351">
        <v>0.78</v>
      </c>
      <c r="V3351">
        <v>12.01</v>
      </c>
      <c r="W3351">
        <v>94</v>
      </c>
      <c r="X3351">
        <v>12.06</v>
      </c>
      <c r="Y3351" t="s">
        <v>3603</v>
      </c>
      <c r="Z3351" t="s">
        <v>2522</v>
      </c>
      <c r="AA3351">
        <v>1.69</v>
      </c>
      <c r="AB3351">
        <v>19</v>
      </c>
      <c r="AC3351">
        <v>85</v>
      </c>
      <c r="AD3351">
        <v>5.09</v>
      </c>
      <c r="AE3351" t="s">
        <v>883</v>
      </c>
      <c r="AF3351" t="s">
        <v>1061</v>
      </c>
      <c r="AG3351" t="s">
        <v>2339</v>
      </c>
      <c r="AH3351" t="s">
        <v>4818</v>
      </c>
      <c r="AI3351">
        <v>-0.74</v>
      </c>
      <c r="AJ3351">
        <v>8.58</v>
      </c>
      <c r="AK3351">
        <v>6.07</v>
      </c>
      <c r="AL3351">
        <v>12.71</v>
      </c>
    </row>
    <row r="3352" spans="1:38" x14ac:dyDescent="0.25">
      <c r="A3352">
        <v>3351</v>
      </c>
      <c r="B3352" t="str">
        <f xml:space="preserve"> "600306"</f>
        <v>600306</v>
      </c>
      <c r="C3352" t="s">
        <v>9346</v>
      </c>
      <c r="D3352">
        <v>14.07</v>
      </c>
      <c r="E3352">
        <v>0.86</v>
      </c>
      <c r="F3352">
        <v>0.12</v>
      </c>
      <c r="G3352" t="s">
        <v>2298</v>
      </c>
      <c r="H3352">
        <v>500</v>
      </c>
      <c r="I3352">
        <v>14.06</v>
      </c>
      <c r="J3352">
        <v>14.08</v>
      </c>
      <c r="K3352">
        <v>0.36</v>
      </c>
      <c r="L3352">
        <v>1.73</v>
      </c>
      <c r="M3352" t="s">
        <v>9347</v>
      </c>
      <c r="N3352">
        <v>8.81</v>
      </c>
      <c r="O3352" t="s">
        <v>532</v>
      </c>
      <c r="P3352">
        <v>14.09</v>
      </c>
      <c r="Q3352">
        <v>13.84</v>
      </c>
      <c r="R3352">
        <v>14</v>
      </c>
      <c r="S3352">
        <v>13.95</v>
      </c>
      <c r="T3352">
        <v>1.79</v>
      </c>
      <c r="U3352">
        <v>1.1299999999999999</v>
      </c>
      <c r="V3352">
        <v>-14.73</v>
      </c>
      <c r="W3352">
        <v>-366</v>
      </c>
      <c r="X3352">
        <v>13.99</v>
      </c>
      <c r="Y3352" t="s">
        <v>3798</v>
      </c>
      <c r="Z3352" t="s">
        <v>1683</v>
      </c>
      <c r="AA3352">
        <v>0.91</v>
      </c>
      <c r="AB3352">
        <v>800</v>
      </c>
      <c r="AC3352">
        <v>38</v>
      </c>
      <c r="AD3352">
        <v>11.98</v>
      </c>
      <c r="AE3352" t="s">
        <v>1710</v>
      </c>
      <c r="AF3352" t="s">
        <v>1061</v>
      </c>
      <c r="AG3352" t="s">
        <v>3310</v>
      </c>
      <c r="AH3352" t="s">
        <v>782</v>
      </c>
      <c r="AI3352">
        <v>0</v>
      </c>
      <c r="AJ3352">
        <v>4.6900000000000004</v>
      </c>
      <c r="AK3352">
        <v>4.6900000000000004</v>
      </c>
      <c r="AL3352">
        <v>9.4</v>
      </c>
    </row>
    <row r="3353" spans="1:38" x14ac:dyDescent="0.25">
      <c r="A3353">
        <v>3352</v>
      </c>
      <c r="B3353" t="str">
        <f xml:space="preserve"> "300464"</f>
        <v>300464</v>
      </c>
      <c r="C3353" t="s">
        <v>9348</v>
      </c>
      <c r="D3353">
        <v>11.96</v>
      </c>
      <c r="E3353">
        <v>1.01</v>
      </c>
      <c r="F3353">
        <v>0.12</v>
      </c>
      <c r="G3353" t="s">
        <v>2313</v>
      </c>
      <c r="H3353">
        <v>234</v>
      </c>
      <c r="I3353">
        <v>11.96</v>
      </c>
      <c r="J3353">
        <v>11.97</v>
      </c>
      <c r="K3353">
        <v>-0.08</v>
      </c>
      <c r="L3353">
        <v>1.72</v>
      </c>
      <c r="M3353" t="s">
        <v>7337</v>
      </c>
      <c r="N3353">
        <v>92.61</v>
      </c>
      <c r="O3353" t="s">
        <v>1229</v>
      </c>
      <c r="P3353">
        <v>12.02</v>
      </c>
      <c r="Q3353">
        <v>11.79</v>
      </c>
      <c r="R3353">
        <v>11.88</v>
      </c>
      <c r="S3353">
        <v>11.84</v>
      </c>
      <c r="T3353">
        <v>1.94</v>
      </c>
      <c r="U3353">
        <v>0.32</v>
      </c>
      <c r="V3353">
        <v>-32.79</v>
      </c>
      <c r="W3353">
        <v>-441</v>
      </c>
      <c r="X3353">
        <v>11.93</v>
      </c>
      <c r="Y3353">
        <v>6818</v>
      </c>
      <c r="Z3353">
        <v>8903</v>
      </c>
      <c r="AA3353">
        <v>0.77</v>
      </c>
      <c r="AB3353">
        <v>194</v>
      </c>
      <c r="AC3353">
        <v>116</v>
      </c>
      <c r="AD3353">
        <v>4.8600000000000003</v>
      </c>
      <c r="AE3353" t="s">
        <v>2964</v>
      </c>
      <c r="AF3353" t="s">
        <v>2589</v>
      </c>
      <c r="AG3353" t="s">
        <v>9349</v>
      </c>
      <c r="AH3353" t="s">
        <v>2501</v>
      </c>
      <c r="AI3353">
        <v>-0.57999999999999996</v>
      </c>
      <c r="AJ3353">
        <v>7.65</v>
      </c>
      <c r="AK3353">
        <v>7.72</v>
      </c>
      <c r="AL3353">
        <v>28.66</v>
      </c>
    </row>
    <row r="3354" spans="1:38" x14ac:dyDescent="0.25">
      <c r="A3354">
        <v>3353</v>
      </c>
      <c r="B3354" t="str">
        <f xml:space="preserve"> "300669"</f>
        <v>300669</v>
      </c>
      <c r="C3354" t="s">
        <v>9350</v>
      </c>
      <c r="D3354">
        <v>29.46</v>
      </c>
      <c r="E3354">
        <v>3.99</v>
      </c>
      <c r="F3354">
        <v>1.1299999999999999</v>
      </c>
      <c r="G3354" t="s">
        <v>1445</v>
      </c>
      <c r="H3354">
        <v>370</v>
      </c>
      <c r="I3354">
        <v>29.46</v>
      </c>
      <c r="J3354">
        <v>29.47</v>
      </c>
      <c r="K3354">
        <v>-0.03</v>
      </c>
      <c r="L3354">
        <v>19.170000000000002</v>
      </c>
      <c r="M3354" t="s">
        <v>60</v>
      </c>
      <c r="N3354">
        <v>69.7</v>
      </c>
      <c r="O3354" t="s">
        <v>648</v>
      </c>
      <c r="P3354">
        <v>29.97</v>
      </c>
      <c r="Q3354">
        <v>28.28</v>
      </c>
      <c r="R3354">
        <v>28.44</v>
      </c>
      <c r="S3354">
        <v>28.33</v>
      </c>
      <c r="T3354">
        <v>5.97</v>
      </c>
      <c r="U3354">
        <v>3.1</v>
      </c>
      <c r="V3354">
        <v>29.7</v>
      </c>
      <c r="W3354">
        <v>387</v>
      </c>
      <c r="X3354">
        <v>29.38</v>
      </c>
      <c r="Y3354" t="s">
        <v>1349</v>
      </c>
      <c r="Z3354" t="s">
        <v>3230</v>
      </c>
      <c r="AA3354">
        <v>0.74</v>
      </c>
      <c r="AB3354">
        <v>66</v>
      </c>
      <c r="AC3354">
        <v>52</v>
      </c>
      <c r="AD3354">
        <v>5.88</v>
      </c>
      <c r="AE3354" t="s">
        <v>9351</v>
      </c>
      <c r="AF3354" t="s">
        <v>3293</v>
      </c>
      <c r="AG3354" t="s">
        <v>8075</v>
      </c>
      <c r="AH3354" t="s">
        <v>1823</v>
      </c>
      <c r="AI3354">
        <v>2.83</v>
      </c>
      <c r="AJ3354">
        <v>7.79</v>
      </c>
      <c r="AK3354">
        <v>33.51</v>
      </c>
      <c r="AL3354">
        <v>50.11</v>
      </c>
    </row>
    <row r="3355" spans="1:38" x14ac:dyDescent="0.25">
      <c r="A3355">
        <v>3354</v>
      </c>
      <c r="B3355" t="str">
        <f xml:space="preserve"> "000929"</f>
        <v>000929</v>
      </c>
      <c r="C3355" t="s">
        <v>9352</v>
      </c>
      <c r="D3355">
        <v>13.23</v>
      </c>
      <c r="E3355">
        <v>0.15</v>
      </c>
      <c r="F3355">
        <v>0.02</v>
      </c>
      <c r="G3355" t="s">
        <v>2370</v>
      </c>
      <c r="H3355">
        <v>343</v>
      </c>
      <c r="I3355">
        <v>13.22</v>
      </c>
      <c r="J3355">
        <v>13.23</v>
      </c>
      <c r="K3355">
        <v>-0.08</v>
      </c>
      <c r="L3355">
        <v>0.69</v>
      </c>
      <c r="M3355" t="s">
        <v>9353</v>
      </c>
      <c r="N3355">
        <v>173.64</v>
      </c>
      <c r="O3355" t="s">
        <v>123</v>
      </c>
      <c r="P3355">
        <v>13.29</v>
      </c>
      <c r="Q3355">
        <v>13.09</v>
      </c>
      <c r="R3355">
        <v>13.23</v>
      </c>
      <c r="S3355">
        <v>13.21</v>
      </c>
      <c r="T3355">
        <v>1.51</v>
      </c>
      <c r="U3355">
        <v>0.47</v>
      </c>
      <c r="V3355">
        <v>-69.180000000000007</v>
      </c>
      <c r="W3355">
        <v>-633</v>
      </c>
      <c r="X3355">
        <v>13.21</v>
      </c>
      <c r="Y3355">
        <v>6217</v>
      </c>
      <c r="Z3355">
        <v>6612</v>
      </c>
      <c r="AA3355">
        <v>0.94</v>
      </c>
      <c r="AB3355">
        <v>40</v>
      </c>
      <c r="AC3355">
        <v>171</v>
      </c>
      <c r="AD3355">
        <v>3.39</v>
      </c>
      <c r="AE3355" t="s">
        <v>823</v>
      </c>
      <c r="AF3355" t="s">
        <v>3438</v>
      </c>
      <c r="AG3355" t="s">
        <v>823</v>
      </c>
      <c r="AH3355" t="s">
        <v>3438</v>
      </c>
      <c r="AI3355">
        <v>-3.43</v>
      </c>
      <c r="AJ3355">
        <v>1.38</v>
      </c>
      <c r="AK3355">
        <v>5.09</v>
      </c>
      <c r="AL3355">
        <v>8.01</v>
      </c>
    </row>
    <row r="3356" spans="1:38" x14ac:dyDescent="0.25">
      <c r="A3356">
        <v>3355</v>
      </c>
      <c r="B3356" t="str">
        <f xml:space="preserve"> "300218"</f>
        <v>300218</v>
      </c>
      <c r="C3356" t="s">
        <v>9354</v>
      </c>
      <c r="D3356">
        <v>11.29</v>
      </c>
      <c r="E3356">
        <v>0.8</v>
      </c>
      <c r="F3356">
        <v>0.09</v>
      </c>
      <c r="G3356" t="s">
        <v>75</v>
      </c>
      <c r="H3356">
        <v>103</v>
      </c>
      <c r="I3356">
        <v>11.28</v>
      </c>
      <c r="J3356">
        <v>11.29</v>
      </c>
      <c r="K3356">
        <v>0</v>
      </c>
      <c r="L3356">
        <v>0.47</v>
      </c>
      <c r="M3356" t="s">
        <v>9355</v>
      </c>
      <c r="N3356">
        <v>403.06</v>
      </c>
      <c r="O3356" t="s">
        <v>667</v>
      </c>
      <c r="P3356">
        <v>11.33</v>
      </c>
      <c r="Q3356">
        <v>11.16</v>
      </c>
      <c r="R3356">
        <v>11.26</v>
      </c>
      <c r="S3356">
        <v>11.2</v>
      </c>
      <c r="T3356">
        <v>1.52</v>
      </c>
      <c r="U3356">
        <v>0.82</v>
      </c>
      <c r="V3356">
        <v>-29.75</v>
      </c>
      <c r="W3356">
        <v>-518</v>
      </c>
      <c r="X3356">
        <v>11.28</v>
      </c>
      <c r="Y3356">
        <v>3380</v>
      </c>
      <c r="Z3356">
        <v>6813</v>
      </c>
      <c r="AA3356">
        <v>0.5</v>
      </c>
      <c r="AB3356">
        <v>359</v>
      </c>
      <c r="AC3356">
        <v>233</v>
      </c>
      <c r="AD3356">
        <v>2.4700000000000002</v>
      </c>
      <c r="AE3356" t="s">
        <v>3184</v>
      </c>
      <c r="AF3356" t="s">
        <v>3257</v>
      </c>
      <c r="AG3356" t="s">
        <v>1914</v>
      </c>
      <c r="AH3356" t="s">
        <v>903</v>
      </c>
      <c r="AI3356">
        <v>0.18</v>
      </c>
      <c r="AJ3356">
        <v>3.86</v>
      </c>
      <c r="AK3356">
        <v>1.86</v>
      </c>
      <c r="AL3356">
        <v>3.35</v>
      </c>
    </row>
    <row r="3357" spans="1:38" x14ac:dyDescent="0.25">
      <c r="A3357">
        <v>3356</v>
      </c>
      <c r="B3357" t="str">
        <f xml:space="preserve"> "000691"</f>
        <v>000691</v>
      </c>
      <c r="C3357" t="s">
        <v>9356</v>
      </c>
      <c r="D3357">
        <v>7.57</v>
      </c>
      <c r="E3357">
        <v>0.4</v>
      </c>
      <c r="F3357">
        <v>0.03</v>
      </c>
      <c r="G3357">
        <v>9809</v>
      </c>
      <c r="H3357">
        <v>719</v>
      </c>
      <c r="I3357">
        <v>7.57</v>
      </c>
      <c r="J3357">
        <v>7.58</v>
      </c>
      <c r="K3357">
        <v>0.53</v>
      </c>
      <c r="L3357">
        <v>0.34</v>
      </c>
      <c r="M3357" t="s">
        <v>9357</v>
      </c>
      <c r="N3357">
        <v>-306.73</v>
      </c>
      <c r="O3357" t="s">
        <v>244</v>
      </c>
      <c r="P3357">
        <v>7.58</v>
      </c>
      <c r="Q3357">
        <v>7.48</v>
      </c>
      <c r="R3357">
        <v>7.48</v>
      </c>
      <c r="S3357">
        <v>7.54</v>
      </c>
      <c r="T3357">
        <v>1.33</v>
      </c>
      <c r="U3357">
        <v>0.56000000000000005</v>
      </c>
      <c r="V3357">
        <v>39.770000000000003</v>
      </c>
      <c r="W3357">
        <v>992</v>
      </c>
      <c r="X3357">
        <v>7.53</v>
      </c>
      <c r="Y3357">
        <v>5824</v>
      </c>
      <c r="Z3357">
        <v>3985</v>
      </c>
      <c r="AA3357">
        <v>1.46</v>
      </c>
      <c r="AB3357">
        <v>131</v>
      </c>
      <c r="AC3357">
        <v>238</v>
      </c>
      <c r="AD3357">
        <v>30.97</v>
      </c>
      <c r="AE3357" t="s">
        <v>3150</v>
      </c>
      <c r="AF3357" t="s">
        <v>3257</v>
      </c>
      <c r="AG3357" t="s">
        <v>726</v>
      </c>
      <c r="AH3357" t="s">
        <v>662</v>
      </c>
      <c r="AI3357">
        <v>2.44</v>
      </c>
      <c r="AJ3357">
        <v>2.99</v>
      </c>
      <c r="AK3357">
        <v>1.76</v>
      </c>
      <c r="AL3357">
        <v>3.37</v>
      </c>
    </row>
    <row r="3358" spans="1:38" x14ac:dyDescent="0.25">
      <c r="A3358">
        <v>3357</v>
      </c>
      <c r="B3358" t="str">
        <f xml:space="preserve"> "002778"</f>
        <v>002778</v>
      </c>
      <c r="C3358" t="s">
        <v>9358</v>
      </c>
      <c r="D3358">
        <v>27.26</v>
      </c>
      <c r="E3358">
        <v>0.66</v>
      </c>
      <c r="F3358">
        <v>0.18</v>
      </c>
      <c r="G3358" t="s">
        <v>5621</v>
      </c>
      <c r="H3358">
        <v>196</v>
      </c>
      <c r="I3358">
        <v>27.25</v>
      </c>
      <c r="J3358">
        <v>27.26</v>
      </c>
      <c r="K3358">
        <v>0</v>
      </c>
      <c r="L3358">
        <v>2.4500000000000002</v>
      </c>
      <c r="M3358" t="s">
        <v>8151</v>
      </c>
      <c r="N3358">
        <v>77.63</v>
      </c>
      <c r="O3358" t="s">
        <v>61</v>
      </c>
      <c r="P3358">
        <v>27.45</v>
      </c>
      <c r="Q3358">
        <v>27.02</v>
      </c>
      <c r="R3358">
        <v>27.14</v>
      </c>
      <c r="S3358">
        <v>27.08</v>
      </c>
      <c r="T3358">
        <v>1.59</v>
      </c>
      <c r="U3358">
        <v>1.0900000000000001</v>
      </c>
      <c r="V3358">
        <v>-75.38</v>
      </c>
      <c r="W3358">
        <v>-649</v>
      </c>
      <c r="X3358">
        <v>27.24</v>
      </c>
      <c r="Y3358">
        <v>6195</v>
      </c>
      <c r="Z3358">
        <v>7413</v>
      </c>
      <c r="AA3358">
        <v>0.84</v>
      </c>
      <c r="AB3358">
        <v>9</v>
      </c>
      <c r="AC3358">
        <v>551</v>
      </c>
      <c r="AD3358">
        <v>4.0199999999999996</v>
      </c>
      <c r="AE3358" t="s">
        <v>9359</v>
      </c>
      <c r="AF3358" t="s">
        <v>1700</v>
      </c>
      <c r="AG3358" t="s">
        <v>9360</v>
      </c>
      <c r="AH3358" t="s">
        <v>434</v>
      </c>
      <c r="AI3358">
        <v>0.41</v>
      </c>
      <c r="AJ3358">
        <v>3.41</v>
      </c>
      <c r="AK3358">
        <v>5.96</v>
      </c>
      <c r="AL3358">
        <v>13.69</v>
      </c>
    </row>
    <row r="3359" spans="1:38" x14ac:dyDescent="0.25">
      <c r="A3359">
        <v>3358</v>
      </c>
      <c r="B3359" t="str">
        <f xml:space="preserve"> "300706"</f>
        <v>300706</v>
      </c>
      <c r="C3359" t="s">
        <v>9361</v>
      </c>
      <c r="D3359">
        <v>30.78</v>
      </c>
      <c r="E3359">
        <v>10.01</v>
      </c>
      <c r="F3359">
        <v>2.8</v>
      </c>
      <c r="G3359">
        <v>388</v>
      </c>
      <c r="H3359">
        <v>2</v>
      </c>
      <c r="I3359">
        <v>30.78</v>
      </c>
      <c r="J3359" t="s">
        <v>616</v>
      </c>
      <c r="K3359">
        <v>0</v>
      </c>
      <c r="L3359">
        <v>0.2</v>
      </c>
      <c r="M3359" t="s">
        <v>9362</v>
      </c>
      <c r="N3359">
        <v>55.17</v>
      </c>
      <c r="O3359" t="s">
        <v>859</v>
      </c>
      <c r="P3359">
        <v>30.78</v>
      </c>
      <c r="Q3359">
        <v>30.78</v>
      </c>
      <c r="R3359">
        <v>30.78</v>
      </c>
      <c r="S3359">
        <v>27.98</v>
      </c>
      <c r="T3359">
        <v>0</v>
      </c>
      <c r="U3359">
        <v>4.9400000000000004</v>
      </c>
      <c r="V3359">
        <v>100</v>
      </c>
      <c r="W3359" t="s">
        <v>432</v>
      </c>
      <c r="X3359">
        <v>30.78</v>
      </c>
      <c r="Y3359">
        <v>388</v>
      </c>
      <c r="Z3359">
        <v>0</v>
      </c>
      <c r="AA3359">
        <v>1</v>
      </c>
      <c r="AB3359" t="s">
        <v>113</v>
      </c>
      <c r="AC3359">
        <v>0</v>
      </c>
      <c r="AD3359">
        <v>6.21</v>
      </c>
      <c r="AE3359" t="s">
        <v>9363</v>
      </c>
      <c r="AF3359" t="s">
        <v>2317</v>
      </c>
      <c r="AG3359" t="s">
        <v>9364</v>
      </c>
      <c r="AH3359" t="s">
        <v>1951</v>
      </c>
      <c r="AI3359">
        <v>33.07</v>
      </c>
      <c r="AJ3359">
        <v>77.099999999999994</v>
      </c>
      <c r="AK3359">
        <v>0.32</v>
      </c>
      <c r="AL3359">
        <v>0.4</v>
      </c>
    </row>
    <row r="3360" spans="1:38" x14ac:dyDescent="0.25">
      <c r="A3360">
        <v>3359</v>
      </c>
      <c r="B3360" t="str">
        <f xml:space="preserve"> "300540"</f>
        <v>300540</v>
      </c>
      <c r="C3360" t="s">
        <v>9365</v>
      </c>
      <c r="D3360">
        <v>30.03</v>
      </c>
      <c r="E3360">
        <v>1.45</v>
      </c>
      <c r="F3360">
        <v>0.43</v>
      </c>
      <c r="G3360" t="s">
        <v>1411</v>
      </c>
      <c r="H3360">
        <v>170</v>
      </c>
      <c r="I3360">
        <v>30</v>
      </c>
      <c r="J3360">
        <v>30.03</v>
      </c>
      <c r="K3360">
        <v>0.13</v>
      </c>
      <c r="L3360">
        <v>2.57</v>
      </c>
      <c r="M3360" t="s">
        <v>5625</v>
      </c>
      <c r="N3360">
        <v>161.75</v>
      </c>
      <c r="O3360" t="s">
        <v>648</v>
      </c>
      <c r="P3360">
        <v>30.15</v>
      </c>
      <c r="Q3360">
        <v>29.26</v>
      </c>
      <c r="R3360">
        <v>29.56</v>
      </c>
      <c r="S3360">
        <v>29.6</v>
      </c>
      <c r="T3360">
        <v>3.01</v>
      </c>
      <c r="U3360">
        <v>1.86</v>
      </c>
      <c r="V3360">
        <v>14.53</v>
      </c>
      <c r="W3360">
        <v>52</v>
      </c>
      <c r="X3360">
        <v>29.9</v>
      </c>
      <c r="Y3360">
        <v>5275</v>
      </c>
      <c r="Z3360">
        <v>5713</v>
      </c>
      <c r="AA3360">
        <v>0.92</v>
      </c>
      <c r="AB3360">
        <v>4</v>
      </c>
      <c r="AC3360">
        <v>50</v>
      </c>
      <c r="AD3360">
        <v>3.78</v>
      </c>
      <c r="AE3360" t="s">
        <v>5802</v>
      </c>
      <c r="AF3360" t="s">
        <v>2062</v>
      </c>
      <c r="AG3360" t="s">
        <v>9366</v>
      </c>
      <c r="AH3360" t="s">
        <v>1376</v>
      </c>
      <c r="AI3360">
        <v>1.04</v>
      </c>
      <c r="AJ3360">
        <v>6.34</v>
      </c>
      <c r="AK3360">
        <v>5.89</v>
      </c>
      <c r="AL3360">
        <v>9.5</v>
      </c>
    </row>
    <row r="3361" spans="1:38" x14ac:dyDescent="0.25">
      <c r="A3361">
        <v>3360</v>
      </c>
      <c r="B3361" t="str">
        <f xml:space="preserve"> "000702"</f>
        <v>000702</v>
      </c>
      <c r="C3361" t="s">
        <v>9367</v>
      </c>
      <c r="D3361">
        <v>9.01</v>
      </c>
      <c r="E3361">
        <v>0.33</v>
      </c>
      <c r="F3361">
        <v>0.03</v>
      </c>
      <c r="G3361" t="s">
        <v>1334</v>
      </c>
      <c r="H3361">
        <v>904</v>
      </c>
      <c r="I3361">
        <v>9.01</v>
      </c>
      <c r="J3361">
        <v>9.02</v>
      </c>
      <c r="K3361">
        <v>0</v>
      </c>
      <c r="L3361">
        <v>1.39</v>
      </c>
      <c r="M3361" t="s">
        <v>6182</v>
      </c>
      <c r="N3361">
        <v>-430.78</v>
      </c>
      <c r="O3361" t="s">
        <v>622</v>
      </c>
      <c r="P3361">
        <v>9.06</v>
      </c>
      <c r="Q3361">
        <v>8.94</v>
      </c>
      <c r="R3361">
        <v>9.02</v>
      </c>
      <c r="S3361">
        <v>8.98</v>
      </c>
      <c r="T3361">
        <v>1.34</v>
      </c>
      <c r="U3361">
        <v>0.91</v>
      </c>
      <c r="V3361">
        <v>-42.45</v>
      </c>
      <c r="W3361">
        <v>-2006</v>
      </c>
      <c r="X3361">
        <v>9</v>
      </c>
      <c r="Y3361" t="s">
        <v>113</v>
      </c>
      <c r="Z3361" t="s">
        <v>2313</v>
      </c>
      <c r="AA3361">
        <v>1.37</v>
      </c>
      <c r="AB3361">
        <v>22</v>
      </c>
      <c r="AC3361">
        <v>869</v>
      </c>
      <c r="AD3361">
        <v>5.25</v>
      </c>
      <c r="AE3361" t="s">
        <v>4143</v>
      </c>
      <c r="AF3361" t="s">
        <v>2062</v>
      </c>
      <c r="AG3361" t="s">
        <v>4143</v>
      </c>
      <c r="AH3361" t="s">
        <v>2062</v>
      </c>
      <c r="AI3361">
        <v>0</v>
      </c>
      <c r="AJ3361">
        <v>4.4000000000000004</v>
      </c>
      <c r="AK3361">
        <v>4.34</v>
      </c>
      <c r="AL3361">
        <v>9.07</v>
      </c>
    </row>
    <row r="3362" spans="1:38" x14ac:dyDescent="0.25">
      <c r="A3362">
        <v>3361</v>
      </c>
      <c r="B3362" t="str">
        <f xml:space="preserve"> "600778"</f>
        <v>600778</v>
      </c>
      <c r="C3362" t="s">
        <v>9368</v>
      </c>
      <c r="D3362">
        <v>7.7</v>
      </c>
      <c r="E3362">
        <v>0.13</v>
      </c>
      <c r="F3362">
        <v>0.01</v>
      </c>
      <c r="G3362" t="s">
        <v>997</v>
      </c>
      <c r="H3362">
        <v>1</v>
      </c>
      <c r="I3362">
        <v>7.69</v>
      </c>
      <c r="J3362">
        <v>7.7</v>
      </c>
      <c r="K3362">
        <v>0</v>
      </c>
      <c r="L3362">
        <v>0.89</v>
      </c>
      <c r="M3362" t="s">
        <v>9369</v>
      </c>
      <c r="N3362">
        <v>-6.14</v>
      </c>
      <c r="O3362" t="s">
        <v>532</v>
      </c>
      <c r="P3362">
        <v>7.72</v>
      </c>
      <c r="Q3362">
        <v>7.64</v>
      </c>
      <c r="R3362">
        <v>7.7</v>
      </c>
      <c r="S3362">
        <v>7.69</v>
      </c>
      <c r="T3362">
        <v>1.04</v>
      </c>
      <c r="U3362">
        <v>0.46</v>
      </c>
      <c r="V3362">
        <v>3.84</v>
      </c>
      <c r="W3362">
        <v>125</v>
      </c>
      <c r="X3362">
        <v>7.68</v>
      </c>
      <c r="Y3362" t="s">
        <v>603</v>
      </c>
      <c r="Z3362" t="s">
        <v>1821</v>
      </c>
      <c r="AA3362">
        <v>1.06</v>
      </c>
      <c r="AB3362">
        <v>278</v>
      </c>
      <c r="AC3362">
        <v>5</v>
      </c>
      <c r="AD3362">
        <v>2.39</v>
      </c>
      <c r="AE3362" t="s">
        <v>4731</v>
      </c>
      <c r="AF3362" t="s">
        <v>2062</v>
      </c>
      <c r="AG3362" t="s">
        <v>4731</v>
      </c>
      <c r="AH3362" t="s">
        <v>2062</v>
      </c>
      <c r="AI3362">
        <v>-1.53</v>
      </c>
      <c r="AJ3362">
        <v>1.32</v>
      </c>
      <c r="AK3362">
        <v>3.7</v>
      </c>
      <c r="AL3362">
        <v>10.53</v>
      </c>
    </row>
    <row r="3363" spans="1:38" x14ac:dyDescent="0.25">
      <c r="A3363">
        <v>3362</v>
      </c>
      <c r="B3363" t="str">
        <f xml:space="preserve"> "600455"</f>
        <v>600455</v>
      </c>
      <c r="C3363" t="s">
        <v>9370</v>
      </c>
      <c r="D3363">
        <v>38.31</v>
      </c>
      <c r="E3363">
        <v>0.82</v>
      </c>
      <c r="F3363">
        <v>0.31</v>
      </c>
      <c r="G3363">
        <v>2940</v>
      </c>
      <c r="H3363">
        <v>5</v>
      </c>
      <c r="I3363">
        <v>38.24</v>
      </c>
      <c r="J3363">
        <v>38.270000000000003</v>
      </c>
      <c r="K3363">
        <v>0.03</v>
      </c>
      <c r="L3363">
        <v>0.59</v>
      </c>
      <c r="M3363" t="s">
        <v>9371</v>
      </c>
      <c r="N3363">
        <v>-812.13</v>
      </c>
      <c r="O3363" t="s">
        <v>893</v>
      </c>
      <c r="P3363">
        <v>38.39</v>
      </c>
      <c r="Q3363">
        <v>37.83</v>
      </c>
      <c r="R3363">
        <v>38.020000000000003</v>
      </c>
      <c r="S3363">
        <v>38</v>
      </c>
      <c r="T3363">
        <v>1.47</v>
      </c>
      <c r="U3363">
        <v>1.1100000000000001</v>
      </c>
      <c r="V3363">
        <v>57.14</v>
      </c>
      <c r="W3363">
        <v>112</v>
      </c>
      <c r="X3363">
        <v>38.049999999999997</v>
      </c>
      <c r="Y3363">
        <v>1358</v>
      </c>
      <c r="Z3363">
        <v>1582</v>
      </c>
      <c r="AA3363">
        <v>0.86</v>
      </c>
      <c r="AB3363">
        <v>2</v>
      </c>
      <c r="AC3363">
        <v>8</v>
      </c>
      <c r="AD3363">
        <v>19.489999999999998</v>
      </c>
      <c r="AE3363" t="s">
        <v>9372</v>
      </c>
      <c r="AF3363" t="s">
        <v>1184</v>
      </c>
      <c r="AG3363" t="s">
        <v>9373</v>
      </c>
      <c r="AH3363" t="s">
        <v>493</v>
      </c>
      <c r="AI3363">
        <v>0.16</v>
      </c>
      <c r="AJ3363">
        <v>2.71</v>
      </c>
      <c r="AK3363">
        <v>1.99</v>
      </c>
      <c r="AL3363">
        <v>3.26</v>
      </c>
    </row>
    <row r="3364" spans="1:38" x14ac:dyDescent="0.25">
      <c r="A3364">
        <v>3363</v>
      </c>
      <c r="B3364" t="str">
        <f xml:space="preserve"> "600696"</f>
        <v>600696</v>
      </c>
      <c r="C3364" t="s">
        <v>9374</v>
      </c>
      <c r="D3364">
        <v>6.97</v>
      </c>
      <c r="E3364">
        <v>1.01</v>
      </c>
      <c r="F3364">
        <v>7.0000000000000007E-2</v>
      </c>
      <c r="G3364" t="s">
        <v>1732</v>
      </c>
      <c r="H3364">
        <v>50</v>
      </c>
      <c r="I3364">
        <v>6.97</v>
      </c>
      <c r="J3364">
        <v>6.98</v>
      </c>
      <c r="K3364">
        <v>0</v>
      </c>
      <c r="L3364">
        <v>0.43</v>
      </c>
      <c r="M3364" t="s">
        <v>9375</v>
      </c>
      <c r="N3364">
        <v>218.46</v>
      </c>
      <c r="O3364" t="s">
        <v>244</v>
      </c>
      <c r="P3364">
        <v>6.98</v>
      </c>
      <c r="Q3364">
        <v>6.87</v>
      </c>
      <c r="R3364">
        <v>6.91</v>
      </c>
      <c r="S3364">
        <v>6.9</v>
      </c>
      <c r="T3364">
        <v>1.59</v>
      </c>
      <c r="U3364">
        <v>0.64</v>
      </c>
      <c r="V3364">
        <v>-44.91</v>
      </c>
      <c r="W3364">
        <v>-2393</v>
      </c>
      <c r="X3364">
        <v>6.93</v>
      </c>
      <c r="Y3364">
        <v>7812</v>
      </c>
      <c r="Z3364">
        <v>6680</v>
      </c>
      <c r="AA3364">
        <v>1.17</v>
      </c>
      <c r="AB3364">
        <v>549</v>
      </c>
      <c r="AC3364">
        <v>544</v>
      </c>
      <c r="AD3364">
        <v>47.6</v>
      </c>
      <c r="AE3364" t="s">
        <v>1034</v>
      </c>
      <c r="AF3364" t="s">
        <v>3203</v>
      </c>
      <c r="AG3364" t="s">
        <v>1034</v>
      </c>
      <c r="AH3364" t="s">
        <v>3203</v>
      </c>
      <c r="AI3364">
        <v>1.46</v>
      </c>
      <c r="AJ3364">
        <v>4.5</v>
      </c>
      <c r="AK3364">
        <v>1.95</v>
      </c>
      <c r="AL3364">
        <v>3.77</v>
      </c>
    </row>
    <row r="3365" spans="1:38" x14ac:dyDescent="0.25">
      <c r="A3365">
        <v>3364</v>
      </c>
      <c r="B3365" t="str">
        <f xml:space="preserve"> "600847"</f>
        <v>600847</v>
      </c>
      <c r="C3365" t="s">
        <v>9376</v>
      </c>
      <c r="D3365">
        <v>15.4</v>
      </c>
      <c r="E3365">
        <v>0.46</v>
      </c>
      <c r="F3365">
        <v>7.0000000000000007E-2</v>
      </c>
      <c r="G3365">
        <v>3934</v>
      </c>
      <c r="H3365">
        <v>1</v>
      </c>
      <c r="I3365">
        <v>15.34</v>
      </c>
      <c r="J3365">
        <v>15.41</v>
      </c>
      <c r="K3365">
        <v>0</v>
      </c>
      <c r="L3365">
        <v>0.26</v>
      </c>
      <c r="M3365" t="s">
        <v>9377</v>
      </c>
      <c r="N3365">
        <v>-1074.98</v>
      </c>
      <c r="O3365" t="s">
        <v>859</v>
      </c>
      <c r="P3365">
        <v>15.41</v>
      </c>
      <c r="Q3365">
        <v>15.23</v>
      </c>
      <c r="R3365">
        <v>15.37</v>
      </c>
      <c r="S3365">
        <v>15.33</v>
      </c>
      <c r="T3365">
        <v>1.17</v>
      </c>
      <c r="U3365">
        <v>0.79</v>
      </c>
      <c r="V3365">
        <v>-8.5</v>
      </c>
      <c r="W3365">
        <v>-29</v>
      </c>
      <c r="X3365">
        <v>15.31</v>
      </c>
      <c r="Y3365">
        <v>2298</v>
      </c>
      <c r="Z3365">
        <v>1636</v>
      </c>
      <c r="AA3365">
        <v>1.4</v>
      </c>
      <c r="AB3365">
        <v>5</v>
      </c>
      <c r="AC3365">
        <v>46</v>
      </c>
      <c r="AD3365">
        <v>3.54</v>
      </c>
      <c r="AE3365" t="s">
        <v>4271</v>
      </c>
      <c r="AF3365" t="s">
        <v>3762</v>
      </c>
      <c r="AG3365" t="s">
        <v>4271</v>
      </c>
      <c r="AH3365" t="s">
        <v>3762</v>
      </c>
      <c r="AI3365">
        <v>-0.06</v>
      </c>
      <c r="AJ3365">
        <v>2.67</v>
      </c>
      <c r="AK3365">
        <v>1</v>
      </c>
      <c r="AL3365">
        <v>1.88</v>
      </c>
    </row>
    <row r="3366" spans="1:38" x14ac:dyDescent="0.25">
      <c r="A3366">
        <v>3365</v>
      </c>
      <c r="B3366" t="str">
        <f xml:space="preserve"> "600605"</f>
        <v>600605</v>
      </c>
      <c r="C3366" t="s">
        <v>9378</v>
      </c>
      <c r="D3366">
        <v>15.96</v>
      </c>
      <c r="E3366">
        <v>-0.25</v>
      </c>
      <c r="F3366">
        <v>-0.04</v>
      </c>
      <c r="G3366">
        <v>7261</v>
      </c>
      <c r="H3366">
        <v>50</v>
      </c>
      <c r="I3366">
        <v>15.95</v>
      </c>
      <c r="J3366">
        <v>15.97</v>
      </c>
      <c r="K3366">
        <v>0.06</v>
      </c>
      <c r="L3366">
        <v>0.49</v>
      </c>
      <c r="M3366" t="s">
        <v>9379</v>
      </c>
      <c r="N3366">
        <v>104.51</v>
      </c>
      <c r="O3366" t="s">
        <v>532</v>
      </c>
      <c r="P3366">
        <v>16.04</v>
      </c>
      <c r="Q3366">
        <v>15.85</v>
      </c>
      <c r="R3366">
        <v>16</v>
      </c>
      <c r="S3366">
        <v>16</v>
      </c>
      <c r="T3366">
        <v>1.19</v>
      </c>
      <c r="U3366">
        <v>0.62</v>
      </c>
      <c r="V3366">
        <v>-18.39</v>
      </c>
      <c r="W3366">
        <v>-301</v>
      </c>
      <c r="X3366">
        <v>15.93</v>
      </c>
      <c r="Y3366">
        <v>4779</v>
      </c>
      <c r="Z3366">
        <v>2482</v>
      </c>
      <c r="AA3366">
        <v>1.93</v>
      </c>
      <c r="AB3366">
        <v>70</v>
      </c>
      <c r="AC3366">
        <v>8</v>
      </c>
      <c r="AD3366">
        <v>4.05</v>
      </c>
      <c r="AE3366" t="s">
        <v>2523</v>
      </c>
      <c r="AF3366" t="s">
        <v>3284</v>
      </c>
      <c r="AG3366" t="s">
        <v>2523</v>
      </c>
      <c r="AH3366" t="s">
        <v>3284</v>
      </c>
      <c r="AI3366">
        <v>-0.06</v>
      </c>
      <c r="AJ3366">
        <v>3.5</v>
      </c>
      <c r="AK3366">
        <v>2.11</v>
      </c>
      <c r="AL3366">
        <v>4.49</v>
      </c>
    </row>
    <row r="3367" spans="1:38" x14ac:dyDescent="0.25">
      <c r="A3367">
        <v>3366</v>
      </c>
      <c r="B3367" t="str">
        <f xml:space="preserve"> "300705"</f>
        <v>300705</v>
      </c>
      <c r="C3367" t="s">
        <v>9380</v>
      </c>
      <c r="D3367">
        <v>19.87</v>
      </c>
      <c r="E3367">
        <v>10.02</v>
      </c>
      <c r="F3367">
        <v>1.81</v>
      </c>
      <c r="G3367">
        <v>33</v>
      </c>
      <c r="H3367">
        <v>2</v>
      </c>
      <c r="I3367">
        <v>19.87</v>
      </c>
      <c r="J3367" t="s">
        <v>616</v>
      </c>
      <c r="K3367">
        <v>0</v>
      </c>
      <c r="L3367">
        <v>0.01</v>
      </c>
      <c r="M3367" t="s">
        <v>1557</v>
      </c>
      <c r="N3367">
        <v>47.41</v>
      </c>
      <c r="O3367" t="s">
        <v>392</v>
      </c>
      <c r="P3367">
        <v>19.87</v>
      </c>
      <c r="Q3367">
        <v>19.87</v>
      </c>
      <c r="R3367">
        <v>19.87</v>
      </c>
      <c r="S3367">
        <v>18.059999999999999</v>
      </c>
      <c r="T3367">
        <v>0</v>
      </c>
      <c r="U3367">
        <v>0.76</v>
      </c>
      <c r="V3367">
        <v>100</v>
      </c>
      <c r="W3367" t="s">
        <v>2786</v>
      </c>
      <c r="X3367">
        <v>19.87</v>
      </c>
      <c r="Y3367">
        <v>33</v>
      </c>
      <c r="Z3367">
        <v>0</v>
      </c>
      <c r="AA3367">
        <v>1</v>
      </c>
      <c r="AB3367" t="s">
        <v>3090</v>
      </c>
      <c r="AC3367">
        <v>0</v>
      </c>
      <c r="AD3367">
        <v>3.78</v>
      </c>
      <c r="AE3367" t="s">
        <v>2827</v>
      </c>
      <c r="AF3367" t="s">
        <v>3142</v>
      </c>
      <c r="AG3367" t="s">
        <v>8012</v>
      </c>
      <c r="AH3367" t="s">
        <v>3782</v>
      </c>
      <c r="AI3367">
        <v>33.090000000000003</v>
      </c>
      <c r="AJ3367">
        <v>59.73</v>
      </c>
      <c r="AK3367">
        <v>0.03</v>
      </c>
      <c r="AL3367">
        <v>0.06</v>
      </c>
    </row>
    <row r="3368" spans="1:38" x14ac:dyDescent="0.25">
      <c r="A3368">
        <v>3367</v>
      </c>
      <c r="B3368" t="str">
        <f xml:space="preserve"> "600593"</f>
        <v>600593</v>
      </c>
      <c r="C3368" t="s">
        <v>9381</v>
      </c>
      <c r="D3368">
        <v>25.15</v>
      </c>
      <c r="E3368">
        <v>0.08</v>
      </c>
      <c r="F3368">
        <v>0.02</v>
      </c>
      <c r="G3368">
        <v>6041</v>
      </c>
      <c r="H3368">
        <v>10</v>
      </c>
      <c r="I3368">
        <v>25.14</v>
      </c>
      <c r="J3368">
        <v>25.15</v>
      </c>
      <c r="K3368">
        <v>-0.12</v>
      </c>
      <c r="L3368">
        <v>0.66</v>
      </c>
      <c r="M3368" t="s">
        <v>9382</v>
      </c>
      <c r="N3368">
        <v>189.37</v>
      </c>
      <c r="O3368" t="s">
        <v>951</v>
      </c>
      <c r="P3368">
        <v>25.26</v>
      </c>
      <c r="Q3368">
        <v>24.98</v>
      </c>
      <c r="R3368">
        <v>25.26</v>
      </c>
      <c r="S3368">
        <v>25.13</v>
      </c>
      <c r="T3368">
        <v>1.1100000000000001</v>
      </c>
      <c r="U3368">
        <v>0.62</v>
      </c>
      <c r="V3368">
        <v>-18.78</v>
      </c>
      <c r="W3368">
        <v>-37</v>
      </c>
      <c r="X3368">
        <v>25.1</v>
      </c>
      <c r="Y3368">
        <v>2867</v>
      </c>
      <c r="Z3368">
        <v>3174</v>
      </c>
      <c r="AA3368">
        <v>0.9</v>
      </c>
      <c r="AB3368">
        <v>3</v>
      </c>
      <c r="AC3368">
        <v>11</v>
      </c>
      <c r="AD3368">
        <v>5.95</v>
      </c>
      <c r="AE3368" t="s">
        <v>2678</v>
      </c>
      <c r="AF3368" t="s">
        <v>2528</v>
      </c>
      <c r="AG3368" t="s">
        <v>2678</v>
      </c>
      <c r="AH3368" t="s">
        <v>2528</v>
      </c>
      <c r="AI3368">
        <v>-1.1399999999999999</v>
      </c>
      <c r="AJ3368">
        <v>3.12</v>
      </c>
      <c r="AK3368">
        <v>2.58</v>
      </c>
      <c r="AL3368">
        <v>5.93</v>
      </c>
    </row>
    <row r="3369" spans="1:38" x14ac:dyDescent="0.25">
      <c r="A3369">
        <v>3368</v>
      </c>
      <c r="B3369" t="str">
        <f xml:space="preserve"> "600561"</f>
        <v>600561</v>
      </c>
      <c r="C3369" t="s">
        <v>9383</v>
      </c>
      <c r="D3369">
        <v>9.7200000000000006</v>
      </c>
      <c r="E3369">
        <v>0.1</v>
      </c>
      <c r="F3369">
        <v>0.01</v>
      </c>
      <c r="G3369" t="s">
        <v>2614</v>
      </c>
      <c r="H3369">
        <v>12</v>
      </c>
      <c r="I3369">
        <v>9.7100000000000009</v>
      </c>
      <c r="J3369">
        <v>9.7200000000000006</v>
      </c>
      <c r="K3369">
        <v>0</v>
      </c>
      <c r="L3369">
        <v>1.0900000000000001</v>
      </c>
      <c r="M3369" t="s">
        <v>9384</v>
      </c>
      <c r="N3369">
        <v>125.92</v>
      </c>
      <c r="O3369" t="s">
        <v>274</v>
      </c>
      <c r="P3369">
        <v>9.73</v>
      </c>
      <c r="Q3369">
        <v>9.56</v>
      </c>
      <c r="R3369">
        <v>9.68</v>
      </c>
      <c r="S3369">
        <v>9.7100000000000009</v>
      </c>
      <c r="T3369">
        <v>1.75</v>
      </c>
      <c r="U3369">
        <v>1.04</v>
      </c>
      <c r="V3369">
        <v>-69.489999999999995</v>
      </c>
      <c r="W3369">
        <v>-1084</v>
      </c>
      <c r="X3369">
        <v>9.66</v>
      </c>
      <c r="Y3369" t="s">
        <v>433</v>
      </c>
      <c r="Z3369" t="s">
        <v>1836</v>
      </c>
      <c r="AA3369">
        <v>1.41</v>
      </c>
      <c r="AB3369">
        <v>19</v>
      </c>
      <c r="AC3369">
        <v>5</v>
      </c>
      <c r="AD3369">
        <v>1.64</v>
      </c>
      <c r="AE3369" t="s">
        <v>6252</v>
      </c>
      <c r="AF3369" t="s">
        <v>2070</v>
      </c>
      <c r="AG3369" t="s">
        <v>6252</v>
      </c>
      <c r="AH3369" t="s">
        <v>2070</v>
      </c>
      <c r="AI3369">
        <v>-0.51</v>
      </c>
      <c r="AJ3369">
        <v>3.08</v>
      </c>
      <c r="AK3369">
        <v>3.68</v>
      </c>
      <c r="AL3369">
        <v>6.35</v>
      </c>
    </row>
    <row r="3370" spans="1:38" x14ac:dyDescent="0.25">
      <c r="A3370">
        <v>3369</v>
      </c>
      <c r="B3370" t="str">
        <f xml:space="preserve"> "600817"</f>
        <v>600817</v>
      </c>
      <c r="C3370" t="s">
        <v>9385</v>
      </c>
      <c r="D3370">
        <v>14.23</v>
      </c>
      <c r="E3370">
        <v>-7.0000000000000007E-2</v>
      </c>
      <c r="F3370">
        <v>-0.01</v>
      </c>
      <c r="G3370">
        <v>7915</v>
      </c>
      <c r="H3370">
        <v>10</v>
      </c>
      <c r="I3370">
        <v>14.2</v>
      </c>
      <c r="J3370">
        <v>14.23</v>
      </c>
      <c r="K3370">
        <v>0</v>
      </c>
      <c r="L3370">
        <v>0.51</v>
      </c>
      <c r="M3370" t="s">
        <v>9386</v>
      </c>
      <c r="N3370">
        <v>-997.26</v>
      </c>
      <c r="O3370" t="s">
        <v>482</v>
      </c>
      <c r="P3370">
        <v>14.24</v>
      </c>
      <c r="Q3370">
        <v>14.07</v>
      </c>
      <c r="R3370">
        <v>14.21</v>
      </c>
      <c r="S3370">
        <v>14.24</v>
      </c>
      <c r="T3370">
        <v>1.19</v>
      </c>
      <c r="U3370">
        <v>0.96</v>
      </c>
      <c r="V3370">
        <v>13.16</v>
      </c>
      <c r="W3370">
        <v>66</v>
      </c>
      <c r="X3370">
        <v>14.19</v>
      </c>
      <c r="Y3370">
        <v>3684</v>
      </c>
      <c r="Z3370">
        <v>4231</v>
      </c>
      <c r="AA3370">
        <v>0.87</v>
      </c>
      <c r="AB3370">
        <v>2</v>
      </c>
      <c r="AC3370">
        <v>6</v>
      </c>
      <c r="AD3370">
        <v>23.62</v>
      </c>
      <c r="AE3370" t="s">
        <v>3976</v>
      </c>
      <c r="AF3370" t="s">
        <v>3616</v>
      </c>
      <c r="AG3370" t="s">
        <v>3053</v>
      </c>
      <c r="AH3370" t="s">
        <v>2289</v>
      </c>
      <c r="AI3370">
        <v>-0.77</v>
      </c>
      <c r="AJ3370">
        <v>-0.21</v>
      </c>
      <c r="AK3370">
        <v>1.44</v>
      </c>
      <c r="AL3370">
        <v>3.16</v>
      </c>
    </row>
    <row r="3371" spans="1:38" x14ac:dyDescent="0.25">
      <c r="A3371">
        <v>3370</v>
      </c>
      <c r="B3371" t="str">
        <f xml:space="preserve"> "300417"</f>
        <v>300417</v>
      </c>
      <c r="C3371" t="s">
        <v>9387</v>
      </c>
      <c r="D3371">
        <v>27.89</v>
      </c>
      <c r="E3371">
        <v>0</v>
      </c>
      <c r="F3371">
        <v>0</v>
      </c>
      <c r="G3371" t="s">
        <v>468</v>
      </c>
      <c r="H3371">
        <v>492</v>
      </c>
      <c r="I3371">
        <v>27.89</v>
      </c>
      <c r="J3371">
        <v>27.9</v>
      </c>
      <c r="K3371">
        <v>-7.0000000000000007E-2</v>
      </c>
      <c r="L3371">
        <v>7.63</v>
      </c>
      <c r="M3371" t="s">
        <v>9388</v>
      </c>
      <c r="N3371">
        <v>62.59</v>
      </c>
      <c r="O3371" t="s">
        <v>1372</v>
      </c>
      <c r="P3371">
        <v>28.01</v>
      </c>
      <c r="Q3371">
        <v>27.5</v>
      </c>
      <c r="R3371">
        <v>27.8</v>
      </c>
      <c r="S3371">
        <v>27.89</v>
      </c>
      <c r="T3371">
        <v>1.83</v>
      </c>
      <c r="U3371">
        <v>1.38</v>
      </c>
      <c r="V3371">
        <v>42.65</v>
      </c>
      <c r="W3371">
        <v>353</v>
      </c>
      <c r="X3371">
        <v>27.77</v>
      </c>
      <c r="Y3371" t="s">
        <v>1259</v>
      </c>
      <c r="Z3371">
        <v>8959</v>
      </c>
      <c r="AA3371">
        <v>1.37</v>
      </c>
      <c r="AB3371">
        <v>260</v>
      </c>
      <c r="AC3371">
        <v>38</v>
      </c>
      <c r="AD3371">
        <v>5.93</v>
      </c>
      <c r="AE3371" t="s">
        <v>9389</v>
      </c>
      <c r="AF3371" t="s">
        <v>1681</v>
      </c>
      <c r="AG3371" t="s">
        <v>5882</v>
      </c>
      <c r="AH3371" t="s">
        <v>8041</v>
      </c>
      <c r="AI3371">
        <v>2.92</v>
      </c>
      <c r="AJ3371">
        <v>8.35</v>
      </c>
      <c r="AK3371">
        <v>25.58</v>
      </c>
      <c r="AL3371">
        <v>35.270000000000003</v>
      </c>
    </row>
    <row r="3372" spans="1:38" x14ac:dyDescent="0.25">
      <c r="A3372">
        <v>3371</v>
      </c>
      <c r="B3372" t="str">
        <f xml:space="preserve"> "300489"</f>
        <v>300489</v>
      </c>
      <c r="C3372" t="s">
        <v>9390</v>
      </c>
      <c r="D3372">
        <v>25.07</v>
      </c>
      <c r="E3372">
        <v>1.58</v>
      </c>
      <c r="F3372">
        <v>0.39</v>
      </c>
      <c r="G3372" t="s">
        <v>1076</v>
      </c>
      <c r="H3372">
        <v>316</v>
      </c>
      <c r="I3372">
        <v>25.07</v>
      </c>
      <c r="J3372">
        <v>25.08</v>
      </c>
      <c r="K3372">
        <v>0.08</v>
      </c>
      <c r="L3372">
        <v>3.98</v>
      </c>
      <c r="M3372" t="s">
        <v>9391</v>
      </c>
      <c r="N3372">
        <v>101.25</v>
      </c>
      <c r="O3372" t="s">
        <v>1229</v>
      </c>
      <c r="P3372">
        <v>25.12</v>
      </c>
      <c r="Q3372">
        <v>24.54</v>
      </c>
      <c r="R3372">
        <v>24.7</v>
      </c>
      <c r="S3372">
        <v>24.68</v>
      </c>
      <c r="T3372">
        <v>2.35</v>
      </c>
      <c r="U3372">
        <v>1.72</v>
      </c>
      <c r="V3372">
        <v>23.19</v>
      </c>
      <c r="W3372">
        <v>229</v>
      </c>
      <c r="X3372">
        <v>24.94</v>
      </c>
      <c r="Y3372">
        <v>7330</v>
      </c>
      <c r="Z3372" t="s">
        <v>691</v>
      </c>
      <c r="AA3372">
        <v>0.62</v>
      </c>
      <c r="AB3372">
        <v>63</v>
      </c>
      <c r="AC3372">
        <v>166</v>
      </c>
      <c r="AD3372">
        <v>4.92</v>
      </c>
      <c r="AE3372" t="s">
        <v>9392</v>
      </c>
      <c r="AF3372" t="s">
        <v>1681</v>
      </c>
      <c r="AG3372" t="s">
        <v>9393</v>
      </c>
      <c r="AH3372" t="s">
        <v>2071</v>
      </c>
      <c r="AI3372">
        <v>1.54</v>
      </c>
      <c r="AJ3372">
        <v>7.27</v>
      </c>
      <c r="AK3372">
        <v>9.08</v>
      </c>
      <c r="AL3372">
        <v>15.53</v>
      </c>
    </row>
    <row r="3373" spans="1:38" x14ac:dyDescent="0.25">
      <c r="A3373">
        <v>3372</v>
      </c>
      <c r="B3373" t="str">
        <f xml:space="preserve"> "300707"</f>
        <v>300707</v>
      </c>
      <c r="C3373" t="s">
        <v>9394</v>
      </c>
      <c r="D3373">
        <v>28.92</v>
      </c>
      <c r="E3373">
        <v>10</v>
      </c>
      <c r="F3373">
        <v>2.63</v>
      </c>
      <c r="G3373">
        <v>19</v>
      </c>
      <c r="H3373">
        <v>5</v>
      </c>
      <c r="I3373">
        <v>28.92</v>
      </c>
      <c r="J3373" t="s">
        <v>616</v>
      </c>
      <c r="K3373">
        <v>0</v>
      </c>
      <c r="L3373">
        <v>0.01</v>
      </c>
      <c r="M3373" t="s">
        <v>1909</v>
      </c>
      <c r="N3373">
        <v>26.29</v>
      </c>
      <c r="O3373" t="s">
        <v>169</v>
      </c>
      <c r="P3373">
        <v>28.92</v>
      </c>
      <c r="Q3373">
        <v>28.92</v>
      </c>
      <c r="R3373">
        <v>28.92</v>
      </c>
      <c r="S3373">
        <v>26.29</v>
      </c>
      <c r="T3373">
        <v>0</v>
      </c>
      <c r="U3373">
        <v>0.5</v>
      </c>
      <c r="V3373">
        <v>100</v>
      </c>
      <c r="W3373" t="s">
        <v>3041</v>
      </c>
      <c r="X3373">
        <v>28.92</v>
      </c>
      <c r="Y3373">
        <v>19</v>
      </c>
      <c r="Z3373">
        <v>0</v>
      </c>
      <c r="AA3373">
        <v>1</v>
      </c>
      <c r="AB3373" t="s">
        <v>2800</v>
      </c>
      <c r="AC3373">
        <v>0</v>
      </c>
      <c r="AD3373">
        <v>4.22</v>
      </c>
      <c r="AE3373" t="s">
        <v>9395</v>
      </c>
      <c r="AF3373" t="s">
        <v>5418</v>
      </c>
      <c r="AG3373" t="s">
        <v>6381</v>
      </c>
      <c r="AH3373" t="s">
        <v>6203</v>
      </c>
      <c r="AI3373">
        <v>33.090000000000003</v>
      </c>
      <c r="AJ3373">
        <v>59.69</v>
      </c>
      <c r="AK3373">
        <v>0.03</v>
      </c>
      <c r="AL3373">
        <v>7.0000000000000007E-2</v>
      </c>
    </row>
    <row r="3374" spans="1:38" x14ac:dyDescent="0.25">
      <c r="A3374">
        <v>3373</v>
      </c>
      <c r="B3374" t="str">
        <f xml:space="preserve"> "002207"</f>
        <v>002207</v>
      </c>
      <c r="C3374" t="s">
        <v>9396</v>
      </c>
      <c r="D3374">
        <v>9.4700000000000006</v>
      </c>
      <c r="E3374">
        <v>0.64</v>
      </c>
      <c r="F3374">
        <v>0.06</v>
      </c>
      <c r="G3374" t="s">
        <v>1043</v>
      </c>
      <c r="H3374">
        <v>564</v>
      </c>
      <c r="I3374">
        <v>9.4700000000000006</v>
      </c>
      <c r="J3374">
        <v>9.48</v>
      </c>
      <c r="K3374">
        <v>0</v>
      </c>
      <c r="L3374">
        <v>1.27</v>
      </c>
      <c r="M3374" t="s">
        <v>9397</v>
      </c>
      <c r="N3374">
        <v>26.05</v>
      </c>
      <c r="O3374" t="s">
        <v>61</v>
      </c>
      <c r="P3374">
        <v>9.5</v>
      </c>
      <c r="Q3374">
        <v>9.3800000000000008</v>
      </c>
      <c r="R3374">
        <v>9.42</v>
      </c>
      <c r="S3374">
        <v>9.41</v>
      </c>
      <c r="T3374">
        <v>1.28</v>
      </c>
      <c r="U3374">
        <v>0.8</v>
      </c>
      <c r="V3374">
        <v>-16.829999999999998</v>
      </c>
      <c r="W3374">
        <v>-594</v>
      </c>
      <c r="X3374">
        <v>9.44</v>
      </c>
      <c r="Y3374" t="s">
        <v>1153</v>
      </c>
      <c r="Z3374" t="s">
        <v>1153</v>
      </c>
      <c r="AA3374">
        <v>1</v>
      </c>
      <c r="AB3374">
        <v>188</v>
      </c>
      <c r="AC3374">
        <v>474</v>
      </c>
      <c r="AD3374">
        <v>5.86</v>
      </c>
      <c r="AE3374" t="s">
        <v>2759</v>
      </c>
      <c r="AF3374" t="s">
        <v>5418</v>
      </c>
      <c r="AG3374" t="s">
        <v>2151</v>
      </c>
      <c r="AH3374" t="s">
        <v>366</v>
      </c>
      <c r="AI3374">
        <v>0.96</v>
      </c>
      <c r="AJ3374">
        <v>4.07</v>
      </c>
      <c r="AK3374">
        <v>5.34</v>
      </c>
      <c r="AL3374">
        <v>9.2200000000000006</v>
      </c>
    </row>
    <row r="3375" spans="1:38" x14ac:dyDescent="0.25">
      <c r="A3375">
        <v>3374</v>
      </c>
      <c r="B3375" t="str">
        <f xml:space="preserve"> "300106"</f>
        <v>300106</v>
      </c>
      <c r="C3375" t="s">
        <v>9398</v>
      </c>
      <c r="D3375">
        <v>10.63</v>
      </c>
      <c r="E3375">
        <v>-2.0299999999999998</v>
      </c>
      <c r="F3375">
        <v>-0.22</v>
      </c>
      <c r="G3375" t="s">
        <v>1923</v>
      </c>
      <c r="H3375">
        <v>1910</v>
      </c>
      <c r="I3375">
        <v>10.63</v>
      </c>
      <c r="J3375">
        <v>10.64</v>
      </c>
      <c r="K3375">
        <v>-0.19</v>
      </c>
      <c r="L3375">
        <v>3.83</v>
      </c>
      <c r="M3375" t="s">
        <v>9399</v>
      </c>
      <c r="N3375">
        <v>-24.21</v>
      </c>
      <c r="O3375" t="s">
        <v>622</v>
      </c>
      <c r="P3375">
        <v>10.9</v>
      </c>
      <c r="Q3375">
        <v>10.63</v>
      </c>
      <c r="R3375">
        <v>10.66</v>
      </c>
      <c r="S3375">
        <v>10.85</v>
      </c>
      <c r="T3375">
        <v>2.4900000000000002</v>
      </c>
      <c r="U3375">
        <v>0.91</v>
      </c>
      <c r="V3375">
        <v>38.74</v>
      </c>
      <c r="W3375">
        <v>931</v>
      </c>
      <c r="X3375">
        <v>10.72</v>
      </c>
      <c r="Y3375" t="s">
        <v>272</v>
      </c>
      <c r="Z3375" t="s">
        <v>2250</v>
      </c>
      <c r="AA3375">
        <v>1.61</v>
      </c>
      <c r="AB3375">
        <v>742</v>
      </c>
      <c r="AC3375">
        <v>211</v>
      </c>
      <c r="AD3375">
        <v>2.4</v>
      </c>
      <c r="AE3375" t="s">
        <v>2970</v>
      </c>
      <c r="AF3375" t="s">
        <v>929</v>
      </c>
      <c r="AG3375" t="s">
        <v>1538</v>
      </c>
      <c r="AH3375" t="s">
        <v>3436</v>
      </c>
      <c r="AI3375">
        <v>4.42</v>
      </c>
      <c r="AJ3375">
        <v>10.16</v>
      </c>
      <c r="AK3375">
        <v>21.5</v>
      </c>
      <c r="AL3375">
        <v>24.96</v>
      </c>
    </row>
    <row r="3376" spans="1:38" x14ac:dyDescent="0.25">
      <c r="A3376">
        <v>3375</v>
      </c>
      <c r="B3376" t="str">
        <f xml:space="preserve"> "300330"</f>
        <v>300330</v>
      </c>
      <c r="C3376" t="s">
        <v>9400</v>
      </c>
      <c r="D3376">
        <v>13.34</v>
      </c>
      <c r="E3376">
        <v>-1.62</v>
      </c>
      <c r="F3376">
        <v>-0.22</v>
      </c>
      <c r="G3376" t="s">
        <v>1504</v>
      </c>
      <c r="H3376">
        <v>51</v>
      </c>
      <c r="I3376">
        <v>13.33</v>
      </c>
      <c r="J3376">
        <v>13.34</v>
      </c>
      <c r="K3376">
        <v>0</v>
      </c>
      <c r="L3376">
        <v>1.1200000000000001</v>
      </c>
      <c r="M3376" t="s">
        <v>9401</v>
      </c>
      <c r="N3376">
        <v>-143.01</v>
      </c>
      <c r="O3376" t="s">
        <v>553</v>
      </c>
      <c r="P3376">
        <v>13.52</v>
      </c>
      <c r="Q3376">
        <v>13.3</v>
      </c>
      <c r="R3376">
        <v>13.5</v>
      </c>
      <c r="S3376">
        <v>13.56</v>
      </c>
      <c r="T3376">
        <v>1.62</v>
      </c>
      <c r="U3376">
        <v>0.59</v>
      </c>
      <c r="V3376">
        <v>-16.13</v>
      </c>
      <c r="W3376">
        <v>-235</v>
      </c>
      <c r="X3376">
        <v>13.38</v>
      </c>
      <c r="Y3376" t="s">
        <v>1799</v>
      </c>
      <c r="Z3376">
        <v>6057</v>
      </c>
      <c r="AA3376">
        <v>2.1</v>
      </c>
      <c r="AB3376">
        <v>127</v>
      </c>
      <c r="AC3376">
        <v>122</v>
      </c>
      <c r="AD3376">
        <v>5.99</v>
      </c>
      <c r="AE3376" t="s">
        <v>2368</v>
      </c>
      <c r="AF3376" t="s">
        <v>3436</v>
      </c>
      <c r="AG3376" t="s">
        <v>2368</v>
      </c>
      <c r="AH3376" t="s">
        <v>3436</v>
      </c>
      <c r="AI3376">
        <v>-1.77</v>
      </c>
      <c r="AJ3376">
        <v>4.22</v>
      </c>
      <c r="AK3376">
        <v>4.53</v>
      </c>
      <c r="AL3376">
        <v>10.54</v>
      </c>
    </row>
    <row r="3377" spans="1:38" x14ac:dyDescent="0.25">
      <c r="A3377">
        <v>3376</v>
      </c>
      <c r="B3377" t="str">
        <f xml:space="preserve"> "300654"</f>
        <v>300654</v>
      </c>
      <c r="C3377" t="s">
        <v>9402</v>
      </c>
      <c r="D3377">
        <v>23.8</v>
      </c>
      <c r="E3377">
        <v>9.98</v>
      </c>
      <c r="F3377">
        <v>2.16</v>
      </c>
      <c r="G3377">
        <v>829</v>
      </c>
      <c r="H3377">
        <v>3</v>
      </c>
      <c r="I3377">
        <v>23.8</v>
      </c>
      <c r="J3377" t="s">
        <v>616</v>
      </c>
      <c r="K3377">
        <v>0</v>
      </c>
      <c r="L3377">
        <v>0.36</v>
      </c>
      <c r="M3377" t="s">
        <v>9403</v>
      </c>
      <c r="N3377">
        <v>223.94</v>
      </c>
      <c r="O3377" t="s">
        <v>807</v>
      </c>
      <c r="P3377">
        <v>23.8</v>
      </c>
      <c r="Q3377">
        <v>23.8</v>
      </c>
      <c r="R3377">
        <v>23.8</v>
      </c>
      <c r="S3377">
        <v>21.64</v>
      </c>
      <c r="T3377">
        <v>0</v>
      </c>
      <c r="U3377">
        <v>4.09</v>
      </c>
      <c r="V3377">
        <v>100</v>
      </c>
      <c r="W3377" t="s">
        <v>2551</v>
      </c>
      <c r="X3377">
        <v>23.8</v>
      </c>
      <c r="Y3377">
        <v>829</v>
      </c>
      <c r="Z3377">
        <v>0</v>
      </c>
      <c r="AA3377">
        <v>1</v>
      </c>
      <c r="AB3377" t="s">
        <v>1579</v>
      </c>
      <c r="AC3377">
        <v>0</v>
      </c>
      <c r="AD3377">
        <v>5.57</v>
      </c>
      <c r="AE3377" t="s">
        <v>9404</v>
      </c>
      <c r="AF3377" t="s">
        <v>2289</v>
      </c>
      <c r="AG3377" t="s">
        <v>9405</v>
      </c>
      <c r="AH3377" t="s">
        <v>5228</v>
      </c>
      <c r="AI3377">
        <v>33.11</v>
      </c>
      <c r="AJ3377">
        <v>77.22</v>
      </c>
      <c r="AK3377">
        <v>0.6</v>
      </c>
      <c r="AL3377">
        <v>0.79</v>
      </c>
    </row>
    <row r="3378" spans="1:38" x14ac:dyDescent="0.25">
      <c r="A3378">
        <v>3377</v>
      </c>
      <c r="B3378" t="str">
        <f xml:space="preserve"> "600385"</f>
        <v>600385</v>
      </c>
      <c r="C3378" t="s">
        <v>9406</v>
      </c>
      <c r="D3378">
        <v>14.94</v>
      </c>
      <c r="E3378">
        <v>2.82</v>
      </c>
      <c r="F3378">
        <v>0.41</v>
      </c>
      <c r="G3378" t="s">
        <v>1190</v>
      </c>
      <c r="H3378">
        <v>20</v>
      </c>
      <c r="I3378">
        <v>14.93</v>
      </c>
      <c r="J3378">
        <v>14.95</v>
      </c>
      <c r="K3378">
        <v>-0.2</v>
      </c>
      <c r="L3378">
        <v>2.06</v>
      </c>
      <c r="M3378" t="s">
        <v>5558</v>
      </c>
      <c r="N3378">
        <v>-422.08</v>
      </c>
      <c r="O3378" t="s">
        <v>788</v>
      </c>
      <c r="P3378">
        <v>15.3</v>
      </c>
      <c r="Q3378">
        <v>14.45</v>
      </c>
      <c r="R3378">
        <v>14.55</v>
      </c>
      <c r="S3378">
        <v>14.53</v>
      </c>
      <c r="T3378">
        <v>5.85</v>
      </c>
      <c r="U3378">
        <v>1.96</v>
      </c>
      <c r="V3378">
        <v>-55.41</v>
      </c>
      <c r="W3378">
        <v>-634</v>
      </c>
      <c r="X3378">
        <v>14.95</v>
      </c>
      <c r="Y3378" t="s">
        <v>2370</v>
      </c>
      <c r="Z3378" t="s">
        <v>1578</v>
      </c>
      <c r="AA3378">
        <v>0.77</v>
      </c>
      <c r="AB3378">
        <v>54</v>
      </c>
      <c r="AC3378">
        <v>89</v>
      </c>
      <c r="AD3378">
        <v>30.68</v>
      </c>
      <c r="AE3378" t="s">
        <v>1333</v>
      </c>
      <c r="AF3378" t="s">
        <v>1254</v>
      </c>
      <c r="AG3378" t="s">
        <v>2327</v>
      </c>
      <c r="AH3378" t="s">
        <v>3046</v>
      </c>
      <c r="AI3378">
        <v>2.54</v>
      </c>
      <c r="AJ3378">
        <v>7.87</v>
      </c>
      <c r="AK3378">
        <v>4.4800000000000004</v>
      </c>
      <c r="AL3378">
        <v>7.32</v>
      </c>
    </row>
    <row r="3379" spans="1:38" x14ac:dyDescent="0.25">
      <c r="A3379">
        <v>3378</v>
      </c>
      <c r="B3379" t="str">
        <f xml:space="preserve"> "000502"</f>
        <v>000502</v>
      </c>
      <c r="C3379" t="s">
        <v>9407</v>
      </c>
      <c r="D3379">
        <v>11.96</v>
      </c>
      <c r="E3379">
        <v>0.59</v>
      </c>
      <c r="F3379">
        <v>7.0000000000000007E-2</v>
      </c>
      <c r="G3379" t="s">
        <v>1420</v>
      </c>
      <c r="H3379">
        <v>344</v>
      </c>
      <c r="I3379">
        <v>11.96</v>
      </c>
      <c r="J3379">
        <v>11.97</v>
      </c>
      <c r="K3379">
        <v>0.08</v>
      </c>
      <c r="L3379">
        <v>1.17</v>
      </c>
      <c r="M3379" t="s">
        <v>9408</v>
      </c>
      <c r="N3379">
        <v>-28.3</v>
      </c>
      <c r="O3379" t="s">
        <v>244</v>
      </c>
      <c r="P3379">
        <v>11.97</v>
      </c>
      <c r="Q3379">
        <v>11.74</v>
      </c>
      <c r="R3379">
        <v>11.94</v>
      </c>
      <c r="S3379">
        <v>11.89</v>
      </c>
      <c r="T3379">
        <v>1.93</v>
      </c>
      <c r="U3379">
        <v>0.72</v>
      </c>
      <c r="V3379">
        <v>18.12</v>
      </c>
      <c r="W3379">
        <v>347</v>
      </c>
      <c r="X3379">
        <v>11.87</v>
      </c>
      <c r="Y3379">
        <v>9567</v>
      </c>
      <c r="Z3379" t="s">
        <v>2991</v>
      </c>
      <c r="AA3379">
        <v>0.81</v>
      </c>
      <c r="AB3379">
        <v>149</v>
      </c>
      <c r="AC3379">
        <v>86</v>
      </c>
      <c r="AD3379">
        <v>12.76</v>
      </c>
      <c r="AE3379" t="s">
        <v>3201</v>
      </c>
      <c r="AF3379" t="s">
        <v>1254</v>
      </c>
      <c r="AG3379" t="s">
        <v>1978</v>
      </c>
      <c r="AH3379" t="s">
        <v>1733</v>
      </c>
      <c r="AI3379">
        <v>-0.99</v>
      </c>
      <c r="AJ3379">
        <v>3.73</v>
      </c>
      <c r="AK3379">
        <v>5.0199999999999996</v>
      </c>
      <c r="AL3379">
        <v>9.2799999999999994</v>
      </c>
    </row>
    <row r="3380" spans="1:38" x14ac:dyDescent="0.25">
      <c r="A3380">
        <v>3379</v>
      </c>
      <c r="B3380" t="str">
        <f xml:space="preserve"> "600423"</f>
        <v>600423</v>
      </c>
      <c r="C3380" t="s">
        <v>9409</v>
      </c>
      <c r="D3380">
        <v>5.49</v>
      </c>
      <c r="E3380">
        <v>1.67</v>
      </c>
      <c r="F3380">
        <v>0.09</v>
      </c>
      <c r="G3380" t="s">
        <v>1059</v>
      </c>
      <c r="H3380">
        <v>1</v>
      </c>
      <c r="I3380">
        <v>5.49</v>
      </c>
      <c r="J3380">
        <v>5.51</v>
      </c>
      <c r="K3380">
        <v>-0.36</v>
      </c>
      <c r="L3380">
        <v>1.32</v>
      </c>
      <c r="M3380" t="s">
        <v>8975</v>
      </c>
      <c r="N3380">
        <v>-12.47</v>
      </c>
      <c r="O3380" t="s">
        <v>1936</v>
      </c>
      <c r="P3380">
        <v>5.55</v>
      </c>
      <c r="Q3380">
        <v>5.37</v>
      </c>
      <c r="R3380">
        <v>5.4</v>
      </c>
      <c r="S3380">
        <v>5.4</v>
      </c>
      <c r="T3380">
        <v>3.33</v>
      </c>
      <c r="U3380">
        <v>1.48</v>
      </c>
      <c r="V3380">
        <v>-2.93</v>
      </c>
      <c r="W3380">
        <v>-209</v>
      </c>
      <c r="X3380">
        <v>5.48</v>
      </c>
      <c r="Y3380" t="s">
        <v>1285</v>
      </c>
      <c r="Z3380" t="s">
        <v>1043</v>
      </c>
      <c r="AA3380">
        <v>0.89</v>
      </c>
      <c r="AB3380">
        <v>637</v>
      </c>
      <c r="AC3380">
        <v>502</v>
      </c>
      <c r="AD3380">
        <v>-20.440000000000001</v>
      </c>
      <c r="AE3380" t="s">
        <v>2009</v>
      </c>
      <c r="AF3380" t="s">
        <v>1733</v>
      </c>
      <c r="AG3380" t="s">
        <v>2009</v>
      </c>
      <c r="AH3380" t="s">
        <v>1733</v>
      </c>
      <c r="AI3380">
        <v>0.92</v>
      </c>
      <c r="AJ3380">
        <v>4.57</v>
      </c>
      <c r="AK3380">
        <v>2.77</v>
      </c>
      <c r="AL3380">
        <v>5.79</v>
      </c>
    </row>
    <row r="3381" spans="1:38" x14ac:dyDescent="0.25">
      <c r="A3381">
        <v>3380</v>
      </c>
      <c r="B3381" t="str">
        <f xml:space="preserve"> "600301"</f>
        <v>600301</v>
      </c>
      <c r="C3381" t="s">
        <v>9410</v>
      </c>
      <c r="D3381">
        <v>9.27</v>
      </c>
      <c r="E3381">
        <v>0.43</v>
      </c>
      <c r="F3381">
        <v>0.04</v>
      </c>
      <c r="G3381" t="s">
        <v>1785</v>
      </c>
      <c r="H3381">
        <v>6</v>
      </c>
      <c r="I3381">
        <v>9.26</v>
      </c>
      <c r="J3381">
        <v>9.2799999999999994</v>
      </c>
      <c r="K3381">
        <v>0.11</v>
      </c>
      <c r="L3381">
        <v>0.45</v>
      </c>
      <c r="M3381" t="s">
        <v>6719</v>
      </c>
      <c r="N3381">
        <v>-116.62</v>
      </c>
      <c r="O3381" t="s">
        <v>667</v>
      </c>
      <c r="P3381">
        <v>9.3000000000000007</v>
      </c>
      <c r="Q3381">
        <v>9.19</v>
      </c>
      <c r="R3381">
        <v>9.23</v>
      </c>
      <c r="S3381">
        <v>9.23</v>
      </c>
      <c r="T3381">
        <v>1.19</v>
      </c>
      <c r="U3381">
        <v>1.18</v>
      </c>
      <c r="V3381">
        <v>-5.97</v>
      </c>
      <c r="W3381">
        <v>-132</v>
      </c>
      <c r="X3381">
        <v>9.25</v>
      </c>
      <c r="Y3381">
        <v>3778</v>
      </c>
      <c r="Z3381">
        <v>6915</v>
      </c>
      <c r="AA3381">
        <v>0.55000000000000004</v>
      </c>
      <c r="AB3381">
        <v>104</v>
      </c>
      <c r="AC3381">
        <v>14</v>
      </c>
      <c r="AD3381">
        <v>8.39</v>
      </c>
      <c r="AE3381" t="s">
        <v>4011</v>
      </c>
      <c r="AF3381" t="s">
        <v>2277</v>
      </c>
      <c r="AG3381" t="s">
        <v>4011</v>
      </c>
      <c r="AH3381" t="s">
        <v>2277</v>
      </c>
      <c r="AI3381">
        <v>0.65</v>
      </c>
      <c r="AJ3381">
        <v>2.77</v>
      </c>
      <c r="AK3381">
        <v>1.24</v>
      </c>
      <c r="AL3381">
        <v>2.38</v>
      </c>
    </row>
    <row r="3382" spans="1:38" x14ac:dyDescent="0.25">
      <c r="A3382">
        <v>3381</v>
      </c>
      <c r="B3382" t="str">
        <f xml:space="preserve"> "002633"</f>
        <v>002633</v>
      </c>
      <c r="C3382" t="s">
        <v>9411</v>
      </c>
      <c r="D3382">
        <v>14.47</v>
      </c>
      <c r="E3382">
        <v>0.7</v>
      </c>
      <c r="F3382">
        <v>0.1</v>
      </c>
      <c r="G3382" t="s">
        <v>3326</v>
      </c>
      <c r="H3382">
        <v>416</v>
      </c>
      <c r="I3382">
        <v>14.46</v>
      </c>
      <c r="J3382">
        <v>14.47</v>
      </c>
      <c r="K3382">
        <v>0</v>
      </c>
      <c r="L3382">
        <v>2.14</v>
      </c>
      <c r="M3382" t="s">
        <v>9412</v>
      </c>
      <c r="N3382">
        <v>-467.74</v>
      </c>
      <c r="O3382" t="s">
        <v>648</v>
      </c>
      <c r="P3382">
        <v>14.61</v>
      </c>
      <c r="Q3382">
        <v>14.33</v>
      </c>
      <c r="R3382">
        <v>14.34</v>
      </c>
      <c r="S3382">
        <v>14.37</v>
      </c>
      <c r="T3382">
        <v>1.95</v>
      </c>
      <c r="U3382">
        <v>0.62</v>
      </c>
      <c r="V3382">
        <v>-0.52</v>
      </c>
      <c r="W3382">
        <v>-8</v>
      </c>
      <c r="X3382">
        <v>14.46</v>
      </c>
      <c r="Y3382">
        <v>7574</v>
      </c>
      <c r="Z3382" t="s">
        <v>808</v>
      </c>
      <c r="AA3382">
        <v>0.68</v>
      </c>
      <c r="AB3382">
        <v>19</v>
      </c>
      <c r="AC3382">
        <v>77</v>
      </c>
      <c r="AD3382">
        <v>4.2300000000000004</v>
      </c>
      <c r="AE3382" t="s">
        <v>598</v>
      </c>
      <c r="AF3382" t="s">
        <v>579</v>
      </c>
      <c r="AG3382" t="s">
        <v>9413</v>
      </c>
      <c r="AH3382" t="s">
        <v>126</v>
      </c>
      <c r="AI3382">
        <v>0.42</v>
      </c>
      <c r="AJ3382">
        <v>-0.34</v>
      </c>
      <c r="AK3382">
        <v>6.62</v>
      </c>
      <c r="AL3382">
        <v>19.57</v>
      </c>
    </row>
    <row r="3383" spans="1:38" x14ac:dyDescent="0.25">
      <c r="A3383">
        <v>3382</v>
      </c>
      <c r="B3383" t="str">
        <f xml:space="preserve"> "600768"</f>
        <v>600768</v>
      </c>
      <c r="C3383" t="s">
        <v>9414</v>
      </c>
      <c r="D3383">
        <v>16.079999999999998</v>
      </c>
      <c r="E3383">
        <v>0.69</v>
      </c>
      <c r="F3383">
        <v>0.11</v>
      </c>
      <c r="G3383" t="s">
        <v>691</v>
      </c>
      <c r="H3383">
        <v>15</v>
      </c>
      <c r="I3383">
        <v>16.07</v>
      </c>
      <c r="J3383">
        <v>16.079999999999998</v>
      </c>
      <c r="K3383">
        <v>0.12</v>
      </c>
      <c r="L3383">
        <v>0.89</v>
      </c>
      <c r="M3383" t="s">
        <v>6759</v>
      </c>
      <c r="N3383">
        <v>-80.44</v>
      </c>
      <c r="O3383" t="s">
        <v>449</v>
      </c>
      <c r="P3383">
        <v>16.11</v>
      </c>
      <c r="Q3383">
        <v>15.81</v>
      </c>
      <c r="R3383">
        <v>16</v>
      </c>
      <c r="S3383">
        <v>15.97</v>
      </c>
      <c r="T3383">
        <v>1.88</v>
      </c>
      <c r="U3383">
        <v>0.89</v>
      </c>
      <c r="V3383">
        <v>61.05</v>
      </c>
      <c r="W3383">
        <v>950</v>
      </c>
      <c r="X3383">
        <v>15.99</v>
      </c>
      <c r="Y3383">
        <v>5411</v>
      </c>
      <c r="Z3383">
        <v>6512</v>
      </c>
      <c r="AA3383">
        <v>0.83</v>
      </c>
      <c r="AB3383">
        <v>35</v>
      </c>
      <c r="AC3383">
        <v>16</v>
      </c>
      <c r="AD3383">
        <v>42.15</v>
      </c>
      <c r="AE3383" t="s">
        <v>2973</v>
      </c>
      <c r="AF3383" t="s">
        <v>1335</v>
      </c>
      <c r="AG3383" t="s">
        <v>2973</v>
      </c>
      <c r="AH3383" t="s">
        <v>1335</v>
      </c>
      <c r="AI3383">
        <v>0.63</v>
      </c>
      <c r="AJ3383">
        <v>4.4800000000000004</v>
      </c>
      <c r="AK3383">
        <v>2.58</v>
      </c>
      <c r="AL3383">
        <v>5.91</v>
      </c>
    </row>
    <row r="3384" spans="1:38" x14ac:dyDescent="0.25">
      <c r="A3384">
        <v>3383</v>
      </c>
      <c r="B3384" t="str">
        <f xml:space="preserve"> "300354"</f>
        <v>300354</v>
      </c>
      <c r="C3384" t="s">
        <v>9415</v>
      </c>
      <c r="D3384">
        <v>15.5</v>
      </c>
      <c r="E3384">
        <v>0.65</v>
      </c>
      <c r="F3384">
        <v>0.1</v>
      </c>
      <c r="G3384" t="s">
        <v>3234</v>
      </c>
      <c r="H3384">
        <v>480</v>
      </c>
      <c r="I3384">
        <v>15.5</v>
      </c>
      <c r="J3384">
        <v>15.51</v>
      </c>
      <c r="K3384">
        <v>0.06</v>
      </c>
      <c r="L3384">
        <v>1.94</v>
      </c>
      <c r="M3384" t="s">
        <v>8104</v>
      </c>
      <c r="N3384">
        <v>5232.28</v>
      </c>
      <c r="O3384" t="s">
        <v>1372</v>
      </c>
      <c r="P3384">
        <v>15.56</v>
      </c>
      <c r="Q3384">
        <v>15.21</v>
      </c>
      <c r="R3384">
        <v>15.32</v>
      </c>
      <c r="S3384">
        <v>15.4</v>
      </c>
      <c r="T3384">
        <v>2.27</v>
      </c>
      <c r="U3384">
        <v>0.81</v>
      </c>
      <c r="V3384">
        <v>20.3</v>
      </c>
      <c r="W3384">
        <v>266</v>
      </c>
      <c r="X3384">
        <v>15.44</v>
      </c>
      <c r="Y3384">
        <v>6772</v>
      </c>
      <c r="Z3384">
        <v>7319</v>
      </c>
      <c r="AA3384">
        <v>0.93</v>
      </c>
      <c r="AB3384">
        <v>453</v>
      </c>
      <c r="AC3384">
        <v>225</v>
      </c>
      <c r="AD3384">
        <v>6.23</v>
      </c>
      <c r="AE3384" t="s">
        <v>746</v>
      </c>
      <c r="AF3384" t="s">
        <v>289</v>
      </c>
      <c r="AG3384" t="s">
        <v>9416</v>
      </c>
      <c r="AH3384" t="s">
        <v>2328</v>
      </c>
      <c r="AI3384">
        <v>0.26</v>
      </c>
      <c r="AJ3384">
        <v>5.23</v>
      </c>
      <c r="AK3384">
        <v>6.59</v>
      </c>
      <c r="AL3384">
        <v>13.88</v>
      </c>
    </row>
    <row r="3385" spans="1:38" x14ac:dyDescent="0.25">
      <c r="A3385">
        <v>3384</v>
      </c>
      <c r="B3385" t="str">
        <f xml:space="preserve"> "000004"</f>
        <v>000004</v>
      </c>
      <c r="C3385" t="s">
        <v>9417</v>
      </c>
      <c r="D3385">
        <v>25.22</v>
      </c>
      <c r="E3385">
        <v>-0.43</v>
      </c>
      <c r="F3385">
        <v>-0.11</v>
      </c>
      <c r="G3385">
        <v>8057</v>
      </c>
      <c r="H3385">
        <v>260</v>
      </c>
      <c r="I3385">
        <v>25.22</v>
      </c>
      <c r="J3385">
        <v>25.26</v>
      </c>
      <c r="K3385">
        <v>-0.16</v>
      </c>
      <c r="L3385">
        <v>0.97</v>
      </c>
      <c r="M3385" t="s">
        <v>8269</v>
      </c>
      <c r="N3385">
        <v>-280.73</v>
      </c>
      <c r="O3385" t="s">
        <v>392</v>
      </c>
      <c r="P3385">
        <v>25.37</v>
      </c>
      <c r="Q3385">
        <v>24.88</v>
      </c>
      <c r="R3385">
        <v>25.3</v>
      </c>
      <c r="S3385">
        <v>25.33</v>
      </c>
      <c r="T3385">
        <v>1.93</v>
      </c>
      <c r="U3385">
        <v>0.62</v>
      </c>
      <c r="V3385">
        <v>7.54</v>
      </c>
      <c r="W3385">
        <v>47</v>
      </c>
      <c r="X3385">
        <v>25.18</v>
      </c>
      <c r="Y3385">
        <v>3248</v>
      </c>
      <c r="Z3385">
        <v>4809</v>
      </c>
      <c r="AA3385">
        <v>0.68</v>
      </c>
      <c r="AB3385">
        <v>133</v>
      </c>
      <c r="AC3385">
        <v>61</v>
      </c>
      <c r="AD3385">
        <v>18.09</v>
      </c>
      <c r="AE3385" t="s">
        <v>8881</v>
      </c>
      <c r="AF3385" t="s">
        <v>1896</v>
      </c>
      <c r="AG3385" t="s">
        <v>9418</v>
      </c>
      <c r="AH3385" t="s">
        <v>366</v>
      </c>
      <c r="AI3385">
        <v>-0.71</v>
      </c>
      <c r="AJ3385">
        <v>7.55</v>
      </c>
      <c r="AK3385">
        <v>4.46</v>
      </c>
      <c r="AL3385">
        <v>8.77</v>
      </c>
    </row>
    <row r="3386" spans="1:38" x14ac:dyDescent="0.25">
      <c r="A3386">
        <v>3385</v>
      </c>
      <c r="B3386" t="str">
        <f xml:space="preserve"> "300321"</f>
        <v>300321</v>
      </c>
      <c r="C3386" t="s">
        <v>9419</v>
      </c>
      <c r="D3386">
        <v>23.82</v>
      </c>
      <c r="E3386">
        <v>0.51</v>
      </c>
      <c r="F3386">
        <v>0.12</v>
      </c>
      <c r="G3386" t="s">
        <v>3946</v>
      </c>
      <c r="H3386">
        <v>171</v>
      </c>
      <c r="I3386">
        <v>23.82</v>
      </c>
      <c r="J3386">
        <v>23.83</v>
      </c>
      <c r="K3386">
        <v>0</v>
      </c>
      <c r="L3386">
        <v>2.04</v>
      </c>
      <c r="M3386" t="s">
        <v>9420</v>
      </c>
      <c r="N3386">
        <v>109.76</v>
      </c>
      <c r="O3386" t="s">
        <v>2128</v>
      </c>
      <c r="P3386">
        <v>24.07</v>
      </c>
      <c r="Q3386">
        <v>23.6</v>
      </c>
      <c r="R3386">
        <v>23.69</v>
      </c>
      <c r="S3386">
        <v>23.7</v>
      </c>
      <c r="T3386">
        <v>1.98</v>
      </c>
      <c r="U3386">
        <v>0.87</v>
      </c>
      <c r="V3386">
        <v>23.59</v>
      </c>
      <c r="W3386">
        <v>134</v>
      </c>
      <c r="X3386">
        <v>23.86</v>
      </c>
      <c r="Y3386">
        <v>9071</v>
      </c>
      <c r="Z3386">
        <v>7770</v>
      </c>
      <c r="AA3386">
        <v>1.17</v>
      </c>
      <c r="AB3386">
        <v>63</v>
      </c>
      <c r="AC3386">
        <v>94</v>
      </c>
      <c r="AD3386">
        <v>3.66</v>
      </c>
      <c r="AE3386" t="s">
        <v>5606</v>
      </c>
      <c r="AF3386" t="s">
        <v>1896</v>
      </c>
      <c r="AG3386" t="s">
        <v>9421</v>
      </c>
      <c r="AH3386" t="s">
        <v>1216</v>
      </c>
      <c r="AI3386">
        <v>-0.46</v>
      </c>
      <c r="AJ3386">
        <v>4.1100000000000003</v>
      </c>
      <c r="AK3386">
        <v>6.11</v>
      </c>
      <c r="AL3386">
        <v>13.77</v>
      </c>
    </row>
    <row r="3387" spans="1:38" x14ac:dyDescent="0.25">
      <c r="A3387">
        <v>3386</v>
      </c>
      <c r="B3387" t="str">
        <f xml:space="preserve"> "002248"</f>
        <v>002248</v>
      </c>
      <c r="C3387" t="s">
        <v>9422</v>
      </c>
      <c r="D3387">
        <v>6.85</v>
      </c>
      <c r="E3387">
        <v>0.74</v>
      </c>
      <c r="F3387">
        <v>0.05</v>
      </c>
      <c r="G3387" t="s">
        <v>944</v>
      </c>
      <c r="H3387">
        <v>434</v>
      </c>
      <c r="I3387">
        <v>6.85</v>
      </c>
      <c r="J3387">
        <v>6.86</v>
      </c>
      <c r="K3387">
        <v>-0.15</v>
      </c>
      <c r="L3387">
        <v>1.29</v>
      </c>
      <c r="M3387" t="s">
        <v>8937</v>
      </c>
      <c r="N3387">
        <v>-12</v>
      </c>
      <c r="O3387" t="s">
        <v>648</v>
      </c>
      <c r="P3387">
        <v>6.91</v>
      </c>
      <c r="Q3387">
        <v>6.79</v>
      </c>
      <c r="R3387">
        <v>6.81</v>
      </c>
      <c r="S3387">
        <v>6.8</v>
      </c>
      <c r="T3387">
        <v>1.76</v>
      </c>
      <c r="U3387">
        <v>0.76</v>
      </c>
      <c r="V3387">
        <v>-53.59</v>
      </c>
      <c r="W3387">
        <v>-2469</v>
      </c>
      <c r="X3387">
        <v>6.84</v>
      </c>
      <c r="Y3387" t="s">
        <v>1745</v>
      </c>
      <c r="Z3387" t="s">
        <v>1576</v>
      </c>
      <c r="AA3387">
        <v>1.29</v>
      </c>
      <c r="AB3387">
        <v>272</v>
      </c>
      <c r="AC3387">
        <v>126</v>
      </c>
      <c r="AD3387">
        <v>3.8</v>
      </c>
      <c r="AE3387" t="s">
        <v>719</v>
      </c>
      <c r="AF3387" t="s">
        <v>1734</v>
      </c>
      <c r="AG3387" t="s">
        <v>719</v>
      </c>
      <c r="AH3387" t="s">
        <v>1734</v>
      </c>
      <c r="AI3387">
        <v>0.59</v>
      </c>
      <c r="AJ3387">
        <v>2.54</v>
      </c>
      <c r="AK3387">
        <v>4.95</v>
      </c>
      <c r="AL3387">
        <v>9.7100000000000009</v>
      </c>
    </row>
    <row r="3388" spans="1:38" x14ac:dyDescent="0.25">
      <c r="A3388">
        <v>3387</v>
      </c>
      <c r="B3388" t="str">
        <f xml:space="preserve"> "300483"</f>
        <v>300483</v>
      </c>
      <c r="C3388" t="s">
        <v>9423</v>
      </c>
      <c r="D3388" t="s">
        <v>616</v>
      </c>
      <c r="E3388" t="s">
        <v>616</v>
      </c>
      <c r="F3388" t="s">
        <v>616</v>
      </c>
      <c r="G3388" t="s">
        <v>616</v>
      </c>
      <c r="H3388" t="s">
        <v>616</v>
      </c>
      <c r="I3388" t="s">
        <v>616</v>
      </c>
      <c r="J3388" t="s">
        <v>616</v>
      </c>
      <c r="K3388" t="s">
        <v>616</v>
      </c>
      <c r="L3388" t="s">
        <v>616</v>
      </c>
      <c r="M3388" t="s">
        <v>616</v>
      </c>
      <c r="N3388">
        <v>92.55</v>
      </c>
      <c r="O3388" t="s">
        <v>1469</v>
      </c>
      <c r="P3388" t="s">
        <v>616</v>
      </c>
      <c r="Q3388" t="s">
        <v>616</v>
      </c>
      <c r="R3388" t="s">
        <v>616</v>
      </c>
      <c r="S3388">
        <v>33.130000000000003</v>
      </c>
      <c r="T3388" t="s">
        <v>616</v>
      </c>
      <c r="U3388" t="s">
        <v>616</v>
      </c>
      <c r="V3388" t="s">
        <v>616</v>
      </c>
      <c r="W3388" t="s">
        <v>616</v>
      </c>
      <c r="X3388" t="s">
        <v>616</v>
      </c>
      <c r="Y3388" t="s">
        <v>616</v>
      </c>
      <c r="Z3388" t="s">
        <v>616</v>
      </c>
      <c r="AA3388" t="s">
        <v>616</v>
      </c>
      <c r="AB3388" t="s">
        <v>616</v>
      </c>
      <c r="AC3388" t="s">
        <v>616</v>
      </c>
      <c r="AD3388">
        <v>5.04</v>
      </c>
      <c r="AE3388" t="s">
        <v>9424</v>
      </c>
      <c r="AF3388" t="s">
        <v>740</v>
      </c>
      <c r="AG3388" t="s">
        <v>9425</v>
      </c>
      <c r="AH3388" t="s">
        <v>1429</v>
      </c>
      <c r="AI3388">
        <v>0</v>
      </c>
      <c r="AJ3388">
        <v>0</v>
      </c>
      <c r="AK3388">
        <v>0</v>
      </c>
      <c r="AL3388">
        <v>2.48</v>
      </c>
    </row>
    <row r="3389" spans="1:38" x14ac:dyDescent="0.25">
      <c r="A3389">
        <v>3388</v>
      </c>
      <c r="B3389" t="str">
        <f xml:space="preserve"> "603110"</f>
        <v>603110</v>
      </c>
      <c r="C3389" t="s">
        <v>9426</v>
      </c>
      <c r="D3389">
        <v>18.78</v>
      </c>
      <c r="E3389">
        <v>44.02</v>
      </c>
      <c r="F3389">
        <v>5.74</v>
      </c>
      <c r="G3389">
        <v>136</v>
      </c>
      <c r="H3389">
        <v>10</v>
      </c>
      <c r="I3389">
        <v>18.78</v>
      </c>
      <c r="J3389" t="s">
        <v>616</v>
      </c>
      <c r="K3389">
        <v>0</v>
      </c>
      <c r="L3389">
        <v>0.05</v>
      </c>
      <c r="M3389" t="s">
        <v>1219</v>
      </c>
      <c r="N3389">
        <v>44.28</v>
      </c>
      <c r="O3389" t="s">
        <v>667</v>
      </c>
      <c r="P3389">
        <v>18.78</v>
      </c>
      <c r="Q3389">
        <v>15.65</v>
      </c>
      <c r="R3389">
        <v>15.65</v>
      </c>
      <c r="S3389">
        <v>13.04</v>
      </c>
      <c r="T3389">
        <v>24</v>
      </c>
      <c r="U3389" t="s">
        <v>616</v>
      </c>
      <c r="V3389">
        <v>100</v>
      </c>
      <c r="W3389" t="s">
        <v>1276</v>
      </c>
      <c r="X3389">
        <v>18.690000000000001</v>
      </c>
      <c r="Y3389">
        <v>136</v>
      </c>
      <c r="Z3389">
        <v>0</v>
      </c>
      <c r="AA3389">
        <v>1</v>
      </c>
      <c r="AB3389" t="s">
        <v>1043</v>
      </c>
      <c r="AC3389">
        <v>0</v>
      </c>
      <c r="AD3389">
        <v>3.25</v>
      </c>
      <c r="AE3389" t="s">
        <v>2611</v>
      </c>
      <c r="AF3389" t="s">
        <v>886</v>
      </c>
      <c r="AG3389" t="s">
        <v>6462</v>
      </c>
      <c r="AH3389" t="s">
        <v>2873</v>
      </c>
      <c r="AI3389">
        <v>0</v>
      </c>
      <c r="AJ3389">
        <v>0</v>
      </c>
      <c r="AK3389">
        <v>0.05</v>
      </c>
      <c r="AL3389">
        <v>0.05</v>
      </c>
    </row>
    <row r="3390" spans="1:38" x14ac:dyDescent="0.25">
      <c r="A3390">
        <v>3389</v>
      </c>
      <c r="B3390" t="str">
        <f xml:space="preserve"> "000594"</f>
        <v>000594</v>
      </c>
      <c r="C3390" t="s">
        <v>9427</v>
      </c>
      <c r="D3390" t="s">
        <v>616</v>
      </c>
      <c r="E3390" t="s">
        <v>616</v>
      </c>
      <c r="F3390" t="s">
        <v>616</v>
      </c>
      <c r="G3390" t="s">
        <v>616</v>
      </c>
      <c r="H3390" t="s">
        <v>616</v>
      </c>
      <c r="I3390" t="s">
        <v>616</v>
      </c>
      <c r="J3390" t="s">
        <v>616</v>
      </c>
      <c r="K3390" t="s">
        <v>616</v>
      </c>
      <c r="L3390" t="s">
        <v>616</v>
      </c>
      <c r="M3390" t="s">
        <v>616</v>
      </c>
      <c r="N3390">
        <v>-48.89</v>
      </c>
      <c r="O3390" t="s">
        <v>274</v>
      </c>
      <c r="P3390" t="s">
        <v>616</v>
      </c>
      <c r="Q3390" t="s">
        <v>616</v>
      </c>
      <c r="R3390" t="s">
        <v>616</v>
      </c>
      <c r="S3390">
        <v>1.29</v>
      </c>
      <c r="T3390" t="s">
        <v>616</v>
      </c>
      <c r="U3390" t="s">
        <v>616</v>
      </c>
      <c r="V3390" t="s">
        <v>616</v>
      </c>
      <c r="W3390" t="s">
        <v>616</v>
      </c>
      <c r="X3390" t="s">
        <v>616</v>
      </c>
      <c r="Y3390" t="s">
        <v>616</v>
      </c>
      <c r="Z3390" t="s">
        <v>616</v>
      </c>
      <c r="AA3390" t="s">
        <v>616</v>
      </c>
      <c r="AB3390" t="s">
        <v>616</v>
      </c>
      <c r="AC3390" t="s">
        <v>616</v>
      </c>
      <c r="AD3390">
        <v>0.74</v>
      </c>
      <c r="AE3390" t="s">
        <v>2945</v>
      </c>
      <c r="AF3390" t="s">
        <v>886</v>
      </c>
      <c r="AG3390" t="s">
        <v>2945</v>
      </c>
      <c r="AH3390" t="s">
        <v>886</v>
      </c>
      <c r="AI3390">
        <v>0</v>
      </c>
      <c r="AJ3390">
        <v>0</v>
      </c>
      <c r="AK3390">
        <v>0</v>
      </c>
      <c r="AL3390">
        <v>0</v>
      </c>
    </row>
    <row r="3391" spans="1:38" x14ac:dyDescent="0.25">
      <c r="A3391">
        <v>3390</v>
      </c>
      <c r="B3391" t="str">
        <f xml:space="preserve"> "300029"</f>
        <v>300029</v>
      </c>
      <c r="C3391" t="s">
        <v>9428</v>
      </c>
      <c r="D3391">
        <v>9.3000000000000007</v>
      </c>
      <c r="E3391">
        <v>1.53</v>
      </c>
      <c r="F3391">
        <v>0.14000000000000001</v>
      </c>
      <c r="G3391" t="s">
        <v>1114</v>
      </c>
      <c r="H3391">
        <v>225</v>
      </c>
      <c r="I3391">
        <v>9.2799999999999994</v>
      </c>
      <c r="J3391">
        <v>9.3000000000000007</v>
      </c>
      <c r="K3391">
        <v>0.32</v>
      </c>
      <c r="L3391">
        <v>0.76</v>
      </c>
      <c r="M3391" t="s">
        <v>6422</v>
      </c>
      <c r="N3391">
        <v>-40.450000000000003</v>
      </c>
      <c r="O3391" t="s">
        <v>380</v>
      </c>
      <c r="P3391">
        <v>9.33</v>
      </c>
      <c r="Q3391">
        <v>9.1300000000000008</v>
      </c>
      <c r="R3391">
        <v>9.15</v>
      </c>
      <c r="S3391">
        <v>9.16</v>
      </c>
      <c r="T3391">
        <v>2.1800000000000002</v>
      </c>
      <c r="U3391">
        <v>0.78</v>
      </c>
      <c r="V3391">
        <v>-78.69</v>
      </c>
      <c r="W3391">
        <v>-2688</v>
      </c>
      <c r="X3391">
        <v>9.23</v>
      </c>
      <c r="Y3391">
        <v>5388</v>
      </c>
      <c r="Z3391">
        <v>9268</v>
      </c>
      <c r="AA3391">
        <v>0.57999999999999996</v>
      </c>
      <c r="AB3391">
        <v>9</v>
      </c>
      <c r="AC3391">
        <v>1519</v>
      </c>
      <c r="AD3391">
        <v>11.22</v>
      </c>
      <c r="AE3391" t="s">
        <v>1485</v>
      </c>
      <c r="AF3391" t="s">
        <v>1200</v>
      </c>
      <c r="AG3391" t="s">
        <v>1088</v>
      </c>
      <c r="AH3391" t="s">
        <v>2434</v>
      </c>
      <c r="AI3391">
        <v>0.76</v>
      </c>
      <c r="AJ3391">
        <v>6.77</v>
      </c>
      <c r="AK3391">
        <v>2.57</v>
      </c>
      <c r="AL3391">
        <v>5.6</v>
      </c>
    </row>
    <row r="3392" spans="1:38" x14ac:dyDescent="0.25">
      <c r="A3392">
        <v>3391</v>
      </c>
      <c r="B3392" t="str">
        <f xml:space="preserve"> "002903"</f>
        <v>002903</v>
      </c>
      <c r="C3392" t="s">
        <v>9429</v>
      </c>
      <c r="D3392">
        <v>18.399999999999999</v>
      </c>
      <c r="E3392">
        <v>43.97</v>
      </c>
      <c r="F3392">
        <v>5.62</v>
      </c>
      <c r="G3392">
        <v>79</v>
      </c>
      <c r="H3392">
        <v>1</v>
      </c>
      <c r="I3392">
        <v>18.399999999999999</v>
      </c>
      <c r="J3392" t="s">
        <v>616</v>
      </c>
      <c r="K3392">
        <v>0</v>
      </c>
      <c r="L3392">
        <v>0.03</v>
      </c>
      <c r="M3392" t="s">
        <v>207</v>
      </c>
      <c r="N3392">
        <v>19.45</v>
      </c>
      <c r="O3392" t="s">
        <v>648</v>
      </c>
      <c r="P3392">
        <v>18.399999999999999</v>
      </c>
      <c r="Q3392">
        <v>15.34</v>
      </c>
      <c r="R3392">
        <v>15.34</v>
      </c>
      <c r="S3392">
        <v>12.78</v>
      </c>
      <c r="T3392">
        <v>23.94</v>
      </c>
      <c r="U3392" t="s">
        <v>616</v>
      </c>
      <c r="V3392">
        <v>100</v>
      </c>
      <c r="W3392" t="s">
        <v>1070</v>
      </c>
      <c r="X3392">
        <v>18.260000000000002</v>
      </c>
      <c r="Y3392">
        <v>79</v>
      </c>
      <c r="Z3392">
        <v>0</v>
      </c>
      <c r="AA3392">
        <v>1</v>
      </c>
      <c r="AB3392" t="s">
        <v>1819</v>
      </c>
      <c r="AC3392">
        <v>0</v>
      </c>
      <c r="AD3392">
        <v>3.17</v>
      </c>
      <c r="AE3392" t="s">
        <v>4464</v>
      </c>
      <c r="AF3392" t="s">
        <v>2856</v>
      </c>
      <c r="AG3392" t="s">
        <v>5931</v>
      </c>
      <c r="AH3392" t="s">
        <v>4089</v>
      </c>
      <c r="AI3392">
        <v>0</v>
      </c>
      <c r="AJ3392">
        <v>0</v>
      </c>
      <c r="AK3392">
        <v>0.03</v>
      </c>
      <c r="AL3392">
        <v>0.03</v>
      </c>
    </row>
    <row r="3393" spans="1:38" x14ac:dyDescent="0.25">
      <c r="A3393">
        <v>3392</v>
      </c>
      <c r="B3393" t="str">
        <f xml:space="preserve"> "000033"</f>
        <v>000033</v>
      </c>
      <c r="C3393" t="s">
        <v>9430</v>
      </c>
      <c r="D3393" t="s">
        <v>616</v>
      </c>
      <c r="E3393" t="s">
        <v>616</v>
      </c>
      <c r="F3393" t="s">
        <v>616</v>
      </c>
      <c r="G3393" t="s">
        <v>616</v>
      </c>
      <c r="H3393" t="s">
        <v>616</v>
      </c>
      <c r="I3393" t="s">
        <v>616</v>
      </c>
      <c r="J3393" t="s">
        <v>616</v>
      </c>
      <c r="K3393" t="s">
        <v>616</v>
      </c>
      <c r="L3393" t="s">
        <v>616</v>
      </c>
      <c r="M3393" t="s">
        <v>616</v>
      </c>
      <c r="N3393">
        <v>173.26</v>
      </c>
      <c r="O3393" t="s">
        <v>951</v>
      </c>
      <c r="P3393" t="s">
        <v>616</v>
      </c>
      <c r="Q3393" t="s">
        <v>616</v>
      </c>
      <c r="R3393" t="s">
        <v>616</v>
      </c>
      <c r="S3393">
        <v>1.7</v>
      </c>
      <c r="T3393" t="s">
        <v>616</v>
      </c>
      <c r="U3393" t="s">
        <v>616</v>
      </c>
      <c r="V3393" t="s">
        <v>616</v>
      </c>
      <c r="W3393" t="s">
        <v>616</v>
      </c>
      <c r="X3393" t="s">
        <v>616</v>
      </c>
      <c r="Y3393" t="s">
        <v>616</v>
      </c>
      <c r="Z3393" t="s">
        <v>616</v>
      </c>
      <c r="AA3393" t="s">
        <v>616</v>
      </c>
      <c r="AB3393" t="s">
        <v>616</v>
      </c>
      <c r="AC3393" t="s">
        <v>616</v>
      </c>
      <c r="AD3393">
        <v>31.1</v>
      </c>
      <c r="AE3393" t="s">
        <v>2233</v>
      </c>
      <c r="AF3393" t="s">
        <v>6295</v>
      </c>
      <c r="AG3393" t="s">
        <v>2233</v>
      </c>
      <c r="AH3393" t="s">
        <v>6295</v>
      </c>
      <c r="AI3393">
        <v>0</v>
      </c>
      <c r="AJ3393">
        <v>0</v>
      </c>
      <c r="AK3393">
        <v>0</v>
      </c>
      <c r="AL3393">
        <v>0</v>
      </c>
    </row>
    <row r="3394" spans="1:38" x14ac:dyDescent="0.25">
      <c r="A3394">
        <v>3393</v>
      </c>
      <c r="B3394" t="str">
        <f xml:space="preserve"> "002909"</f>
        <v>002909</v>
      </c>
      <c r="C3394" t="s">
        <v>9431</v>
      </c>
      <c r="D3394" t="s">
        <v>616</v>
      </c>
      <c r="E3394" t="s">
        <v>616</v>
      </c>
      <c r="F3394" t="s">
        <v>616</v>
      </c>
      <c r="G3394" t="s">
        <v>616</v>
      </c>
      <c r="H3394" t="s">
        <v>616</v>
      </c>
      <c r="I3394" t="s">
        <v>616</v>
      </c>
      <c r="J3394" t="s">
        <v>616</v>
      </c>
      <c r="K3394" t="s">
        <v>616</v>
      </c>
      <c r="L3394" t="s">
        <v>616</v>
      </c>
      <c r="M3394" t="s">
        <v>616</v>
      </c>
      <c r="N3394">
        <v>19.48</v>
      </c>
      <c r="O3394" t="s">
        <v>667</v>
      </c>
      <c r="P3394" t="s">
        <v>616</v>
      </c>
      <c r="Q3394" t="s">
        <v>616</v>
      </c>
      <c r="R3394" t="s">
        <v>616</v>
      </c>
      <c r="S3394">
        <v>7.47</v>
      </c>
      <c r="T3394" t="s">
        <v>616</v>
      </c>
      <c r="U3394" t="s">
        <v>616</v>
      </c>
      <c r="V3394" t="s">
        <v>616</v>
      </c>
      <c r="W3394" t="s">
        <v>616</v>
      </c>
      <c r="X3394" t="s">
        <v>616</v>
      </c>
      <c r="Y3394" t="s">
        <v>616</v>
      </c>
      <c r="Z3394" t="s">
        <v>616</v>
      </c>
      <c r="AA3394" t="s">
        <v>616</v>
      </c>
      <c r="AB3394" t="s">
        <v>616</v>
      </c>
      <c r="AC3394" t="s">
        <v>616</v>
      </c>
      <c r="AD3394">
        <v>2.5299999999999998</v>
      </c>
      <c r="AE3394" t="s">
        <v>6340</v>
      </c>
      <c r="AF3394" t="s">
        <v>1490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x14ac:dyDescent="0.25">
      <c r="A3395">
        <v>3394</v>
      </c>
      <c r="B3395" t="str">
        <f xml:space="preserve"> "300372"</f>
        <v>300372</v>
      </c>
      <c r="C3395" t="s">
        <v>9432</v>
      </c>
      <c r="D3395" t="s">
        <v>616</v>
      </c>
      <c r="E3395" t="s">
        <v>616</v>
      </c>
      <c r="F3395" t="s">
        <v>616</v>
      </c>
      <c r="G3395" t="s">
        <v>616</v>
      </c>
      <c r="H3395" t="s">
        <v>616</v>
      </c>
      <c r="I3395" t="s">
        <v>616</v>
      </c>
      <c r="J3395" t="s">
        <v>616</v>
      </c>
      <c r="K3395" t="s">
        <v>616</v>
      </c>
      <c r="L3395" t="s">
        <v>616</v>
      </c>
      <c r="M3395" t="s">
        <v>616</v>
      </c>
      <c r="N3395">
        <v>-3.69</v>
      </c>
      <c r="O3395" t="s">
        <v>680</v>
      </c>
      <c r="P3395" t="s">
        <v>616</v>
      </c>
      <c r="Q3395" t="s">
        <v>616</v>
      </c>
      <c r="R3395" t="s">
        <v>616</v>
      </c>
      <c r="S3395">
        <v>1.48</v>
      </c>
      <c r="T3395" t="s">
        <v>616</v>
      </c>
      <c r="U3395" t="s">
        <v>616</v>
      </c>
      <c r="V3395" t="s">
        <v>616</v>
      </c>
      <c r="W3395" t="s">
        <v>616</v>
      </c>
      <c r="X3395" t="s">
        <v>616</v>
      </c>
      <c r="Y3395" t="s">
        <v>616</v>
      </c>
      <c r="Z3395" t="s">
        <v>616</v>
      </c>
      <c r="AA3395" t="s">
        <v>616</v>
      </c>
      <c r="AB3395" t="s">
        <v>616</v>
      </c>
      <c r="AC3395" t="s">
        <v>616</v>
      </c>
      <c r="AD3395">
        <v>0.52</v>
      </c>
      <c r="AE3395" t="s">
        <v>1531</v>
      </c>
      <c r="AF3395" t="s">
        <v>3561</v>
      </c>
      <c r="AG3395" t="s">
        <v>9433</v>
      </c>
      <c r="AH3395" t="s">
        <v>1862</v>
      </c>
      <c r="AI3395">
        <v>0</v>
      </c>
      <c r="AJ3395">
        <v>0</v>
      </c>
      <c r="AK3395">
        <v>0</v>
      </c>
      <c r="AL3395">
        <v>0</v>
      </c>
    </row>
    <row r="3396" spans="1:38" x14ac:dyDescent="0.25">
      <c r="A3396">
        <v>3395</v>
      </c>
      <c r="B3396" t="str">
        <f xml:space="preserve"> "603937"</f>
        <v>603937</v>
      </c>
      <c r="C3396" t="s">
        <v>9434</v>
      </c>
      <c r="D3396" t="s">
        <v>616</v>
      </c>
      <c r="E3396" t="s">
        <v>616</v>
      </c>
      <c r="F3396" t="s">
        <v>616</v>
      </c>
      <c r="G3396" t="s">
        <v>616</v>
      </c>
      <c r="H3396" t="s">
        <v>616</v>
      </c>
      <c r="I3396" t="s">
        <v>616</v>
      </c>
      <c r="J3396" t="s">
        <v>616</v>
      </c>
      <c r="K3396" t="s">
        <v>616</v>
      </c>
      <c r="L3396" t="s">
        <v>616</v>
      </c>
      <c r="M3396" t="s">
        <v>616</v>
      </c>
      <c r="N3396" t="s">
        <v>616</v>
      </c>
      <c r="O3396" t="s">
        <v>1229</v>
      </c>
      <c r="P3396" t="s">
        <v>616</v>
      </c>
      <c r="Q3396" t="s">
        <v>616</v>
      </c>
      <c r="R3396" t="s">
        <v>616</v>
      </c>
      <c r="S3396" t="s">
        <v>616</v>
      </c>
      <c r="T3396" t="s">
        <v>616</v>
      </c>
      <c r="U3396" t="s">
        <v>616</v>
      </c>
      <c r="V3396" t="s">
        <v>616</v>
      </c>
      <c r="W3396" t="s">
        <v>616</v>
      </c>
      <c r="X3396" t="s">
        <v>616</v>
      </c>
      <c r="Y3396" t="s">
        <v>616</v>
      </c>
      <c r="Z3396" t="s">
        <v>616</v>
      </c>
      <c r="AA3396" t="s">
        <v>616</v>
      </c>
      <c r="AB3396" t="s">
        <v>616</v>
      </c>
      <c r="AC3396" t="s">
        <v>616</v>
      </c>
      <c r="AD3396" t="s">
        <v>616</v>
      </c>
      <c r="AE3396" t="s">
        <v>1750</v>
      </c>
      <c r="AF3396">
        <v>0</v>
      </c>
      <c r="AG3396" t="s">
        <v>9435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x14ac:dyDescent="0.25">
      <c r="A3397">
        <v>3396</v>
      </c>
      <c r="B3397" t="str">
        <f xml:space="preserve"> "603922"</f>
        <v>603922</v>
      </c>
      <c r="C3397" t="s">
        <v>9436</v>
      </c>
      <c r="D3397" t="s">
        <v>616</v>
      </c>
      <c r="E3397" t="s">
        <v>616</v>
      </c>
      <c r="F3397" t="s">
        <v>616</v>
      </c>
      <c r="G3397" t="s">
        <v>616</v>
      </c>
      <c r="H3397" t="s">
        <v>616</v>
      </c>
      <c r="I3397" t="s">
        <v>616</v>
      </c>
      <c r="J3397" t="s">
        <v>616</v>
      </c>
      <c r="K3397" t="s">
        <v>616</v>
      </c>
      <c r="L3397" t="s">
        <v>616</v>
      </c>
      <c r="M3397" t="s">
        <v>616</v>
      </c>
      <c r="N3397" t="s">
        <v>616</v>
      </c>
      <c r="O3397" t="s">
        <v>169</v>
      </c>
      <c r="P3397" t="s">
        <v>616</v>
      </c>
      <c r="Q3397" t="s">
        <v>616</v>
      </c>
      <c r="R3397" t="s">
        <v>616</v>
      </c>
      <c r="S3397" t="s">
        <v>616</v>
      </c>
      <c r="T3397" t="s">
        <v>616</v>
      </c>
      <c r="U3397" t="s">
        <v>616</v>
      </c>
      <c r="V3397" t="s">
        <v>616</v>
      </c>
      <c r="W3397" t="s">
        <v>616</v>
      </c>
      <c r="X3397" t="s">
        <v>616</v>
      </c>
      <c r="Y3397" t="s">
        <v>616</v>
      </c>
      <c r="Z3397" t="s">
        <v>616</v>
      </c>
      <c r="AA3397" t="s">
        <v>616</v>
      </c>
      <c r="AB3397" t="s">
        <v>616</v>
      </c>
      <c r="AC3397" t="s">
        <v>616</v>
      </c>
      <c r="AD3397" t="s">
        <v>616</v>
      </c>
      <c r="AE3397" t="s">
        <v>2239</v>
      </c>
      <c r="AF3397">
        <v>0</v>
      </c>
      <c r="AG3397" t="s">
        <v>6354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x14ac:dyDescent="0.25">
      <c r="A3398">
        <v>3397</v>
      </c>
      <c r="B3398" t="str">
        <f xml:space="preserve"> "603912"</f>
        <v>603912</v>
      </c>
      <c r="C3398" t="s">
        <v>9437</v>
      </c>
      <c r="D3398" t="s">
        <v>616</v>
      </c>
      <c r="E3398" t="s">
        <v>616</v>
      </c>
      <c r="F3398" t="s">
        <v>616</v>
      </c>
      <c r="G3398" t="s">
        <v>616</v>
      </c>
      <c r="H3398" t="s">
        <v>616</v>
      </c>
      <c r="I3398" t="s">
        <v>616</v>
      </c>
      <c r="J3398" t="s">
        <v>616</v>
      </c>
      <c r="K3398" t="s">
        <v>616</v>
      </c>
      <c r="L3398" t="s">
        <v>616</v>
      </c>
      <c r="M3398" t="s">
        <v>616</v>
      </c>
      <c r="N3398" t="s">
        <v>616</v>
      </c>
      <c r="O3398" t="s">
        <v>2647</v>
      </c>
      <c r="P3398" t="s">
        <v>616</v>
      </c>
      <c r="Q3398" t="s">
        <v>616</v>
      </c>
      <c r="R3398" t="s">
        <v>616</v>
      </c>
      <c r="S3398" t="s">
        <v>616</v>
      </c>
      <c r="T3398" t="s">
        <v>616</v>
      </c>
      <c r="U3398" t="s">
        <v>616</v>
      </c>
      <c r="V3398" t="s">
        <v>616</v>
      </c>
      <c r="W3398" t="s">
        <v>616</v>
      </c>
      <c r="X3398" t="s">
        <v>616</v>
      </c>
      <c r="Y3398" t="s">
        <v>616</v>
      </c>
      <c r="Z3398" t="s">
        <v>616</v>
      </c>
      <c r="AA3398" t="s">
        <v>616</v>
      </c>
      <c r="AB3398" t="s">
        <v>616</v>
      </c>
      <c r="AC3398" t="s">
        <v>616</v>
      </c>
      <c r="AD3398" t="s">
        <v>616</v>
      </c>
      <c r="AE3398" t="s">
        <v>4533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x14ac:dyDescent="0.25">
      <c r="A3399">
        <v>3398</v>
      </c>
      <c r="B3399" t="str">
        <f xml:space="preserve"> "603829"</f>
        <v>603829</v>
      </c>
      <c r="C3399" t="s">
        <v>9438</v>
      </c>
      <c r="D3399" t="s">
        <v>616</v>
      </c>
      <c r="E3399" t="s">
        <v>616</v>
      </c>
      <c r="F3399" t="s">
        <v>616</v>
      </c>
      <c r="G3399" t="s">
        <v>616</v>
      </c>
      <c r="H3399" t="s">
        <v>616</v>
      </c>
      <c r="I3399" t="s">
        <v>616</v>
      </c>
      <c r="J3399" t="s">
        <v>616</v>
      </c>
      <c r="K3399" t="s">
        <v>616</v>
      </c>
      <c r="L3399" t="s">
        <v>616</v>
      </c>
      <c r="M3399" t="s">
        <v>616</v>
      </c>
      <c r="N3399" t="s">
        <v>616</v>
      </c>
      <c r="O3399" t="s">
        <v>680</v>
      </c>
      <c r="P3399" t="s">
        <v>616</v>
      </c>
      <c r="Q3399" t="s">
        <v>616</v>
      </c>
      <c r="R3399" t="s">
        <v>616</v>
      </c>
      <c r="S3399" t="s">
        <v>616</v>
      </c>
      <c r="T3399" t="s">
        <v>616</v>
      </c>
      <c r="U3399" t="s">
        <v>616</v>
      </c>
      <c r="V3399" t="s">
        <v>616</v>
      </c>
      <c r="W3399" t="s">
        <v>616</v>
      </c>
      <c r="X3399" t="s">
        <v>616</v>
      </c>
      <c r="Y3399" t="s">
        <v>616</v>
      </c>
      <c r="Z3399" t="s">
        <v>616</v>
      </c>
      <c r="AA3399" t="s">
        <v>616</v>
      </c>
      <c r="AB3399" t="s">
        <v>616</v>
      </c>
      <c r="AC3399" t="s">
        <v>616</v>
      </c>
      <c r="AD3399" t="s">
        <v>616</v>
      </c>
      <c r="AE3399" t="s">
        <v>4326</v>
      </c>
      <c r="AF3399">
        <v>0</v>
      </c>
      <c r="AG3399" t="s">
        <v>6081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x14ac:dyDescent="0.25">
      <c r="A3400">
        <v>3399</v>
      </c>
      <c r="B3400" t="str">
        <f xml:space="preserve"> "603722"</f>
        <v>603722</v>
      </c>
      <c r="C3400" t="s">
        <v>9439</v>
      </c>
      <c r="D3400" t="s">
        <v>616</v>
      </c>
      <c r="E3400" t="s">
        <v>616</v>
      </c>
      <c r="F3400" t="s">
        <v>616</v>
      </c>
      <c r="G3400" t="s">
        <v>616</v>
      </c>
      <c r="H3400" t="s">
        <v>616</v>
      </c>
      <c r="I3400" t="s">
        <v>616</v>
      </c>
      <c r="J3400" t="s">
        <v>616</v>
      </c>
      <c r="K3400" t="s">
        <v>616</v>
      </c>
      <c r="L3400" t="s">
        <v>616</v>
      </c>
      <c r="M3400" t="s">
        <v>616</v>
      </c>
      <c r="N3400" t="s">
        <v>616</v>
      </c>
      <c r="O3400" t="s">
        <v>667</v>
      </c>
      <c r="P3400" t="s">
        <v>616</v>
      </c>
      <c r="Q3400" t="s">
        <v>616</v>
      </c>
      <c r="R3400" t="s">
        <v>616</v>
      </c>
      <c r="S3400" t="s">
        <v>616</v>
      </c>
      <c r="T3400" t="s">
        <v>616</v>
      </c>
      <c r="U3400" t="s">
        <v>616</v>
      </c>
      <c r="V3400" t="s">
        <v>616</v>
      </c>
      <c r="W3400" t="s">
        <v>616</v>
      </c>
      <c r="X3400" t="s">
        <v>616</v>
      </c>
      <c r="Y3400" t="s">
        <v>616</v>
      </c>
      <c r="Z3400" t="s">
        <v>616</v>
      </c>
      <c r="AA3400" t="s">
        <v>616</v>
      </c>
      <c r="AB3400" t="s">
        <v>616</v>
      </c>
      <c r="AC3400" t="s">
        <v>616</v>
      </c>
      <c r="AD3400" t="s">
        <v>616</v>
      </c>
      <c r="AE3400" t="s">
        <v>8891</v>
      </c>
      <c r="AF3400">
        <v>0</v>
      </c>
      <c r="AG3400" t="s">
        <v>9440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x14ac:dyDescent="0.25">
      <c r="A3401">
        <v>3400</v>
      </c>
      <c r="B3401" t="str">
        <f xml:space="preserve"> "603683"</f>
        <v>603683</v>
      </c>
      <c r="C3401" t="s">
        <v>9441</v>
      </c>
      <c r="D3401" t="s">
        <v>616</v>
      </c>
      <c r="E3401" t="s">
        <v>616</v>
      </c>
      <c r="F3401" t="s">
        <v>616</v>
      </c>
      <c r="G3401" t="s">
        <v>616</v>
      </c>
      <c r="H3401" t="s">
        <v>616</v>
      </c>
      <c r="I3401" t="s">
        <v>616</v>
      </c>
      <c r="J3401" t="s">
        <v>616</v>
      </c>
      <c r="K3401" t="s">
        <v>616</v>
      </c>
      <c r="L3401" t="s">
        <v>616</v>
      </c>
      <c r="M3401" t="s">
        <v>616</v>
      </c>
      <c r="N3401" t="s">
        <v>616</v>
      </c>
      <c r="O3401" t="s">
        <v>667</v>
      </c>
      <c r="P3401" t="s">
        <v>616</v>
      </c>
      <c r="Q3401" t="s">
        <v>616</v>
      </c>
      <c r="R3401" t="s">
        <v>616</v>
      </c>
      <c r="S3401" t="s">
        <v>616</v>
      </c>
      <c r="T3401" t="s">
        <v>616</v>
      </c>
      <c r="U3401" t="s">
        <v>616</v>
      </c>
      <c r="V3401" t="s">
        <v>616</v>
      </c>
      <c r="W3401" t="s">
        <v>616</v>
      </c>
      <c r="X3401" t="s">
        <v>616</v>
      </c>
      <c r="Y3401" t="s">
        <v>616</v>
      </c>
      <c r="Z3401" t="s">
        <v>616</v>
      </c>
      <c r="AA3401" t="s">
        <v>616</v>
      </c>
      <c r="AB3401" t="s">
        <v>616</v>
      </c>
      <c r="AC3401" t="s">
        <v>616</v>
      </c>
      <c r="AD3401" t="s">
        <v>616</v>
      </c>
      <c r="AE3401" t="s">
        <v>315</v>
      </c>
      <c r="AF3401">
        <v>0</v>
      </c>
      <c r="AG3401" t="s">
        <v>4637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x14ac:dyDescent="0.25">
      <c r="A3402">
        <v>3401</v>
      </c>
      <c r="B3402" t="str">
        <f xml:space="preserve"> "603680"</f>
        <v>603680</v>
      </c>
      <c r="C3402" t="s">
        <v>9442</v>
      </c>
      <c r="D3402" t="s">
        <v>616</v>
      </c>
      <c r="E3402" t="s">
        <v>616</v>
      </c>
      <c r="F3402" t="s">
        <v>616</v>
      </c>
      <c r="G3402" t="s">
        <v>616</v>
      </c>
      <c r="H3402" t="s">
        <v>616</v>
      </c>
      <c r="I3402" t="s">
        <v>616</v>
      </c>
      <c r="J3402" t="s">
        <v>616</v>
      </c>
      <c r="K3402" t="s">
        <v>616</v>
      </c>
      <c r="L3402" t="s">
        <v>616</v>
      </c>
      <c r="M3402" t="s">
        <v>616</v>
      </c>
      <c r="N3402" t="s">
        <v>616</v>
      </c>
      <c r="O3402" t="s">
        <v>253</v>
      </c>
      <c r="P3402" t="s">
        <v>616</v>
      </c>
      <c r="Q3402" t="s">
        <v>616</v>
      </c>
      <c r="R3402" t="s">
        <v>616</v>
      </c>
      <c r="S3402" t="s">
        <v>616</v>
      </c>
      <c r="T3402" t="s">
        <v>616</v>
      </c>
      <c r="U3402" t="s">
        <v>616</v>
      </c>
      <c r="V3402" t="s">
        <v>616</v>
      </c>
      <c r="W3402" t="s">
        <v>616</v>
      </c>
      <c r="X3402" t="s">
        <v>616</v>
      </c>
      <c r="Y3402" t="s">
        <v>616</v>
      </c>
      <c r="Z3402" t="s">
        <v>616</v>
      </c>
      <c r="AA3402" t="s">
        <v>616</v>
      </c>
      <c r="AB3402" t="s">
        <v>616</v>
      </c>
      <c r="AC3402" t="s">
        <v>616</v>
      </c>
      <c r="AD3402" t="s">
        <v>616</v>
      </c>
      <c r="AE3402" t="s">
        <v>5099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x14ac:dyDescent="0.25">
      <c r="A3403">
        <v>3402</v>
      </c>
      <c r="B3403" t="str">
        <f xml:space="preserve"> "603619"</f>
        <v>603619</v>
      </c>
      <c r="C3403" t="s">
        <v>9443</v>
      </c>
      <c r="D3403" t="s">
        <v>616</v>
      </c>
      <c r="E3403" t="s">
        <v>616</v>
      </c>
      <c r="F3403" t="s">
        <v>616</v>
      </c>
      <c r="G3403" t="s">
        <v>616</v>
      </c>
      <c r="H3403" t="s">
        <v>616</v>
      </c>
      <c r="I3403" t="s">
        <v>616</v>
      </c>
      <c r="J3403" t="s">
        <v>616</v>
      </c>
      <c r="K3403" t="s">
        <v>616</v>
      </c>
      <c r="L3403" t="s">
        <v>616</v>
      </c>
      <c r="M3403" t="s">
        <v>616</v>
      </c>
      <c r="N3403" t="s">
        <v>616</v>
      </c>
      <c r="O3403" t="s">
        <v>61</v>
      </c>
      <c r="P3403" t="s">
        <v>616</v>
      </c>
      <c r="Q3403" t="s">
        <v>616</v>
      </c>
      <c r="R3403" t="s">
        <v>616</v>
      </c>
      <c r="S3403" t="s">
        <v>616</v>
      </c>
      <c r="T3403" t="s">
        <v>616</v>
      </c>
      <c r="U3403" t="s">
        <v>616</v>
      </c>
      <c r="V3403" t="s">
        <v>616</v>
      </c>
      <c r="W3403" t="s">
        <v>616</v>
      </c>
      <c r="X3403" t="s">
        <v>616</v>
      </c>
      <c r="Y3403" t="s">
        <v>616</v>
      </c>
      <c r="Z3403" t="s">
        <v>616</v>
      </c>
      <c r="AA3403" t="s">
        <v>616</v>
      </c>
      <c r="AB3403" t="s">
        <v>616</v>
      </c>
      <c r="AC3403" t="s">
        <v>616</v>
      </c>
      <c r="AD3403" t="s">
        <v>616</v>
      </c>
      <c r="AE3403" t="s">
        <v>1000</v>
      </c>
      <c r="AF3403">
        <v>0</v>
      </c>
      <c r="AG3403" t="s">
        <v>6081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x14ac:dyDescent="0.25">
      <c r="A3404">
        <v>3403</v>
      </c>
      <c r="B3404" t="str">
        <f xml:space="preserve"> "603607"</f>
        <v>603607</v>
      </c>
      <c r="C3404" t="s">
        <v>9444</v>
      </c>
      <c r="D3404" t="s">
        <v>616</v>
      </c>
      <c r="E3404" t="s">
        <v>616</v>
      </c>
      <c r="F3404" t="s">
        <v>616</v>
      </c>
      <c r="G3404" t="s">
        <v>616</v>
      </c>
      <c r="H3404" t="s">
        <v>616</v>
      </c>
      <c r="I3404" t="s">
        <v>616</v>
      </c>
      <c r="J3404" t="s">
        <v>616</v>
      </c>
      <c r="K3404" t="s">
        <v>616</v>
      </c>
      <c r="L3404" t="s">
        <v>616</v>
      </c>
      <c r="M3404" t="s">
        <v>616</v>
      </c>
      <c r="N3404" t="s">
        <v>616</v>
      </c>
      <c r="O3404" t="s">
        <v>1874</v>
      </c>
      <c r="P3404" t="s">
        <v>616</v>
      </c>
      <c r="Q3404" t="s">
        <v>616</v>
      </c>
      <c r="R3404" t="s">
        <v>616</v>
      </c>
      <c r="S3404" t="s">
        <v>616</v>
      </c>
      <c r="T3404" t="s">
        <v>616</v>
      </c>
      <c r="U3404" t="s">
        <v>616</v>
      </c>
      <c r="V3404" t="s">
        <v>616</v>
      </c>
      <c r="W3404" t="s">
        <v>616</v>
      </c>
      <c r="X3404" t="s">
        <v>616</v>
      </c>
      <c r="Y3404" t="s">
        <v>616</v>
      </c>
      <c r="Z3404" t="s">
        <v>616</v>
      </c>
      <c r="AA3404" t="s">
        <v>616</v>
      </c>
      <c r="AB3404" t="s">
        <v>616</v>
      </c>
      <c r="AC3404" t="s">
        <v>616</v>
      </c>
      <c r="AD3404" t="s">
        <v>616</v>
      </c>
      <c r="AE3404" t="s">
        <v>8685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x14ac:dyDescent="0.25">
      <c r="A3405">
        <v>3404</v>
      </c>
      <c r="B3405" t="str">
        <f xml:space="preserve"> "603587"</f>
        <v>603587</v>
      </c>
      <c r="C3405" t="s">
        <v>9445</v>
      </c>
      <c r="D3405" t="s">
        <v>616</v>
      </c>
      <c r="E3405" t="s">
        <v>616</v>
      </c>
      <c r="F3405" t="s">
        <v>616</v>
      </c>
      <c r="G3405" t="s">
        <v>616</v>
      </c>
      <c r="H3405" t="s">
        <v>616</v>
      </c>
      <c r="I3405" t="s">
        <v>616</v>
      </c>
      <c r="J3405" t="s">
        <v>616</v>
      </c>
      <c r="K3405" t="s">
        <v>616</v>
      </c>
      <c r="L3405" t="s">
        <v>616</v>
      </c>
      <c r="M3405" t="s">
        <v>616</v>
      </c>
      <c r="N3405" t="s">
        <v>616</v>
      </c>
      <c r="O3405" t="s">
        <v>1443</v>
      </c>
      <c r="P3405" t="s">
        <v>616</v>
      </c>
      <c r="Q3405" t="s">
        <v>616</v>
      </c>
      <c r="R3405" t="s">
        <v>616</v>
      </c>
      <c r="S3405" t="s">
        <v>616</v>
      </c>
      <c r="T3405" t="s">
        <v>616</v>
      </c>
      <c r="U3405" t="s">
        <v>616</v>
      </c>
      <c r="V3405" t="s">
        <v>616</v>
      </c>
      <c r="W3405" t="s">
        <v>616</v>
      </c>
      <c r="X3405" t="s">
        <v>616</v>
      </c>
      <c r="Y3405" t="s">
        <v>616</v>
      </c>
      <c r="Z3405" t="s">
        <v>616</v>
      </c>
      <c r="AA3405" t="s">
        <v>616</v>
      </c>
      <c r="AB3405" t="s">
        <v>616</v>
      </c>
      <c r="AC3405" t="s">
        <v>616</v>
      </c>
      <c r="AD3405" t="s">
        <v>616</v>
      </c>
      <c r="AE3405" t="s">
        <v>2603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x14ac:dyDescent="0.25">
      <c r="A3406">
        <v>3405</v>
      </c>
      <c r="B3406" t="str">
        <f xml:space="preserve"> "603499"</f>
        <v>603499</v>
      </c>
      <c r="C3406" t="s">
        <v>9446</v>
      </c>
      <c r="D3406" t="s">
        <v>616</v>
      </c>
      <c r="E3406" t="s">
        <v>616</v>
      </c>
      <c r="F3406" t="s">
        <v>616</v>
      </c>
      <c r="G3406" t="s">
        <v>616</v>
      </c>
      <c r="H3406" t="s">
        <v>616</v>
      </c>
      <c r="I3406" t="s">
        <v>616</v>
      </c>
      <c r="J3406" t="s">
        <v>616</v>
      </c>
      <c r="K3406" t="s">
        <v>616</v>
      </c>
      <c r="L3406" t="s">
        <v>616</v>
      </c>
      <c r="M3406" t="s">
        <v>616</v>
      </c>
      <c r="N3406" t="s">
        <v>616</v>
      </c>
      <c r="O3406" t="s">
        <v>1874</v>
      </c>
      <c r="P3406" t="s">
        <v>616</v>
      </c>
      <c r="Q3406" t="s">
        <v>616</v>
      </c>
      <c r="R3406" t="s">
        <v>616</v>
      </c>
      <c r="S3406" t="s">
        <v>616</v>
      </c>
      <c r="T3406" t="s">
        <v>616</v>
      </c>
      <c r="U3406" t="s">
        <v>616</v>
      </c>
      <c r="V3406" t="s">
        <v>616</v>
      </c>
      <c r="W3406" t="s">
        <v>616</v>
      </c>
      <c r="X3406" t="s">
        <v>616</v>
      </c>
      <c r="Y3406" t="s">
        <v>616</v>
      </c>
      <c r="Z3406" t="s">
        <v>616</v>
      </c>
      <c r="AA3406" t="s">
        <v>616</v>
      </c>
      <c r="AB3406" t="s">
        <v>616</v>
      </c>
      <c r="AC3406" t="s">
        <v>616</v>
      </c>
      <c r="AD3406" t="s">
        <v>616</v>
      </c>
      <c r="AE3406" t="s">
        <v>4464</v>
      </c>
      <c r="AF3406">
        <v>0</v>
      </c>
      <c r="AG3406" t="s">
        <v>5931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x14ac:dyDescent="0.25">
      <c r="A3407">
        <v>3406</v>
      </c>
      <c r="B3407" t="str">
        <f xml:space="preserve"> "603466"</f>
        <v>603466</v>
      </c>
      <c r="C3407" t="s">
        <v>9447</v>
      </c>
      <c r="D3407" t="s">
        <v>616</v>
      </c>
      <c r="E3407" t="s">
        <v>616</v>
      </c>
      <c r="F3407" t="s">
        <v>616</v>
      </c>
      <c r="G3407" t="s">
        <v>616</v>
      </c>
      <c r="H3407" t="s">
        <v>616</v>
      </c>
      <c r="I3407" t="s">
        <v>616</v>
      </c>
      <c r="J3407" t="s">
        <v>616</v>
      </c>
      <c r="K3407" t="s">
        <v>616</v>
      </c>
      <c r="L3407" t="s">
        <v>616</v>
      </c>
      <c r="M3407" t="s">
        <v>616</v>
      </c>
      <c r="N3407" t="s">
        <v>616</v>
      </c>
      <c r="O3407" t="s">
        <v>2309</v>
      </c>
      <c r="P3407" t="s">
        <v>616</v>
      </c>
      <c r="Q3407" t="s">
        <v>616</v>
      </c>
      <c r="R3407" t="s">
        <v>616</v>
      </c>
      <c r="S3407" t="s">
        <v>616</v>
      </c>
      <c r="T3407" t="s">
        <v>616</v>
      </c>
      <c r="U3407" t="s">
        <v>616</v>
      </c>
      <c r="V3407" t="s">
        <v>616</v>
      </c>
      <c r="W3407" t="s">
        <v>616</v>
      </c>
      <c r="X3407" t="s">
        <v>616</v>
      </c>
      <c r="Y3407" t="s">
        <v>616</v>
      </c>
      <c r="Z3407" t="s">
        <v>616</v>
      </c>
      <c r="AA3407" t="s">
        <v>616</v>
      </c>
      <c r="AB3407" t="s">
        <v>616</v>
      </c>
      <c r="AC3407" t="s">
        <v>616</v>
      </c>
      <c r="AD3407" t="s">
        <v>616</v>
      </c>
      <c r="AE3407" t="s">
        <v>2106</v>
      </c>
      <c r="AF3407">
        <v>0</v>
      </c>
      <c r="AG3407" t="s">
        <v>8996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x14ac:dyDescent="0.25">
      <c r="A3408">
        <v>3407</v>
      </c>
      <c r="B3408" t="str">
        <f xml:space="preserve"> "603396"</f>
        <v>603396</v>
      </c>
      <c r="C3408" t="s">
        <v>9448</v>
      </c>
      <c r="D3408" t="s">
        <v>616</v>
      </c>
      <c r="E3408" t="s">
        <v>616</v>
      </c>
      <c r="F3408" t="s">
        <v>616</v>
      </c>
      <c r="G3408" t="s">
        <v>616</v>
      </c>
      <c r="H3408" t="s">
        <v>616</v>
      </c>
      <c r="I3408" t="s">
        <v>616</v>
      </c>
      <c r="J3408" t="s">
        <v>616</v>
      </c>
      <c r="K3408" t="s">
        <v>616</v>
      </c>
      <c r="L3408" t="s">
        <v>616</v>
      </c>
      <c r="M3408" t="s">
        <v>616</v>
      </c>
      <c r="N3408" t="s">
        <v>616</v>
      </c>
      <c r="O3408" t="s">
        <v>2647</v>
      </c>
      <c r="P3408" t="s">
        <v>616</v>
      </c>
      <c r="Q3408" t="s">
        <v>616</v>
      </c>
      <c r="R3408" t="s">
        <v>616</v>
      </c>
      <c r="S3408" t="s">
        <v>616</v>
      </c>
      <c r="T3408" t="s">
        <v>616</v>
      </c>
      <c r="U3408" t="s">
        <v>616</v>
      </c>
      <c r="V3408" t="s">
        <v>616</v>
      </c>
      <c r="W3408" t="s">
        <v>616</v>
      </c>
      <c r="X3408" t="s">
        <v>616</v>
      </c>
      <c r="Y3408" t="s">
        <v>616</v>
      </c>
      <c r="Z3408" t="s">
        <v>616</v>
      </c>
      <c r="AA3408" t="s">
        <v>616</v>
      </c>
      <c r="AB3408" t="s">
        <v>616</v>
      </c>
      <c r="AC3408" t="s">
        <v>616</v>
      </c>
      <c r="AD3408" t="s">
        <v>616</v>
      </c>
      <c r="AE3408" t="s">
        <v>3212</v>
      </c>
      <c r="AF3408">
        <v>0</v>
      </c>
      <c r="AG3408" t="s">
        <v>9449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x14ac:dyDescent="0.25">
      <c r="A3409">
        <v>3408</v>
      </c>
      <c r="B3409" t="str">
        <f xml:space="preserve"> "603289"</f>
        <v>603289</v>
      </c>
      <c r="C3409" t="s">
        <v>9450</v>
      </c>
      <c r="D3409" t="s">
        <v>616</v>
      </c>
      <c r="E3409" t="s">
        <v>616</v>
      </c>
      <c r="F3409" t="s">
        <v>616</v>
      </c>
      <c r="G3409" t="s">
        <v>616</v>
      </c>
      <c r="H3409" t="s">
        <v>616</v>
      </c>
      <c r="I3409" t="s">
        <v>616</v>
      </c>
      <c r="J3409" t="s">
        <v>616</v>
      </c>
      <c r="K3409" t="s">
        <v>616</v>
      </c>
      <c r="L3409" t="s">
        <v>616</v>
      </c>
      <c r="M3409" t="s">
        <v>616</v>
      </c>
      <c r="N3409" t="s">
        <v>616</v>
      </c>
      <c r="O3409" t="s">
        <v>2647</v>
      </c>
      <c r="P3409" t="s">
        <v>616</v>
      </c>
      <c r="Q3409" t="s">
        <v>616</v>
      </c>
      <c r="R3409" t="s">
        <v>616</v>
      </c>
      <c r="S3409" t="s">
        <v>616</v>
      </c>
      <c r="T3409" t="s">
        <v>616</v>
      </c>
      <c r="U3409" t="s">
        <v>616</v>
      </c>
      <c r="V3409" t="s">
        <v>616</v>
      </c>
      <c r="W3409" t="s">
        <v>616</v>
      </c>
      <c r="X3409" t="s">
        <v>616</v>
      </c>
      <c r="Y3409" t="s">
        <v>616</v>
      </c>
      <c r="Z3409" t="s">
        <v>616</v>
      </c>
      <c r="AA3409" t="s">
        <v>616</v>
      </c>
      <c r="AB3409" t="s">
        <v>616</v>
      </c>
      <c r="AC3409" t="s">
        <v>616</v>
      </c>
      <c r="AD3409" t="s">
        <v>616</v>
      </c>
      <c r="AE3409" t="s">
        <v>4271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x14ac:dyDescent="0.25">
      <c r="A3410">
        <v>3409</v>
      </c>
      <c r="B3410" t="str">
        <f xml:space="preserve"> "603260"</f>
        <v>603260</v>
      </c>
      <c r="C3410" t="s">
        <v>9451</v>
      </c>
      <c r="D3410" t="s">
        <v>616</v>
      </c>
      <c r="E3410" t="s">
        <v>616</v>
      </c>
      <c r="F3410" t="s">
        <v>616</v>
      </c>
      <c r="G3410" t="s">
        <v>616</v>
      </c>
      <c r="H3410" t="s">
        <v>616</v>
      </c>
      <c r="I3410" t="s">
        <v>616</v>
      </c>
      <c r="J3410" t="s">
        <v>616</v>
      </c>
      <c r="K3410" t="s">
        <v>616</v>
      </c>
      <c r="L3410" t="s">
        <v>616</v>
      </c>
      <c r="M3410" t="s">
        <v>616</v>
      </c>
      <c r="N3410" t="s">
        <v>616</v>
      </c>
      <c r="O3410" t="s">
        <v>859</v>
      </c>
      <c r="P3410" t="s">
        <v>616</v>
      </c>
      <c r="Q3410" t="s">
        <v>616</v>
      </c>
      <c r="R3410" t="s">
        <v>616</v>
      </c>
      <c r="S3410" t="s">
        <v>616</v>
      </c>
      <c r="T3410" t="s">
        <v>616</v>
      </c>
      <c r="U3410" t="s">
        <v>616</v>
      </c>
      <c r="V3410" t="s">
        <v>616</v>
      </c>
      <c r="W3410" t="s">
        <v>616</v>
      </c>
      <c r="X3410" t="s">
        <v>616</v>
      </c>
      <c r="Y3410" t="s">
        <v>616</v>
      </c>
      <c r="Z3410" t="s">
        <v>616</v>
      </c>
      <c r="AA3410" t="s">
        <v>616</v>
      </c>
      <c r="AB3410" t="s">
        <v>616</v>
      </c>
      <c r="AC3410" t="s">
        <v>616</v>
      </c>
      <c r="AD3410" t="s">
        <v>616</v>
      </c>
      <c r="AE3410" t="s">
        <v>477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x14ac:dyDescent="0.25">
      <c r="A3411">
        <v>3410</v>
      </c>
      <c r="B3411" t="str">
        <f xml:space="preserve"> "601299"</f>
        <v>601299</v>
      </c>
      <c r="C3411" t="s">
        <v>9452</v>
      </c>
      <c r="D3411" t="s">
        <v>616</v>
      </c>
      <c r="E3411" t="s">
        <v>616</v>
      </c>
      <c r="F3411" t="s">
        <v>616</v>
      </c>
      <c r="G3411" t="s">
        <v>616</v>
      </c>
      <c r="H3411" t="s">
        <v>616</v>
      </c>
      <c r="I3411" t="s">
        <v>616</v>
      </c>
      <c r="J3411" t="s">
        <v>616</v>
      </c>
      <c r="K3411" t="s">
        <v>616</v>
      </c>
      <c r="L3411" t="s">
        <v>616</v>
      </c>
      <c r="M3411" t="s">
        <v>616</v>
      </c>
      <c r="N3411" t="s">
        <v>616</v>
      </c>
      <c r="O3411" t="s">
        <v>253</v>
      </c>
      <c r="P3411" t="s">
        <v>616</v>
      </c>
      <c r="Q3411" t="s">
        <v>616</v>
      </c>
      <c r="R3411" t="s">
        <v>616</v>
      </c>
      <c r="S3411" t="s">
        <v>616</v>
      </c>
      <c r="T3411" t="s">
        <v>616</v>
      </c>
      <c r="U3411" t="s">
        <v>616</v>
      </c>
      <c r="V3411" t="s">
        <v>616</v>
      </c>
      <c r="W3411" t="s">
        <v>616</v>
      </c>
      <c r="X3411" t="s">
        <v>616</v>
      </c>
      <c r="Y3411" t="s">
        <v>616</v>
      </c>
      <c r="Z3411" t="s">
        <v>616</v>
      </c>
      <c r="AA3411" t="s">
        <v>616</v>
      </c>
      <c r="AB3411" t="s">
        <v>616</v>
      </c>
      <c r="AC3411" t="s">
        <v>616</v>
      </c>
      <c r="AD3411" t="s">
        <v>616</v>
      </c>
      <c r="AE3411" t="s">
        <v>1741</v>
      </c>
      <c r="AF3411">
        <v>0</v>
      </c>
      <c r="AG3411" t="s">
        <v>475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x14ac:dyDescent="0.25">
      <c r="A3412">
        <v>3411</v>
      </c>
      <c r="B3412" t="str">
        <f xml:space="preserve"> "601268"</f>
        <v>601268</v>
      </c>
      <c r="C3412" t="s">
        <v>9453</v>
      </c>
      <c r="D3412" t="s">
        <v>616</v>
      </c>
      <c r="E3412" t="s">
        <v>616</v>
      </c>
      <c r="F3412" t="s">
        <v>616</v>
      </c>
      <c r="G3412" t="s">
        <v>616</v>
      </c>
      <c r="H3412" t="s">
        <v>616</v>
      </c>
      <c r="I3412" t="s">
        <v>616</v>
      </c>
      <c r="J3412" t="s">
        <v>616</v>
      </c>
      <c r="K3412" t="s">
        <v>616</v>
      </c>
      <c r="L3412" t="s">
        <v>616</v>
      </c>
      <c r="M3412" t="s">
        <v>616</v>
      </c>
      <c r="N3412" t="s">
        <v>616</v>
      </c>
      <c r="O3412" t="s">
        <v>648</v>
      </c>
      <c r="P3412" t="s">
        <v>616</v>
      </c>
      <c r="Q3412" t="s">
        <v>616</v>
      </c>
      <c r="R3412" t="s">
        <v>616</v>
      </c>
      <c r="S3412" t="s">
        <v>616</v>
      </c>
      <c r="T3412" t="s">
        <v>616</v>
      </c>
      <c r="U3412" t="s">
        <v>616</v>
      </c>
      <c r="V3412" t="s">
        <v>616</v>
      </c>
      <c r="W3412" t="s">
        <v>616</v>
      </c>
      <c r="X3412" t="s">
        <v>616</v>
      </c>
      <c r="Y3412" t="s">
        <v>616</v>
      </c>
      <c r="Z3412" t="s">
        <v>616</v>
      </c>
      <c r="AA3412" t="s">
        <v>616</v>
      </c>
      <c r="AB3412" t="s">
        <v>616</v>
      </c>
      <c r="AC3412" t="s">
        <v>616</v>
      </c>
      <c r="AD3412" t="s">
        <v>616</v>
      </c>
      <c r="AE3412" t="s">
        <v>3616</v>
      </c>
      <c r="AF3412">
        <v>0</v>
      </c>
      <c r="AG3412" t="s">
        <v>2840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x14ac:dyDescent="0.25">
      <c r="A3413">
        <v>3412</v>
      </c>
      <c r="B3413" t="str">
        <f xml:space="preserve"> "601206"</f>
        <v>601206</v>
      </c>
      <c r="C3413" t="s">
        <v>9454</v>
      </c>
      <c r="D3413" t="s">
        <v>616</v>
      </c>
      <c r="E3413" t="s">
        <v>616</v>
      </c>
      <c r="F3413" t="s">
        <v>616</v>
      </c>
      <c r="G3413" t="s">
        <v>616</v>
      </c>
      <c r="H3413" t="s">
        <v>616</v>
      </c>
      <c r="I3413" t="s">
        <v>616</v>
      </c>
      <c r="J3413" t="s">
        <v>616</v>
      </c>
      <c r="K3413" t="s">
        <v>616</v>
      </c>
      <c r="L3413" t="s">
        <v>616</v>
      </c>
      <c r="M3413" t="s">
        <v>616</v>
      </c>
      <c r="N3413" t="s">
        <v>616</v>
      </c>
      <c r="O3413" t="s">
        <v>1552</v>
      </c>
      <c r="P3413" t="s">
        <v>616</v>
      </c>
      <c r="Q3413" t="s">
        <v>616</v>
      </c>
      <c r="R3413" t="s">
        <v>616</v>
      </c>
      <c r="S3413" t="s">
        <v>616</v>
      </c>
      <c r="T3413" t="s">
        <v>616</v>
      </c>
      <c r="U3413" t="s">
        <v>616</v>
      </c>
      <c r="V3413" t="s">
        <v>616</v>
      </c>
      <c r="W3413" t="s">
        <v>616</v>
      </c>
      <c r="X3413" t="s">
        <v>616</v>
      </c>
      <c r="Y3413" t="s">
        <v>616</v>
      </c>
      <c r="Z3413" t="s">
        <v>616</v>
      </c>
      <c r="AA3413" t="s">
        <v>616</v>
      </c>
      <c r="AB3413" t="s">
        <v>616</v>
      </c>
      <c r="AC3413" t="s">
        <v>616</v>
      </c>
      <c r="AD3413" t="s">
        <v>616</v>
      </c>
      <c r="AE3413" t="s">
        <v>883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x14ac:dyDescent="0.25">
      <c r="A3414">
        <v>3413</v>
      </c>
      <c r="B3414" t="str">
        <f xml:space="preserve"> "601108"</f>
        <v>601108</v>
      </c>
      <c r="C3414" t="s">
        <v>9455</v>
      </c>
      <c r="D3414" t="s">
        <v>616</v>
      </c>
      <c r="E3414" t="s">
        <v>616</v>
      </c>
      <c r="F3414" t="s">
        <v>616</v>
      </c>
      <c r="G3414" t="s">
        <v>616</v>
      </c>
      <c r="H3414" t="s">
        <v>616</v>
      </c>
      <c r="I3414" t="s">
        <v>616</v>
      </c>
      <c r="J3414" t="s">
        <v>616</v>
      </c>
      <c r="K3414" t="s">
        <v>616</v>
      </c>
      <c r="L3414" t="s">
        <v>616</v>
      </c>
      <c r="M3414" t="s">
        <v>616</v>
      </c>
      <c r="N3414" t="s">
        <v>616</v>
      </c>
      <c r="O3414" t="s">
        <v>306</v>
      </c>
      <c r="P3414" t="s">
        <v>616</v>
      </c>
      <c r="Q3414" t="s">
        <v>616</v>
      </c>
      <c r="R3414" t="s">
        <v>616</v>
      </c>
      <c r="S3414" t="s">
        <v>616</v>
      </c>
      <c r="T3414" t="s">
        <v>616</v>
      </c>
      <c r="U3414" t="s">
        <v>616</v>
      </c>
      <c r="V3414" t="s">
        <v>616</v>
      </c>
      <c r="W3414" t="s">
        <v>616</v>
      </c>
      <c r="X3414" t="s">
        <v>616</v>
      </c>
      <c r="Y3414" t="s">
        <v>616</v>
      </c>
      <c r="Z3414" t="s">
        <v>616</v>
      </c>
      <c r="AA3414" t="s">
        <v>616</v>
      </c>
      <c r="AB3414" t="s">
        <v>616</v>
      </c>
      <c r="AC3414" t="s">
        <v>616</v>
      </c>
      <c r="AD3414" t="s">
        <v>616</v>
      </c>
      <c r="AE3414" t="s">
        <v>2490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x14ac:dyDescent="0.25">
      <c r="A3415">
        <v>3414</v>
      </c>
      <c r="B3415" t="str">
        <f xml:space="preserve"> "600991"</f>
        <v>600991</v>
      </c>
      <c r="C3415" t="s">
        <v>9456</v>
      </c>
      <c r="D3415" t="s">
        <v>616</v>
      </c>
      <c r="E3415" t="s">
        <v>616</v>
      </c>
      <c r="F3415" t="s">
        <v>616</v>
      </c>
      <c r="G3415" t="s">
        <v>616</v>
      </c>
      <c r="H3415" t="s">
        <v>616</v>
      </c>
      <c r="I3415" t="s">
        <v>616</v>
      </c>
      <c r="J3415" t="s">
        <v>616</v>
      </c>
      <c r="K3415" t="s">
        <v>616</v>
      </c>
      <c r="L3415" t="s">
        <v>616</v>
      </c>
      <c r="M3415" t="s">
        <v>616</v>
      </c>
      <c r="N3415" t="s">
        <v>616</v>
      </c>
      <c r="O3415" t="s">
        <v>169</v>
      </c>
      <c r="P3415" t="s">
        <v>616</v>
      </c>
      <c r="Q3415" t="s">
        <v>616</v>
      </c>
      <c r="R3415" t="s">
        <v>616</v>
      </c>
      <c r="S3415" t="s">
        <v>616</v>
      </c>
      <c r="T3415" t="s">
        <v>616</v>
      </c>
      <c r="U3415" t="s">
        <v>616</v>
      </c>
      <c r="V3415" t="s">
        <v>616</v>
      </c>
      <c r="W3415" t="s">
        <v>616</v>
      </c>
      <c r="X3415" t="s">
        <v>616</v>
      </c>
      <c r="Y3415" t="s">
        <v>616</v>
      </c>
      <c r="Z3415" t="s">
        <v>616</v>
      </c>
      <c r="AA3415" t="s">
        <v>616</v>
      </c>
      <c r="AB3415" t="s">
        <v>616</v>
      </c>
      <c r="AC3415" t="s">
        <v>616</v>
      </c>
      <c r="AD3415" t="s">
        <v>616</v>
      </c>
      <c r="AE3415" t="s">
        <v>616</v>
      </c>
      <c r="AF3415" t="s">
        <v>616</v>
      </c>
      <c r="AG3415" t="s">
        <v>616</v>
      </c>
      <c r="AH3415" t="s">
        <v>616</v>
      </c>
      <c r="AI3415">
        <v>0</v>
      </c>
      <c r="AJ3415">
        <v>0</v>
      </c>
      <c r="AK3415">
        <v>0</v>
      </c>
      <c r="AL3415">
        <v>0</v>
      </c>
    </row>
    <row r="3416" spans="1:38" x14ac:dyDescent="0.25">
      <c r="A3416">
        <v>3415</v>
      </c>
      <c r="B3416" t="str">
        <f xml:space="preserve"> "600899"</f>
        <v>600899</v>
      </c>
      <c r="C3416" t="s">
        <v>9457</v>
      </c>
      <c r="D3416" t="s">
        <v>616</v>
      </c>
      <c r="E3416" t="s">
        <v>616</v>
      </c>
      <c r="F3416" t="s">
        <v>616</v>
      </c>
      <c r="G3416" t="s">
        <v>616</v>
      </c>
      <c r="H3416" t="s">
        <v>616</v>
      </c>
      <c r="I3416" t="s">
        <v>616</v>
      </c>
      <c r="J3416" t="s">
        <v>616</v>
      </c>
      <c r="K3416" t="s">
        <v>616</v>
      </c>
      <c r="L3416" t="s">
        <v>616</v>
      </c>
      <c r="M3416" t="s">
        <v>616</v>
      </c>
      <c r="N3416" t="s">
        <v>616</v>
      </c>
      <c r="O3416" t="s">
        <v>616</v>
      </c>
      <c r="P3416" t="s">
        <v>616</v>
      </c>
      <c r="Q3416" t="s">
        <v>616</v>
      </c>
      <c r="R3416" t="s">
        <v>616</v>
      </c>
      <c r="S3416" t="s">
        <v>616</v>
      </c>
      <c r="T3416" t="s">
        <v>616</v>
      </c>
      <c r="U3416" t="s">
        <v>616</v>
      </c>
      <c r="V3416" t="s">
        <v>616</v>
      </c>
      <c r="W3416" t="s">
        <v>616</v>
      </c>
      <c r="X3416" t="s">
        <v>616</v>
      </c>
      <c r="Y3416" t="s">
        <v>616</v>
      </c>
      <c r="Z3416" t="s">
        <v>616</v>
      </c>
      <c r="AA3416" t="s">
        <v>616</v>
      </c>
      <c r="AB3416" t="s">
        <v>616</v>
      </c>
      <c r="AC3416" t="s">
        <v>616</v>
      </c>
      <c r="AD3416" t="s">
        <v>616</v>
      </c>
      <c r="AE3416" t="s">
        <v>616</v>
      </c>
      <c r="AF3416" t="s">
        <v>616</v>
      </c>
      <c r="AG3416" t="s">
        <v>616</v>
      </c>
      <c r="AH3416" t="s">
        <v>616</v>
      </c>
      <c r="AI3416">
        <v>0</v>
      </c>
      <c r="AJ3416">
        <v>0</v>
      </c>
      <c r="AK3416">
        <v>0</v>
      </c>
      <c r="AL3416">
        <v>0</v>
      </c>
    </row>
    <row r="3417" spans="1:38" x14ac:dyDescent="0.25">
      <c r="A3417">
        <v>3416</v>
      </c>
      <c r="B3417" t="str">
        <f xml:space="preserve"> "600878"</f>
        <v>600878</v>
      </c>
      <c r="C3417" t="s">
        <v>9458</v>
      </c>
      <c r="D3417" t="s">
        <v>616</v>
      </c>
      <c r="E3417" t="s">
        <v>616</v>
      </c>
      <c r="F3417" t="s">
        <v>616</v>
      </c>
      <c r="G3417" t="s">
        <v>616</v>
      </c>
      <c r="H3417" t="s">
        <v>616</v>
      </c>
      <c r="I3417" t="s">
        <v>616</v>
      </c>
      <c r="J3417" t="s">
        <v>616</v>
      </c>
      <c r="K3417" t="s">
        <v>616</v>
      </c>
      <c r="L3417" t="s">
        <v>616</v>
      </c>
      <c r="M3417" t="s">
        <v>616</v>
      </c>
      <c r="N3417" t="s">
        <v>616</v>
      </c>
      <c r="O3417" t="s">
        <v>616</v>
      </c>
      <c r="P3417" t="s">
        <v>616</v>
      </c>
      <c r="Q3417" t="s">
        <v>616</v>
      </c>
      <c r="R3417" t="s">
        <v>616</v>
      </c>
      <c r="S3417" t="s">
        <v>616</v>
      </c>
      <c r="T3417" t="s">
        <v>616</v>
      </c>
      <c r="U3417" t="s">
        <v>616</v>
      </c>
      <c r="V3417" t="s">
        <v>616</v>
      </c>
      <c r="W3417" t="s">
        <v>616</v>
      </c>
      <c r="X3417" t="s">
        <v>616</v>
      </c>
      <c r="Y3417" t="s">
        <v>616</v>
      </c>
      <c r="Z3417" t="s">
        <v>616</v>
      </c>
      <c r="AA3417" t="s">
        <v>616</v>
      </c>
      <c r="AB3417" t="s">
        <v>616</v>
      </c>
      <c r="AC3417" t="s">
        <v>616</v>
      </c>
      <c r="AD3417" t="s">
        <v>616</v>
      </c>
      <c r="AE3417" t="s">
        <v>616</v>
      </c>
      <c r="AF3417" t="s">
        <v>616</v>
      </c>
      <c r="AG3417" t="s">
        <v>616</v>
      </c>
      <c r="AH3417" t="s">
        <v>616</v>
      </c>
      <c r="AI3417">
        <v>0</v>
      </c>
      <c r="AJ3417">
        <v>0</v>
      </c>
      <c r="AK3417">
        <v>0</v>
      </c>
      <c r="AL3417">
        <v>0</v>
      </c>
    </row>
    <row r="3418" spans="1:38" x14ac:dyDescent="0.25">
      <c r="A3418">
        <v>3417</v>
      </c>
      <c r="B3418" t="str">
        <f xml:space="preserve"> "600852"</f>
        <v>600852</v>
      </c>
      <c r="C3418" t="s">
        <v>9459</v>
      </c>
      <c r="D3418" t="s">
        <v>616</v>
      </c>
      <c r="E3418" t="s">
        <v>616</v>
      </c>
      <c r="F3418" t="s">
        <v>616</v>
      </c>
      <c r="G3418" t="s">
        <v>616</v>
      </c>
      <c r="H3418" t="s">
        <v>616</v>
      </c>
      <c r="I3418" t="s">
        <v>616</v>
      </c>
      <c r="J3418" t="s">
        <v>616</v>
      </c>
      <c r="K3418" t="s">
        <v>616</v>
      </c>
      <c r="L3418" t="s">
        <v>616</v>
      </c>
      <c r="M3418" t="s">
        <v>616</v>
      </c>
      <c r="N3418" t="s">
        <v>616</v>
      </c>
      <c r="O3418" t="s">
        <v>616</v>
      </c>
      <c r="P3418" t="s">
        <v>616</v>
      </c>
      <c r="Q3418" t="s">
        <v>616</v>
      </c>
      <c r="R3418" t="s">
        <v>616</v>
      </c>
      <c r="S3418" t="s">
        <v>616</v>
      </c>
      <c r="T3418" t="s">
        <v>616</v>
      </c>
      <c r="U3418" t="s">
        <v>616</v>
      </c>
      <c r="V3418" t="s">
        <v>616</v>
      </c>
      <c r="W3418" t="s">
        <v>616</v>
      </c>
      <c r="X3418" t="s">
        <v>616</v>
      </c>
      <c r="Y3418" t="s">
        <v>616</v>
      </c>
      <c r="Z3418" t="s">
        <v>616</v>
      </c>
      <c r="AA3418" t="s">
        <v>616</v>
      </c>
      <c r="AB3418" t="s">
        <v>616</v>
      </c>
      <c r="AC3418" t="s">
        <v>616</v>
      </c>
      <c r="AD3418" t="s">
        <v>616</v>
      </c>
      <c r="AE3418" t="s">
        <v>616</v>
      </c>
      <c r="AF3418" t="s">
        <v>616</v>
      </c>
      <c r="AG3418" t="s">
        <v>616</v>
      </c>
      <c r="AH3418" t="s">
        <v>616</v>
      </c>
      <c r="AI3418">
        <v>0</v>
      </c>
      <c r="AJ3418">
        <v>0</v>
      </c>
      <c r="AK3418">
        <v>0</v>
      </c>
      <c r="AL3418">
        <v>0</v>
      </c>
    </row>
    <row r="3419" spans="1:38" x14ac:dyDescent="0.25">
      <c r="A3419">
        <v>3418</v>
      </c>
      <c r="B3419" t="str">
        <f xml:space="preserve"> "600849"</f>
        <v>600849</v>
      </c>
      <c r="C3419" t="s">
        <v>9460</v>
      </c>
      <c r="D3419" t="s">
        <v>616</v>
      </c>
      <c r="E3419" t="s">
        <v>616</v>
      </c>
      <c r="F3419" t="s">
        <v>616</v>
      </c>
      <c r="G3419" t="s">
        <v>616</v>
      </c>
      <c r="H3419" t="s">
        <v>616</v>
      </c>
      <c r="I3419" t="s">
        <v>616</v>
      </c>
      <c r="J3419" t="s">
        <v>616</v>
      </c>
      <c r="K3419" t="s">
        <v>616</v>
      </c>
      <c r="L3419" t="s">
        <v>616</v>
      </c>
      <c r="M3419" t="s">
        <v>616</v>
      </c>
      <c r="N3419" t="s">
        <v>616</v>
      </c>
      <c r="O3419" t="s">
        <v>616</v>
      </c>
      <c r="P3419" t="s">
        <v>616</v>
      </c>
      <c r="Q3419" t="s">
        <v>616</v>
      </c>
      <c r="R3419" t="s">
        <v>616</v>
      </c>
      <c r="S3419" t="s">
        <v>616</v>
      </c>
      <c r="T3419" t="s">
        <v>616</v>
      </c>
      <c r="U3419" t="s">
        <v>616</v>
      </c>
      <c r="V3419" t="s">
        <v>616</v>
      </c>
      <c r="W3419" t="s">
        <v>616</v>
      </c>
      <c r="X3419" t="s">
        <v>616</v>
      </c>
      <c r="Y3419" t="s">
        <v>616</v>
      </c>
      <c r="Z3419" t="s">
        <v>616</v>
      </c>
      <c r="AA3419" t="s">
        <v>616</v>
      </c>
      <c r="AB3419" t="s">
        <v>616</v>
      </c>
      <c r="AC3419" t="s">
        <v>616</v>
      </c>
      <c r="AD3419" t="s">
        <v>616</v>
      </c>
      <c r="AE3419" t="s">
        <v>616</v>
      </c>
      <c r="AF3419" t="s">
        <v>616</v>
      </c>
      <c r="AG3419" t="s">
        <v>616</v>
      </c>
      <c r="AH3419" t="s">
        <v>616</v>
      </c>
      <c r="AI3419">
        <v>0</v>
      </c>
      <c r="AJ3419">
        <v>0</v>
      </c>
      <c r="AK3419">
        <v>0</v>
      </c>
      <c r="AL3419">
        <v>0</v>
      </c>
    </row>
    <row r="3420" spans="1:38" x14ac:dyDescent="0.25">
      <c r="A3420">
        <v>3419</v>
      </c>
      <c r="B3420" t="str">
        <f xml:space="preserve"> "600842"</f>
        <v>600842</v>
      </c>
      <c r="C3420" t="s">
        <v>9461</v>
      </c>
      <c r="D3420" t="s">
        <v>616</v>
      </c>
      <c r="E3420" t="s">
        <v>616</v>
      </c>
      <c r="F3420" t="s">
        <v>616</v>
      </c>
      <c r="G3420" t="s">
        <v>616</v>
      </c>
      <c r="H3420" t="s">
        <v>616</v>
      </c>
      <c r="I3420" t="s">
        <v>616</v>
      </c>
      <c r="J3420" t="s">
        <v>616</v>
      </c>
      <c r="K3420" t="s">
        <v>616</v>
      </c>
      <c r="L3420" t="s">
        <v>616</v>
      </c>
      <c r="M3420" t="s">
        <v>616</v>
      </c>
      <c r="N3420" t="s">
        <v>616</v>
      </c>
      <c r="O3420" t="s">
        <v>616</v>
      </c>
      <c r="P3420" t="s">
        <v>616</v>
      </c>
      <c r="Q3420" t="s">
        <v>616</v>
      </c>
      <c r="R3420" t="s">
        <v>616</v>
      </c>
      <c r="S3420" t="s">
        <v>616</v>
      </c>
      <c r="T3420" t="s">
        <v>616</v>
      </c>
      <c r="U3420" t="s">
        <v>616</v>
      </c>
      <c r="V3420" t="s">
        <v>616</v>
      </c>
      <c r="W3420" t="s">
        <v>616</v>
      </c>
      <c r="X3420" t="s">
        <v>616</v>
      </c>
      <c r="Y3420" t="s">
        <v>616</v>
      </c>
      <c r="Z3420" t="s">
        <v>616</v>
      </c>
      <c r="AA3420" t="s">
        <v>616</v>
      </c>
      <c r="AB3420" t="s">
        <v>616</v>
      </c>
      <c r="AC3420" t="s">
        <v>616</v>
      </c>
      <c r="AD3420" t="s">
        <v>616</v>
      </c>
      <c r="AE3420" t="s">
        <v>616</v>
      </c>
      <c r="AF3420" t="s">
        <v>616</v>
      </c>
      <c r="AG3420" t="s">
        <v>616</v>
      </c>
      <c r="AH3420" t="s">
        <v>616</v>
      </c>
      <c r="AI3420">
        <v>0</v>
      </c>
      <c r="AJ3420">
        <v>0</v>
      </c>
      <c r="AK3420">
        <v>0</v>
      </c>
      <c r="AL3420">
        <v>0</v>
      </c>
    </row>
    <row r="3421" spans="1:38" x14ac:dyDescent="0.25">
      <c r="A3421">
        <v>3420</v>
      </c>
      <c r="B3421" t="str">
        <f xml:space="preserve"> "600840"</f>
        <v>600840</v>
      </c>
      <c r="C3421" t="s">
        <v>9462</v>
      </c>
      <c r="D3421" t="s">
        <v>616</v>
      </c>
      <c r="E3421" t="s">
        <v>616</v>
      </c>
      <c r="F3421" t="s">
        <v>616</v>
      </c>
      <c r="G3421" t="s">
        <v>616</v>
      </c>
      <c r="H3421" t="s">
        <v>616</v>
      </c>
      <c r="I3421" t="s">
        <v>616</v>
      </c>
      <c r="J3421" t="s">
        <v>616</v>
      </c>
      <c r="K3421" t="s">
        <v>616</v>
      </c>
      <c r="L3421" t="s">
        <v>616</v>
      </c>
      <c r="M3421" t="s">
        <v>616</v>
      </c>
      <c r="N3421" t="s">
        <v>616</v>
      </c>
      <c r="O3421" t="s">
        <v>616</v>
      </c>
      <c r="P3421" t="s">
        <v>616</v>
      </c>
      <c r="Q3421" t="s">
        <v>616</v>
      </c>
      <c r="R3421" t="s">
        <v>616</v>
      </c>
      <c r="S3421" t="s">
        <v>616</v>
      </c>
      <c r="T3421" t="s">
        <v>616</v>
      </c>
      <c r="U3421" t="s">
        <v>616</v>
      </c>
      <c r="V3421" t="s">
        <v>616</v>
      </c>
      <c r="W3421" t="s">
        <v>616</v>
      </c>
      <c r="X3421" t="s">
        <v>616</v>
      </c>
      <c r="Y3421" t="s">
        <v>616</v>
      </c>
      <c r="Z3421" t="s">
        <v>616</v>
      </c>
      <c r="AA3421" t="s">
        <v>616</v>
      </c>
      <c r="AB3421" t="s">
        <v>616</v>
      </c>
      <c r="AC3421" t="s">
        <v>616</v>
      </c>
      <c r="AD3421" t="s">
        <v>616</v>
      </c>
      <c r="AE3421" t="s">
        <v>616</v>
      </c>
      <c r="AF3421" t="s">
        <v>616</v>
      </c>
      <c r="AG3421" t="s">
        <v>616</v>
      </c>
      <c r="AH3421" t="s">
        <v>616</v>
      </c>
      <c r="AI3421">
        <v>0</v>
      </c>
      <c r="AJ3421">
        <v>0</v>
      </c>
      <c r="AK3421">
        <v>0</v>
      </c>
      <c r="AL3421">
        <v>0</v>
      </c>
    </row>
    <row r="3422" spans="1:38" x14ac:dyDescent="0.25">
      <c r="A3422">
        <v>3421</v>
      </c>
      <c r="B3422" t="str">
        <f xml:space="preserve"> "600832"</f>
        <v>600832</v>
      </c>
      <c r="C3422" t="s">
        <v>1275</v>
      </c>
      <c r="D3422" t="s">
        <v>616</v>
      </c>
      <c r="E3422" t="s">
        <v>616</v>
      </c>
      <c r="F3422" t="s">
        <v>616</v>
      </c>
      <c r="G3422" t="s">
        <v>616</v>
      </c>
      <c r="H3422" t="s">
        <v>616</v>
      </c>
      <c r="I3422" t="s">
        <v>616</v>
      </c>
      <c r="J3422" t="s">
        <v>616</v>
      </c>
      <c r="K3422" t="s">
        <v>616</v>
      </c>
      <c r="L3422" t="s">
        <v>616</v>
      </c>
      <c r="M3422" t="s">
        <v>616</v>
      </c>
      <c r="N3422" t="s">
        <v>616</v>
      </c>
      <c r="O3422" t="s">
        <v>951</v>
      </c>
      <c r="P3422" t="s">
        <v>616</v>
      </c>
      <c r="Q3422" t="s">
        <v>616</v>
      </c>
      <c r="R3422" t="s">
        <v>616</v>
      </c>
      <c r="S3422" t="s">
        <v>616</v>
      </c>
      <c r="T3422" t="s">
        <v>616</v>
      </c>
      <c r="U3422" t="s">
        <v>616</v>
      </c>
      <c r="V3422" t="s">
        <v>616</v>
      </c>
      <c r="W3422" t="s">
        <v>616</v>
      </c>
      <c r="X3422" t="s">
        <v>616</v>
      </c>
      <c r="Y3422" t="s">
        <v>616</v>
      </c>
      <c r="Z3422" t="s">
        <v>616</v>
      </c>
      <c r="AA3422" t="s">
        <v>616</v>
      </c>
      <c r="AB3422" t="s">
        <v>616</v>
      </c>
      <c r="AC3422" t="s">
        <v>616</v>
      </c>
      <c r="AD3422" t="s">
        <v>616</v>
      </c>
      <c r="AE3422" t="s">
        <v>1172</v>
      </c>
      <c r="AF3422">
        <v>0</v>
      </c>
      <c r="AG3422" t="s">
        <v>1172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x14ac:dyDescent="0.25">
      <c r="A3423">
        <v>3422</v>
      </c>
      <c r="B3423" t="str">
        <f xml:space="preserve"> "600813"</f>
        <v>600813</v>
      </c>
      <c r="C3423" t="s">
        <v>9463</v>
      </c>
      <c r="D3423" t="s">
        <v>616</v>
      </c>
      <c r="E3423" t="s">
        <v>616</v>
      </c>
      <c r="F3423" t="s">
        <v>616</v>
      </c>
      <c r="G3423" t="s">
        <v>616</v>
      </c>
      <c r="H3423" t="s">
        <v>616</v>
      </c>
      <c r="I3423" t="s">
        <v>616</v>
      </c>
      <c r="J3423" t="s">
        <v>616</v>
      </c>
      <c r="K3423" t="s">
        <v>616</v>
      </c>
      <c r="L3423" t="s">
        <v>616</v>
      </c>
      <c r="M3423" t="s">
        <v>616</v>
      </c>
      <c r="N3423" t="s">
        <v>616</v>
      </c>
      <c r="O3423" t="s">
        <v>616</v>
      </c>
      <c r="P3423" t="s">
        <v>616</v>
      </c>
      <c r="Q3423" t="s">
        <v>616</v>
      </c>
      <c r="R3423" t="s">
        <v>616</v>
      </c>
      <c r="S3423" t="s">
        <v>616</v>
      </c>
      <c r="T3423" t="s">
        <v>616</v>
      </c>
      <c r="U3423" t="s">
        <v>616</v>
      </c>
      <c r="V3423" t="s">
        <v>616</v>
      </c>
      <c r="W3423" t="s">
        <v>616</v>
      </c>
      <c r="X3423" t="s">
        <v>616</v>
      </c>
      <c r="Y3423" t="s">
        <v>616</v>
      </c>
      <c r="Z3423" t="s">
        <v>616</v>
      </c>
      <c r="AA3423" t="s">
        <v>616</v>
      </c>
      <c r="AB3423" t="s">
        <v>616</v>
      </c>
      <c r="AC3423" t="s">
        <v>616</v>
      </c>
      <c r="AD3423" t="s">
        <v>616</v>
      </c>
      <c r="AE3423" t="s">
        <v>616</v>
      </c>
      <c r="AF3423" t="s">
        <v>616</v>
      </c>
      <c r="AG3423" t="s">
        <v>616</v>
      </c>
      <c r="AH3423" t="s">
        <v>616</v>
      </c>
      <c r="AI3423">
        <v>0</v>
      </c>
      <c r="AJ3423">
        <v>0</v>
      </c>
      <c r="AK3423">
        <v>0</v>
      </c>
      <c r="AL3423">
        <v>0</v>
      </c>
    </row>
    <row r="3424" spans="1:38" x14ac:dyDescent="0.25">
      <c r="A3424">
        <v>3423</v>
      </c>
      <c r="B3424" t="str">
        <f xml:space="preserve"> "600799"</f>
        <v>600799</v>
      </c>
      <c r="C3424" t="s">
        <v>9464</v>
      </c>
      <c r="D3424" t="s">
        <v>616</v>
      </c>
      <c r="E3424" t="s">
        <v>616</v>
      </c>
      <c r="F3424" t="s">
        <v>616</v>
      </c>
      <c r="G3424" t="s">
        <v>616</v>
      </c>
      <c r="H3424" t="s">
        <v>616</v>
      </c>
      <c r="I3424" t="s">
        <v>616</v>
      </c>
      <c r="J3424" t="s">
        <v>616</v>
      </c>
      <c r="K3424" t="s">
        <v>616</v>
      </c>
      <c r="L3424" t="s">
        <v>616</v>
      </c>
      <c r="M3424" t="s">
        <v>616</v>
      </c>
      <c r="N3424" t="s">
        <v>616</v>
      </c>
      <c r="O3424" t="s">
        <v>616</v>
      </c>
      <c r="P3424" t="s">
        <v>616</v>
      </c>
      <c r="Q3424" t="s">
        <v>616</v>
      </c>
      <c r="R3424" t="s">
        <v>616</v>
      </c>
      <c r="S3424" t="s">
        <v>616</v>
      </c>
      <c r="T3424" t="s">
        <v>616</v>
      </c>
      <c r="U3424" t="s">
        <v>616</v>
      </c>
      <c r="V3424" t="s">
        <v>616</v>
      </c>
      <c r="W3424" t="s">
        <v>616</v>
      </c>
      <c r="X3424" t="s">
        <v>616</v>
      </c>
      <c r="Y3424" t="s">
        <v>616</v>
      </c>
      <c r="Z3424" t="s">
        <v>616</v>
      </c>
      <c r="AA3424" t="s">
        <v>616</v>
      </c>
      <c r="AB3424" t="s">
        <v>616</v>
      </c>
      <c r="AC3424" t="s">
        <v>616</v>
      </c>
      <c r="AD3424" t="s">
        <v>616</v>
      </c>
      <c r="AE3424" t="s">
        <v>616</v>
      </c>
      <c r="AF3424" t="s">
        <v>616</v>
      </c>
      <c r="AG3424" t="s">
        <v>616</v>
      </c>
      <c r="AH3424" t="s">
        <v>616</v>
      </c>
      <c r="AI3424">
        <v>0</v>
      </c>
      <c r="AJ3424">
        <v>0</v>
      </c>
      <c r="AK3424">
        <v>0</v>
      </c>
      <c r="AL3424">
        <v>0</v>
      </c>
    </row>
    <row r="3425" spans="1:38" x14ac:dyDescent="0.25">
      <c r="A3425">
        <v>3424</v>
      </c>
      <c r="B3425" t="str">
        <f xml:space="preserve"> "600788"</f>
        <v>600788</v>
      </c>
      <c r="C3425" t="s">
        <v>9465</v>
      </c>
      <c r="D3425" t="s">
        <v>616</v>
      </c>
      <c r="E3425" t="s">
        <v>616</v>
      </c>
      <c r="F3425" t="s">
        <v>616</v>
      </c>
      <c r="G3425" t="s">
        <v>616</v>
      </c>
      <c r="H3425" t="s">
        <v>616</v>
      </c>
      <c r="I3425" t="s">
        <v>616</v>
      </c>
      <c r="J3425" t="s">
        <v>616</v>
      </c>
      <c r="K3425" t="s">
        <v>616</v>
      </c>
      <c r="L3425" t="s">
        <v>616</v>
      </c>
      <c r="M3425" t="s">
        <v>616</v>
      </c>
      <c r="N3425" t="s">
        <v>616</v>
      </c>
      <c r="O3425" t="s">
        <v>616</v>
      </c>
      <c r="P3425" t="s">
        <v>616</v>
      </c>
      <c r="Q3425" t="s">
        <v>616</v>
      </c>
      <c r="R3425" t="s">
        <v>616</v>
      </c>
      <c r="S3425" t="s">
        <v>616</v>
      </c>
      <c r="T3425" t="s">
        <v>616</v>
      </c>
      <c r="U3425" t="s">
        <v>616</v>
      </c>
      <c r="V3425" t="s">
        <v>616</v>
      </c>
      <c r="W3425" t="s">
        <v>616</v>
      </c>
      <c r="X3425" t="s">
        <v>616</v>
      </c>
      <c r="Y3425" t="s">
        <v>616</v>
      </c>
      <c r="Z3425" t="s">
        <v>616</v>
      </c>
      <c r="AA3425" t="s">
        <v>616</v>
      </c>
      <c r="AB3425" t="s">
        <v>616</v>
      </c>
      <c r="AC3425" t="s">
        <v>616</v>
      </c>
      <c r="AD3425" t="s">
        <v>616</v>
      </c>
      <c r="AE3425" t="s">
        <v>616</v>
      </c>
      <c r="AF3425" t="s">
        <v>616</v>
      </c>
      <c r="AG3425" t="s">
        <v>616</v>
      </c>
      <c r="AH3425" t="s">
        <v>616</v>
      </c>
      <c r="AI3425">
        <v>0</v>
      </c>
      <c r="AJ3425">
        <v>0</v>
      </c>
      <c r="AK3425">
        <v>0</v>
      </c>
      <c r="AL3425">
        <v>0</v>
      </c>
    </row>
    <row r="3426" spans="1:38" x14ac:dyDescent="0.25">
      <c r="A3426">
        <v>3425</v>
      </c>
      <c r="B3426" t="str">
        <f xml:space="preserve"> "600786"</f>
        <v>600786</v>
      </c>
      <c r="C3426" t="s">
        <v>9466</v>
      </c>
      <c r="D3426" t="s">
        <v>616</v>
      </c>
      <c r="E3426" t="s">
        <v>616</v>
      </c>
      <c r="F3426" t="s">
        <v>616</v>
      </c>
      <c r="G3426" t="s">
        <v>616</v>
      </c>
      <c r="H3426" t="s">
        <v>616</v>
      </c>
      <c r="I3426" t="s">
        <v>616</v>
      </c>
      <c r="J3426" t="s">
        <v>616</v>
      </c>
      <c r="K3426" t="s">
        <v>616</v>
      </c>
      <c r="L3426" t="s">
        <v>616</v>
      </c>
      <c r="M3426" t="s">
        <v>616</v>
      </c>
      <c r="N3426" t="s">
        <v>616</v>
      </c>
      <c r="O3426" t="s">
        <v>616</v>
      </c>
      <c r="P3426" t="s">
        <v>616</v>
      </c>
      <c r="Q3426" t="s">
        <v>616</v>
      </c>
      <c r="R3426" t="s">
        <v>616</v>
      </c>
      <c r="S3426" t="s">
        <v>616</v>
      </c>
      <c r="T3426" t="s">
        <v>616</v>
      </c>
      <c r="U3426" t="s">
        <v>616</v>
      </c>
      <c r="V3426" t="s">
        <v>616</v>
      </c>
      <c r="W3426" t="s">
        <v>616</v>
      </c>
      <c r="X3426" t="s">
        <v>616</v>
      </c>
      <c r="Y3426" t="s">
        <v>616</v>
      </c>
      <c r="Z3426" t="s">
        <v>616</v>
      </c>
      <c r="AA3426" t="s">
        <v>616</v>
      </c>
      <c r="AB3426" t="s">
        <v>616</v>
      </c>
      <c r="AC3426" t="s">
        <v>616</v>
      </c>
      <c r="AD3426" t="s">
        <v>616</v>
      </c>
      <c r="AE3426" t="s">
        <v>616</v>
      </c>
      <c r="AF3426" t="s">
        <v>616</v>
      </c>
      <c r="AG3426" t="s">
        <v>616</v>
      </c>
      <c r="AH3426" t="s">
        <v>616</v>
      </c>
      <c r="AI3426">
        <v>0</v>
      </c>
      <c r="AJ3426">
        <v>0</v>
      </c>
      <c r="AK3426">
        <v>0</v>
      </c>
      <c r="AL3426">
        <v>0</v>
      </c>
    </row>
    <row r="3427" spans="1:38" x14ac:dyDescent="0.25">
      <c r="A3427">
        <v>3426</v>
      </c>
      <c r="B3427" t="str">
        <f xml:space="preserve"> "600772"</f>
        <v>600772</v>
      </c>
      <c r="C3427" t="s">
        <v>9467</v>
      </c>
      <c r="D3427" t="s">
        <v>616</v>
      </c>
      <c r="E3427" t="s">
        <v>616</v>
      </c>
      <c r="F3427" t="s">
        <v>616</v>
      </c>
      <c r="G3427" t="s">
        <v>616</v>
      </c>
      <c r="H3427" t="s">
        <v>616</v>
      </c>
      <c r="I3427" t="s">
        <v>616</v>
      </c>
      <c r="J3427" t="s">
        <v>616</v>
      </c>
      <c r="K3427" t="s">
        <v>616</v>
      </c>
      <c r="L3427" t="s">
        <v>616</v>
      </c>
      <c r="M3427" t="s">
        <v>616</v>
      </c>
      <c r="N3427" t="s">
        <v>616</v>
      </c>
      <c r="O3427" t="s">
        <v>616</v>
      </c>
      <c r="P3427" t="s">
        <v>616</v>
      </c>
      <c r="Q3427" t="s">
        <v>616</v>
      </c>
      <c r="R3427" t="s">
        <v>616</v>
      </c>
      <c r="S3427" t="s">
        <v>616</v>
      </c>
      <c r="T3427" t="s">
        <v>616</v>
      </c>
      <c r="U3427" t="s">
        <v>616</v>
      </c>
      <c r="V3427" t="s">
        <v>616</v>
      </c>
      <c r="W3427" t="s">
        <v>616</v>
      </c>
      <c r="X3427" t="s">
        <v>616</v>
      </c>
      <c r="Y3427" t="s">
        <v>616</v>
      </c>
      <c r="Z3427" t="s">
        <v>616</v>
      </c>
      <c r="AA3427" t="s">
        <v>616</v>
      </c>
      <c r="AB3427" t="s">
        <v>616</v>
      </c>
      <c r="AC3427" t="s">
        <v>616</v>
      </c>
      <c r="AD3427" t="s">
        <v>616</v>
      </c>
      <c r="AE3427" t="s">
        <v>616</v>
      </c>
      <c r="AF3427" t="s">
        <v>616</v>
      </c>
      <c r="AG3427" t="s">
        <v>616</v>
      </c>
      <c r="AH3427" t="s">
        <v>616</v>
      </c>
      <c r="AI3427">
        <v>0</v>
      </c>
      <c r="AJ3427">
        <v>0</v>
      </c>
      <c r="AK3427">
        <v>0</v>
      </c>
      <c r="AL3427">
        <v>0</v>
      </c>
    </row>
    <row r="3428" spans="1:38" x14ac:dyDescent="0.25">
      <c r="A3428">
        <v>3427</v>
      </c>
      <c r="B3428" t="str">
        <f xml:space="preserve"> "600762"</f>
        <v>600762</v>
      </c>
      <c r="C3428" t="s">
        <v>9468</v>
      </c>
      <c r="D3428" t="s">
        <v>616</v>
      </c>
      <c r="E3428" t="s">
        <v>616</v>
      </c>
      <c r="F3428" t="s">
        <v>616</v>
      </c>
      <c r="G3428" t="s">
        <v>616</v>
      </c>
      <c r="H3428" t="s">
        <v>616</v>
      </c>
      <c r="I3428" t="s">
        <v>616</v>
      </c>
      <c r="J3428" t="s">
        <v>616</v>
      </c>
      <c r="K3428" t="s">
        <v>616</v>
      </c>
      <c r="L3428" t="s">
        <v>616</v>
      </c>
      <c r="M3428" t="s">
        <v>616</v>
      </c>
      <c r="N3428" t="s">
        <v>616</v>
      </c>
      <c r="O3428" t="s">
        <v>616</v>
      </c>
      <c r="P3428" t="s">
        <v>616</v>
      </c>
      <c r="Q3428" t="s">
        <v>616</v>
      </c>
      <c r="R3428" t="s">
        <v>616</v>
      </c>
      <c r="S3428" t="s">
        <v>616</v>
      </c>
      <c r="T3428" t="s">
        <v>616</v>
      </c>
      <c r="U3428" t="s">
        <v>616</v>
      </c>
      <c r="V3428" t="s">
        <v>616</v>
      </c>
      <c r="W3428" t="s">
        <v>616</v>
      </c>
      <c r="X3428" t="s">
        <v>616</v>
      </c>
      <c r="Y3428" t="s">
        <v>616</v>
      </c>
      <c r="Z3428" t="s">
        <v>616</v>
      </c>
      <c r="AA3428" t="s">
        <v>616</v>
      </c>
      <c r="AB3428" t="s">
        <v>616</v>
      </c>
      <c r="AC3428" t="s">
        <v>616</v>
      </c>
      <c r="AD3428" t="s">
        <v>616</v>
      </c>
      <c r="AE3428" t="s">
        <v>616</v>
      </c>
      <c r="AF3428" t="s">
        <v>616</v>
      </c>
      <c r="AG3428" t="s">
        <v>616</v>
      </c>
      <c r="AH3428" t="s">
        <v>616</v>
      </c>
      <c r="AI3428">
        <v>0</v>
      </c>
      <c r="AJ3428">
        <v>0</v>
      </c>
      <c r="AK3428">
        <v>0</v>
      </c>
      <c r="AL3428">
        <v>0</v>
      </c>
    </row>
    <row r="3429" spans="1:38" x14ac:dyDescent="0.25">
      <c r="A3429">
        <v>3428</v>
      </c>
      <c r="B3429" t="str">
        <f xml:space="preserve"> "600752"</f>
        <v>600752</v>
      </c>
      <c r="C3429" t="s">
        <v>9469</v>
      </c>
      <c r="D3429" t="s">
        <v>616</v>
      </c>
      <c r="E3429" t="s">
        <v>616</v>
      </c>
      <c r="F3429" t="s">
        <v>616</v>
      </c>
      <c r="G3429" t="s">
        <v>616</v>
      </c>
      <c r="H3429" t="s">
        <v>616</v>
      </c>
      <c r="I3429" t="s">
        <v>616</v>
      </c>
      <c r="J3429" t="s">
        <v>616</v>
      </c>
      <c r="K3429" t="s">
        <v>616</v>
      </c>
      <c r="L3429" t="s">
        <v>616</v>
      </c>
      <c r="M3429" t="s">
        <v>616</v>
      </c>
      <c r="N3429" t="s">
        <v>616</v>
      </c>
      <c r="O3429" t="s">
        <v>616</v>
      </c>
      <c r="P3429" t="s">
        <v>616</v>
      </c>
      <c r="Q3429" t="s">
        <v>616</v>
      </c>
      <c r="R3429" t="s">
        <v>616</v>
      </c>
      <c r="S3429" t="s">
        <v>616</v>
      </c>
      <c r="T3429" t="s">
        <v>616</v>
      </c>
      <c r="U3429" t="s">
        <v>616</v>
      </c>
      <c r="V3429" t="s">
        <v>616</v>
      </c>
      <c r="W3429" t="s">
        <v>616</v>
      </c>
      <c r="X3429" t="s">
        <v>616</v>
      </c>
      <c r="Y3429" t="s">
        <v>616</v>
      </c>
      <c r="Z3429" t="s">
        <v>616</v>
      </c>
      <c r="AA3429" t="s">
        <v>616</v>
      </c>
      <c r="AB3429" t="s">
        <v>616</v>
      </c>
      <c r="AC3429" t="s">
        <v>616</v>
      </c>
      <c r="AD3429" t="s">
        <v>616</v>
      </c>
      <c r="AE3429" t="s">
        <v>616</v>
      </c>
      <c r="AF3429" t="s">
        <v>616</v>
      </c>
      <c r="AG3429" t="s">
        <v>616</v>
      </c>
      <c r="AH3429" t="s">
        <v>616</v>
      </c>
      <c r="AI3429">
        <v>0</v>
      </c>
      <c r="AJ3429">
        <v>0</v>
      </c>
      <c r="AK3429">
        <v>0</v>
      </c>
      <c r="AL3429">
        <v>0</v>
      </c>
    </row>
    <row r="3430" spans="1:38" x14ac:dyDescent="0.25">
      <c r="A3430">
        <v>3429</v>
      </c>
      <c r="B3430" t="str">
        <f xml:space="preserve"> "600709"</f>
        <v>600709</v>
      </c>
      <c r="C3430" t="s">
        <v>9470</v>
      </c>
      <c r="D3430" t="s">
        <v>616</v>
      </c>
      <c r="E3430" t="s">
        <v>616</v>
      </c>
      <c r="F3430" t="s">
        <v>616</v>
      </c>
      <c r="G3430" t="s">
        <v>616</v>
      </c>
      <c r="H3430" t="s">
        <v>616</v>
      </c>
      <c r="I3430" t="s">
        <v>616</v>
      </c>
      <c r="J3430" t="s">
        <v>616</v>
      </c>
      <c r="K3430" t="s">
        <v>616</v>
      </c>
      <c r="L3430" t="s">
        <v>616</v>
      </c>
      <c r="M3430" t="s">
        <v>616</v>
      </c>
      <c r="N3430" t="s">
        <v>616</v>
      </c>
      <c r="O3430" t="s">
        <v>616</v>
      </c>
      <c r="P3430" t="s">
        <v>616</v>
      </c>
      <c r="Q3430" t="s">
        <v>616</v>
      </c>
      <c r="R3430" t="s">
        <v>616</v>
      </c>
      <c r="S3430" t="s">
        <v>616</v>
      </c>
      <c r="T3430" t="s">
        <v>616</v>
      </c>
      <c r="U3430" t="s">
        <v>616</v>
      </c>
      <c r="V3430" t="s">
        <v>616</v>
      </c>
      <c r="W3430" t="s">
        <v>616</v>
      </c>
      <c r="X3430" t="s">
        <v>616</v>
      </c>
      <c r="Y3430" t="s">
        <v>616</v>
      </c>
      <c r="Z3430" t="s">
        <v>616</v>
      </c>
      <c r="AA3430" t="s">
        <v>616</v>
      </c>
      <c r="AB3430" t="s">
        <v>616</v>
      </c>
      <c r="AC3430" t="s">
        <v>616</v>
      </c>
      <c r="AD3430" t="s">
        <v>616</v>
      </c>
      <c r="AE3430" t="s">
        <v>616</v>
      </c>
      <c r="AF3430" t="s">
        <v>616</v>
      </c>
      <c r="AG3430" t="s">
        <v>616</v>
      </c>
      <c r="AH3430" t="s">
        <v>616</v>
      </c>
      <c r="AI3430">
        <v>0</v>
      </c>
      <c r="AJ3430">
        <v>0</v>
      </c>
      <c r="AK3430">
        <v>0</v>
      </c>
      <c r="AL3430">
        <v>0</v>
      </c>
    </row>
    <row r="3431" spans="1:38" x14ac:dyDescent="0.25">
      <c r="A3431">
        <v>3430</v>
      </c>
      <c r="B3431" t="str">
        <f xml:space="preserve"> "600700"</f>
        <v>600700</v>
      </c>
      <c r="C3431" t="s">
        <v>9471</v>
      </c>
      <c r="D3431" t="s">
        <v>616</v>
      </c>
      <c r="E3431" t="s">
        <v>616</v>
      </c>
      <c r="F3431" t="s">
        <v>616</v>
      </c>
      <c r="G3431" t="s">
        <v>616</v>
      </c>
      <c r="H3431" t="s">
        <v>616</v>
      </c>
      <c r="I3431" t="s">
        <v>616</v>
      </c>
      <c r="J3431" t="s">
        <v>616</v>
      </c>
      <c r="K3431" t="s">
        <v>616</v>
      </c>
      <c r="L3431" t="s">
        <v>616</v>
      </c>
      <c r="M3431" t="s">
        <v>616</v>
      </c>
      <c r="N3431" t="s">
        <v>616</v>
      </c>
      <c r="O3431" t="s">
        <v>616</v>
      </c>
      <c r="P3431" t="s">
        <v>616</v>
      </c>
      <c r="Q3431" t="s">
        <v>616</v>
      </c>
      <c r="R3431" t="s">
        <v>616</v>
      </c>
      <c r="S3431" t="s">
        <v>616</v>
      </c>
      <c r="T3431" t="s">
        <v>616</v>
      </c>
      <c r="U3431" t="s">
        <v>616</v>
      </c>
      <c r="V3431" t="s">
        <v>616</v>
      </c>
      <c r="W3431" t="s">
        <v>616</v>
      </c>
      <c r="X3431" t="s">
        <v>616</v>
      </c>
      <c r="Y3431" t="s">
        <v>616</v>
      </c>
      <c r="Z3431" t="s">
        <v>616</v>
      </c>
      <c r="AA3431" t="s">
        <v>616</v>
      </c>
      <c r="AB3431" t="s">
        <v>616</v>
      </c>
      <c r="AC3431" t="s">
        <v>616</v>
      </c>
      <c r="AD3431" t="s">
        <v>616</v>
      </c>
      <c r="AE3431" t="s">
        <v>616</v>
      </c>
      <c r="AF3431" t="s">
        <v>616</v>
      </c>
      <c r="AG3431" t="s">
        <v>616</v>
      </c>
      <c r="AH3431" t="s">
        <v>616</v>
      </c>
      <c r="AI3431">
        <v>0</v>
      </c>
      <c r="AJ3431">
        <v>0</v>
      </c>
      <c r="AK3431">
        <v>0</v>
      </c>
      <c r="AL3431">
        <v>0</v>
      </c>
    </row>
    <row r="3432" spans="1:38" x14ac:dyDescent="0.25">
      <c r="A3432">
        <v>3431</v>
      </c>
      <c r="B3432" t="str">
        <f xml:space="preserve"> "600672"</f>
        <v>600672</v>
      </c>
      <c r="C3432" t="s">
        <v>9472</v>
      </c>
      <c r="D3432" t="s">
        <v>616</v>
      </c>
      <c r="E3432" t="s">
        <v>616</v>
      </c>
      <c r="F3432" t="s">
        <v>616</v>
      </c>
      <c r="G3432" t="s">
        <v>616</v>
      </c>
      <c r="H3432" t="s">
        <v>616</v>
      </c>
      <c r="I3432" t="s">
        <v>616</v>
      </c>
      <c r="J3432" t="s">
        <v>616</v>
      </c>
      <c r="K3432" t="s">
        <v>616</v>
      </c>
      <c r="L3432" t="s">
        <v>616</v>
      </c>
      <c r="M3432" t="s">
        <v>616</v>
      </c>
      <c r="N3432" t="s">
        <v>616</v>
      </c>
      <c r="O3432" t="s">
        <v>616</v>
      </c>
      <c r="P3432" t="s">
        <v>616</v>
      </c>
      <c r="Q3432" t="s">
        <v>616</v>
      </c>
      <c r="R3432" t="s">
        <v>616</v>
      </c>
      <c r="S3432" t="s">
        <v>616</v>
      </c>
      <c r="T3432" t="s">
        <v>616</v>
      </c>
      <c r="U3432" t="s">
        <v>616</v>
      </c>
      <c r="V3432" t="s">
        <v>616</v>
      </c>
      <c r="W3432" t="s">
        <v>616</v>
      </c>
      <c r="X3432" t="s">
        <v>616</v>
      </c>
      <c r="Y3432" t="s">
        <v>616</v>
      </c>
      <c r="Z3432" t="s">
        <v>616</v>
      </c>
      <c r="AA3432" t="s">
        <v>616</v>
      </c>
      <c r="AB3432" t="s">
        <v>616</v>
      </c>
      <c r="AC3432" t="s">
        <v>616</v>
      </c>
      <c r="AD3432" t="s">
        <v>616</v>
      </c>
      <c r="AE3432" t="s">
        <v>616</v>
      </c>
      <c r="AF3432" t="s">
        <v>616</v>
      </c>
      <c r="AG3432" t="s">
        <v>616</v>
      </c>
      <c r="AH3432" t="s">
        <v>616</v>
      </c>
      <c r="AI3432">
        <v>0</v>
      </c>
      <c r="AJ3432">
        <v>0</v>
      </c>
      <c r="AK3432">
        <v>0</v>
      </c>
      <c r="AL3432">
        <v>0</v>
      </c>
    </row>
    <row r="3433" spans="1:38" x14ac:dyDescent="0.25">
      <c r="A3433">
        <v>3432</v>
      </c>
      <c r="B3433" t="str">
        <f xml:space="preserve"> "600670"</f>
        <v>600670</v>
      </c>
      <c r="C3433" t="s">
        <v>9473</v>
      </c>
      <c r="D3433" t="s">
        <v>616</v>
      </c>
      <c r="E3433" t="s">
        <v>616</v>
      </c>
      <c r="F3433" t="s">
        <v>616</v>
      </c>
      <c r="G3433" t="s">
        <v>616</v>
      </c>
      <c r="H3433" t="s">
        <v>616</v>
      </c>
      <c r="I3433" t="s">
        <v>616</v>
      </c>
      <c r="J3433" t="s">
        <v>616</v>
      </c>
      <c r="K3433" t="s">
        <v>616</v>
      </c>
      <c r="L3433" t="s">
        <v>616</v>
      </c>
      <c r="M3433" t="s">
        <v>616</v>
      </c>
      <c r="N3433" t="s">
        <v>616</v>
      </c>
      <c r="O3433" t="s">
        <v>616</v>
      </c>
      <c r="P3433" t="s">
        <v>616</v>
      </c>
      <c r="Q3433" t="s">
        <v>616</v>
      </c>
      <c r="R3433" t="s">
        <v>616</v>
      </c>
      <c r="S3433" t="s">
        <v>616</v>
      </c>
      <c r="T3433" t="s">
        <v>616</v>
      </c>
      <c r="U3433" t="s">
        <v>616</v>
      </c>
      <c r="V3433" t="s">
        <v>616</v>
      </c>
      <c r="W3433" t="s">
        <v>616</v>
      </c>
      <c r="X3433" t="s">
        <v>616</v>
      </c>
      <c r="Y3433" t="s">
        <v>616</v>
      </c>
      <c r="Z3433" t="s">
        <v>616</v>
      </c>
      <c r="AA3433" t="s">
        <v>616</v>
      </c>
      <c r="AB3433" t="s">
        <v>616</v>
      </c>
      <c r="AC3433" t="s">
        <v>616</v>
      </c>
      <c r="AD3433" t="s">
        <v>616</v>
      </c>
      <c r="AE3433" t="s">
        <v>616</v>
      </c>
      <c r="AF3433" t="s">
        <v>616</v>
      </c>
      <c r="AG3433" t="s">
        <v>616</v>
      </c>
      <c r="AH3433" t="s">
        <v>616</v>
      </c>
      <c r="AI3433">
        <v>0</v>
      </c>
      <c r="AJ3433">
        <v>0</v>
      </c>
      <c r="AK3433">
        <v>0</v>
      </c>
      <c r="AL3433">
        <v>0</v>
      </c>
    </row>
    <row r="3434" spans="1:38" x14ac:dyDescent="0.25">
      <c r="A3434">
        <v>3433</v>
      </c>
      <c r="B3434" t="str">
        <f xml:space="preserve"> "600669"</f>
        <v>600669</v>
      </c>
      <c r="C3434" t="s">
        <v>9474</v>
      </c>
      <c r="D3434" t="s">
        <v>616</v>
      </c>
      <c r="E3434" t="s">
        <v>616</v>
      </c>
      <c r="F3434" t="s">
        <v>616</v>
      </c>
      <c r="G3434" t="s">
        <v>616</v>
      </c>
      <c r="H3434" t="s">
        <v>616</v>
      </c>
      <c r="I3434" t="s">
        <v>616</v>
      </c>
      <c r="J3434" t="s">
        <v>616</v>
      </c>
      <c r="K3434" t="s">
        <v>616</v>
      </c>
      <c r="L3434" t="s">
        <v>616</v>
      </c>
      <c r="M3434" t="s">
        <v>616</v>
      </c>
      <c r="N3434" t="s">
        <v>616</v>
      </c>
      <c r="O3434" t="s">
        <v>616</v>
      </c>
      <c r="P3434" t="s">
        <v>616</v>
      </c>
      <c r="Q3434" t="s">
        <v>616</v>
      </c>
      <c r="R3434" t="s">
        <v>616</v>
      </c>
      <c r="S3434" t="s">
        <v>616</v>
      </c>
      <c r="T3434" t="s">
        <v>616</v>
      </c>
      <c r="U3434" t="s">
        <v>616</v>
      </c>
      <c r="V3434" t="s">
        <v>616</v>
      </c>
      <c r="W3434" t="s">
        <v>616</v>
      </c>
      <c r="X3434" t="s">
        <v>616</v>
      </c>
      <c r="Y3434" t="s">
        <v>616</v>
      </c>
      <c r="Z3434" t="s">
        <v>616</v>
      </c>
      <c r="AA3434" t="s">
        <v>616</v>
      </c>
      <c r="AB3434" t="s">
        <v>616</v>
      </c>
      <c r="AC3434" t="s">
        <v>616</v>
      </c>
      <c r="AD3434" t="s">
        <v>616</v>
      </c>
      <c r="AE3434" t="s">
        <v>616</v>
      </c>
      <c r="AF3434" t="s">
        <v>616</v>
      </c>
      <c r="AG3434" t="s">
        <v>616</v>
      </c>
      <c r="AH3434" t="s">
        <v>616</v>
      </c>
      <c r="AI3434">
        <v>0</v>
      </c>
      <c r="AJ3434">
        <v>0</v>
      </c>
      <c r="AK3434">
        <v>0</v>
      </c>
      <c r="AL3434">
        <v>0</v>
      </c>
    </row>
    <row r="3435" spans="1:38" x14ac:dyDescent="0.25">
      <c r="A3435">
        <v>3434</v>
      </c>
      <c r="B3435" t="str">
        <f xml:space="preserve"> "600659"</f>
        <v>600659</v>
      </c>
      <c r="C3435" t="s">
        <v>9475</v>
      </c>
      <c r="D3435" t="s">
        <v>616</v>
      </c>
      <c r="E3435" t="s">
        <v>616</v>
      </c>
      <c r="F3435" t="s">
        <v>616</v>
      </c>
      <c r="G3435" t="s">
        <v>616</v>
      </c>
      <c r="H3435" t="s">
        <v>616</v>
      </c>
      <c r="I3435" t="s">
        <v>616</v>
      </c>
      <c r="J3435" t="s">
        <v>616</v>
      </c>
      <c r="K3435" t="s">
        <v>616</v>
      </c>
      <c r="L3435" t="s">
        <v>616</v>
      </c>
      <c r="M3435" t="s">
        <v>616</v>
      </c>
      <c r="N3435" t="s">
        <v>616</v>
      </c>
      <c r="O3435" t="s">
        <v>616</v>
      </c>
      <c r="P3435" t="s">
        <v>616</v>
      </c>
      <c r="Q3435" t="s">
        <v>616</v>
      </c>
      <c r="R3435" t="s">
        <v>616</v>
      </c>
      <c r="S3435" t="s">
        <v>616</v>
      </c>
      <c r="T3435" t="s">
        <v>616</v>
      </c>
      <c r="U3435" t="s">
        <v>616</v>
      </c>
      <c r="V3435" t="s">
        <v>616</v>
      </c>
      <c r="W3435" t="s">
        <v>616</v>
      </c>
      <c r="X3435" t="s">
        <v>616</v>
      </c>
      <c r="Y3435" t="s">
        <v>616</v>
      </c>
      <c r="Z3435" t="s">
        <v>616</v>
      </c>
      <c r="AA3435" t="s">
        <v>616</v>
      </c>
      <c r="AB3435" t="s">
        <v>616</v>
      </c>
      <c r="AC3435" t="s">
        <v>616</v>
      </c>
      <c r="AD3435" t="s">
        <v>616</v>
      </c>
      <c r="AE3435" t="s">
        <v>616</v>
      </c>
      <c r="AF3435" t="s">
        <v>616</v>
      </c>
      <c r="AG3435" t="s">
        <v>616</v>
      </c>
      <c r="AH3435" t="s">
        <v>616</v>
      </c>
      <c r="AI3435">
        <v>0</v>
      </c>
      <c r="AJ3435">
        <v>0</v>
      </c>
      <c r="AK3435">
        <v>0</v>
      </c>
      <c r="AL3435">
        <v>0</v>
      </c>
    </row>
    <row r="3436" spans="1:38" x14ac:dyDescent="0.25">
      <c r="A3436">
        <v>3435</v>
      </c>
      <c r="B3436" t="str">
        <f xml:space="preserve"> "600656"</f>
        <v>600656</v>
      </c>
      <c r="C3436" t="s">
        <v>9476</v>
      </c>
      <c r="D3436" t="s">
        <v>616</v>
      </c>
      <c r="E3436" t="s">
        <v>616</v>
      </c>
      <c r="F3436" t="s">
        <v>616</v>
      </c>
      <c r="G3436" t="s">
        <v>616</v>
      </c>
      <c r="H3436" t="s">
        <v>616</v>
      </c>
      <c r="I3436" t="s">
        <v>616</v>
      </c>
      <c r="J3436" t="s">
        <v>616</v>
      </c>
      <c r="K3436" t="s">
        <v>616</v>
      </c>
      <c r="L3436" t="s">
        <v>616</v>
      </c>
      <c r="M3436" t="s">
        <v>616</v>
      </c>
      <c r="N3436" t="s">
        <v>616</v>
      </c>
      <c r="O3436" t="s">
        <v>3277</v>
      </c>
      <c r="P3436" t="s">
        <v>616</v>
      </c>
      <c r="Q3436" t="s">
        <v>616</v>
      </c>
      <c r="R3436" t="s">
        <v>616</v>
      </c>
      <c r="S3436" t="s">
        <v>616</v>
      </c>
      <c r="T3436" t="s">
        <v>616</v>
      </c>
      <c r="U3436" t="s">
        <v>616</v>
      </c>
      <c r="V3436" t="s">
        <v>616</v>
      </c>
      <c r="W3436" t="s">
        <v>616</v>
      </c>
      <c r="X3436" t="s">
        <v>616</v>
      </c>
      <c r="Y3436" t="s">
        <v>616</v>
      </c>
      <c r="Z3436" t="s">
        <v>616</v>
      </c>
      <c r="AA3436" t="s">
        <v>616</v>
      </c>
      <c r="AB3436" t="s">
        <v>616</v>
      </c>
      <c r="AC3436" t="s">
        <v>616</v>
      </c>
      <c r="AD3436" t="s">
        <v>616</v>
      </c>
      <c r="AE3436" t="s">
        <v>2146</v>
      </c>
      <c r="AF3436">
        <v>0</v>
      </c>
      <c r="AG3436" t="s">
        <v>2146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>
        <v>3436</v>
      </c>
      <c r="B3437" t="str">
        <f xml:space="preserve"> "600646"</f>
        <v>600646</v>
      </c>
      <c r="C3437" t="s">
        <v>9477</v>
      </c>
      <c r="D3437" t="s">
        <v>616</v>
      </c>
      <c r="E3437" t="s">
        <v>616</v>
      </c>
      <c r="F3437" t="s">
        <v>616</v>
      </c>
      <c r="G3437" t="s">
        <v>616</v>
      </c>
      <c r="H3437" t="s">
        <v>616</v>
      </c>
      <c r="I3437" t="s">
        <v>616</v>
      </c>
      <c r="J3437" t="s">
        <v>616</v>
      </c>
      <c r="K3437" t="s">
        <v>616</v>
      </c>
      <c r="L3437" t="s">
        <v>616</v>
      </c>
      <c r="M3437" t="s">
        <v>616</v>
      </c>
      <c r="N3437" t="s">
        <v>616</v>
      </c>
      <c r="O3437" t="s">
        <v>616</v>
      </c>
      <c r="P3437" t="s">
        <v>616</v>
      </c>
      <c r="Q3437" t="s">
        <v>616</v>
      </c>
      <c r="R3437" t="s">
        <v>616</v>
      </c>
      <c r="S3437" t="s">
        <v>616</v>
      </c>
      <c r="T3437" t="s">
        <v>616</v>
      </c>
      <c r="U3437" t="s">
        <v>616</v>
      </c>
      <c r="V3437" t="s">
        <v>616</v>
      </c>
      <c r="W3437" t="s">
        <v>616</v>
      </c>
      <c r="X3437" t="s">
        <v>616</v>
      </c>
      <c r="Y3437" t="s">
        <v>616</v>
      </c>
      <c r="Z3437" t="s">
        <v>616</v>
      </c>
      <c r="AA3437" t="s">
        <v>616</v>
      </c>
      <c r="AB3437" t="s">
        <v>616</v>
      </c>
      <c r="AC3437" t="s">
        <v>616</v>
      </c>
      <c r="AD3437" t="s">
        <v>616</v>
      </c>
      <c r="AE3437" t="s">
        <v>616</v>
      </c>
      <c r="AF3437" t="s">
        <v>616</v>
      </c>
      <c r="AG3437" t="s">
        <v>616</v>
      </c>
      <c r="AH3437" t="s">
        <v>616</v>
      </c>
      <c r="AI3437">
        <v>0</v>
      </c>
      <c r="AJ3437">
        <v>0</v>
      </c>
      <c r="AK3437">
        <v>0</v>
      </c>
      <c r="AL3437">
        <v>0</v>
      </c>
    </row>
    <row r="3438" spans="1:38" x14ac:dyDescent="0.25">
      <c r="A3438">
        <v>3437</v>
      </c>
      <c r="B3438" t="str">
        <f xml:space="preserve"> "600632"</f>
        <v>600632</v>
      </c>
      <c r="C3438" t="s">
        <v>9478</v>
      </c>
      <c r="D3438" t="s">
        <v>616</v>
      </c>
      <c r="E3438" t="s">
        <v>616</v>
      </c>
      <c r="F3438" t="s">
        <v>616</v>
      </c>
      <c r="G3438" t="s">
        <v>616</v>
      </c>
      <c r="H3438" t="s">
        <v>616</v>
      </c>
      <c r="I3438" t="s">
        <v>616</v>
      </c>
      <c r="J3438" t="s">
        <v>616</v>
      </c>
      <c r="K3438" t="s">
        <v>616</v>
      </c>
      <c r="L3438" t="s">
        <v>616</v>
      </c>
      <c r="M3438" t="s">
        <v>616</v>
      </c>
      <c r="N3438" t="s">
        <v>616</v>
      </c>
      <c r="O3438" t="s">
        <v>616</v>
      </c>
      <c r="P3438" t="s">
        <v>616</v>
      </c>
      <c r="Q3438" t="s">
        <v>616</v>
      </c>
      <c r="R3438" t="s">
        <v>616</v>
      </c>
      <c r="S3438" t="s">
        <v>616</v>
      </c>
      <c r="T3438" t="s">
        <v>616</v>
      </c>
      <c r="U3438" t="s">
        <v>616</v>
      </c>
      <c r="V3438" t="s">
        <v>616</v>
      </c>
      <c r="W3438" t="s">
        <v>616</v>
      </c>
      <c r="X3438" t="s">
        <v>616</v>
      </c>
      <c r="Y3438" t="s">
        <v>616</v>
      </c>
      <c r="Z3438" t="s">
        <v>616</v>
      </c>
      <c r="AA3438" t="s">
        <v>616</v>
      </c>
      <c r="AB3438" t="s">
        <v>616</v>
      </c>
      <c r="AC3438" t="s">
        <v>616</v>
      </c>
      <c r="AD3438" t="s">
        <v>616</v>
      </c>
      <c r="AE3438" t="s">
        <v>616</v>
      </c>
      <c r="AF3438" t="s">
        <v>616</v>
      </c>
      <c r="AG3438" t="s">
        <v>616</v>
      </c>
      <c r="AH3438" t="s">
        <v>616</v>
      </c>
      <c r="AI3438">
        <v>0</v>
      </c>
      <c r="AJ3438">
        <v>0</v>
      </c>
      <c r="AK3438">
        <v>0</v>
      </c>
      <c r="AL3438">
        <v>0</v>
      </c>
    </row>
    <row r="3439" spans="1:38" x14ac:dyDescent="0.25">
      <c r="A3439">
        <v>3438</v>
      </c>
      <c r="B3439" t="str">
        <f xml:space="preserve"> "600631"</f>
        <v>600631</v>
      </c>
      <c r="C3439" t="s">
        <v>2420</v>
      </c>
      <c r="D3439" t="s">
        <v>616</v>
      </c>
      <c r="E3439" t="s">
        <v>616</v>
      </c>
      <c r="F3439" t="s">
        <v>616</v>
      </c>
      <c r="G3439" t="s">
        <v>616</v>
      </c>
      <c r="H3439" t="s">
        <v>616</v>
      </c>
      <c r="I3439" t="s">
        <v>616</v>
      </c>
      <c r="J3439" t="s">
        <v>616</v>
      </c>
      <c r="K3439" t="s">
        <v>616</v>
      </c>
      <c r="L3439" t="s">
        <v>616</v>
      </c>
      <c r="M3439" t="s">
        <v>616</v>
      </c>
      <c r="N3439" t="s">
        <v>616</v>
      </c>
      <c r="O3439" t="s">
        <v>532</v>
      </c>
      <c r="P3439" t="s">
        <v>616</v>
      </c>
      <c r="Q3439" t="s">
        <v>616</v>
      </c>
      <c r="R3439" t="s">
        <v>616</v>
      </c>
      <c r="S3439" t="s">
        <v>616</v>
      </c>
      <c r="T3439" t="s">
        <v>616</v>
      </c>
      <c r="U3439" t="s">
        <v>616</v>
      </c>
      <c r="V3439" t="s">
        <v>616</v>
      </c>
      <c r="W3439" t="s">
        <v>616</v>
      </c>
      <c r="X3439" t="s">
        <v>616</v>
      </c>
      <c r="Y3439" t="s">
        <v>616</v>
      </c>
      <c r="Z3439" t="s">
        <v>616</v>
      </c>
      <c r="AA3439" t="s">
        <v>616</v>
      </c>
      <c r="AB3439" t="s">
        <v>616</v>
      </c>
      <c r="AC3439" t="s">
        <v>616</v>
      </c>
      <c r="AD3439" t="s">
        <v>616</v>
      </c>
      <c r="AE3439" t="s">
        <v>616</v>
      </c>
      <c r="AF3439" t="s">
        <v>616</v>
      </c>
      <c r="AG3439" t="s">
        <v>616</v>
      </c>
      <c r="AH3439" t="s">
        <v>616</v>
      </c>
      <c r="AI3439">
        <v>0</v>
      </c>
      <c r="AJ3439">
        <v>0</v>
      </c>
      <c r="AK3439">
        <v>0</v>
      </c>
      <c r="AL3439">
        <v>0</v>
      </c>
    </row>
    <row r="3440" spans="1:38" x14ac:dyDescent="0.25">
      <c r="A3440">
        <v>3439</v>
      </c>
      <c r="B3440" t="str">
        <f xml:space="preserve"> "600627"</f>
        <v>600627</v>
      </c>
      <c r="C3440" t="s">
        <v>9479</v>
      </c>
      <c r="D3440" t="s">
        <v>616</v>
      </c>
      <c r="E3440" t="s">
        <v>616</v>
      </c>
      <c r="F3440" t="s">
        <v>616</v>
      </c>
      <c r="G3440" t="s">
        <v>616</v>
      </c>
      <c r="H3440" t="s">
        <v>616</v>
      </c>
      <c r="I3440" t="s">
        <v>616</v>
      </c>
      <c r="J3440" t="s">
        <v>616</v>
      </c>
      <c r="K3440" t="s">
        <v>616</v>
      </c>
      <c r="L3440" t="s">
        <v>616</v>
      </c>
      <c r="M3440" t="s">
        <v>616</v>
      </c>
      <c r="N3440" t="s">
        <v>616</v>
      </c>
      <c r="O3440" t="s">
        <v>616</v>
      </c>
      <c r="P3440" t="s">
        <v>616</v>
      </c>
      <c r="Q3440" t="s">
        <v>616</v>
      </c>
      <c r="R3440" t="s">
        <v>616</v>
      </c>
      <c r="S3440" t="s">
        <v>616</v>
      </c>
      <c r="T3440" t="s">
        <v>616</v>
      </c>
      <c r="U3440" t="s">
        <v>616</v>
      </c>
      <c r="V3440" t="s">
        <v>616</v>
      </c>
      <c r="W3440" t="s">
        <v>616</v>
      </c>
      <c r="X3440" t="s">
        <v>616</v>
      </c>
      <c r="Y3440" t="s">
        <v>616</v>
      </c>
      <c r="Z3440" t="s">
        <v>616</v>
      </c>
      <c r="AA3440" t="s">
        <v>616</v>
      </c>
      <c r="AB3440" t="s">
        <v>616</v>
      </c>
      <c r="AC3440" t="s">
        <v>616</v>
      </c>
      <c r="AD3440" t="s">
        <v>616</v>
      </c>
      <c r="AE3440" t="s">
        <v>616</v>
      </c>
      <c r="AF3440" t="s">
        <v>616</v>
      </c>
      <c r="AG3440" t="s">
        <v>616</v>
      </c>
      <c r="AH3440" t="s">
        <v>616</v>
      </c>
      <c r="AI3440">
        <v>0</v>
      </c>
      <c r="AJ3440">
        <v>0</v>
      </c>
      <c r="AK3440">
        <v>0</v>
      </c>
      <c r="AL3440">
        <v>0</v>
      </c>
    </row>
    <row r="3441" spans="1:38" x14ac:dyDescent="0.25">
      <c r="A3441">
        <v>3440</v>
      </c>
      <c r="B3441" t="str">
        <f xml:space="preserve"> "600625"</f>
        <v>600625</v>
      </c>
      <c r="C3441" t="s">
        <v>9480</v>
      </c>
      <c r="D3441" t="s">
        <v>616</v>
      </c>
      <c r="E3441" t="s">
        <v>616</v>
      </c>
      <c r="F3441" t="s">
        <v>616</v>
      </c>
      <c r="G3441" t="s">
        <v>616</v>
      </c>
      <c r="H3441" t="s">
        <v>616</v>
      </c>
      <c r="I3441" t="s">
        <v>616</v>
      </c>
      <c r="J3441" t="s">
        <v>616</v>
      </c>
      <c r="K3441" t="s">
        <v>616</v>
      </c>
      <c r="L3441" t="s">
        <v>616</v>
      </c>
      <c r="M3441" t="s">
        <v>616</v>
      </c>
      <c r="N3441" t="s">
        <v>616</v>
      </c>
      <c r="O3441" t="s">
        <v>616</v>
      </c>
      <c r="P3441" t="s">
        <v>616</v>
      </c>
      <c r="Q3441" t="s">
        <v>616</v>
      </c>
      <c r="R3441" t="s">
        <v>616</v>
      </c>
      <c r="S3441" t="s">
        <v>616</v>
      </c>
      <c r="T3441" t="s">
        <v>616</v>
      </c>
      <c r="U3441" t="s">
        <v>616</v>
      </c>
      <c r="V3441" t="s">
        <v>616</v>
      </c>
      <c r="W3441" t="s">
        <v>616</v>
      </c>
      <c r="X3441" t="s">
        <v>616</v>
      </c>
      <c r="Y3441" t="s">
        <v>616</v>
      </c>
      <c r="Z3441" t="s">
        <v>616</v>
      </c>
      <c r="AA3441" t="s">
        <v>616</v>
      </c>
      <c r="AB3441" t="s">
        <v>616</v>
      </c>
      <c r="AC3441" t="s">
        <v>616</v>
      </c>
      <c r="AD3441" t="s">
        <v>616</v>
      </c>
      <c r="AE3441" t="s">
        <v>616</v>
      </c>
      <c r="AF3441" t="s">
        <v>616</v>
      </c>
      <c r="AG3441" t="s">
        <v>616</v>
      </c>
      <c r="AH3441" t="s">
        <v>616</v>
      </c>
      <c r="AI3441">
        <v>0</v>
      </c>
      <c r="AJ3441">
        <v>0</v>
      </c>
      <c r="AK3441">
        <v>0</v>
      </c>
      <c r="AL3441">
        <v>0</v>
      </c>
    </row>
    <row r="3442" spans="1:38" x14ac:dyDescent="0.25">
      <c r="A3442">
        <v>3441</v>
      </c>
      <c r="B3442" t="str">
        <f xml:space="preserve"> "600607"</f>
        <v>600607</v>
      </c>
      <c r="C3442" t="s">
        <v>9481</v>
      </c>
      <c r="D3442" t="s">
        <v>616</v>
      </c>
      <c r="E3442" t="s">
        <v>616</v>
      </c>
      <c r="F3442" t="s">
        <v>616</v>
      </c>
      <c r="G3442" t="s">
        <v>616</v>
      </c>
      <c r="H3442" t="s">
        <v>616</v>
      </c>
      <c r="I3442" t="s">
        <v>616</v>
      </c>
      <c r="J3442" t="s">
        <v>616</v>
      </c>
      <c r="K3442" t="s">
        <v>616</v>
      </c>
      <c r="L3442" t="s">
        <v>616</v>
      </c>
      <c r="M3442" t="s">
        <v>616</v>
      </c>
      <c r="N3442" t="s">
        <v>616</v>
      </c>
      <c r="O3442" t="s">
        <v>392</v>
      </c>
      <c r="P3442" t="s">
        <v>616</v>
      </c>
      <c r="Q3442" t="s">
        <v>616</v>
      </c>
      <c r="R3442" t="s">
        <v>616</v>
      </c>
      <c r="S3442" t="s">
        <v>616</v>
      </c>
      <c r="T3442" t="s">
        <v>616</v>
      </c>
      <c r="U3442" t="s">
        <v>616</v>
      </c>
      <c r="V3442" t="s">
        <v>616</v>
      </c>
      <c r="W3442" t="s">
        <v>616</v>
      </c>
      <c r="X3442" t="s">
        <v>616</v>
      </c>
      <c r="Y3442" t="s">
        <v>616</v>
      </c>
      <c r="Z3442" t="s">
        <v>616</v>
      </c>
      <c r="AA3442" t="s">
        <v>616</v>
      </c>
      <c r="AB3442" t="s">
        <v>616</v>
      </c>
      <c r="AC3442" t="s">
        <v>616</v>
      </c>
      <c r="AD3442" t="s">
        <v>616</v>
      </c>
      <c r="AE3442" t="s">
        <v>616</v>
      </c>
      <c r="AF3442" t="s">
        <v>616</v>
      </c>
      <c r="AG3442" t="s">
        <v>616</v>
      </c>
      <c r="AH3442" t="s">
        <v>616</v>
      </c>
      <c r="AI3442">
        <v>0</v>
      </c>
      <c r="AJ3442">
        <v>0</v>
      </c>
      <c r="AK3442">
        <v>0</v>
      </c>
      <c r="AL3442">
        <v>0</v>
      </c>
    </row>
    <row r="3443" spans="1:38" x14ac:dyDescent="0.25">
      <c r="A3443">
        <v>3442</v>
      </c>
      <c r="B3443" t="str">
        <f xml:space="preserve"> "600591"</f>
        <v>600591</v>
      </c>
      <c r="C3443" t="s">
        <v>9482</v>
      </c>
      <c r="D3443" t="s">
        <v>616</v>
      </c>
      <c r="E3443" t="s">
        <v>616</v>
      </c>
      <c r="F3443" t="s">
        <v>616</v>
      </c>
      <c r="G3443" t="s">
        <v>616</v>
      </c>
      <c r="H3443" t="s">
        <v>616</v>
      </c>
      <c r="I3443" t="s">
        <v>616</v>
      </c>
      <c r="J3443" t="s">
        <v>616</v>
      </c>
      <c r="K3443" t="s">
        <v>616</v>
      </c>
      <c r="L3443" t="s">
        <v>616</v>
      </c>
      <c r="M3443" t="s">
        <v>616</v>
      </c>
      <c r="N3443" t="s">
        <v>616</v>
      </c>
      <c r="O3443" t="s">
        <v>572</v>
      </c>
      <c r="P3443" t="s">
        <v>616</v>
      </c>
      <c r="Q3443" t="s">
        <v>616</v>
      </c>
      <c r="R3443" t="s">
        <v>616</v>
      </c>
      <c r="S3443" t="s">
        <v>616</v>
      </c>
      <c r="T3443" t="s">
        <v>616</v>
      </c>
      <c r="U3443" t="s">
        <v>616</v>
      </c>
      <c r="V3443" t="s">
        <v>616</v>
      </c>
      <c r="W3443" t="s">
        <v>616</v>
      </c>
      <c r="X3443" t="s">
        <v>616</v>
      </c>
      <c r="Y3443" t="s">
        <v>616</v>
      </c>
      <c r="Z3443" t="s">
        <v>616</v>
      </c>
      <c r="AA3443" t="s">
        <v>616</v>
      </c>
      <c r="AB3443" t="s">
        <v>616</v>
      </c>
      <c r="AC3443" t="s">
        <v>616</v>
      </c>
      <c r="AD3443" t="s">
        <v>616</v>
      </c>
      <c r="AE3443" t="s">
        <v>616</v>
      </c>
      <c r="AF3443" t="s">
        <v>616</v>
      </c>
      <c r="AG3443" t="s">
        <v>616</v>
      </c>
      <c r="AH3443" t="s">
        <v>616</v>
      </c>
      <c r="AI3443">
        <v>0</v>
      </c>
      <c r="AJ3443">
        <v>0</v>
      </c>
      <c r="AK3443">
        <v>0</v>
      </c>
      <c r="AL3443">
        <v>0</v>
      </c>
    </row>
    <row r="3444" spans="1:38" x14ac:dyDescent="0.25">
      <c r="A3444">
        <v>3443</v>
      </c>
      <c r="B3444" t="str">
        <f xml:space="preserve"> "600553"</f>
        <v>600553</v>
      </c>
      <c r="C3444" t="s">
        <v>9483</v>
      </c>
      <c r="D3444" t="s">
        <v>616</v>
      </c>
      <c r="E3444" t="s">
        <v>616</v>
      </c>
      <c r="F3444" t="s">
        <v>616</v>
      </c>
      <c r="G3444" t="s">
        <v>616</v>
      </c>
      <c r="H3444" t="s">
        <v>616</v>
      </c>
      <c r="I3444" t="s">
        <v>616</v>
      </c>
      <c r="J3444" t="s">
        <v>616</v>
      </c>
      <c r="K3444" t="s">
        <v>616</v>
      </c>
      <c r="L3444" t="s">
        <v>616</v>
      </c>
      <c r="M3444" t="s">
        <v>616</v>
      </c>
      <c r="N3444" t="s">
        <v>616</v>
      </c>
      <c r="O3444" t="s">
        <v>562</v>
      </c>
      <c r="P3444" t="s">
        <v>616</v>
      </c>
      <c r="Q3444" t="s">
        <v>616</v>
      </c>
      <c r="R3444" t="s">
        <v>616</v>
      </c>
      <c r="S3444" t="s">
        <v>616</v>
      </c>
      <c r="T3444" t="s">
        <v>616</v>
      </c>
      <c r="U3444" t="s">
        <v>616</v>
      </c>
      <c r="V3444" t="s">
        <v>616</v>
      </c>
      <c r="W3444" t="s">
        <v>616</v>
      </c>
      <c r="X3444" t="s">
        <v>616</v>
      </c>
      <c r="Y3444" t="s">
        <v>616</v>
      </c>
      <c r="Z3444" t="s">
        <v>616</v>
      </c>
      <c r="AA3444" t="s">
        <v>616</v>
      </c>
      <c r="AB3444" t="s">
        <v>616</v>
      </c>
      <c r="AC3444" t="s">
        <v>616</v>
      </c>
      <c r="AD3444" t="s">
        <v>616</v>
      </c>
      <c r="AE3444" t="s">
        <v>616</v>
      </c>
      <c r="AF3444" t="s">
        <v>616</v>
      </c>
      <c r="AG3444" t="s">
        <v>616</v>
      </c>
      <c r="AH3444" t="s">
        <v>616</v>
      </c>
      <c r="AI3444">
        <v>0</v>
      </c>
      <c r="AJ3444">
        <v>0</v>
      </c>
      <c r="AK3444">
        <v>0</v>
      </c>
      <c r="AL3444">
        <v>0</v>
      </c>
    </row>
    <row r="3445" spans="1:38" x14ac:dyDescent="0.25">
      <c r="A3445">
        <v>3444</v>
      </c>
      <c r="B3445" t="str">
        <f xml:space="preserve"> "600472"</f>
        <v>600472</v>
      </c>
      <c r="C3445" t="s">
        <v>9484</v>
      </c>
      <c r="D3445" t="s">
        <v>616</v>
      </c>
      <c r="E3445" t="s">
        <v>616</v>
      </c>
      <c r="F3445" t="s">
        <v>616</v>
      </c>
      <c r="G3445" t="s">
        <v>616</v>
      </c>
      <c r="H3445" t="s">
        <v>616</v>
      </c>
      <c r="I3445" t="s">
        <v>616</v>
      </c>
      <c r="J3445" t="s">
        <v>616</v>
      </c>
      <c r="K3445" t="s">
        <v>616</v>
      </c>
      <c r="L3445" t="s">
        <v>616</v>
      </c>
      <c r="M3445" t="s">
        <v>616</v>
      </c>
      <c r="N3445" t="s">
        <v>616</v>
      </c>
      <c r="O3445" t="s">
        <v>616</v>
      </c>
      <c r="P3445" t="s">
        <v>616</v>
      </c>
      <c r="Q3445" t="s">
        <v>616</v>
      </c>
      <c r="R3445" t="s">
        <v>616</v>
      </c>
      <c r="S3445" t="s">
        <v>616</v>
      </c>
      <c r="T3445" t="s">
        <v>616</v>
      </c>
      <c r="U3445" t="s">
        <v>616</v>
      </c>
      <c r="V3445" t="s">
        <v>616</v>
      </c>
      <c r="W3445" t="s">
        <v>616</v>
      </c>
      <c r="X3445" t="s">
        <v>616</v>
      </c>
      <c r="Y3445" t="s">
        <v>616</v>
      </c>
      <c r="Z3445" t="s">
        <v>616</v>
      </c>
      <c r="AA3445" t="s">
        <v>616</v>
      </c>
      <c r="AB3445" t="s">
        <v>616</v>
      </c>
      <c r="AC3445" t="s">
        <v>616</v>
      </c>
      <c r="AD3445" t="s">
        <v>616</v>
      </c>
      <c r="AE3445" t="s">
        <v>616</v>
      </c>
      <c r="AF3445" t="s">
        <v>616</v>
      </c>
      <c r="AG3445" t="s">
        <v>616</v>
      </c>
      <c r="AH3445" t="s">
        <v>616</v>
      </c>
      <c r="AI3445">
        <v>0</v>
      </c>
      <c r="AJ3445">
        <v>0</v>
      </c>
      <c r="AK3445">
        <v>0</v>
      </c>
      <c r="AL3445">
        <v>0</v>
      </c>
    </row>
    <row r="3446" spans="1:38" x14ac:dyDescent="0.25">
      <c r="A3446">
        <v>3445</v>
      </c>
      <c r="B3446" t="str">
        <f xml:space="preserve"> "600357"</f>
        <v>600357</v>
      </c>
      <c r="C3446" t="s">
        <v>9485</v>
      </c>
      <c r="D3446" t="s">
        <v>616</v>
      </c>
      <c r="E3446" t="s">
        <v>616</v>
      </c>
      <c r="F3446" t="s">
        <v>616</v>
      </c>
      <c r="G3446" t="s">
        <v>616</v>
      </c>
      <c r="H3446" t="s">
        <v>616</v>
      </c>
      <c r="I3446" t="s">
        <v>616</v>
      </c>
      <c r="J3446" t="s">
        <v>616</v>
      </c>
      <c r="K3446" t="s">
        <v>616</v>
      </c>
      <c r="L3446" t="s">
        <v>616</v>
      </c>
      <c r="M3446" t="s">
        <v>616</v>
      </c>
      <c r="N3446" t="s">
        <v>616</v>
      </c>
      <c r="O3446" t="s">
        <v>616</v>
      </c>
      <c r="P3446" t="s">
        <v>616</v>
      </c>
      <c r="Q3446" t="s">
        <v>616</v>
      </c>
      <c r="R3446" t="s">
        <v>616</v>
      </c>
      <c r="S3446" t="s">
        <v>616</v>
      </c>
      <c r="T3446" t="s">
        <v>616</v>
      </c>
      <c r="U3446" t="s">
        <v>616</v>
      </c>
      <c r="V3446" t="s">
        <v>616</v>
      </c>
      <c r="W3446" t="s">
        <v>616</v>
      </c>
      <c r="X3446" t="s">
        <v>616</v>
      </c>
      <c r="Y3446" t="s">
        <v>616</v>
      </c>
      <c r="Z3446" t="s">
        <v>616</v>
      </c>
      <c r="AA3446" t="s">
        <v>616</v>
      </c>
      <c r="AB3446" t="s">
        <v>616</v>
      </c>
      <c r="AC3446" t="s">
        <v>616</v>
      </c>
      <c r="AD3446" t="s">
        <v>616</v>
      </c>
      <c r="AE3446" t="s">
        <v>616</v>
      </c>
      <c r="AF3446" t="s">
        <v>616</v>
      </c>
      <c r="AG3446" t="s">
        <v>616</v>
      </c>
      <c r="AH3446" t="s">
        <v>616</v>
      </c>
      <c r="AI3446">
        <v>0</v>
      </c>
      <c r="AJ3446">
        <v>0</v>
      </c>
      <c r="AK3446">
        <v>0</v>
      </c>
      <c r="AL3446">
        <v>0</v>
      </c>
    </row>
    <row r="3447" spans="1:38" x14ac:dyDescent="0.25">
      <c r="A3447">
        <v>3446</v>
      </c>
      <c r="B3447" t="str">
        <f xml:space="preserve"> "600349"</f>
        <v>600349</v>
      </c>
      <c r="C3447" t="s">
        <v>9486</v>
      </c>
      <c r="D3447" t="s">
        <v>616</v>
      </c>
      <c r="E3447" t="s">
        <v>616</v>
      </c>
      <c r="F3447" t="s">
        <v>616</v>
      </c>
      <c r="G3447" t="s">
        <v>616</v>
      </c>
      <c r="H3447" t="s">
        <v>616</v>
      </c>
      <c r="I3447" t="s">
        <v>616</v>
      </c>
      <c r="J3447" t="s">
        <v>616</v>
      </c>
      <c r="K3447" t="s">
        <v>616</v>
      </c>
      <c r="L3447" t="s">
        <v>616</v>
      </c>
      <c r="M3447" t="s">
        <v>616</v>
      </c>
      <c r="N3447" t="s">
        <v>616</v>
      </c>
      <c r="O3447" t="s">
        <v>616</v>
      </c>
      <c r="P3447" t="s">
        <v>616</v>
      </c>
      <c r="Q3447" t="s">
        <v>616</v>
      </c>
      <c r="R3447" t="s">
        <v>616</v>
      </c>
      <c r="S3447" t="s">
        <v>616</v>
      </c>
      <c r="T3447" t="s">
        <v>616</v>
      </c>
      <c r="U3447" t="s">
        <v>616</v>
      </c>
      <c r="V3447" t="s">
        <v>616</v>
      </c>
      <c r="W3447" t="s">
        <v>616</v>
      </c>
      <c r="X3447" t="s">
        <v>616</v>
      </c>
      <c r="Y3447" t="s">
        <v>616</v>
      </c>
      <c r="Z3447" t="s">
        <v>616</v>
      </c>
      <c r="AA3447" t="s">
        <v>616</v>
      </c>
      <c r="AB3447" t="s">
        <v>616</v>
      </c>
      <c r="AC3447" t="s">
        <v>616</v>
      </c>
      <c r="AD3447" t="s">
        <v>616</v>
      </c>
      <c r="AE3447" t="s">
        <v>60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</row>
    <row r="3448" spans="1:38" x14ac:dyDescent="0.25">
      <c r="A3448">
        <v>3447</v>
      </c>
      <c r="B3448" t="str">
        <f xml:space="preserve"> "600296"</f>
        <v>600296</v>
      </c>
      <c r="C3448" t="s">
        <v>9487</v>
      </c>
      <c r="D3448" t="s">
        <v>616</v>
      </c>
      <c r="E3448" t="s">
        <v>616</v>
      </c>
      <c r="F3448" t="s">
        <v>616</v>
      </c>
      <c r="G3448" t="s">
        <v>616</v>
      </c>
      <c r="H3448" t="s">
        <v>616</v>
      </c>
      <c r="I3448" t="s">
        <v>616</v>
      </c>
      <c r="J3448" t="s">
        <v>616</v>
      </c>
      <c r="K3448" t="s">
        <v>616</v>
      </c>
      <c r="L3448" t="s">
        <v>616</v>
      </c>
      <c r="M3448" t="s">
        <v>616</v>
      </c>
      <c r="N3448" t="s">
        <v>616</v>
      </c>
      <c r="O3448" t="s">
        <v>616</v>
      </c>
      <c r="P3448" t="s">
        <v>616</v>
      </c>
      <c r="Q3448" t="s">
        <v>616</v>
      </c>
      <c r="R3448" t="s">
        <v>616</v>
      </c>
      <c r="S3448" t="s">
        <v>616</v>
      </c>
      <c r="T3448" t="s">
        <v>616</v>
      </c>
      <c r="U3448" t="s">
        <v>616</v>
      </c>
      <c r="V3448" t="s">
        <v>616</v>
      </c>
      <c r="W3448" t="s">
        <v>616</v>
      </c>
      <c r="X3448" t="s">
        <v>616</v>
      </c>
      <c r="Y3448" t="s">
        <v>616</v>
      </c>
      <c r="Z3448" t="s">
        <v>616</v>
      </c>
      <c r="AA3448" t="s">
        <v>616</v>
      </c>
      <c r="AB3448" t="s">
        <v>616</v>
      </c>
      <c r="AC3448" t="s">
        <v>616</v>
      </c>
      <c r="AD3448" t="s">
        <v>616</v>
      </c>
      <c r="AE3448" t="s">
        <v>616</v>
      </c>
      <c r="AF3448" t="s">
        <v>616</v>
      </c>
      <c r="AG3448" t="s">
        <v>616</v>
      </c>
      <c r="AH3448" t="s">
        <v>616</v>
      </c>
      <c r="AI3448">
        <v>0</v>
      </c>
      <c r="AJ3448">
        <v>0</v>
      </c>
      <c r="AK3448">
        <v>0</v>
      </c>
      <c r="AL3448">
        <v>0</v>
      </c>
    </row>
    <row r="3449" spans="1:38" x14ac:dyDescent="0.25">
      <c r="A3449">
        <v>3448</v>
      </c>
      <c r="B3449" t="str">
        <f xml:space="preserve"> "600286"</f>
        <v>600286</v>
      </c>
      <c r="C3449" t="s">
        <v>9488</v>
      </c>
      <c r="D3449" t="s">
        <v>616</v>
      </c>
      <c r="E3449" t="s">
        <v>616</v>
      </c>
      <c r="F3449" t="s">
        <v>616</v>
      </c>
      <c r="G3449" t="s">
        <v>616</v>
      </c>
      <c r="H3449" t="s">
        <v>616</v>
      </c>
      <c r="I3449" t="s">
        <v>616</v>
      </c>
      <c r="J3449" t="s">
        <v>616</v>
      </c>
      <c r="K3449" t="s">
        <v>616</v>
      </c>
      <c r="L3449" t="s">
        <v>616</v>
      </c>
      <c r="M3449" t="s">
        <v>616</v>
      </c>
      <c r="N3449" t="s">
        <v>616</v>
      </c>
      <c r="O3449" t="s">
        <v>616</v>
      </c>
      <c r="P3449" t="s">
        <v>616</v>
      </c>
      <c r="Q3449" t="s">
        <v>616</v>
      </c>
      <c r="R3449" t="s">
        <v>616</v>
      </c>
      <c r="S3449" t="s">
        <v>616</v>
      </c>
      <c r="T3449" t="s">
        <v>616</v>
      </c>
      <c r="U3449" t="s">
        <v>616</v>
      </c>
      <c r="V3449" t="s">
        <v>616</v>
      </c>
      <c r="W3449" t="s">
        <v>616</v>
      </c>
      <c r="X3449" t="s">
        <v>616</v>
      </c>
      <c r="Y3449" t="s">
        <v>616</v>
      </c>
      <c r="Z3449" t="s">
        <v>616</v>
      </c>
      <c r="AA3449" t="s">
        <v>616</v>
      </c>
      <c r="AB3449" t="s">
        <v>616</v>
      </c>
      <c r="AC3449" t="s">
        <v>616</v>
      </c>
      <c r="AD3449" t="s">
        <v>616</v>
      </c>
      <c r="AE3449" t="s">
        <v>616</v>
      </c>
      <c r="AF3449" t="s">
        <v>616</v>
      </c>
      <c r="AG3449" t="s">
        <v>616</v>
      </c>
      <c r="AH3449" t="s">
        <v>616</v>
      </c>
      <c r="AI3449">
        <v>0</v>
      </c>
      <c r="AJ3449">
        <v>0</v>
      </c>
      <c r="AK3449">
        <v>0</v>
      </c>
      <c r="AL3449">
        <v>0</v>
      </c>
    </row>
    <row r="3450" spans="1:38" x14ac:dyDescent="0.25">
      <c r="A3450">
        <v>3449</v>
      </c>
      <c r="B3450" t="str">
        <f xml:space="preserve"> "600263"</f>
        <v>600263</v>
      </c>
      <c r="C3450" t="s">
        <v>9489</v>
      </c>
      <c r="D3450" t="s">
        <v>616</v>
      </c>
      <c r="E3450" t="s">
        <v>616</v>
      </c>
      <c r="F3450" t="s">
        <v>616</v>
      </c>
      <c r="G3450" t="s">
        <v>616</v>
      </c>
      <c r="H3450" t="s">
        <v>616</v>
      </c>
      <c r="I3450" t="s">
        <v>616</v>
      </c>
      <c r="J3450" t="s">
        <v>616</v>
      </c>
      <c r="K3450" t="s">
        <v>616</v>
      </c>
      <c r="L3450" t="s">
        <v>616</v>
      </c>
      <c r="M3450" t="s">
        <v>616</v>
      </c>
      <c r="N3450" t="s">
        <v>616</v>
      </c>
      <c r="O3450" t="s">
        <v>263</v>
      </c>
      <c r="P3450" t="s">
        <v>616</v>
      </c>
      <c r="Q3450" t="s">
        <v>616</v>
      </c>
      <c r="R3450" t="s">
        <v>616</v>
      </c>
      <c r="S3450" t="s">
        <v>616</v>
      </c>
      <c r="T3450" t="s">
        <v>616</v>
      </c>
      <c r="U3450" t="s">
        <v>616</v>
      </c>
      <c r="V3450" t="s">
        <v>616</v>
      </c>
      <c r="W3450" t="s">
        <v>616</v>
      </c>
      <c r="X3450" t="s">
        <v>616</v>
      </c>
      <c r="Y3450" t="s">
        <v>616</v>
      </c>
      <c r="Z3450" t="s">
        <v>616</v>
      </c>
      <c r="AA3450" t="s">
        <v>616</v>
      </c>
      <c r="AB3450" t="s">
        <v>616</v>
      </c>
      <c r="AC3450" t="s">
        <v>616</v>
      </c>
      <c r="AD3450" t="s">
        <v>616</v>
      </c>
      <c r="AE3450" t="s">
        <v>616</v>
      </c>
      <c r="AF3450" t="s">
        <v>616</v>
      </c>
      <c r="AG3450" t="s">
        <v>616</v>
      </c>
      <c r="AH3450" t="s">
        <v>616</v>
      </c>
      <c r="AI3450">
        <v>0</v>
      </c>
      <c r="AJ3450">
        <v>0</v>
      </c>
      <c r="AK3450">
        <v>0</v>
      </c>
      <c r="AL3450">
        <v>0</v>
      </c>
    </row>
    <row r="3451" spans="1:38" x14ac:dyDescent="0.25">
      <c r="A3451">
        <v>3450</v>
      </c>
      <c r="B3451" t="str">
        <f xml:space="preserve"> "600253"</f>
        <v>600253</v>
      </c>
      <c r="C3451" t="s">
        <v>9490</v>
      </c>
      <c r="D3451" t="s">
        <v>616</v>
      </c>
      <c r="E3451" t="s">
        <v>616</v>
      </c>
      <c r="F3451" t="s">
        <v>616</v>
      </c>
      <c r="G3451" t="s">
        <v>616</v>
      </c>
      <c r="H3451" t="s">
        <v>616</v>
      </c>
      <c r="I3451" t="s">
        <v>616</v>
      </c>
      <c r="J3451" t="s">
        <v>616</v>
      </c>
      <c r="K3451" t="s">
        <v>616</v>
      </c>
      <c r="L3451" t="s">
        <v>616</v>
      </c>
      <c r="M3451" t="s">
        <v>616</v>
      </c>
      <c r="N3451" t="s">
        <v>616</v>
      </c>
      <c r="O3451" t="s">
        <v>392</v>
      </c>
      <c r="P3451" t="s">
        <v>616</v>
      </c>
      <c r="Q3451" t="s">
        <v>616</v>
      </c>
      <c r="R3451" t="s">
        <v>616</v>
      </c>
      <c r="S3451" t="s">
        <v>616</v>
      </c>
      <c r="T3451" t="s">
        <v>616</v>
      </c>
      <c r="U3451" t="s">
        <v>616</v>
      </c>
      <c r="V3451" t="s">
        <v>616</v>
      </c>
      <c r="W3451" t="s">
        <v>616</v>
      </c>
      <c r="X3451" t="s">
        <v>616</v>
      </c>
      <c r="Y3451" t="s">
        <v>616</v>
      </c>
      <c r="Z3451" t="s">
        <v>616</v>
      </c>
      <c r="AA3451" t="s">
        <v>616</v>
      </c>
      <c r="AB3451" t="s">
        <v>616</v>
      </c>
      <c r="AC3451" t="s">
        <v>616</v>
      </c>
      <c r="AD3451" t="s">
        <v>616</v>
      </c>
      <c r="AE3451" t="s">
        <v>616</v>
      </c>
      <c r="AF3451" t="s">
        <v>616</v>
      </c>
      <c r="AG3451" t="s">
        <v>616</v>
      </c>
      <c r="AH3451" t="s">
        <v>616</v>
      </c>
      <c r="AI3451">
        <v>0</v>
      </c>
      <c r="AJ3451">
        <v>0</v>
      </c>
      <c r="AK3451">
        <v>0</v>
      </c>
      <c r="AL3451">
        <v>0</v>
      </c>
    </row>
    <row r="3452" spans="1:38" x14ac:dyDescent="0.25">
      <c r="A3452">
        <v>3451</v>
      </c>
      <c r="B3452" t="str">
        <f xml:space="preserve"> "600205"</f>
        <v>600205</v>
      </c>
      <c r="C3452" t="s">
        <v>9491</v>
      </c>
      <c r="D3452" t="s">
        <v>616</v>
      </c>
      <c r="E3452" t="s">
        <v>616</v>
      </c>
      <c r="F3452" t="s">
        <v>616</v>
      </c>
      <c r="G3452" t="s">
        <v>616</v>
      </c>
      <c r="H3452" t="s">
        <v>616</v>
      </c>
      <c r="I3452" t="s">
        <v>616</v>
      </c>
      <c r="J3452" t="s">
        <v>616</v>
      </c>
      <c r="K3452" t="s">
        <v>616</v>
      </c>
      <c r="L3452" t="s">
        <v>616</v>
      </c>
      <c r="M3452" t="s">
        <v>616</v>
      </c>
      <c r="N3452" t="s">
        <v>616</v>
      </c>
      <c r="O3452" t="s">
        <v>616</v>
      </c>
      <c r="P3452" t="s">
        <v>616</v>
      </c>
      <c r="Q3452" t="s">
        <v>616</v>
      </c>
      <c r="R3452" t="s">
        <v>616</v>
      </c>
      <c r="S3452" t="s">
        <v>616</v>
      </c>
      <c r="T3452" t="s">
        <v>616</v>
      </c>
      <c r="U3452" t="s">
        <v>616</v>
      </c>
      <c r="V3452" t="s">
        <v>616</v>
      </c>
      <c r="W3452" t="s">
        <v>616</v>
      </c>
      <c r="X3452" t="s">
        <v>616</v>
      </c>
      <c r="Y3452" t="s">
        <v>616</v>
      </c>
      <c r="Z3452" t="s">
        <v>616</v>
      </c>
      <c r="AA3452" t="s">
        <v>616</v>
      </c>
      <c r="AB3452" t="s">
        <v>616</v>
      </c>
      <c r="AC3452" t="s">
        <v>616</v>
      </c>
      <c r="AD3452" t="s">
        <v>616</v>
      </c>
      <c r="AE3452" t="s">
        <v>616</v>
      </c>
      <c r="AF3452" t="s">
        <v>616</v>
      </c>
      <c r="AG3452" t="s">
        <v>616</v>
      </c>
      <c r="AH3452" t="s">
        <v>616</v>
      </c>
      <c r="AI3452">
        <v>0</v>
      </c>
      <c r="AJ3452">
        <v>0</v>
      </c>
      <c r="AK3452">
        <v>0</v>
      </c>
      <c r="AL3452">
        <v>0</v>
      </c>
    </row>
    <row r="3453" spans="1:38" x14ac:dyDescent="0.25">
      <c r="A3453">
        <v>3452</v>
      </c>
      <c r="B3453" t="str">
        <f xml:space="preserve"> "600181"</f>
        <v>600181</v>
      </c>
      <c r="C3453" t="s">
        <v>9492</v>
      </c>
      <c r="D3453" t="s">
        <v>616</v>
      </c>
      <c r="E3453" t="s">
        <v>616</v>
      </c>
      <c r="F3453" t="s">
        <v>616</v>
      </c>
      <c r="G3453" t="s">
        <v>616</v>
      </c>
      <c r="H3453" t="s">
        <v>616</v>
      </c>
      <c r="I3453" t="s">
        <v>616</v>
      </c>
      <c r="J3453" t="s">
        <v>616</v>
      </c>
      <c r="K3453" t="s">
        <v>616</v>
      </c>
      <c r="L3453" t="s">
        <v>616</v>
      </c>
      <c r="M3453" t="s">
        <v>616</v>
      </c>
      <c r="N3453" t="s">
        <v>616</v>
      </c>
      <c r="O3453" t="s">
        <v>616</v>
      </c>
      <c r="P3453" t="s">
        <v>616</v>
      </c>
      <c r="Q3453" t="s">
        <v>616</v>
      </c>
      <c r="R3453" t="s">
        <v>616</v>
      </c>
      <c r="S3453" t="s">
        <v>616</v>
      </c>
      <c r="T3453" t="s">
        <v>616</v>
      </c>
      <c r="U3453" t="s">
        <v>616</v>
      </c>
      <c r="V3453" t="s">
        <v>616</v>
      </c>
      <c r="W3453" t="s">
        <v>616</v>
      </c>
      <c r="X3453" t="s">
        <v>616</v>
      </c>
      <c r="Y3453" t="s">
        <v>616</v>
      </c>
      <c r="Z3453" t="s">
        <v>616</v>
      </c>
      <c r="AA3453" t="s">
        <v>616</v>
      </c>
      <c r="AB3453" t="s">
        <v>616</v>
      </c>
      <c r="AC3453" t="s">
        <v>616</v>
      </c>
      <c r="AD3453" t="s">
        <v>616</v>
      </c>
      <c r="AE3453" t="s">
        <v>616</v>
      </c>
      <c r="AF3453" t="s">
        <v>616</v>
      </c>
      <c r="AG3453" t="s">
        <v>616</v>
      </c>
      <c r="AH3453" t="s">
        <v>616</v>
      </c>
      <c r="AI3453">
        <v>0</v>
      </c>
      <c r="AJ3453">
        <v>0</v>
      </c>
      <c r="AK3453">
        <v>0</v>
      </c>
      <c r="AL3453">
        <v>0</v>
      </c>
    </row>
    <row r="3454" spans="1:38" x14ac:dyDescent="0.25">
      <c r="A3454">
        <v>3453</v>
      </c>
      <c r="B3454" t="str">
        <f xml:space="preserve"> "600102"</f>
        <v>600102</v>
      </c>
      <c r="C3454" t="s">
        <v>9493</v>
      </c>
      <c r="D3454" t="s">
        <v>616</v>
      </c>
      <c r="E3454" t="s">
        <v>616</v>
      </c>
      <c r="F3454" t="s">
        <v>616</v>
      </c>
      <c r="G3454" t="s">
        <v>616</v>
      </c>
      <c r="H3454" t="s">
        <v>616</v>
      </c>
      <c r="I3454" t="s">
        <v>616</v>
      </c>
      <c r="J3454" t="s">
        <v>616</v>
      </c>
      <c r="K3454" t="s">
        <v>616</v>
      </c>
      <c r="L3454" t="s">
        <v>616</v>
      </c>
      <c r="M3454" t="s">
        <v>616</v>
      </c>
      <c r="N3454" t="s">
        <v>616</v>
      </c>
      <c r="O3454" t="s">
        <v>416</v>
      </c>
      <c r="P3454" t="s">
        <v>616</v>
      </c>
      <c r="Q3454" t="s">
        <v>616</v>
      </c>
      <c r="R3454" t="s">
        <v>616</v>
      </c>
      <c r="S3454" t="s">
        <v>616</v>
      </c>
      <c r="T3454" t="s">
        <v>616</v>
      </c>
      <c r="U3454" t="s">
        <v>616</v>
      </c>
      <c r="V3454" t="s">
        <v>616</v>
      </c>
      <c r="W3454" t="s">
        <v>616</v>
      </c>
      <c r="X3454" t="s">
        <v>616</v>
      </c>
      <c r="Y3454" t="s">
        <v>616</v>
      </c>
      <c r="Z3454" t="s">
        <v>616</v>
      </c>
      <c r="AA3454" t="s">
        <v>616</v>
      </c>
      <c r="AB3454" t="s">
        <v>616</v>
      </c>
      <c r="AC3454" t="s">
        <v>616</v>
      </c>
      <c r="AD3454" t="s">
        <v>616</v>
      </c>
      <c r="AE3454" t="s">
        <v>616</v>
      </c>
      <c r="AF3454" t="s">
        <v>616</v>
      </c>
      <c r="AG3454" t="s">
        <v>616</v>
      </c>
      <c r="AH3454" t="s">
        <v>616</v>
      </c>
      <c r="AI3454">
        <v>0</v>
      </c>
      <c r="AJ3454">
        <v>0</v>
      </c>
      <c r="AK3454">
        <v>0</v>
      </c>
      <c r="AL3454">
        <v>0</v>
      </c>
    </row>
    <row r="3455" spans="1:38" x14ac:dyDescent="0.25">
      <c r="A3455">
        <v>3454</v>
      </c>
      <c r="B3455" t="str">
        <f xml:space="preserve"> "600092"</f>
        <v>600092</v>
      </c>
      <c r="C3455" t="s">
        <v>9494</v>
      </c>
      <c r="D3455" t="s">
        <v>616</v>
      </c>
      <c r="E3455" t="s">
        <v>616</v>
      </c>
      <c r="F3455" t="s">
        <v>616</v>
      </c>
      <c r="G3455" t="s">
        <v>616</v>
      </c>
      <c r="H3455" t="s">
        <v>616</v>
      </c>
      <c r="I3455" t="s">
        <v>616</v>
      </c>
      <c r="J3455" t="s">
        <v>616</v>
      </c>
      <c r="K3455" t="s">
        <v>616</v>
      </c>
      <c r="L3455" t="s">
        <v>616</v>
      </c>
      <c r="M3455" t="s">
        <v>616</v>
      </c>
      <c r="N3455" t="s">
        <v>616</v>
      </c>
      <c r="O3455" t="s">
        <v>616</v>
      </c>
      <c r="P3455" t="s">
        <v>616</v>
      </c>
      <c r="Q3455" t="s">
        <v>616</v>
      </c>
      <c r="R3455" t="s">
        <v>616</v>
      </c>
      <c r="S3455" t="s">
        <v>616</v>
      </c>
      <c r="T3455" t="s">
        <v>616</v>
      </c>
      <c r="U3455" t="s">
        <v>616</v>
      </c>
      <c r="V3455" t="s">
        <v>616</v>
      </c>
      <c r="W3455" t="s">
        <v>616</v>
      </c>
      <c r="X3455" t="s">
        <v>616</v>
      </c>
      <c r="Y3455" t="s">
        <v>616</v>
      </c>
      <c r="Z3455" t="s">
        <v>616</v>
      </c>
      <c r="AA3455" t="s">
        <v>616</v>
      </c>
      <c r="AB3455" t="s">
        <v>616</v>
      </c>
      <c r="AC3455" t="s">
        <v>616</v>
      </c>
      <c r="AD3455" t="s">
        <v>616</v>
      </c>
      <c r="AE3455" t="s">
        <v>616</v>
      </c>
      <c r="AF3455" t="s">
        <v>616</v>
      </c>
      <c r="AG3455" t="s">
        <v>616</v>
      </c>
      <c r="AH3455" t="s">
        <v>616</v>
      </c>
      <c r="AI3455">
        <v>0</v>
      </c>
      <c r="AJ3455">
        <v>0</v>
      </c>
      <c r="AK3455">
        <v>0</v>
      </c>
      <c r="AL3455">
        <v>0</v>
      </c>
    </row>
    <row r="3456" spans="1:38" x14ac:dyDescent="0.25">
      <c r="A3456">
        <v>3455</v>
      </c>
      <c r="B3456" t="str">
        <f xml:space="preserve"> "600087"</f>
        <v>600087</v>
      </c>
      <c r="C3456" t="s">
        <v>9495</v>
      </c>
      <c r="D3456" t="s">
        <v>616</v>
      </c>
      <c r="E3456" t="s">
        <v>616</v>
      </c>
      <c r="F3456" t="s">
        <v>616</v>
      </c>
      <c r="G3456" t="s">
        <v>616</v>
      </c>
      <c r="H3456" t="s">
        <v>616</v>
      </c>
      <c r="I3456" t="s">
        <v>616</v>
      </c>
      <c r="J3456" t="s">
        <v>616</v>
      </c>
      <c r="K3456" t="s">
        <v>616</v>
      </c>
      <c r="L3456" t="s">
        <v>616</v>
      </c>
      <c r="M3456" t="s">
        <v>616</v>
      </c>
      <c r="N3456" t="s">
        <v>616</v>
      </c>
      <c r="O3456" t="s">
        <v>440</v>
      </c>
      <c r="P3456" t="s">
        <v>616</v>
      </c>
      <c r="Q3456" t="s">
        <v>616</v>
      </c>
      <c r="R3456" t="s">
        <v>616</v>
      </c>
      <c r="S3456" t="s">
        <v>616</v>
      </c>
      <c r="T3456" t="s">
        <v>616</v>
      </c>
      <c r="U3456" t="s">
        <v>616</v>
      </c>
      <c r="V3456" t="s">
        <v>616</v>
      </c>
      <c r="W3456" t="s">
        <v>616</v>
      </c>
      <c r="X3456" t="s">
        <v>616</v>
      </c>
      <c r="Y3456" t="s">
        <v>616</v>
      </c>
      <c r="Z3456" t="s">
        <v>616</v>
      </c>
      <c r="AA3456" t="s">
        <v>616</v>
      </c>
      <c r="AB3456" t="s">
        <v>616</v>
      </c>
      <c r="AC3456" t="s">
        <v>616</v>
      </c>
      <c r="AD3456" t="s">
        <v>616</v>
      </c>
      <c r="AE3456" t="s">
        <v>616</v>
      </c>
      <c r="AF3456" t="s">
        <v>616</v>
      </c>
      <c r="AG3456" t="s">
        <v>616</v>
      </c>
      <c r="AH3456" t="s">
        <v>616</v>
      </c>
      <c r="AI3456">
        <v>0</v>
      </c>
      <c r="AJ3456">
        <v>0</v>
      </c>
      <c r="AK3456">
        <v>0</v>
      </c>
      <c r="AL3456">
        <v>0</v>
      </c>
    </row>
    <row r="3457" spans="1:38" x14ac:dyDescent="0.25">
      <c r="A3457">
        <v>3456</v>
      </c>
      <c r="B3457" t="str">
        <f xml:space="preserve"> "600065"</f>
        <v>600065</v>
      </c>
      <c r="C3457" t="s">
        <v>9496</v>
      </c>
      <c r="D3457" t="s">
        <v>616</v>
      </c>
      <c r="E3457" t="s">
        <v>616</v>
      </c>
      <c r="F3457" t="s">
        <v>616</v>
      </c>
      <c r="G3457" t="s">
        <v>616</v>
      </c>
      <c r="H3457" t="s">
        <v>616</v>
      </c>
      <c r="I3457" t="s">
        <v>616</v>
      </c>
      <c r="J3457" t="s">
        <v>616</v>
      </c>
      <c r="K3457" t="s">
        <v>616</v>
      </c>
      <c r="L3457" t="s">
        <v>616</v>
      </c>
      <c r="M3457" t="s">
        <v>616</v>
      </c>
      <c r="N3457" t="s">
        <v>616</v>
      </c>
      <c r="O3457" t="s">
        <v>616</v>
      </c>
      <c r="P3457" t="s">
        <v>616</v>
      </c>
      <c r="Q3457" t="s">
        <v>616</v>
      </c>
      <c r="R3457" t="s">
        <v>616</v>
      </c>
      <c r="S3457" t="s">
        <v>616</v>
      </c>
      <c r="T3457" t="s">
        <v>616</v>
      </c>
      <c r="U3457" t="s">
        <v>616</v>
      </c>
      <c r="V3457" t="s">
        <v>616</v>
      </c>
      <c r="W3457" t="s">
        <v>616</v>
      </c>
      <c r="X3457" t="s">
        <v>616</v>
      </c>
      <c r="Y3457" t="s">
        <v>616</v>
      </c>
      <c r="Z3457" t="s">
        <v>616</v>
      </c>
      <c r="AA3457" t="s">
        <v>616</v>
      </c>
      <c r="AB3457" t="s">
        <v>616</v>
      </c>
      <c r="AC3457" t="s">
        <v>616</v>
      </c>
      <c r="AD3457" t="s">
        <v>616</v>
      </c>
      <c r="AE3457" t="s">
        <v>616</v>
      </c>
      <c r="AF3457" t="s">
        <v>616</v>
      </c>
      <c r="AG3457" t="s">
        <v>616</v>
      </c>
      <c r="AH3457" t="s">
        <v>616</v>
      </c>
      <c r="AI3457">
        <v>0</v>
      </c>
      <c r="AJ3457">
        <v>0</v>
      </c>
      <c r="AK3457">
        <v>0</v>
      </c>
      <c r="AL3457">
        <v>0</v>
      </c>
    </row>
    <row r="3458" spans="1:38" x14ac:dyDescent="0.25">
      <c r="A3458">
        <v>3457</v>
      </c>
      <c r="B3458" t="str">
        <f xml:space="preserve"> "600005"</f>
        <v>600005</v>
      </c>
      <c r="C3458" t="s">
        <v>9497</v>
      </c>
      <c r="D3458" t="s">
        <v>616</v>
      </c>
      <c r="E3458" t="s">
        <v>616</v>
      </c>
      <c r="F3458" t="s">
        <v>616</v>
      </c>
      <c r="G3458" t="s">
        <v>616</v>
      </c>
      <c r="H3458" t="s">
        <v>616</v>
      </c>
      <c r="I3458" t="s">
        <v>616</v>
      </c>
      <c r="J3458" t="s">
        <v>616</v>
      </c>
      <c r="K3458" t="s">
        <v>616</v>
      </c>
      <c r="L3458" t="s">
        <v>616</v>
      </c>
      <c r="M3458" t="s">
        <v>616</v>
      </c>
      <c r="N3458" t="s">
        <v>616</v>
      </c>
      <c r="O3458" t="s">
        <v>416</v>
      </c>
      <c r="P3458" t="s">
        <v>616</v>
      </c>
      <c r="Q3458" t="s">
        <v>616</v>
      </c>
      <c r="R3458" t="s">
        <v>616</v>
      </c>
      <c r="S3458" t="s">
        <v>616</v>
      </c>
      <c r="T3458" t="s">
        <v>616</v>
      </c>
      <c r="U3458" t="s">
        <v>616</v>
      </c>
      <c r="V3458" t="s">
        <v>616</v>
      </c>
      <c r="W3458" t="s">
        <v>616</v>
      </c>
      <c r="X3458" t="s">
        <v>616</v>
      </c>
      <c r="Y3458" t="s">
        <v>616</v>
      </c>
      <c r="Z3458" t="s">
        <v>616</v>
      </c>
      <c r="AA3458" t="s">
        <v>616</v>
      </c>
      <c r="AB3458" t="s">
        <v>616</v>
      </c>
      <c r="AC3458" t="s">
        <v>616</v>
      </c>
      <c r="AD3458" t="s">
        <v>616</v>
      </c>
      <c r="AE3458" t="s">
        <v>475</v>
      </c>
      <c r="AF3458">
        <v>0</v>
      </c>
      <c r="AG3458" t="s">
        <v>475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x14ac:dyDescent="0.25">
      <c r="A3459">
        <v>3458</v>
      </c>
      <c r="B3459" t="str">
        <f xml:space="preserve"> "600003"</f>
        <v>600003</v>
      </c>
      <c r="C3459" t="s">
        <v>9498</v>
      </c>
      <c r="D3459" t="s">
        <v>616</v>
      </c>
      <c r="E3459" t="s">
        <v>616</v>
      </c>
      <c r="F3459" t="s">
        <v>616</v>
      </c>
      <c r="G3459" t="s">
        <v>616</v>
      </c>
      <c r="H3459" t="s">
        <v>616</v>
      </c>
      <c r="I3459" t="s">
        <v>616</v>
      </c>
      <c r="J3459" t="s">
        <v>616</v>
      </c>
      <c r="K3459" t="s">
        <v>616</v>
      </c>
      <c r="L3459" t="s">
        <v>616</v>
      </c>
      <c r="M3459" t="s">
        <v>616</v>
      </c>
      <c r="N3459" t="s">
        <v>616</v>
      </c>
      <c r="O3459" t="s">
        <v>1348</v>
      </c>
      <c r="P3459" t="s">
        <v>616</v>
      </c>
      <c r="Q3459" t="s">
        <v>616</v>
      </c>
      <c r="R3459" t="s">
        <v>616</v>
      </c>
      <c r="S3459" t="s">
        <v>616</v>
      </c>
      <c r="T3459" t="s">
        <v>616</v>
      </c>
      <c r="U3459" t="s">
        <v>616</v>
      </c>
      <c r="V3459" t="s">
        <v>616</v>
      </c>
      <c r="W3459" t="s">
        <v>616</v>
      </c>
      <c r="X3459" t="s">
        <v>616</v>
      </c>
      <c r="Y3459" t="s">
        <v>616</v>
      </c>
      <c r="Z3459" t="s">
        <v>616</v>
      </c>
      <c r="AA3459" t="s">
        <v>616</v>
      </c>
      <c r="AB3459" t="s">
        <v>616</v>
      </c>
      <c r="AC3459" t="s">
        <v>616</v>
      </c>
      <c r="AD3459" t="s">
        <v>616</v>
      </c>
      <c r="AE3459" t="s">
        <v>616</v>
      </c>
      <c r="AF3459" t="s">
        <v>616</v>
      </c>
      <c r="AG3459" t="s">
        <v>616</v>
      </c>
      <c r="AH3459" t="s">
        <v>616</v>
      </c>
      <c r="AI3459">
        <v>0</v>
      </c>
      <c r="AJ3459">
        <v>0</v>
      </c>
      <c r="AK3459">
        <v>0</v>
      </c>
      <c r="AL3459">
        <v>0</v>
      </c>
    </row>
    <row r="3460" spans="1:38" x14ac:dyDescent="0.25">
      <c r="A3460">
        <v>3459</v>
      </c>
      <c r="B3460" t="str">
        <f xml:space="preserve"> "600002"</f>
        <v>600002</v>
      </c>
      <c r="C3460" t="s">
        <v>9499</v>
      </c>
      <c r="D3460" t="s">
        <v>616</v>
      </c>
      <c r="E3460" t="s">
        <v>616</v>
      </c>
      <c r="F3460" t="s">
        <v>616</v>
      </c>
      <c r="G3460" t="s">
        <v>616</v>
      </c>
      <c r="H3460" t="s">
        <v>616</v>
      </c>
      <c r="I3460" t="s">
        <v>616</v>
      </c>
      <c r="J3460" t="s">
        <v>616</v>
      </c>
      <c r="K3460" t="s">
        <v>616</v>
      </c>
      <c r="L3460" t="s">
        <v>616</v>
      </c>
      <c r="M3460" t="s">
        <v>616</v>
      </c>
      <c r="N3460" t="s">
        <v>616</v>
      </c>
      <c r="O3460" t="s">
        <v>616</v>
      </c>
      <c r="P3460" t="s">
        <v>616</v>
      </c>
      <c r="Q3460" t="s">
        <v>616</v>
      </c>
      <c r="R3460" t="s">
        <v>616</v>
      </c>
      <c r="S3460" t="s">
        <v>616</v>
      </c>
      <c r="T3460" t="s">
        <v>616</v>
      </c>
      <c r="U3460" t="s">
        <v>616</v>
      </c>
      <c r="V3460" t="s">
        <v>616</v>
      </c>
      <c r="W3460" t="s">
        <v>616</v>
      </c>
      <c r="X3460" t="s">
        <v>616</v>
      </c>
      <c r="Y3460" t="s">
        <v>616</v>
      </c>
      <c r="Z3460" t="s">
        <v>616</v>
      </c>
      <c r="AA3460" t="s">
        <v>616</v>
      </c>
      <c r="AB3460" t="s">
        <v>616</v>
      </c>
      <c r="AC3460" t="s">
        <v>616</v>
      </c>
      <c r="AD3460" t="s">
        <v>616</v>
      </c>
      <c r="AE3460" t="s">
        <v>616</v>
      </c>
      <c r="AF3460" t="s">
        <v>616</v>
      </c>
      <c r="AG3460" t="s">
        <v>616</v>
      </c>
      <c r="AH3460" t="s">
        <v>616</v>
      </c>
      <c r="AI3460">
        <v>0</v>
      </c>
      <c r="AJ3460">
        <v>0</v>
      </c>
      <c r="AK3460">
        <v>0</v>
      </c>
      <c r="AL3460">
        <v>0</v>
      </c>
    </row>
    <row r="3461" spans="1:38" x14ac:dyDescent="0.25">
      <c r="A3461">
        <v>3460</v>
      </c>
      <c r="B3461" t="str">
        <f xml:space="preserve"> "600001"</f>
        <v>600001</v>
      </c>
      <c r="C3461" t="s">
        <v>9500</v>
      </c>
      <c r="D3461" t="s">
        <v>616</v>
      </c>
      <c r="E3461" t="s">
        <v>616</v>
      </c>
      <c r="F3461" t="s">
        <v>616</v>
      </c>
      <c r="G3461" t="s">
        <v>616</v>
      </c>
      <c r="H3461" t="s">
        <v>616</v>
      </c>
      <c r="I3461" t="s">
        <v>616</v>
      </c>
      <c r="J3461" t="s">
        <v>616</v>
      </c>
      <c r="K3461" t="s">
        <v>616</v>
      </c>
      <c r="L3461" t="s">
        <v>616</v>
      </c>
      <c r="M3461" t="s">
        <v>616</v>
      </c>
      <c r="N3461" t="s">
        <v>616</v>
      </c>
      <c r="O3461" t="s">
        <v>616</v>
      </c>
      <c r="P3461" t="s">
        <v>616</v>
      </c>
      <c r="Q3461" t="s">
        <v>616</v>
      </c>
      <c r="R3461" t="s">
        <v>616</v>
      </c>
      <c r="S3461" t="s">
        <v>616</v>
      </c>
      <c r="T3461" t="s">
        <v>616</v>
      </c>
      <c r="U3461" t="s">
        <v>616</v>
      </c>
      <c r="V3461" t="s">
        <v>616</v>
      </c>
      <c r="W3461" t="s">
        <v>616</v>
      </c>
      <c r="X3461" t="s">
        <v>616</v>
      </c>
      <c r="Y3461" t="s">
        <v>616</v>
      </c>
      <c r="Z3461" t="s">
        <v>616</v>
      </c>
      <c r="AA3461" t="s">
        <v>616</v>
      </c>
      <c r="AB3461" t="s">
        <v>616</v>
      </c>
      <c r="AC3461" t="s">
        <v>616</v>
      </c>
      <c r="AD3461" t="s">
        <v>616</v>
      </c>
      <c r="AE3461" t="s">
        <v>616</v>
      </c>
      <c r="AF3461" t="s">
        <v>616</v>
      </c>
      <c r="AG3461" t="s">
        <v>616</v>
      </c>
      <c r="AH3461" t="s">
        <v>616</v>
      </c>
      <c r="AI3461">
        <v>0</v>
      </c>
      <c r="AJ3461">
        <v>0</v>
      </c>
      <c r="AK3461">
        <v>0</v>
      </c>
      <c r="AL3461">
        <v>0</v>
      </c>
    </row>
    <row r="3462" spans="1:38" x14ac:dyDescent="0.25">
      <c r="A3462">
        <v>3461</v>
      </c>
      <c r="B3462" t="str">
        <f xml:space="preserve"> "300715"</f>
        <v>300715</v>
      </c>
      <c r="C3462" t="s">
        <v>9501</v>
      </c>
      <c r="D3462" t="s">
        <v>616</v>
      </c>
      <c r="E3462" t="s">
        <v>616</v>
      </c>
      <c r="F3462" t="s">
        <v>616</v>
      </c>
      <c r="G3462" t="s">
        <v>616</v>
      </c>
      <c r="H3462" t="s">
        <v>616</v>
      </c>
      <c r="I3462" t="s">
        <v>616</v>
      </c>
      <c r="J3462" t="s">
        <v>616</v>
      </c>
      <c r="K3462" t="s">
        <v>616</v>
      </c>
      <c r="L3462" t="s">
        <v>616</v>
      </c>
      <c r="M3462" t="s">
        <v>616</v>
      </c>
      <c r="N3462" t="s">
        <v>616</v>
      </c>
      <c r="O3462" t="s">
        <v>562</v>
      </c>
      <c r="P3462" t="s">
        <v>616</v>
      </c>
      <c r="Q3462" t="s">
        <v>616</v>
      </c>
      <c r="R3462" t="s">
        <v>616</v>
      </c>
      <c r="S3462" t="s">
        <v>616</v>
      </c>
      <c r="T3462" t="s">
        <v>616</v>
      </c>
      <c r="U3462" t="s">
        <v>616</v>
      </c>
      <c r="V3462" t="s">
        <v>616</v>
      </c>
      <c r="W3462" t="s">
        <v>616</v>
      </c>
      <c r="X3462" t="s">
        <v>616</v>
      </c>
      <c r="Y3462" t="s">
        <v>616</v>
      </c>
      <c r="Z3462" t="s">
        <v>616</v>
      </c>
      <c r="AA3462" t="s">
        <v>616</v>
      </c>
      <c r="AB3462" t="s">
        <v>616</v>
      </c>
      <c r="AC3462" t="s">
        <v>616</v>
      </c>
      <c r="AD3462" t="s">
        <v>616</v>
      </c>
      <c r="AE3462" t="s">
        <v>8625</v>
      </c>
      <c r="AF3462">
        <v>0</v>
      </c>
      <c r="AG3462" t="s">
        <v>8099</v>
      </c>
      <c r="AH3462">
        <v>0</v>
      </c>
      <c r="AI3462">
        <v>0</v>
      </c>
      <c r="AJ3462">
        <v>0</v>
      </c>
      <c r="AK3462">
        <v>0</v>
      </c>
      <c r="AL3462">
        <v>0</v>
      </c>
    </row>
    <row r="3463" spans="1:38" x14ac:dyDescent="0.25">
      <c r="A3463">
        <v>3462</v>
      </c>
      <c r="B3463" t="str">
        <f xml:space="preserve"> "300713"</f>
        <v>300713</v>
      </c>
      <c r="C3463" t="s">
        <v>9502</v>
      </c>
      <c r="D3463" t="s">
        <v>616</v>
      </c>
      <c r="E3463" t="s">
        <v>616</v>
      </c>
      <c r="F3463" t="s">
        <v>616</v>
      </c>
      <c r="G3463" t="s">
        <v>616</v>
      </c>
      <c r="H3463" t="s">
        <v>616</v>
      </c>
      <c r="I3463" t="s">
        <v>616</v>
      </c>
      <c r="J3463" t="s">
        <v>616</v>
      </c>
      <c r="K3463" t="s">
        <v>616</v>
      </c>
      <c r="L3463" t="s">
        <v>616</v>
      </c>
      <c r="M3463" t="s">
        <v>616</v>
      </c>
      <c r="N3463" t="s">
        <v>616</v>
      </c>
      <c r="O3463" t="s">
        <v>680</v>
      </c>
      <c r="P3463" t="s">
        <v>616</v>
      </c>
      <c r="Q3463" t="s">
        <v>616</v>
      </c>
      <c r="R3463" t="s">
        <v>616</v>
      </c>
      <c r="S3463" t="s">
        <v>616</v>
      </c>
      <c r="T3463" t="s">
        <v>616</v>
      </c>
      <c r="U3463" t="s">
        <v>616</v>
      </c>
      <c r="V3463" t="s">
        <v>616</v>
      </c>
      <c r="W3463" t="s">
        <v>616</v>
      </c>
      <c r="X3463" t="s">
        <v>616</v>
      </c>
      <c r="Y3463" t="s">
        <v>616</v>
      </c>
      <c r="Z3463" t="s">
        <v>616</v>
      </c>
      <c r="AA3463" t="s">
        <v>616</v>
      </c>
      <c r="AB3463" t="s">
        <v>616</v>
      </c>
      <c r="AC3463" t="s">
        <v>616</v>
      </c>
      <c r="AD3463" t="s">
        <v>616</v>
      </c>
      <c r="AE3463" t="s">
        <v>5877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x14ac:dyDescent="0.25">
      <c r="A3464">
        <v>3463</v>
      </c>
      <c r="B3464" t="str">
        <f xml:space="preserve"> "300712"</f>
        <v>300712</v>
      </c>
      <c r="C3464" t="s">
        <v>9503</v>
      </c>
      <c r="D3464" t="s">
        <v>616</v>
      </c>
      <c r="E3464" t="s">
        <v>616</v>
      </c>
      <c r="F3464" t="s">
        <v>616</v>
      </c>
      <c r="G3464" t="s">
        <v>616</v>
      </c>
      <c r="H3464" t="s">
        <v>616</v>
      </c>
      <c r="I3464" t="s">
        <v>616</v>
      </c>
      <c r="J3464" t="s">
        <v>616</v>
      </c>
      <c r="K3464" t="s">
        <v>616</v>
      </c>
      <c r="L3464" t="s">
        <v>616</v>
      </c>
      <c r="M3464" t="s">
        <v>616</v>
      </c>
      <c r="N3464" t="s">
        <v>616</v>
      </c>
      <c r="O3464" t="s">
        <v>263</v>
      </c>
      <c r="P3464" t="s">
        <v>616</v>
      </c>
      <c r="Q3464" t="s">
        <v>616</v>
      </c>
      <c r="R3464" t="s">
        <v>616</v>
      </c>
      <c r="S3464" t="s">
        <v>616</v>
      </c>
      <c r="T3464" t="s">
        <v>616</v>
      </c>
      <c r="U3464" t="s">
        <v>616</v>
      </c>
      <c r="V3464" t="s">
        <v>616</v>
      </c>
      <c r="W3464" t="s">
        <v>616</v>
      </c>
      <c r="X3464" t="s">
        <v>616</v>
      </c>
      <c r="Y3464" t="s">
        <v>616</v>
      </c>
      <c r="Z3464" t="s">
        <v>616</v>
      </c>
      <c r="AA3464" t="s">
        <v>616</v>
      </c>
      <c r="AB3464" t="s">
        <v>616</v>
      </c>
      <c r="AC3464" t="s">
        <v>616</v>
      </c>
      <c r="AD3464" t="s">
        <v>616</v>
      </c>
      <c r="AE3464" t="s">
        <v>1907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0</v>
      </c>
      <c r="AL3464">
        <v>0</v>
      </c>
    </row>
    <row r="3465" spans="1:38" x14ac:dyDescent="0.25">
      <c r="A3465">
        <v>3464</v>
      </c>
      <c r="B3465" t="str">
        <f xml:space="preserve"> "300711"</f>
        <v>300711</v>
      </c>
      <c r="C3465" t="s">
        <v>9504</v>
      </c>
      <c r="D3465" t="s">
        <v>616</v>
      </c>
      <c r="E3465" t="s">
        <v>616</v>
      </c>
      <c r="F3465" t="s">
        <v>616</v>
      </c>
      <c r="G3465" t="s">
        <v>616</v>
      </c>
      <c r="H3465" t="s">
        <v>616</v>
      </c>
      <c r="I3465" t="s">
        <v>616</v>
      </c>
      <c r="J3465" t="s">
        <v>616</v>
      </c>
      <c r="K3465" t="s">
        <v>616</v>
      </c>
      <c r="L3465" t="s">
        <v>616</v>
      </c>
      <c r="M3465" t="s">
        <v>616</v>
      </c>
      <c r="N3465" t="s">
        <v>616</v>
      </c>
      <c r="O3465" t="s">
        <v>580</v>
      </c>
      <c r="P3465" t="s">
        <v>616</v>
      </c>
      <c r="Q3465" t="s">
        <v>616</v>
      </c>
      <c r="R3465" t="s">
        <v>616</v>
      </c>
      <c r="S3465" t="s">
        <v>616</v>
      </c>
      <c r="T3465" t="s">
        <v>616</v>
      </c>
      <c r="U3465" t="s">
        <v>616</v>
      </c>
      <c r="V3465" t="s">
        <v>616</v>
      </c>
      <c r="W3465" t="s">
        <v>616</v>
      </c>
      <c r="X3465" t="s">
        <v>616</v>
      </c>
      <c r="Y3465" t="s">
        <v>616</v>
      </c>
      <c r="Z3465" t="s">
        <v>616</v>
      </c>
      <c r="AA3465" t="s">
        <v>616</v>
      </c>
      <c r="AB3465" t="s">
        <v>616</v>
      </c>
      <c r="AC3465" t="s">
        <v>616</v>
      </c>
      <c r="AD3465" t="s">
        <v>616</v>
      </c>
      <c r="AE3465" t="s">
        <v>1120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x14ac:dyDescent="0.25">
      <c r="A3466">
        <v>3465</v>
      </c>
      <c r="B3466" t="str">
        <f xml:space="preserve"> "300710"</f>
        <v>300710</v>
      </c>
      <c r="C3466" t="s">
        <v>9505</v>
      </c>
      <c r="D3466" t="s">
        <v>616</v>
      </c>
      <c r="E3466" t="s">
        <v>616</v>
      </c>
      <c r="F3466" t="s">
        <v>616</v>
      </c>
      <c r="G3466" t="s">
        <v>616</v>
      </c>
      <c r="H3466" t="s">
        <v>616</v>
      </c>
      <c r="I3466" t="s">
        <v>616</v>
      </c>
      <c r="J3466" t="s">
        <v>616</v>
      </c>
      <c r="K3466" t="s">
        <v>616</v>
      </c>
      <c r="L3466" t="s">
        <v>616</v>
      </c>
      <c r="M3466" t="s">
        <v>616</v>
      </c>
      <c r="N3466" t="s">
        <v>616</v>
      </c>
      <c r="O3466" t="s">
        <v>580</v>
      </c>
      <c r="P3466" t="s">
        <v>616</v>
      </c>
      <c r="Q3466" t="s">
        <v>616</v>
      </c>
      <c r="R3466" t="s">
        <v>616</v>
      </c>
      <c r="S3466" t="s">
        <v>616</v>
      </c>
      <c r="T3466" t="s">
        <v>616</v>
      </c>
      <c r="U3466" t="s">
        <v>616</v>
      </c>
      <c r="V3466" t="s">
        <v>616</v>
      </c>
      <c r="W3466" t="s">
        <v>616</v>
      </c>
      <c r="X3466" t="s">
        <v>616</v>
      </c>
      <c r="Y3466" t="s">
        <v>616</v>
      </c>
      <c r="Z3466" t="s">
        <v>616</v>
      </c>
      <c r="AA3466" t="s">
        <v>616</v>
      </c>
      <c r="AB3466" t="s">
        <v>616</v>
      </c>
      <c r="AC3466" t="s">
        <v>616</v>
      </c>
      <c r="AD3466" t="s">
        <v>616</v>
      </c>
      <c r="AE3466" t="s">
        <v>9506</v>
      </c>
      <c r="AF3466">
        <v>0</v>
      </c>
      <c r="AG3466" t="s">
        <v>9507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x14ac:dyDescent="0.25">
      <c r="A3467">
        <v>3466</v>
      </c>
      <c r="B3467" t="str">
        <f xml:space="preserve"> "300709"</f>
        <v>300709</v>
      </c>
      <c r="C3467" t="s">
        <v>9508</v>
      </c>
      <c r="D3467" t="s">
        <v>616</v>
      </c>
      <c r="E3467" t="s">
        <v>616</v>
      </c>
      <c r="F3467" t="s">
        <v>616</v>
      </c>
      <c r="G3467" t="s">
        <v>616</v>
      </c>
      <c r="H3467" t="s">
        <v>616</v>
      </c>
      <c r="I3467" t="s">
        <v>616</v>
      </c>
      <c r="J3467" t="s">
        <v>616</v>
      </c>
      <c r="K3467" t="s">
        <v>616</v>
      </c>
      <c r="L3467" t="s">
        <v>616</v>
      </c>
      <c r="M3467" t="s">
        <v>616</v>
      </c>
      <c r="N3467" t="s">
        <v>616</v>
      </c>
      <c r="O3467" t="s">
        <v>380</v>
      </c>
      <c r="P3467" t="s">
        <v>616</v>
      </c>
      <c r="Q3467" t="s">
        <v>616</v>
      </c>
      <c r="R3467" t="s">
        <v>616</v>
      </c>
      <c r="S3467" t="s">
        <v>616</v>
      </c>
      <c r="T3467" t="s">
        <v>616</v>
      </c>
      <c r="U3467" t="s">
        <v>616</v>
      </c>
      <c r="V3467" t="s">
        <v>616</v>
      </c>
      <c r="W3467" t="s">
        <v>616</v>
      </c>
      <c r="X3467" t="s">
        <v>616</v>
      </c>
      <c r="Y3467" t="s">
        <v>616</v>
      </c>
      <c r="Z3467" t="s">
        <v>616</v>
      </c>
      <c r="AA3467" t="s">
        <v>616</v>
      </c>
      <c r="AB3467" t="s">
        <v>616</v>
      </c>
      <c r="AC3467" t="s">
        <v>616</v>
      </c>
      <c r="AD3467" t="s">
        <v>616</v>
      </c>
      <c r="AE3467" t="s">
        <v>7464</v>
      </c>
      <c r="AF3467">
        <v>0</v>
      </c>
      <c r="AG3467" t="s">
        <v>7465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x14ac:dyDescent="0.25">
      <c r="A3468">
        <v>3467</v>
      </c>
      <c r="B3468" t="str">
        <f xml:space="preserve"> "300708"</f>
        <v>300708</v>
      </c>
      <c r="C3468" t="s">
        <v>9509</v>
      </c>
      <c r="D3468" t="s">
        <v>616</v>
      </c>
      <c r="E3468" t="s">
        <v>616</v>
      </c>
      <c r="F3468" t="s">
        <v>616</v>
      </c>
      <c r="G3468" t="s">
        <v>616</v>
      </c>
      <c r="H3468" t="s">
        <v>616</v>
      </c>
      <c r="I3468" t="s">
        <v>616</v>
      </c>
      <c r="J3468" t="s">
        <v>616</v>
      </c>
      <c r="K3468" t="s">
        <v>616</v>
      </c>
      <c r="L3468" t="s">
        <v>616</v>
      </c>
      <c r="M3468" t="s">
        <v>616</v>
      </c>
      <c r="N3468" t="s">
        <v>616</v>
      </c>
      <c r="O3468" t="s">
        <v>380</v>
      </c>
      <c r="P3468" t="s">
        <v>616</v>
      </c>
      <c r="Q3468" t="s">
        <v>616</v>
      </c>
      <c r="R3468" t="s">
        <v>616</v>
      </c>
      <c r="S3468" t="s">
        <v>616</v>
      </c>
      <c r="T3468" t="s">
        <v>616</v>
      </c>
      <c r="U3468" t="s">
        <v>616</v>
      </c>
      <c r="V3468" t="s">
        <v>616</v>
      </c>
      <c r="W3468" t="s">
        <v>616</v>
      </c>
      <c r="X3468" t="s">
        <v>616</v>
      </c>
      <c r="Y3468" t="s">
        <v>616</v>
      </c>
      <c r="Z3468" t="s">
        <v>616</v>
      </c>
      <c r="AA3468" t="s">
        <v>616</v>
      </c>
      <c r="AB3468" t="s">
        <v>616</v>
      </c>
      <c r="AC3468" t="s">
        <v>616</v>
      </c>
      <c r="AD3468" t="s">
        <v>616</v>
      </c>
      <c r="AE3468" t="s">
        <v>925</v>
      </c>
      <c r="AF3468">
        <v>0</v>
      </c>
      <c r="AG3468" t="s">
        <v>4446</v>
      </c>
      <c r="AH3468">
        <v>0</v>
      </c>
      <c r="AI3468">
        <v>0</v>
      </c>
      <c r="AJ3468">
        <v>0</v>
      </c>
      <c r="AK3468">
        <v>0</v>
      </c>
      <c r="AL3468">
        <v>0</v>
      </c>
    </row>
    <row r="3469" spans="1:38" x14ac:dyDescent="0.25">
      <c r="A3469">
        <v>3468</v>
      </c>
      <c r="B3469" t="str">
        <f xml:space="preserve"> "300646"</f>
        <v>300646</v>
      </c>
      <c r="C3469" t="s">
        <v>9510</v>
      </c>
      <c r="D3469" t="s">
        <v>616</v>
      </c>
      <c r="E3469" t="s">
        <v>616</v>
      </c>
      <c r="F3469" t="s">
        <v>616</v>
      </c>
      <c r="G3469" t="s">
        <v>616</v>
      </c>
      <c r="H3469" t="s">
        <v>616</v>
      </c>
      <c r="I3469" t="s">
        <v>616</v>
      </c>
      <c r="J3469" t="s">
        <v>616</v>
      </c>
      <c r="K3469" t="s">
        <v>616</v>
      </c>
      <c r="L3469" t="s">
        <v>616</v>
      </c>
      <c r="M3469" t="s">
        <v>616</v>
      </c>
      <c r="N3469" t="s">
        <v>616</v>
      </c>
      <c r="O3469" t="s">
        <v>667</v>
      </c>
      <c r="P3469" t="s">
        <v>616</v>
      </c>
      <c r="Q3469" t="s">
        <v>616</v>
      </c>
      <c r="R3469" t="s">
        <v>616</v>
      </c>
      <c r="S3469" t="s">
        <v>616</v>
      </c>
      <c r="T3469" t="s">
        <v>616</v>
      </c>
      <c r="U3469" t="s">
        <v>616</v>
      </c>
      <c r="V3469" t="s">
        <v>616</v>
      </c>
      <c r="W3469" t="s">
        <v>616</v>
      </c>
      <c r="X3469" t="s">
        <v>616</v>
      </c>
      <c r="Y3469" t="s">
        <v>616</v>
      </c>
      <c r="Z3469" t="s">
        <v>616</v>
      </c>
      <c r="AA3469" t="s">
        <v>616</v>
      </c>
      <c r="AB3469" t="s">
        <v>616</v>
      </c>
      <c r="AC3469" t="s">
        <v>616</v>
      </c>
      <c r="AD3469" t="s">
        <v>616</v>
      </c>
      <c r="AE3469" t="s">
        <v>6340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x14ac:dyDescent="0.25">
      <c r="A3470">
        <v>3469</v>
      </c>
      <c r="B3470" t="str">
        <f xml:space="preserve"> "300361"</f>
        <v>300361</v>
      </c>
      <c r="C3470" t="s">
        <v>9511</v>
      </c>
      <c r="D3470" t="s">
        <v>616</v>
      </c>
      <c r="E3470" t="s">
        <v>616</v>
      </c>
      <c r="F3470" t="s">
        <v>616</v>
      </c>
      <c r="G3470" t="s">
        <v>616</v>
      </c>
      <c r="H3470" t="s">
        <v>616</v>
      </c>
      <c r="I3470" t="s">
        <v>616</v>
      </c>
      <c r="J3470" t="s">
        <v>616</v>
      </c>
      <c r="K3470" t="s">
        <v>616</v>
      </c>
      <c r="L3470" t="s">
        <v>616</v>
      </c>
      <c r="M3470" t="s">
        <v>616</v>
      </c>
      <c r="N3470" t="s">
        <v>616</v>
      </c>
      <c r="O3470" t="s">
        <v>392</v>
      </c>
      <c r="P3470" t="s">
        <v>616</v>
      </c>
      <c r="Q3470" t="s">
        <v>616</v>
      </c>
      <c r="R3470" t="s">
        <v>616</v>
      </c>
      <c r="S3470" t="s">
        <v>616</v>
      </c>
      <c r="T3470" t="s">
        <v>616</v>
      </c>
      <c r="U3470" t="s">
        <v>616</v>
      </c>
      <c r="V3470" t="s">
        <v>616</v>
      </c>
      <c r="W3470" t="s">
        <v>616</v>
      </c>
      <c r="X3470" t="s">
        <v>616</v>
      </c>
      <c r="Y3470" t="s">
        <v>616</v>
      </c>
      <c r="Z3470" t="s">
        <v>616</v>
      </c>
      <c r="AA3470" t="s">
        <v>616</v>
      </c>
      <c r="AB3470" t="s">
        <v>616</v>
      </c>
      <c r="AC3470" t="s">
        <v>616</v>
      </c>
      <c r="AD3470" t="s">
        <v>616</v>
      </c>
      <c r="AE3470" t="s">
        <v>1538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x14ac:dyDescent="0.25">
      <c r="A3471">
        <v>3470</v>
      </c>
      <c r="B3471" t="str">
        <f xml:space="preserve"> "002910"</f>
        <v>002910</v>
      </c>
      <c r="C3471" t="s">
        <v>9512</v>
      </c>
      <c r="D3471" t="s">
        <v>616</v>
      </c>
      <c r="E3471" t="s">
        <v>616</v>
      </c>
      <c r="F3471" t="s">
        <v>616</v>
      </c>
      <c r="G3471" t="s">
        <v>616</v>
      </c>
      <c r="H3471" t="s">
        <v>616</v>
      </c>
      <c r="I3471" t="s">
        <v>616</v>
      </c>
      <c r="J3471" t="s">
        <v>616</v>
      </c>
      <c r="K3471" t="s">
        <v>616</v>
      </c>
      <c r="L3471" t="s">
        <v>616</v>
      </c>
      <c r="M3471" t="s">
        <v>616</v>
      </c>
      <c r="N3471" t="s">
        <v>616</v>
      </c>
      <c r="O3471" t="s">
        <v>406</v>
      </c>
      <c r="P3471" t="s">
        <v>616</v>
      </c>
      <c r="Q3471" t="s">
        <v>616</v>
      </c>
      <c r="R3471" t="s">
        <v>616</v>
      </c>
      <c r="S3471" t="s">
        <v>616</v>
      </c>
      <c r="T3471" t="s">
        <v>616</v>
      </c>
      <c r="U3471" t="s">
        <v>616</v>
      </c>
      <c r="V3471" t="s">
        <v>616</v>
      </c>
      <c r="W3471" t="s">
        <v>616</v>
      </c>
      <c r="X3471" t="s">
        <v>616</v>
      </c>
      <c r="Y3471" t="s">
        <v>616</v>
      </c>
      <c r="Z3471" t="s">
        <v>616</v>
      </c>
      <c r="AA3471" t="s">
        <v>616</v>
      </c>
      <c r="AB3471" t="s">
        <v>616</v>
      </c>
      <c r="AC3471" t="s">
        <v>616</v>
      </c>
      <c r="AD3471" t="s">
        <v>616</v>
      </c>
      <c r="AE3471" t="s">
        <v>2044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x14ac:dyDescent="0.25">
      <c r="A3472">
        <v>3471</v>
      </c>
      <c r="B3472" t="str">
        <f xml:space="preserve"> "002908"</f>
        <v>002908</v>
      </c>
      <c r="C3472" t="s">
        <v>9513</v>
      </c>
      <c r="D3472" t="s">
        <v>616</v>
      </c>
      <c r="E3472" t="s">
        <v>616</v>
      </c>
      <c r="F3472" t="s">
        <v>616</v>
      </c>
      <c r="G3472" t="s">
        <v>616</v>
      </c>
      <c r="H3472" t="s">
        <v>616</v>
      </c>
      <c r="I3472" t="s">
        <v>616</v>
      </c>
      <c r="J3472" t="s">
        <v>616</v>
      </c>
      <c r="K3472" t="s">
        <v>616</v>
      </c>
      <c r="L3472" t="s">
        <v>616</v>
      </c>
      <c r="M3472" t="s">
        <v>616</v>
      </c>
      <c r="N3472" t="s">
        <v>616</v>
      </c>
      <c r="O3472" t="s">
        <v>553</v>
      </c>
      <c r="P3472" t="s">
        <v>616</v>
      </c>
      <c r="Q3472" t="s">
        <v>616</v>
      </c>
      <c r="R3472" t="s">
        <v>616</v>
      </c>
      <c r="S3472" t="s">
        <v>616</v>
      </c>
      <c r="T3472" t="s">
        <v>616</v>
      </c>
      <c r="U3472" t="s">
        <v>616</v>
      </c>
      <c r="V3472" t="s">
        <v>616</v>
      </c>
      <c r="W3472" t="s">
        <v>616</v>
      </c>
      <c r="X3472" t="s">
        <v>616</v>
      </c>
      <c r="Y3472" t="s">
        <v>616</v>
      </c>
      <c r="Z3472" t="s">
        <v>616</v>
      </c>
      <c r="AA3472" t="s">
        <v>616</v>
      </c>
      <c r="AB3472" t="s">
        <v>616</v>
      </c>
      <c r="AC3472" t="s">
        <v>616</v>
      </c>
      <c r="AD3472" t="s">
        <v>616</v>
      </c>
      <c r="AE3472" t="s">
        <v>333</v>
      </c>
      <c r="AF3472">
        <v>0</v>
      </c>
      <c r="AG3472" t="s">
        <v>6778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x14ac:dyDescent="0.25">
      <c r="A3473">
        <v>3472</v>
      </c>
      <c r="B3473" t="str">
        <f xml:space="preserve"> "002907"</f>
        <v>002907</v>
      </c>
      <c r="C3473" t="s">
        <v>9514</v>
      </c>
      <c r="D3473" t="s">
        <v>616</v>
      </c>
      <c r="E3473" t="s">
        <v>616</v>
      </c>
      <c r="F3473" t="s">
        <v>616</v>
      </c>
      <c r="G3473" t="s">
        <v>616</v>
      </c>
      <c r="H3473" t="s">
        <v>616</v>
      </c>
      <c r="I3473" t="s">
        <v>616</v>
      </c>
      <c r="J3473" t="s">
        <v>616</v>
      </c>
      <c r="K3473" t="s">
        <v>616</v>
      </c>
      <c r="L3473" t="s">
        <v>616</v>
      </c>
      <c r="M3473" t="s">
        <v>616</v>
      </c>
      <c r="N3473" t="s">
        <v>616</v>
      </c>
      <c r="O3473" t="s">
        <v>392</v>
      </c>
      <c r="P3473" t="s">
        <v>616</v>
      </c>
      <c r="Q3473" t="s">
        <v>616</v>
      </c>
      <c r="R3473" t="s">
        <v>616</v>
      </c>
      <c r="S3473" t="s">
        <v>616</v>
      </c>
      <c r="T3473" t="s">
        <v>616</v>
      </c>
      <c r="U3473" t="s">
        <v>616</v>
      </c>
      <c r="V3473" t="s">
        <v>616</v>
      </c>
      <c r="W3473" t="s">
        <v>616</v>
      </c>
      <c r="X3473" t="s">
        <v>616</v>
      </c>
      <c r="Y3473" t="s">
        <v>616</v>
      </c>
      <c r="Z3473" t="s">
        <v>616</v>
      </c>
      <c r="AA3473" t="s">
        <v>616</v>
      </c>
      <c r="AB3473" t="s">
        <v>616</v>
      </c>
      <c r="AC3473" t="s">
        <v>616</v>
      </c>
      <c r="AD3473" t="s">
        <v>616</v>
      </c>
      <c r="AE3473" t="s">
        <v>1000</v>
      </c>
      <c r="AF3473">
        <v>0</v>
      </c>
      <c r="AG3473" t="s">
        <v>9230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x14ac:dyDescent="0.25">
      <c r="A3474">
        <v>3473</v>
      </c>
      <c r="B3474" t="str">
        <f xml:space="preserve"> "002905"</f>
        <v>002905</v>
      </c>
      <c r="C3474" t="s">
        <v>9515</v>
      </c>
      <c r="D3474" t="s">
        <v>616</v>
      </c>
      <c r="E3474" t="s">
        <v>616</v>
      </c>
      <c r="F3474" t="s">
        <v>616</v>
      </c>
      <c r="G3474" t="s">
        <v>616</v>
      </c>
      <c r="H3474" t="s">
        <v>616</v>
      </c>
      <c r="I3474" t="s">
        <v>616</v>
      </c>
      <c r="J3474" t="s">
        <v>616</v>
      </c>
      <c r="K3474" t="s">
        <v>616</v>
      </c>
      <c r="L3474" t="s">
        <v>616</v>
      </c>
      <c r="M3474" t="s">
        <v>616</v>
      </c>
      <c r="N3474" t="s">
        <v>616</v>
      </c>
      <c r="O3474" t="s">
        <v>1126</v>
      </c>
      <c r="P3474" t="s">
        <v>616</v>
      </c>
      <c r="Q3474" t="s">
        <v>616</v>
      </c>
      <c r="R3474" t="s">
        <v>616</v>
      </c>
      <c r="S3474" t="s">
        <v>616</v>
      </c>
      <c r="T3474" t="s">
        <v>616</v>
      </c>
      <c r="U3474" t="s">
        <v>616</v>
      </c>
      <c r="V3474" t="s">
        <v>616</v>
      </c>
      <c r="W3474" t="s">
        <v>616</v>
      </c>
      <c r="X3474" t="s">
        <v>616</v>
      </c>
      <c r="Y3474" t="s">
        <v>616</v>
      </c>
      <c r="Z3474" t="s">
        <v>616</v>
      </c>
      <c r="AA3474" t="s">
        <v>616</v>
      </c>
      <c r="AB3474" t="s">
        <v>616</v>
      </c>
      <c r="AC3474" t="s">
        <v>616</v>
      </c>
      <c r="AD3474" t="s">
        <v>616</v>
      </c>
      <c r="AE3474" t="s">
        <v>2368</v>
      </c>
      <c r="AF3474">
        <v>0</v>
      </c>
      <c r="AG3474" t="s">
        <v>3231</v>
      </c>
      <c r="AH3474">
        <v>0</v>
      </c>
      <c r="AI3474">
        <v>0</v>
      </c>
      <c r="AJ3474">
        <v>0</v>
      </c>
      <c r="AK3474">
        <v>0</v>
      </c>
      <c r="AL3474">
        <v>0</v>
      </c>
    </row>
    <row r="3475" spans="1:38" x14ac:dyDescent="0.25">
      <c r="A3475">
        <v>3474</v>
      </c>
      <c r="B3475" t="str">
        <f xml:space="preserve"> "002720"</f>
        <v>002720</v>
      </c>
      <c r="C3475" t="s">
        <v>9516</v>
      </c>
      <c r="D3475" t="s">
        <v>616</v>
      </c>
      <c r="E3475" t="s">
        <v>616</v>
      </c>
      <c r="F3475" t="s">
        <v>616</v>
      </c>
      <c r="G3475" t="s">
        <v>616</v>
      </c>
      <c r="H3475" t="s">
        <v>616</v>
      </c>
      <c r="I3475" t="s">
        <v>616</v>
      </c>
      <c r="J3475" t="s">
        <v>616</v>
      </c>
      <c r="K3475" t="s">
        <v>616</v>
      </c>
      <c r="L3475" t="s">
        <v>616</v>
      </c>
      <c r="M3475" t="s">
        <v>616</v>
      </c>
      <c r="N3475" t="s">
        <v>616</v>
      </c>
      <c r="O3475" t="s">
        <v>1443</v>
      </c>
      <c r="P3475" t="s">
        <v>616</v>
      </c>
      <c r="Q3475" t="s">
        <v>616</v>
      </c>
      <c r="R3475" t="s">
        <v>616</v>
      </c>
      <c r="S3475" t="s">
        <v>616</v>
      </c>
      <c r="T3475" t="s">
        <v>616</v>
      </c>
      <c r="U3475" t="s">
        <v>616</v>
      </c>
      <c r="V3475" t="s">
        <v>616</v>
      </c>
      <c r="W3475" t="s">
        <v>616</v>
      </c>
      <c r="X3475" t="s">
        <v>616</v>
      </c>
      <c r="Y3475" t="s">
        <v>616</v>
      </c>
      <c r="Z3475" t="s">
        <v>616</v>
      </c>
      <c r="AA3475" t="s">
        <v>616</v>
      </c>
      <c r="AB3475" t="s">
        <v>616</v>
      </c>
      <c r="AC3475" t="s">
        <v>616</v>
      </c>
      <c r="AD3475" t="s">
        <v>616</v>
      </c>
      <c r="AE3475" t="s">
        <v>4080</v>
      </c>
      <c r="AF3475">
        <v>0</v>
      </c>
      <c r="AG3475" t="s">
        <v>1371</v>
      </c>
      <c r="AH3475">
        <v>0</v>
      </c>
      <c r="AI3475">
        <v>0</v>
      </c>
      <c r="AJ3475">
        <v>0</v>
      </c>
      <c r="AK3475">
        <v>0</v>
      </c>
      <c r="AL3475">
        <v>0</v>
      </c>
    </row>
    <row r="3476" spans="1:38" x14ac:dyDescent="0.25">
      <c r="A3476">
        <v>3475</v>
      </c>
      <c r="B3476" t="str">
        <f xml:space="preserve"> "002710"</f>
        <v>002710</v>
      </c>
      <c r="C3476" t="s">
        <v>9517</v>
      </c>
      <c r="D3476" t="s">
        <v>616</v>
      </c>
      <c r="E3476" t="s">
        <v>616</v>
      </c>
      <c r="F3476" t="s">
        <v>616</v>
      </c>
      <c r="G3476" t="s">
        <v>616</v>
      </c>
      <c r="H3476" t="s">
        <v>616</v>
      </c>
      <c r="I3476" t="s">
        <v>616</v>
      </c>
      <c r="J3476" t="s">
        <v>616</v>
      </c>
      <c r="K3476" t="s">
        <v>616</v>
      </c>
      <c r="L3476" t="s">
        <v>616</v>
      </c>
      <c r="M3476" t="s">
        <v>616</v>
      </c>
      <c r="N3476" t="s">
        <v>616</v>
      </c>
      <c r="O3476" t="s">
        <v>392</v>
      </c>
      <c r="P3476" t="s">
        <v>616</v>
      </c>
      <c r="Q3476" t="s">
        <v>616</v>
      </c>
      <c r="R3476" t="s">
        <v>616</v>
      </c>
      <c r="S3476" t="s">
        <v>616</v>
      </c>
      <c r="T3476" t="s">
        <v>616</v>
      </c>
      <c r="U3476" t="s">
        <v>616</v>
      </c>
      <c r="V3476" t="s">
        <v>616</v>
      </c>
      <c r="W3476" t="s">
        <v>616</v>
      </c>
      <c r="X3476" t="s">
        <v>616</v>
      </c>
      <c r="Y3476" t="s">
        <v>616</v>
      </c>
      <c r="Z3476" t="s">
        <v>616</v>
      </c>
      <c r="AA3476" t="s">
        <v>616</v>
      </c>
      <c r="AB3476" t="s">
        <v>616</v>
      </c>
      <c r="AC3476" t="s">
        <v>616</v>
      </c>
      <c r="AD3476" t="s">
        <v>616</v>
      </c>
      <c r="AE3476" t="s">
        <v>918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0</v>
      </c>
    </row>
    <row r="3477" spans="1:38" x14ac:dyDescent="0.25">
      <c r="A3477">
        <v>3476</v>
      </c>
      <c r="B3477" t="str">
        <f xml:space="preserve"> "002525"</f>
        <v>002525</v>
      </c>
      <c r="C3477" t="s">
        <v>9518</v>
      </c>
      <c r="D3477" t="s">
        <v>616</v>
      </c>
      <c r="E3477" t="s">
        <v>616</v>
      </c>
      <c r="F3477" t="s">
        <v>616</v>
      </c>
      <c r="G3477" t="s">
        <v>616</v>
      </c>
      <c r="H3477" t="s">
        <v>616</v>
      </c>
      <c r="I3477" t="s">
        <v>616</v>
      </c>
      <c r="J3477" t="s">
        <v>616</v>
      </c>
      <c r="K3477" t="s">
        <v>616</v>
      </c>
      <c r="L3477" t="s">
        <v>616</v>
      </c>
      <c r="M3477" t="s">
        <v>616</v>
      </c>
      <c r="N3477" t="s">
        <v>616</v>
      </c>
      <c r="O3477" t="s">
        <v>406</v>
      </c>
      <c r="P3477" t="s">
        <v>616</v>
      </c>
      <c r="Q3477" t="s">
        <v>616</v>
      </c>
      <c r="R3477" t="s">
        <v>616</v>
      </c>
      <c r="S3477" t="s">
        <v>616</v>
      </c>
      <c r="T3477" t="s">
        <v>616</v>
      </c>
      <c r="U3477" t="s">
        <v>616</v>
      </c>
      <c r="V3477" t="s">
        <v>616</v>
      </c>
      <c r="W3477" t="s">
        <v>616</v>
      </c>
      <c r="X3477" t="s">
        <v>616</v>
      </c>
      <c r="Y3477" t="s">
        <v>616</v>
      </c>
      <c r="Z3477" t="s">
        <v>616</v>
      </c>
      <c r="AA3477" t="s">
        <v>616</v>
      </c>
      <c r="AB3477" t="s">
        <v>616</v>
      </c>
      <c r="AC3477" t="s">
        <v>616</v>
      </c>
      <c r="AD3477" t="s">
        <v>616</v>
      </c>
      <c r="AE3477" t="s">
        <v>4059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x14ac:dyDescent="0.25">
      <c r="A3478">
        <v>3477</v>
      </c>
      <c r="B3478" t="str">
        <f xml:space="preserve"> "002257"</f>
        <v>002257</v>
      </c>
      <c r="C3478" t="s">
        <v>9519</v>
      </c>
      <c r="D3478" t="s">
        <v>616</v>
      </c>
      <c r="E3478" t="s">
        <v>616</v>
      </c>
      <c r="F3478" t="s">
        <v>616</v>
      </c>
      <c r="G3478" t="s">
        <v>616</v>
      </c>
      <c r="H3478" t="s">
        <v>616</v>
      </c>
      <c r="I3478" t="s">
        <v>616</v>
      </c>
      <c r="J3478" t="s">
        <v>616</v>
      </c>
      <c r="K3478" t="s">
        <v>616</v>
      </c>
      <c r="L3478" t="s">
        <v>616</v>
      </c>
      <c r="M3478" t="s">
        <v>616</v>
      </c>
      <c r="N3478" t="s">
        <v>616</v>
      </c>
      <c r="O3478" t="s">
        <v>616</v>
      </c>
      <c r="P3478" t="s">
        <v>616</v>
      </c>
      <c r="Q3478" t="s">
        <v>616</v>
      </c>
      <c r="R3478" t="s">
        <v>616</v>
      </c>
      <c r="S3478" t="s">
        <v>616</v>
      </c>
      <c r="T3478" t="s">
        <v>616</v>
      </c>
      <c r="U3478" t="s">
        <v>616</v>
      </c>
      <c r="V3478" t="s">
        <v>616</v>
      </c>
      <c r="W3478" t="s">
        <v>616</v>
      </c>
      <c r="X3478" t="s">
        <v>616</v>
      </c>
      <c r="Y3478" t="s">
        <v>616</v>
      </c>
      <c r="Z3478" t="s">
        <v>616</v>
      </c>
      <c r="AA3478" t="s">
        <v>616</v>
      </c>
      <c r="AB3478" t="s">
        <v>616</v>
      </c>
      <c r="AC3478" t="s">
        <v>616</v>
      </c>
      <c r="AD3478" t="s">
        <v>616</v>
      </c>
      <c r="AE3478" t="s">
        <v>8745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x14ac:dyDescent="0.25">
      <c r="A3479">
        <v>3478</v>
      </c>
      <c r="B3479" t="str">
        <f xml:space="preserve"> "000991"</f>
        <v>000991</v>
      </c>
      <c r="C3479" t="s">
        <v>9520</v>
      </c>
      <c r="D3479" t="s">
        <v>616</v>
      </c>
      <c r="E3479" t="s">
        <v>616</v>
      </c>
      <c r="F3479" t="s">
        <v>616</v>
      </c>
      <c r="G3479" t="s">
        <v>616</v>
      </c>
      <c r="H3479" t="s">
        <v>616</v>
      </c>
      <c r="I3479" t="s">
        <v>616</v>
      </c>
      <c r="J3479" t="s">
        <v>616</v>
      </c>
      <c r="K3479" t="s">
        <v>616</v>
      </c>
      <c r="L3479" t="s">
        <v>616</v>
      </c>
      <c r="M3479" t="s">
        <v>616</v>
      </c>
      <c r="N3479" t="s">
        <v>616</v>
      </c>
      <c r="O3479" t="s">
        <v>616</v>
      </c>
      <c r="P3479" t="s">
        <v>616</v>
      </c>
      <c r="Q3479" t="s">
        <v>616</v>
      </c>
      <c r="R3479" t="s">
        <v>616</v>
      </c>
      <c r="S3479" t="s">
        <v>616</v>
      </c>
      <c r="T3479" t="s">
        <v>616</v>
      </c>
      <c r="U3479" t="s">
        <v>616</v>
      </c>
      <c r="V3479" t="s">
        <v>616</v>
      </c>
      <c r="W3479" t="s">
        <v>616</v>
      </c>
      <c r="X3479" t="s">
        <v>616</v>
      </c>
      <c r="Y3479" t="s">
        <v>616</v>
      </c>
      <c r="Z3479" t="s">
        <v>616</v>
      </c>
      <c r="AA3479" t="s">
        <v>616</v>
      </c>
      <c r="AB3479" t="s">
        <v>616</v>
      </c>
      <c r="AC3479" t="s">
        <v>616</v>
      </c>
      <c r="AD3479" t="s">
        <v>616</v>
      </c>
      <c r="AE3479" t="s">
        <v>4109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x14ac:dyDescent="0.25">
      <c r="A3480">
        <v>3479</v>
      </c>
      <c r="B3480" t="str">
        <f xml:space="preserve"> "000956"</f>
        <v>000956</v>
      </c>
      <c r="C3480" t="s">
        <v>9521</v>
      </c>
      <c r="D3480" t="s">
        <v>616</v>
      </c>
      <c r="E3480" t="s">
        <v>616</v>
      </c>
      <c r="F3480" t="s">
        <v>616</v>
      </c>
      <c r="G3480" t="s">
        <v>616</v>
      </c>
      <c r="H3480" t="s">
        <v>616</v>
      </c>
      <c r="I3480" t="s">
        <v>616</v>
      </c>
      <c r="J3480" t="s">
        <v>616</v>
      </c>
      <c r="K3480" t="s">
        <v>616</v>
      </c>
      <c r="L3480" t="s">
        <v>616</v>
      </c>
      <c r="M3480" t="s">
        <v>616</v>
      </c>
      <c r="N3480" t="s">
        <v>616</v>
      </c>
      <c r="O3480" t="s">
        <v>616</v>
      </c>
      <c r="P3480" t="s">
        <v>616</v>
      </c>
      <c r="Q3480" t="s">
        <v>616</v>
      </c>
      <c r="R3480" t="s">
        <v>616</v>
      </c>
      <c r="S3480">
        <v>11.91</v>
      </c>
      <c r="T3480" t="s">
        <v>616</v>
      </c>
      <c r="U3480" t="s">
        <v>616</v>
      </c>
      <c r="V3480" t="s">
        <v>616</v>
      </c>
      <c r="W3480" t="s">
        <v>616</v>
      </c>
      <c r="X3480" t="s">
        <v>616</v>
      </c>
      <c r="Y3480" t="s">
        <v>616</v>
      </c>
      <c r="Z3480" t="s">
        <v>616</v>
      </c>
      <c r="AA3480" t="s">
        <v>616</v>
      </c>
      <c r="AB3480" t="s">
        <v>616</v>
      </c>
      <c r="AC3480" t="s">
        <v>616</v>
      </c>
      <c r="AD3480" t="s">
        <v>616</v>
      </c>
      <c r="AE3480" t="s">
        <v>616</v>
      </c>
      <c r="AF3480" t="s">
        <v>616</v>
      </c>
      <c r="AG3480" t="s">
        <v>616</v>
      </c>
      <c r="AH3480" t="s">
        <v>616</v>
      </c>
      <c r="AI3480">
        <v>0</v>
      </c>
      <c r="AJ3480">
        <v>0</v>
      </c>
      <c r="AK3480">
        <v>0</v>
      </c>
      <c r="AL3480">
        <v>0</v>
      </c>
    </row>
    <row r="3481" spans="1:38" x14ac:dyDescent="0.25">
      <c r="A3481">
        <v>3480</v>
      </c>
      <c r="B3481" t="str">
        <f xml:space="preserve"> "000866"</f>
        <v>000866</v>
      </c>
      <c r="C3481" t="s">
        <v>9522</v>
      </c>
      <c r="D3481" t="s">
        <v>616</v>
      </c>
      <c r="E3481" t="s">
        <v>616</v>
      </c>
      <c r="F3481" t="s">
        <v>616</v>
      </c>
      <c r="G3481" t="s">
        <v>616</v>
      </c>
      <c r="H3481" t="s">
        <v>616</v>
      </c>
      <c r="I3481" t="s">
        <v>616</v>
      </c>
      <c r="J3481" t="s">
        <v>616</v>
      </c>
      <c r="K3481" t="s">
        <v>616</v>
      </c>
      <c r="L3481" t="s">
        <v>616</v>
      </c>
      <c r="M3481" t="s">
        <v>616</v>
      </c>
      <c r="N3481" t="s">
        <v>616</v>
      </c>
      <c r="O3481" t="s">
        <v>616</v>
      </c>
      <c r="P3481" t="s">
        <v>616</v>
      </c>
      <c r="Q3481" t="s">
        <v>616</v>
      </c>
      <c r="R3481" t="s">
        <v>616</v>
      </c>
      <c r="S3481">
        <v>13.84</v>
      </c>
      <c r="T3481" t="s">
        <v>616</v>
      </c>
      <c r="U3481" t="s">
        <v>616</v>
      </c>
      <c r="V3481" t="s">
        <v>616</v>
      </c>
      <c r="W3481" t="s">
        <v>616</v>
      </c>
      <c r="X3481" t="s">
        <v>616</v>
      </c>
      <c r="Y3481" t="s">
        <v>616</v>
      </c>
      <c r="Z3481" t="s">
        <v>616</v>
      </c>
      <c r="AA3481" t="s">
        <v>616</v>
      </c>
      <c r="AB3481" t="s">
        <v>616</v>
      </c>
      <c r="AC3481" t="s">
        <v>616</v>
      </c>
      <c r="AD3481" t="s">
        <v>616</v>
      </c>
      <c r="AE3481" t="s">
        <v>616</v>
      </c>
      <c r="AF3481" t="s">
        <v>616</v>
      </c>
      <c r="AG3481" t="s">
        <v>616</v>
      </c>
      <c r="AH3481" t="s">
        <v>616</v>
      </c>
      <c r="AI3481">
        <v>0</v>
      </c>
      <c r="AJ3481">
        <v>0</v>
      </c>
      <c r="AK3481">
        <v>0</v>
      </c>
      <c r="AL3481">
        <v>0</v>
      </c>
    </row>
    <row r="3482" spans="1:38" x14ac:dyDescent="0.25">
      <c r="A3482">
        <v>3481</v>
      </c>
      <c r="B3482" t="str">
        <f xml:space="preserve"> "000832"</f>
        <v>000832</v>
      </c>
      <c r="C3482" t="s">
        <v>9523</v>
      </c>
      <c r="D3482" t="s">
        <v>616</v>
      </c>
      <c r="E3482" t="s">
        <v>616</v>
      </c>
      <c r="F3482" t="s">
        <v>616</v>
      </c>
      <c r="G3482" t="s">
        <v>616</v>
      </c>
      <c r="H3482" t="s">
        <v>616</v>
      </c>
      <c r="I3482" t="s">
        <v>616</v>
      </c>
      <c r="J3482" t="s">
        <v>616</v>
      </c>
      <c r="K3482" t="s">
        <v>616</v>
      </c>
      <c r="L3482" t="s">
        <v>616</v>
      </c>
      <c r="M3482" t="s">
        <v>616</v>
      </c>
      <c r="N3482" t="s">
        <v>616</v>
      </c>
      <c r="O3482" t="s">
        <v>616</v>
      </c>
      <c r="P3482" t="s">
        <v>616</v>
      </c>
      <c r="Q3482" t="s">
        <v>616</v>
      </c>
      <c r="R3482" t="s">
        <v>616</v>
      </c>
      <c r="S3482">
        <v>1.45</v>
      </c>
      <c r="T3482" t="s">
        <v>616</v>
      </c>
      <c r="U3482" t="s">
        <v>616</v>
      </c>
      <c r="V3482" t="s">
        <v>616</v>
      </c>
      <c r="W3482" t="s">
        <v>616</v>
      </c>
      <c r="X3482" t="s">
        <v>616</v>
      </c>
      <c r="Y3482" t="s">
        <v>616</v>
      </c>
      <c r="Z3482" t="s">
        <v>616</v>
      </c>
      <c r="AA3482" t="s">
        <v>616</v>
      </c>
      <c r="AB3482" t="s">
        <v>616</v>
      </c>
      <c r="AC3482" t="s">
        <v>616</v>
      </c>
      <c r="AD3482" t="s">
        <v>616</v>
      </c>
      <c r="AE3482" t="s">
        <v>616</v>
      </c>
      <c r="AF3482" t="s">
        <v>616</v>
      </c>
      <c r="AG3482" t="s">
        <v>616</v>
      </c>
      <c r="AH3482" t="s">
        <v>616</v>
      </c>
      <c r="AI3482">
        <v>0</v>
      </c>
      <c r="AJ3482">
        <v>0</v>
      </c>
      <c r="AK3482">
        <v>0</v>
      </c>
      <c r="AL3482">
        <v>0</v>
      </c>
    </row>
    <row r="3483" spans="1:38" x14ac:dyDescent="0.25">
      <c r="A3483">
        <v>3482</v>
      </c>
      <c r="B3483" t="str">
        <f xml:space="preserve"> "000827"</f>
        <v>000827</v>
      </c>
      <c r="C3483" t="s">
        <v>9524</v>
      </c>
      <c r="D3483" t="s">
        <v>616</v>
      </c>
      <c r="E3483" t="s">
        <v>616</v>
      </c>
      <c r="F3483" t="s">
        <v>616</v>
      </c>
      <c r="G3483" t="s">
        <v>616</v>
      </c>
      <c r="H3483" t="s">
        <v>616</v>
      </c>
      <c r="I3483" t="s">
        <v>616</v>
      </c>
      <c r="J3483" t="s">
        <v>616</v>
      </c>
      <c r="K3483" t="s">
        <v>616</v>
      </c>
      <c r="L3483" t="s">
        <v>616</v>
      </c>
      <c r="M3483" t="s">
        <v>616</v>
      </c>
      <c r="N3483" t="s">
        <v>616</v>
      </c>
      <c r="O3483" t="s">
        <v>616</v>
      </c>
      <c r="P3483" t="s">
        <v>616</v>
      </c>
      <c r="Q3483" t="s">
        <v>616</v>
      </c>
      <c r="R3483" t="s">
        <v>616</v>
      </c>
      <c r="S3483">
        <v>1.1599999999999999</v>
      </c>
      <c r="T3483" t="s">
        <v>616</v>
      </c>
      <c r="U3483" t="s">
        <v>616</v>
      </c>
      <c r="V3483" t="s">
        <v>616</v>
      </c>
      <c r="W3483" t="s">
        <v>616</v>
      </c>
      <c r="X3483" t="s">
        <v>616</v>
      </c>
      <c r="Y3483" t="s">
        <v>616</v>
      </c>
      <c r="Z3483" t="s">
        <v>616</v>
      </c>
      <c r="AA3483" t="s">
        <v>616</v>
      </c>
      <c r="AB3483" t="s">
        <v>616</v>
      </c>
      <c r="AC3483" t="s">
        <v>616</v>
      </c>
      <c r="AD3483" t="s">
        <v>616</v>
      </c>
      <c r="AE3483" t="s">
        <v>616</v>
      </c>
      <c r="AF3483" t="s">
        <v>616</v>
      </c>
      <c r="AG3483" t="s">
        <v>616</v>
      </c>
      <c r="AH3483" t="s">
        <v>616</v>
      </c>
      <c r="AI3483">
        <v>0</v>
      </c>
      <c r="AJ3483">
        <v>0</v>
      </c>
      <c r="AK3483">
        <v>0</v>
      </c>
      <c r="AL3483">
        <v>0</v>
      </c>
    </row>
    <row r="3484" spans="1:38" x14ac:dyDescent="0.25">
      <c r="A3484">
        <v>3483</v>
      </c>
      <c r="B3484" t="str">
        <f xml:space="preserve"> "000817"</f>
        <v>000817</v>
      </c>
      <c r="C3484" t="s">
        <v>9525</v>
      </c>
      <c r="D3484" t="s">
        <v>616</v>
      </c>
      <c r="E3484" t="s">
        <v>616</v>
      </c>
      <c r="F3484" t="s">
        <v>616</v>
      </c>
      <c r="G3484" t="s">
        <v>616</v>
      </c>
      <c r="H3484" t="s">
        <v>616</v>
      </c>
      <c r="I3484" t="s">
        <v>616</v>
      </c>
      <c r="J3484" t="s">
        <v>616</v>
      </c>
      <c r="K3484" t="s">
        <v>616</v>
      </c>
      <c r="L3484" t="s">
        <v>616</v>
      </c>
      <c r="M3484" t="s">
        <v>616</v>
      </c>
      <c r="N3484" t="s">
        <v>616</v>
      </c>
      <c r="O3484" t="s">
        <v>616</v>
      </c>
      <c r="P3484" t="s">
        <v>616</v>
      </c>
      <c r="Q3484" t="s">
        <v>616</v>
      </c>
      <c r="R3484" t="s">
        <v>616</v>
      </c>
      <c r="S3484">
        <v>8.75</v>
      </c>
      <c r="T3484" t="s">
        <v>616</v>
      </c>
      <c r="U3484" t="s">
        <v>616</v>
      </c>
      <c r="V3484" t="s">
        <v>616</v>
      </c>
      <c r="W3484" t="s">
        <v>616</v>
      </c>
      <c r="X3484" t="s">
        <v>616</v>
      </c>
      <c r="Y3484" t="s">
        <v>616</v>
      </c>
      <c r="Z3484" t="s">
        <v>616</v>
      </c>
      <c r="AA3484" t="s">
        <v>616</v>
      </c>
      <c r="AB3484" t="s">
        <v>616</v>
      </c>
      <c r="AC3484" t="s">
        <v>616</v>
      </c>
      <c r="AD3484" t="s">
        <v>616</v>
      </c>
      <c r="AE3484" t="s">
        <v>616</v>
      </c>
      <c r="AF3484" t="s">
        <v>616</v>
      </c>
      <c r="AG3484" t="s">
        <v>616</v>
      </c>
      <c r="AH3484" t="s">
        <v>616</v>
      </c>
      <c r="AI3484">
        <v>0</v>
      </c>
      <c r="AJ3484">
        <v>0</v>
      </c>
      <c r="AK3484">
        <v>0</v>
      </c>
      <c r="AL3484">
        <v>0</v>
      </c>
    </row>
    <row r="3485" spans="1:38" x14ac:dyDescent="0.25">
      <c r="A3485">
        <v>3484</v>
      </c>
      <c r="B3485" t="str">
        <f xml:space="preserve"> "000805"</f>
        <v>000805</v>
      </c>
      <c r="C3485" t="s">
        <v>9526</v>
      </c>
      <c r="D3485" t="s">
        <v>616</v>
      </c>
      <c r="E3485" t="s">
        <v>616</v>
      </c>
      <c r="F3485" t="s">
        <v>616</v>
      </c>
      <c r="G3485" t="s">
        <v>616</v>
      </c>
      <c r="H3485" t="s">
        <v>616</v>
      </c>
      <c r="I3485" t="s">
        <v>616</v>
      </c>
      <c r="J3485" t="s">
        <v>616</v>
      </c>
      <c r="K3485" t="s">
        <v>616</v>
      </c>
      <c r="L3485" t="s">
        <v>616</v>
      </c>
      <c r="M3485" t="s">
        <v>616</v>
      </c>
      <c r="N3485" t="s">
        <v>616</v>
      </c>
      <c r="O3485" t="s">
        <v>616</v>
      </c>
      <c r="P3485" t="s">
        <v>616</v>
      </c>
      <c r="Q3485" t="s">
        <v>616</v>
      </c>
      <c r="R3485" t="s">
        <v>616</v>
      </c>
      <c r="S3485">
        <v>1.88</v>
      </c>
      <c r="T3485" t="s">
        <v>616</v>
      </c>
      <c r="U3485" t="s">
        <v>616</v>
      </c>
      <c r="V3485" t="s">
        <v>616</v>
      </c>
      <c r="W3485" t="s">
        <v>616</v>
      </c>
      <c r="X3485" t="s">
        <v>616</v>
      </c>
      <c r="Y3485" t="s">
        <v>616</v>
      </c>
      <c r="Z3485" t="s">
        <v>616</v>
      </c>
      <c r="AA3485" t="s">
        <v>616</v>
      </c>
      <c r="AB3485" t="s">
        <v>616</v>
      </c>
      <c r="AC3485" t="s">
        <v>616</v>
      </c>
      <c r="AD3485" t="s">
        <v>616</v>
      </c>
      <c r="AE3485" t="s">
        <v>616</v>
      </c>
      <c r="AF3485" t="s">
        <v>616</v>
      </c>
      <c r="AG3485" t="s">
        <v>616</v>
      </c>
      <c r="AH3485" t="s">
        <v>616</v>
      </c>
      <c r="AI3485">
        <v>0</v>
      </c>
      <c r="AJ3485">
        <v>0</v>
      </c>
      <c r="AK3485">
        <v>0</v>
      </c>
      <c r="AL3485">
        <v>0</v>
      </c>
    </row>
    <row r="3486" spans="1:38" x14ac:dyDescent="0.25">
      <c r="A3486">
        <v>3485</v>
      </c>
      <c r="B3486" t="str">
        <f xml:space="preserve"> "000787"</f>
        <v>000787</v>
      </c>
      <c r="C3486" t="s">
        <v>9527</v>
      </c>
      <c r="D3486" t="s">
        <v>616</v>
      </c>
      <c r="E3486" t="s">
        <v>616</v>
      </c>
      <c r="F3486" t="s">
        <v>616</v>
      </c>
      <c r="G3486" t="s">
        <v>616</v>
      </c>
      <c r="H3486" t="s">
        <v>616</v>
      </c>
      <c r="I3486" t="s">
        <v>616</v>
      </c>
      <c r="J3486" t="s">
        <v>616</v>
      </c>
      <c r="K3486" t="s">
        <v>616</v>
      </c>
      <c r="L3486" t="s">
        <v>616</v>
      </c>
      <c r="M3486" t="s">
        <v>616</v>
      </c>
      <c r="N3486" t="s">
        <v>616</v>
      </c>
      <c r="O3486" t="s">
        <v>616</v>
      </c>
      <c r="P3486" t="s">
        <v>616</v>
      </c>
      <c r="Q3486" t="s">
        <v>616</v>
      </c>
      <c r="R3486" t="s">
        <v>616</v>
      </c>
      <c r="S3486">
        <v>4.68</v>
      </c>
      <c r="T3486" t="s">
        <v>616</v>
      </c>
      <c r="U3486" t="s">
        <v>616</v>
      </c>
      <c r="V3486" t="s">
        <v>616</v>
      </c>
      <c r="W3486" t="s">
        <v>616</v>
      </c>
      <c r="X3486" t="s">
        <v>616</v>
      </c>
      <c r="Y3486" t="s">
        <v>616</v>
      </c>
      <c r="Z3486" t="s">
        <v>616</v>
      </c>
      <c r="AA3486" t="s">
        <v>616</v>
      </c>
      <c r="AB3486" t="s">
        <v>616</v>
      </c>
      <c r="AC3486" t="s">
        <v>616</v>
      </c>
      <c r="AD3486" t="s">
        <v>616</v>
      </c>
      <c r="AE3486" t="s">
        <v>616</v>
      </c>
      <c r="AF3486" t="s">
        <v>616</v>
      </c>
      <c r="AG3486" t="s">
        <v>616</v>
      </c>
      <c r="AH3486" t="s">
        <v>616</v>
      </c>
      <c r="AI3486">
        <v>0</v>
      </c>
      <c r="AJ3486">
        <v>0</v>
      </c>
      <c r="AK3486">
        <v>0</v>
      </c>
      <c r="AL3486">
        <v>0</v>
      </c>
    </row>
    <row r="3487" spans="1:38" x14ac:dyDescent="0.25">
      <c r="A3487">
        <v>3486</v>
      </c>
      <c r="B3487" t="str">
        <f xml:space="preserve"> "000769"</f>
        <v>000769</v>
      </c>
      <c r="C3487" t="s">
        <v>9528</v>
      </c>
      <c r="D3487" t="s">
        <v>616</v>
      </c>
      <c r="E3487" t="s">
        <v>616</v>
      </c>
      <c r="F3487" t="s">
        <v>616</v>
      </c>
      <c r="G3487" t="s">
        <v>616</v>
      </c>
      <c r="H3487" t="s">
        <v>616</v>
      </c>
      <c r="I3487" t="s">
        <v>616</v>
      </c>
      <c r="J3487" t="s">
        <v>616</v>
      </c>
      <c r="K3487" t="s">
        <v>616</v>
      </c>
      <c r="L3487" t="s">
        <v>616</v>
      </c>
      <c r="M3487" t="s">
        <v>616</v>
      </c>
      <c r="N3487" t="s">
        <v>616</v>
      </c>
      <c r="O3487" t="s">
        <v>616</v>
      </c>
      <c r="P3487" t="s">
        <v>616</v>
      </c>
      <c r="Q3487" t="s">
        <v>616</v>
      </c>
      <c r="R3487" t="s">
        <v>616</v>
      </c>
      <c r="S3487">
        <v>0.9</v>
      </c>
      <c r="T3487" t="s">
        <v>616</v>
      </c>
      <c r="U3487" t="s">
        <v>616</v>
      </c>
      <c r="V3487" t="s">
        <v>616</v>
      </c>
      <c r="W3487" t="s">
        <v>616</v>
      </c>
      <c r="X3487" t="s">
        <v>616</v>
      </c>
      <c r="Y3487" t="s">
        <v>616</v>
      </c>
      <c r="Z3487" t="s">
        <v>616</v>
      </c>
      <c r="AA3487" t="s">
        <v>616</v>
      </c>
      <c r="AB3487" t="s">
        <v>616</v>
      </c>
      <c r="AC3487" t="s">
        <v>616</v>
      </c>
      <c r="AD3487" t="s">
        <v>616</v>
      </c>
      <c r="AE3487" t="s">
        <v>616</v>
      </c>
      <c r="AF3487" t="s">
        <v>616</v>
      </c>
      <c r="AG3487" t="s">
        <v>616</v>
      </c>
      <c r="AH3487" t="s">
        <v>616</v>
      </c>
      <c r="AI3487">
        <v>0</v>
      </c>
      <c r="AJ3487">
        <v>0</v>
      </c>
      <c r="AK3487">
        <v>0</v>
      </c>
      <c r="AL3487">
        <v>0</v>
      </c>
    </row>
    <row r="3488" spans="1:38" x14ac:dyDescent="0.25">
      <c r="A3488">
        <v>3487</v>
      </c>
      <c r="B3488" t="str">
        <f xml:space="preserve"> "000765"</f>
        <v>000765</v>
      </c>
      <c r="C3488" t="s">
        <v>9529</v>
      </c>
      <c r="D3488" t="s">
        <v>616</v>
      </c>
      <c r="E3488" t="s">
        <v>616</v>
      </c>
      <c r="F3488" t="s">
        <v>616</v>
      </c>
      <c r="G3488" t="s">
        <v>616</v>
      </c>
      <c r="H3488" t="s">
        <v>616</v>
      </c>
      <c r="I3488" t="s">
        <v>616</v>
      </c>
      <c r="J3488" t="s">
        <v>616</v>
      </c>
      <c r="K3488" t="s">
        <v>616</v>
      </c>
      <c r="L3488" t="s">
        <v>616</v>
      </c>
      <c r="M3488" t="s">
        <v>616</v>
      </c>
      <c r="N3488" t="s">
        <v>616</v>
      </c>
      <c r="O3488" t="s">
        <v>616</v>
      </c>
      <c r="P3488" t="s">
        <v>616</v>
      </c>
      <c r="Q3488" t="s">
        <v>616</v>
      </c>
      <c r="R3488" t="s">
        <v>616</v>
      </c>
      <c r="S3488">
        <v>2.36</v>
      </c>
      <c r="T3488" t="s">
        <v>616</v>
      </c>
      <c r="U3488" t="s">
        <v>616</v>
      </c>
      <c r="V3488" t="s">
        <v>616</v>
      </c>
      <c r="W3488" t="s">
        <v>616</v>
      </c>
      <c r="X3488" t="s">
        <v>616</v>
      </c>
      <c r="Y3488" t="s">
        <v>616</v>
      </c>
      <c r="Z3488" t="s">
        <v>616</v>
      </c>
      <c r="AA3488" t="s">
        <v>616</v>
      </c>
      <c r="AB3488" t="s">
        <v>616</v>
      </c>
      <c r="AC3488" t="s">
        <v>616</v>
      </c>
      <c r="AD3488" t="s">
        <v>616</v>
      </c>
      <c r="AE3488" t="s">
        <v>616</v>
      </c>
      <c r="AF3488" t="s">
        <v>616</v>
      </c>
      <c r="AG3488" t="s">
        <v>616</v>
      </c>
      <c r="AH3488" t="s">
        <v>616</v>
      </c>
      <c r="AI3488">
        <v>0</v>
      </c>
      <c r="AJ3488">
        <v>0</v>
      </c>
      <c r="AK3488">
        <v>0</v>
      </c>
      <c r="AL3488">
        <v>0</v>
      </c>
    </row>
    <row r="3489" spans="1:38" x14ac:dyDescent="0.25">
      <c r="A3489">
        <v>3488</v>
      </c>
      <c r="B3489" t="str">
        <f xml:space="preserve"> "000763"</f>
        <v>000763</v>
      </c>
      <c r="C3489" t="s">
        <v>9530</v>
      </c>
      <c r="D3489" t="s">
        <v>616</v>
      </c>
      <c r="E3489" t="s">
        <v>616</v>
      </c>
      <c r="F3489" t="s">
        <v>616</v>
      </c>
      <c r="G3489" t="s">
        <v>616</v>
      </c>
      <c r="H3489" t="s">
        <v>616</v>
      </c>
      <c r="I3489" t="s">
        <v>616</v>
      </c>
      <c r="J3489" t="s">
        <v>616</v>
      </c>
      <c r="K3489" t="s">
        <v>616</v>
      </c>
      <c r="L3489" t="s">
        <v>616</v>
      </c>
      <c r="M3489" t="s">
        <v>616</v>
      </c>
      <c r="N3489" t="s">
        <v>616</v>
      </c>
      <c r="O3489" t="s">
        <v>616</v>
      </c>
      <c r="P3489" t="s">
        <v>616</v>
      </c>
      <c r="Q3489" t="s">
        <v>616</v>
      </c>
      <c r="R3489" t="s">
        <v>616</v>
      </c>
      <c r="S3489">
        <v>4.22</v>
      </c>
      <c r="T3489" t="s">
        <v>616</v>
      </c>
      <c r="U3489" t="s">
        <v>616</v>
      </c>
      <c r="V3489" t="s">
        <v>616</v>
      </c>
      <c r="W3489" t="s">
        <v>616</v>
      </c>
      <c r="X3489" t="s">
        <v>616</v>
      </c>
      <c r="Y3489" t="s">
        <v>616</v>
      </c>
      <c r="Z3489" t="s">
        <v>616</v>
      </c>
      <c r="AA3489" t="s">
        <v>616</v>
      </c>
      <c r="AB3489" t="s">
        <v>616</v>
      </c>
      <c r="AC3489" t="s">
        <v>616</v>
      </c>
      <c r="AD3489" t="s">
        <v>616</v>
      </c>
      <c r="AE3489" t="s">
        <v>616</v>
      </c>
      <c r="AF3489" t="s">
        <v>616</v>
      </c>
      <c r="AG3489" t="s">
        <v>616</v>
      </c>
      <c r="AH3489" t="s">
        <v>616</v>
      </c>
      <c r="AI3489">
        <v>0</v>
      </c>
      <c r="AJ3489">
        <v>0</v>
      </c>
      <c r="AK3489">
        <v>0</v>
      </c>
      <c r="AL3489">
        <v>0</v>
      </c>
    </row>
    <row r="3490" spans="1:38" x14ac:dyDescent="0.25">
      <c r="A3490">
        <v>3489</v>
      </c>
      <c r="B3490" t="str">
        <f xml:space="preserve"> "000730"</f>
        <v>000730</v>
      </c>
      <c r="C3490" t="s">
        <v>9531</v>
      </c>
      <c r="D3490" t="s">
        <v>616</v>
      </c>
      <c r="E3490" t="s">
        <v>616</v>
      </c>
      <c r="F3490" t="s">
        <v>616</v>
      </c>
      <c r="G3490" t="s">
        <v>616</v>
      </c>
      <c r="H3490" t="s">
        <v>616</v>
      </c>
      <c r="I3490" t="s">
        <v>616</v>
      </c>
      <c r="J3490" t="s">
        <v>616</v>
      </c>
      <c r="K3490" t="s">
        <v>616</v>
      </c>
      <c r="L3490" t="s">
        <v>616</v>
      </c>
      <c r="M3490" t="s">
        <v>616</v>
      </c>
      <c r="N3490" t="s">
        <v>616</v>
      </c>
      <c r="O3490" t="s">
        <v>616</v>
      </c>
      <c r="P3490" t="s">
        <v>616</v>
      </c>
      <c r="Q3490" t="s">
        <v>616</v>
      </c>
      <c r="R3490" t="s">
        <v>616</v>
      </c>
      <c r="S3490">
        <v>2.6</v>
      </c>
      <c r="T3490" t="s">
        <v>616</v>
      </c>
      <c r="U3490" t="s">
        <v>616</v>
      </c>
      <c r="V3490" t="s">
        <v>616</v>
      </c>
      <c r="W3490" t="s">
        <v>616</v>
      </c>
      <c r="X3490" t="s">
        <v>616</v>
      </c>
      <c r="Y3490" t="s">
        <v>616</v>
      </c>
      <c r="Z3490" t="s">
        <v>616</v>
      </c>
      <c r="AA3490" t="s">
        <v>616</v>
      </c>
      <c r="AB3490" t="s">
        <v>616</v>
      </c>
      <c r="AC3490" t="s">
        <v>616</v>
      </c>
      <c r="AD3490" t="s">
        <v>616</v>
      </c>
      <c r="AE3490" t="s">
        <v>616</v>
      </c>
      <c r="AF3490" t="s">
        <v>616</v>
      </c>
      <c r="AG3490" t="s">
        <v>616</v>
      </c>
      <c r="AH3490" t="s">
        <v>616</v>
      </c>
      <c r="AI3490">
        <v>0</v>
      </c>
      <c r="AJ3490">
        <v>0</v>
      </c>
      <c r="AK3490">
        <v>0</v>
      </c>
      <c r="AL3490">
        <v>0</v>
      </c>
    </row>
    <row r="3491" spans="1:38" x14ac:dyDescent="0.25">
      <c r="A3491">
        <v>3490</v>
      </c>
      <c r="B3491" t="str">
        <f xml:space="preserve"> "000699"</f>
        <v>000699</v>
      </c>
      <c r="C3491" t="s">
        <v>9532</v>
      </c>
      <c r="D3491" t="s">
        <v>616</v>
      </c>
      <c r="E3491" t="s">
        <v>616</v>
      </c>
      <c r="F3491" t="s">
        <v>616</v>
      </c>
      <c r="G3491" t="s">
        <v>616</v>
      </c>
      <c r="H3491" t="s">
        <v>616</v>
      </c>
      <c r="I3491" t="s">
        <v>616</v>
      </c>
      <c r="J3491" t="s">
        <v>616</v>
      </c>
      <c r="K3491" t="s">
        <v>616</v>
      </c>
      <c r="L3491" t="s">
        <v>616</v>
      </c>
      <c r="M3491" t="s">
        <v>616</v>
      </c>
      <c r="N3491" t="s">
        <v>616</v>
      </c>
      <c r="O3491" t="s">
        <v>616</v>
      </c>
      <c r="P3491" t="s">
        <v>616</v>
      </c>
      <c r="Q3491" t="s">
        <v>616</v>
      </c>
      <c r="R3491" t="s">
        <v>616</v>
      </c>
      <c r="S3491">
        <v>0.81</v>
      </c>
      <c r="T3491" t="s">
        <v>616</v>
      </c>
      <c r="U3491" t="s">
        <v>616</v>
      </c>
      <c r="V3491" t="s">
        <v>616</v>
      </c>
      <c r="W3491" t="s">
        <v>616</v>
      </c>
      <c r="X3491" t="s">
        <v>616</v>
      </c>
      <c r="Y3491" t="s">
        <v>616</v>
      </c>
      <c r="Z3491" t="s">
        <v>616</v>
      </c>
      <c r="AA3491" t="s">
        <v>616</v>
      </c>
      <c r="AB3491" t="s">
        <v>616</v>
      </c>
      <c r="AC3491" t="s">
        <v>616</v>
      </c>
      <c r="AD3491" t="s">
        <v>616</v>
      </c>
      <c r="AE3491" t="s">
        <v>616</v>
      </c>
      <c r="AF3491" t="s">
        <v>616</v>
      </c>
      <c r="AG3491" t="s">
        <v>616</v>
      </c>
      <c r="AH3491" t="s">
        <v>616</v>
      </c>
      <c r="AI3491">
        <v>0</v>
      </c>
      <c r="AJ3491">
        <v>0</v>
      </c>
      <c r="AK3491">
        <v>0</v>
      </c>
      <c r="AL3491">
        <v>0</v>
      </c>
    </row>
    <row r="3492" spans="1:38" x14ac:dyDescent="0.25">
      <c r="A3492">
        <v>3491</v>
      </c>
      <c r="B3492" t="str">
        <f xml:space="preserve"> "000689"</f>
        <v>000689</v>
      </c>
      <c r="C3492" t="s">
        <v>9533</v>
      </c>
      <c r="D3492" t="s">
        <v>616</v>
      </c>
      <c r="E3492" t="s">
        <v>616</v>
      </c>
      <c r="F3492" t="s">
        <v>616</v>
      </c>
      <c r="G3492" t="s">
        <v>616</v>
      </c>
      <c r="H3492" t="s">
        <v>616</v>
      </c>
      <c r="I3492" t="s">
        <v>616</v>
      </c>
      <c r="J3492" t="s">
        <v>616</v>
      </c>
      <c r="K3492" t="s">
        <v>616</v>
      </c>
      <c r="L3492" t="s">
        <v>616</v>
      </c>
      <c r="M3492" t="s">
        <v>616</v>
      </c>
      <c r="N3492" t="s">
        <v>616</v>
      </c>
      <c r="O3492" t="s">
        <v>616</v>
      </c>
      <c r="P3492" t="s">
        <v>616</v>
      </c>
      <c r="Q3492" t="s">
        <v>616</v>
      </c>
      <c r="R3492" t="s">
        <v>616</v>
      </c>
      <c r="S3492">
        <v>4.88</v>
      </c>
      <c r="T3492" t="s">
        <v>616</v>
      </c>
      <c r="U3492" t="s">
        <v>616</v>
      </c>
      <c r="V3492" t="s">
        <v>616</v>
      </c>
      <c r="W3492" t="s">
        <v>616</v>
      </c>
      <c r="X3492" t="s">
        <v>616</v>
      </c>
      <c r="Y3492" t="s">
        <v>616</v>
      </c>
      <c r="Z3492" t="s">
        <v>616</v>
      </c>
      <c r="AA3492" t="s">
        <v>616</v>
      </c>
      <c r="AB3492" t="s">
        <v>616</v>
      </c>
      <c r="AC3492" t="s">
        <v>616</v>
      </c>
      <c r="AD3492" t="s">
        <v>616</v>
      </c>
      <c r="AE3492" t="s">
        <v>616</v>
      </c>
      <c r="AF3492" t="s">
        <v>616</v>
      </c>
      <c r="AG3492" t="s">
        <v>616</v>
      </c>
      <c r="AH3492" t="s">
        <v>616</v>
      </c>
      <c r="AI3492">
        <v>0</v>
      </c>
      <c r="AJ3492">
        <v>0</v>
      </c>
      <c r="AK3492">
        <v>0</v>
      </c>
      <c r="AL3492">
        <v>0</v>
      </c>
    </row>
    <row r="3493" spans="1:38" x14ac:dyDescent="0.25">
      <c r="A3493">
        <v>3492</v>
      </c>
      <c r="B3493" t="str">
        <f xml:space="preserve"> "000675"</f>
        <v>000675</v>
      </c>
      <c r="C3493" t="s">
        <v>9534</v>
      </c>
      <c r="D3493" t="s">
        <v>616</v>
      </c>
      <c r="E3493" t="s">
        <v>616</v>
      </c>
      <c r="F3493" t="s">
        <v>616</v>
      </c>
      <c r="G3493" t="s">
        <v>616</v>
      </c>
      <c r="H3493" t="s">
        <v>616</v>
      </c>
      <c r="I3493" t="s">
        <v>616</v>
      </c>
      <c r="J3493" t="s">
        <v>616</v>
      </c>
      <c r="K3493" t="s">
        <v>616</v>
      </c>
      <c r="L3493" t="s">
        <v>616</v>
      </c>
      <c r="M3493" t="s">
        <v>616</v>
      </c>
      <c r="N3493" t="s">
        <v>616</v>
      </c>
      <c r="O3493" t="s">
        <v>616</v>
      </c>
      <c r="P3493" t="s">
        <v>616</v>
      </c>
      <c r="Q3493" t="s">
        <v>616</v>
      </c>
      <c r="R3493" t="s">
        <v>616</v>
      </c>
      <c r="S3493">
        <v>7.94</v>
      </c>
      <c r="T3493" t="s">
        <v>616</v>
      </c>
      <c r="U3493" t="s">
        <v>616</v>
      </c>
      <c r="V3493" t="s">
        <v>616</v>
      </c>
      <c r="W3493" t="s">
        <v>616</v>
      </c>
      <c r="X3493" t="s">
        <v>616</v>
      </c>
      <c r="Y3493" t="s">
        <v>616</v>
      </c>
      <c r="Z3493" t="s">
        <v>616</v>
      </c>
      <c r="AA3493" t="s">
        <v>616</v>
      </c>
      <c r="AB3493" t="s">
        <v>616</v>
      </c>
      <c r="AC3493" t="s">
        <v>616</v>
      </c>
      <c r="AD3493" t="s">
        <v>616</v>
      </c>
      <c r="AE3493" t="s">
        <v>616</v>
      </c>
      <c r="AF3493" t="s">
        <v>616</v>
      </c>
      <c r="AG3493" t="s">
        <v>616</v>
      </c>
      <c r="AH3493" t="s">
        <v>616</v>
      </c>
      <c r="AI3493">
        <v>0</v>
      </c>
      <c r="AJ3493">
        <v>0</v>
      </c>
      <c r="AK3493">
        <v>0</v>
      </c>
      <c r="AL3493">
        <v>0</v>
      </c>
    </row>
    <row r="3494" spans="1:38" x14ac:dyDescent="0.25">
      <c r="A3494">
        <v>3493</v>
      </c>
      <c r="B3494" t="str">
        <f xml:space="preserve"> "000660"</f>
        <v>000660</v>
      </c>
      <c r="C3494" t="s">
        <v>9535</v>
      </c>
      <c r="D3494" t="s">
        <v>616</v>
      </c>
      <c r="E3494" t="s">
        <v>616</v>
      </c>
      <c r="F3494" t="s">
        <v>616</v>
      </c>
      <c r="G3494" t="s">
        <v>616</v>
      </c>
      <c r="H3494" t="s">
        <v>616</v>
      </c>
      <c r="I3494" t="s">
        <v>616</v>
      </c>
      <c r="J3494" t="s">
        <v>616</v>
      </c>
      <c r="K3494" t="s">
        <v>616</v>
      </c>
      <c r="L3494" t="s">
        <v>616</v>
      </c>
      <c r="M3494" t="s">
        <v>616</v>
      </c>
      <c r="N3494" t="s">
        <v>616</v>
      </c>
      <c r="O3494" t="s">
        <v>616</v>
      </c>
      <c r="P3494" t="s">
        <v>616</v>
      </c>
      <c r="Q3494" t="s">
        <v>616</v>
      </c>
      <c r="R3494" t="s">
        <v>616</v>
      </c>
      <c r="S3494">
        <v>2.38</v>
      </c>
      <c r="T3494" t="s">
        <v>616</v>
      </c>
      <c r="U3494" t="s">
        <v>616</v>
      </c>
      <c r="V3494" t="s">
        <v>616</v>
      </c>
      <c r="W3494" t="s">
        <v>616</v>
      </c>
      <c r="X3494" t="s">
        <v>616</v>
      </c>
      <c r="Y3494" t="s">
        <v>616</v>
      </c>
      <c r="Z3494" t="s">
        <v>616</v>
      </c>
      <c r="AA3494" t="s">
        <v>616</v>
      </c>
      <c r="AB3494" t="s">
        <v>616</v>
      </c>
      <c r="AC3494" t="s">
        <v>616</v>
      </c>
      <c r="AD3494" t="s">
        <v>616</v>
      </c>
      <c r="AE3494" t="s">
        <v>616</v>
      </c>
      <c r="AF3494" t="s">
        <v>616</v>
      </c>
      <c r="AG3494" t="s">
        <v>616</v>
      </c>
      <c r="AH3494" t="s">
        <v>616</v>
      </c>
      <c r="AI3494">
        <v>0</v>
      </c>
      <c r="AJ3494">
        <v>0</v>
      </c>
      <c r="AK3494">
        <v>0</v>
      </c>
      <c r="AL3494">
        <v>0</v>
      </c>
    </row>
    <row r="3495" spans="1:38" x14ac:dyDescent="0.25">
      <c r="A3495">
        <v>3494</v>
      </c>
      <c r="B3495" t="str">
        <f xml:space="preserve"> "000658"</f>
        <v>000658</v>
      </c>
      <c r="C3495" t="s">
        <v>9536</v>
      </c>
      <c r="D3495" t="s">
        <v>616</v>
      </c>
      <c r="E3495" t="s">
        <v>616</v>
      </c>
      <c r="F3495" t="s">
        <v>616</v>
      </c>
      <c r="G3495" t="s">
        <v>616</v>
      </c>
      <c r="H3495" t="s">
        <v>616</v>
      </c>
      <c r="I3495" t="s">
        <v>616</v>
      </c>
      <c r="J3495" t="s">
        <v>616</v>
      </c>
      <c r="K3495" t="s">
        <v>616</v>
      </c>
      <c r="L3495" t="s">
        <v>616</v>
      </c>
      <c r="M3495" t="s">
        <v>616</v>
      </c>
      <c r="N3495" t="s">
        <v>616</v>
      </c>
      <c r="O3495" t="s">
        <v>616</v>
      </c>
      <c r="P3495" t="s">
        <v>616</v>
      </c>
      <c r="Q3495" t="s">
        <v>616</v>
      </c>
      <c r="R3495" t="s">
        <v>616</v>
      </c>
      <c r="S3495">
        <v>4.24</v>
      </c>
      <c r="T3495" t="s">
        <v>616</v>
      </c>
      <c r="U3495" t="s">
        <v>616</v>
      </c>
      <c r="V3495" t="s">
        <v>616</v>
      </c>
      <c r="W3495" t="s">
        <v>616</v>
      </c>
      <c r="X3495" t="s">
        <v>616</v>
      </c>
      <c r="Y3495" t="s">
        <v>616</v>
      </c>
      <c r="Z3495" t="s">
        <v>616</v>
      </c>
      <c r="AA3495" t="s">
        <v>616</v>
      </c>
      <c r="AB3495" t="s">
        <v>616</v>
      </c>
      <c r="AC3495" t="s">
        <v>616</v>
      </c>
      <c r="AD3495" t="s">
        <v>616</v>
      </c>
      <c r="AE3495" t="s">
        <v>616</v>
      </c>
      <c r="AF3495" t="s">
        <v>616</v>
      </c>
      <c r="AG3495" t="s">
        <v>616</v>
      </c>
      <c r="AH3495" t="s">
        <v>616</v>
      </c>
      <c r="AI3495">
        <v>0</v>
      </c>
      <c r="AJ3495">
        <v>0</v>
      </c>
      <c r="AK3495">
        <v>0</v>
      </c>
      <c r="AL3495">
        <v>0</v>
      </c>
    </row>
    <row r="3496" spans="1:38" x14ac:dyDescent="0.25">
      <c r="A3496">
        <v>3495</v>
      </c>
      <c r="B3496" t="str">
        <f xml:space="preserve"> "000653"</f>
        <v>000653</v>
      </c>
      <c r="C3496" t="s">
        <v>9537</v>
      </c>
      <c r="D3496" t="s">
        <v>616</v>
      </c>
      <c r="E3496" t="s">
        <v>616</v>
      </c>
      <c r="F3496" t="s">
        <v>616</v>
      </c>
      <c r="G3496" t="s">
        <v>616</v>
      </c>
      <c r="H3496" t="s">
        <v>616</v>
      </c>
      <c r="I3496" t="s">
        <v>616</v>
      </c>
      <c r="J3496" t="s">
        <v>616</v>
      </c>
      <c r="K3496" t="s">
        <v>616</v>
      </c>
      <c r="L3496" t="s">
        <v>616</v>
      </c>
      <c r="M3496" t="s">
        <v>616</v>
      </c>
      <c r="N3496" t="s">
        <v>616</v>
      </c>
      <c r="O3496" t="s">
        <v>616</v>
      </c>
      <c r="P3496" t="s">
        <v>616</v>
      </c>
      <c r="Q3496" t="s">
        <v>616</v>
      </c>
      <c r="R3496" t="s">
        <v>616</v>
      </c>
      <c r="S3496">
        <v>2.5099999999999998</v>
      </c>
      <c r="T3496" t="s">
        <v>616</v>
      </c>
      <c r="U3496" t="s">
        <v>616</v>
      </c>
      <c r="V3496" t="s">
        <v>616</v>
      </c>
      <c r="W3496" t="s">
        <v>616</v>
      </c>
      <c r="X3496" t="s">
        <v>616</v>
      </c>
      <c r="Y3496" t="s">
        <v>616</v>
      </c>
      <c r="Z3496" t="s">
        <v>616</v>
      </c>
      <c r="AA3496" t="s">
        <v>616</v>
      </c>
      <c r="AB3496" t="s">
        <v>616</v>
      </c>
      <c r="AC3496" t="s">
        <v>616</v>
      </c>
      <c r="AD3496" t="s">
        <v>616</v>
      </c>
      <c r="AE3496" t="s">
        <v>616</v>
      </c>
      <c r="AF3496" t="s">
        <v>616</v>
      </c>
      <c r="AG3496" t="s">
        <v>616</v>
      </c>
      <c r="AH3496" t="s">
        <v>616</v>
      </c>
      <c r="AI3496">
        <v>0</v>
      </c>
      <c r="AJ3496">
        <v>0</v>
      </c>
      <c r="AK3496">
        <v>0</v>
      </c>
      <c r="AL3496">
        <v>0</v>
      </c>
    </row>
    <row r="3497" spans="1:38" x14ac:dyDescent="0.25">
      <c r="A3497">
        <v>3496</v>
      </c>
      <c r="B3497" t="str">
        <f xml:space="preserve"> "000621"</f>
        <v>000621</v>
      </c>
      <c r="C3497" t="s">
        <v>9538</v>
      </c>
      <c r="D3497" t="s">
        <v>616</v>
      </c>
      <c r="E3497" t="s">
        <v>616</v>
      </c>
      <c r="F3497" t="s">
        <v>616</v>
      </c>
      <c r="G3497" t="s">
        <v>616</v>
      </c>
      <c r="H3497" t="s">
        <v>616</v>
      </c>
      <c r="I3497" t="s">
        <v>616</v>
      </c>
      <c r="J3497" t="s">
        <v>616</v>
      </c>
      <c r="K3497" t="s">
        <v>616</v>
      </c>
      <c r="L3497" t="s">
        <v>616</v>
      </c>
      <c r="M3497" t="s">
        <v>616</v>
      </c>
      <c r="N3497" t="s">
        <v>616</v>
      </c>
      <c r="O3497" t="s">
        <v>616</v>
      </c>
      <c r="P3497" t="s">
        <v>616</v>
      </c>
      <c r="Q3497" t="s">
        <v>616</v>
      </c>
      <c r="R3497" t="s">
        <v>616</v>
      </c>
      <c r="S3497">
        <v>2.66</v>
      </c>
      <c r="T3497" t="s">
        <v>616</v>
      </c>
      <c r="U3497" t="s">
        <v>616</v>
      </c>
      <c r="V3497" t="s">
        <v>616</v>
      </c>
      <c r="W3497" t="s">
        <v>616</v>
      </c>
      <c r="X3497" t="s">
        <v>616</v>
      </c>
      <c r="Y3497" t="s">
        <v>616</v>
      </c>
      <c r="Z3497" t="s">
        <v>616</v>
      </c>
      <c r="AA3497" t="s">
        <v>616</v>
      </c>
      <c r="AB3497" t="s">
        <v>616</v>
      </c>
      <c r="AC3497" t="s">
        <v>616</v>
      </c>
      <c r="AD3497" t="s">
        <v>616</v>
      </c>
      <c r="AE3497" t="s">
        <v>616</v>
      </c>
      <c r="AF3497" t="s">
        <v>616</v>
      </c>
      <c r="AG3497" t="s">
        <v>616</v>
      </c>
      <c r="AH3497" t="s">
        <v>616</v>
      </c>
      <c r="AI3497">
        <v>0</v>
      </c>
      <c r="AJ3497">
        <v>0</v>
      </c>
      <c r="AK3497">
        <v>0</v>
      </c>
      <c r="AL3497">
        <v>0</v>
      </c>
    </row>
    <row r="3498" spans="1:38" x14ac:dyDescent="0.25">
      <c r="A3498">
        <v>3497</v>
      </c>
      <c r="B3498" t="str">
        <f xml:space="preserve"> "000618"</f>
        <v>000618</v>
      </c>
      <c r="C3498" t="s">
        <v>9539</v>
      </c>
      <c r="D3498" t="s">
        <v>616</v>
      </c>
      <c r="E3498" t="s">
        <v>616</v>
      </c>
      <c r="F3498" t="s">
        <v>616</v>
      </c>
      <c r="G3498" t="s">
        <v>616</v>
      </c>
      <c r="H3498" t="s">
        <v>616</v>
      </c>
      <c r="I3498" t="s">
        <v>616</v>
      </c>
      <c r="J3498" t="s">
        <v>616</v>
      </c>
      <c r="K3498" t="s">
        <v>616</v>
      </c>
      <c r="L3498" t="s">
        <v>616</v>
      </c>
      <c r="M3498" t="s">
        <v>616</v>
      </c>
      <c r="N3498" t="s">
        <v>616</v>
      </c>
      <c r="O3498" t="s">
        <v>616</v>
      </c>
      <c r="P3498" t="s">
        <v>616</v>
      </c>
      <c r="Q3498" t="s">
        <v>616</v>
      </c>
      <c r="R3498" t="s">
        <v>616</v>
      </c>
      <c r="S3498">
        <v>5.24</v>
      </c>
      <c r="T3498" t="s">
        <v>616</v>
      </c>
      <c r="U3498" t="s">
        <v>616</v>
      </c>
      <c r="V3498" t="s">
        <v>616</v>
      </c>
      <c r="W3498" t="s">
        <v>616</v>
      </c>
      <c r="X3498" t="s">
        <v>616</v>
      </c>
      <c r="Y3498" t="s">
        <v>616</v>
      </c>
      <c r="Z3498" t="s">
        <v>616</v>
      </c>
      <c r="AA3498" t="s">
        <v>616</v>
      </c>
      <c r="AB3498" t="s">
        <v>616</v>
      </c>
      <c r="AC3498" t="s">
        <v>616</v>
      </c>
      <c r="AD3498" t="s">
        <v>616</v>
      </c>
      <c r="AE3498" t="s">
        <v>616</v>
      </c>
      <c r="AF3498" t="s">
        <v>616</v>
      </c>
      <c r="AG3498" t="s">
        <v>616</v>
      </c>
      <c r="AH3498" t="s">
        <v>616</v>
      </c>
      <c r="AI3498">
        <v>0</v>
      </c>
      <c r="AJ3498">
        <v>0</v>
      </c>
      <c r="AK3498">
        <v>0</v>
      </c>
      <c r="AL3498">
        <v>0</v>
      </c>
    </row>
    <row r="3499" spans="1:38" x14ac:dyDescent="0.25">
      <c r="A3499">
        <v>3498</v>
      </c>
      <c r="B3499" t="str">
        <f xml:space="preserve"> "000602"</f>
        <v>000602</v>
      </c>
      <c r="C3499" t="s">
        <v>9540</v>
      </c>
      <c r="D3499" t="s">
        <v>616</v>
      </c>
      <c r="E3499" t="s">
        <v>616</v>
      </c>
      <c r="F3499" t="s">
        <v>616</v>
      </c>
      <c r="G3499" t="s">
        <v>616</v>
      </c>
      <c r="H3499" t="s">
        <v>616</v>
      </c>
      <c r="I3499" t="s">
        <v>616</v>
      </c>
      <c r="J3499" t="s">
        <v>616</v>
      </c>
      <c r="K3499" t="s">
        <v>616</v>
      </c>
      <c r="L3499" t="s">
        <v>616</v>
      </c>
      <c r="M3499" t="s">
        <v>616</v>
      </c>
      <c r="N3499" t="s">
        <v>616</v>
      </c>
      <c r="O3499" t="s">
        <v>449</v>
      </c>
      <c r="P3499" t="s">
        <v>616</v>
      </c>
      <c r="Q3499" t="s">
        <v>616</v>
      </c>
      <c r="R3499" t="s">
        <v>616</v>
      </c>
      <c r="S3499">
        <v>13.41</v>
      </c>
      <c r="T3499" t="s">
        <v>616</v>
      </c>
      <c r="U3499" t="s">
        <v>616</v>
      </c>
      <c r="V3499" t="s">
        <v>616</v>
      </c>
      <c r="W3499" t="s">
        <v>616</v>
      </c>
      <c r="X3499" t="s">
        <v>616</v>
      </c>
      <c r="Y3499" t="s">
        <v>616</v>
      </c>
      <c r="Z3499" t="s">
        <v>616</v>
      </c>
      <c r="AA3499" t="s">
        <v>616</v>
      </c>
      <c r="AB3499" t="s">
        <v>616</v>
      </c>
      <c r="AC3499" t="s">
        <v>616</v>
      </c>
      <c r="AD3499" t="s">
        <v>616</v>
      </c>
      <c r="AE3499" t="s">
        <v>616</v>
      </c>
      <c r="AF3499" t="s">
        <v>616</v>
      </c>
      <c r="AG3499" t="s">
        <v>616</v>
      </c>
      <c r="AH3499" t="s">
        <v>616</v>
      </c>
      <c r="AI3499">
        <v>0</v>
      </c>
      <c r="AJ3499">
        <v>0</v>
      </c>
      <c r="AK3499">
        <v>0</v>
      </c>
      <c r="AL3499">
        <v>0</v>
      </c>
    </row>
    <row r="3500" spans="1:38" x14ac:dyDescent="0.25">
      <c r="A3500">
        <v>3499</v>
      </c>
      <c r="B3500" t="str">
        <f xml:space="preserve"> "000588"</f>
        <v>000588</v>
      </c>
      <c r="C3500" t="s">
        <v>9541</v>
      </c>
      <c r="D3500" t="s">
        <v>616</v>
      </c>
      <c r="E3500" t="s">
        <v>616</v>
      </c>
      <c r="F3500" t="s">
        <v>616</v>
      </c>
      <c r="G3500" t="s">
        <v>616</v>
      </c>
      <c r="H3500" t="s">
        <v>616</v>
      </c>
      <c r="I3500" t="s">
        <v>616</v>
      </c>
      <c r="J3500" t="s">
        <v>616</v>
      </c>
      <c r="K3500" t="s">
        <v>616</v>
      </c>
      <c r="L3500" t="s">
        <v>616</v>
      </c>
      <c r="M3500" t="s">
        <v>616</v>
      </c>
      <c r="N3500" t="s">
        <v>616</v>
      </c>
      <c r="O3500" t="s">
        <v>616</v>
      </c>
      <c r="P3500" t="s">
        <v>616</v>
      </c>
      <c r="Q3500" t="s">
        <v>616</v>
      </c>
      <c r="R3500" t="s">
        <v>616</v>
      </c>
      <c r="S3500">
        <v>4.37</v>
      </c>
      <c r="T3500" t="s">
        <v>616</v>
      </c>
      <c r="U3500" t="s">
        <v>616</v>
      </c>
      <c r="V3500" t="s">
        <v>616</v>
      </c>
      <c r="W3500" t="s">
        <v>616</v>
      </c>
      <c r="X3500" t="s">
        <v>616</v>
      </c>
      <c r="Y3500" t="s">
        <v>616</v>
      </c>
      <c r="Z3500" t="s">
        <v>616</v>
      </c>
      <c r="AA3500" t="s">
        <v>616</v>
      </c>
      <c r="AB3500" t="s">
        <v>616</v>
      </c>
      <c r="AC3500" t="s">
        <v>616</v>
      </c>
      <c r="AD3500" t="s">
        <v>616</v>
      </c>
      <c r="AE3500" t="s">
        <v>616</v>
      </c>
      <c r="AF3500" t="s">
        <v>616</v>
      </c>
      <c r="AG3500" t="s">
        <v>616</v>
      </c>
      <c r="AH3500" t="s">
        <v>616</v>
      </c>
      <c r="AI3500">
        <v>0</v>
      </c>
      <c r="AJ3500">
        <v>0</v>
      </c>
      <c r="AK3500">
        <v>0</v>
      </c>
      <c r="AL3500">
        <v>0</v>
      </c>
    </row>
    <row r="3501" spans="1:38" x14ac:dyDescent="0.25">
      <c r="A3501">
        <v>3500</v>
      </c>
      <c r="B3501" t="str">
        <f xml:space="preserve"> "000583"</f>
        <v>000583</v>
      </c>
      <c r="C3501" t="s">
        <v>9542</v>
      </c>
      <c r="D3501" t="s">
        <v>616</v>
      </c>
      <c r="E3501" t="s">
        <v>616</v>
      </c>
      <c r="F3501" t="s">
        <v>616</v>
      </c>
      <c r="G3501" t="s">
        <v>616</v>
      </c>
      <c r="H3501" t="s">
        <v>616</v>
      </c>
      <c r="I3501" t="s">
        <v>616</v>
      </c>
      <c r="J3501" t="s">
        <v>616</v>
      </c>
      <c r="K3501" t="s">
        <v>616</v>
      </c>
      <c r="L3501" t="s">
        <v>616</v>
      </c>
      <c r="M3501" t="s">
        <v>616</v>
      </c>
      <c r="N3501" t="s">
        <v>616</v>
      </c>
      <c r="O3501" t="s">
        <v>616</v>
      </c>
      <c r="P3501" t="s">
        <v>616</v>
      </c>
      <c r="Q3501" t="s">
        <v>616</v>
      </c>
      <c r="R3501" t="s">
        <v>616</v>
      </c>
      <c r="S3501">
        <v>0.76</v>
      </c>
      <c r="T3501" t="s">
        <v>616</v>
      </c>
      <c r="U3501" t="s">
        <v>616</v>
      </c>
      <c r="V3501" t="s">
        <v>616</v>
      </c>
      <c r="W3501" t="s">
        <v>616</v>
      </c>
      <c r="X3501" t="s">
        <v>616</v>
      </c>
      <c r="Y3501" t="s">
        <v>616</v>
      </c>
      <c r="Z3501" t="s">
        <v>616</v>
      </c>
      <c r="AA3501" t="s">
        <v>616</v>
      </c>
      <c r="AB3501" t="s">
        <v>616</v>
      </c>
      <c r="AC3501" t="s">
        <v>616</v>
      </c>
      <c r="AD3501" t="s">
        <v>616</v>
      </c>
      <c r="AE3501" t="s">
        <v>616</v>
      </c>
      <c r="AF3501" t="s">
        <v>616</v>
      </c>
      <c r="AG3501" t="s">
        <v>616</v>
      </c>
      <c r="AH3501" t="s">
        <v>616</v>
      </c>
      <c r="AI3501">
        <v>0</v>
      </c>
      <c r="AJ3501">
        <v>0</v>
      </c>
      <c r="AK3501">
        <v>0</v>
      </c>
      <c r="AL3501">
        <v>0</v>
      </c>
    </row>
    <row r="3502" spans="1:38" x14ac:dyDescent="0.25">
      <c r="A3502">
        <v>3501</v>
      </c>
      <c r="B3502" t="str">
        <f xml:space="preserve"> "000578"</f>
        <v>000578</v>
      </c>
      <c r="C3502" t="s">
        <v>9543</v>
      </c>
      <c r="D3502" t="s">
        <v>616</v>
      </c>
      <c r="E3502" t="s">
        <v>616</v>
      </c>
      <c r="F3502" t="s">
        <v>616</v>
      </c>
      <c r="G3502" t="s">
        <v>616</v>
      </c>
      <c r="H3502" t="s">
        <v>616</v>
      </c>
      <c r="I3502" t="s">
        <v>616</v>
      </c>
      <c r="J3502" t="s">
        <v>616</v>
      </c>
      <c r="K3502" t="s">
        <v>616</v>
      </c>
      <c r="L3502" t="s">
        <v>616</v>
      </c>
      <c r="M3502" t="s">
        <v>616</v>
      </c>
      <c r="N3502" t="s">
        <v>616</v>
      </c>
      <c r="O3502" t="s">
        <v>667</v>
      </c>
      <c r="P3502" t="s">
        <v>616</v>
      </c>
      <c r="Q3502" t="s">
        <v>616</v>
      </c>
      <c r="R3502" t="s">
        <v>616</v>
      </c>
      <c r="S3502">
        <v>24.44</v>
      </c>
      <c r="T3502" t="s">
        <v>616</v>
      </c>
      <c r="U3502" t="s">
        <v>616</v>
      </c>
      <c r="V3502" t="s">
        <v>616</v>
      </c>
      <c r="W3502" t="s">
        <v>616</v>
      </c>
      <c r="X3502" t="s">
        <v>616</v>
      </c>
      <c r="Y3502" t="s">
        <v>616</v>
      </c>
      <c r="Z3502" t="s">
        <v>616</v>
      </c>
      <c r="AA3502" t="s">
        <v>616</v>
      </c>
      <c r="AB3502" t="s">
        <v>616</v>
      </c>
      <c r="AC3502" t="s">
        <v>616</v>
      </c>
      <c r="AD3502" t="s">
        <v>616</v>
      </c>
      <c r="AE3502" t="s">
        <v>616</v>
      </c>
      <c r="AF3502" t="s">
        <v>616</v>
      </c>
      <c r="AG3502" t="s">
        <v>616</v>
      </c>
      <c r="AH3502" t="s">
        <v>616</v>
      </c>
      <c r="AI3502">
        <v>0</v>
      </c>
      <c r="AJ3502">
        <v>0</v>
      </c>
      <c r="AK3502">
        <v>0</v>
      </c>
      <c r="AL3502">
        <v>0</v>
      </c>
    </row>
    <row r="3503" spans="1:38" x14ac:dyDescent="0.25">
      <c r="A3503">
        <v>3502</v>
      </c>
      <c r="B3503" t="str">
        <f xml:space="preserve"> "000569"</f>
        <v>000569</v>
      </c>
      <c r="C3503" t="s">
        <v>9544</v>
      </c>
      <c r="D3503" t="s">
        <v>616</v>
      </c>
      <c r="E3503" t="s">
        <v>616</v>
      </c>
      <c r="F3503" t="s">
        <v>616</v>
      </c>
      <c r="G3503" t="s">
        <v>616</v>
      </c>
      <c r="H3503" t="s">
        <v>616</v>
      </c>
      <c r="I3503" t="s">
        <v>616</v>
      </c>
      <c r="J3503" t="s">
        <v>616</v>
      </c>
      <c r="K3503" t="s">
        <v>616</v>
      </c>
      <c r="L3503" t="s">
        <v>616</v>
      </c>
      <c r="M3503" t="s">
        <v>616</v>
      </c>
      <c r="N3503" t="s">
        <v>616</v>
      </c>
      <c r="O3503" t="s">
        <v>1229</v>
      </c>
      <c r="P3503" t="s">
        <v>616</v>
      </c>
      <c r="Q3503" t="s">
        <v>616</v>
      </c>
      <c r="R3503" t="s">
        <v>616</v>
      </c>
      <c r="S3503">
        <v>7.05</v>
      </c>
      <c r="T3503" t="s">
        <v>616</v>
      </c>
      <c r="U3503" t="s">
        <v>616</v>
      </c>
      <c r="V3503" t="s">
        <v>616</v>
      </c>
      <c r="W3503" t="s">
        <v>616</v>
      </c>
      <c r="X3503" t="s">
        <v>616</v>
      </c>
      <c r="Y3503" t="s">
        <v>616</v>
      </c>
      <c r="Z3503" t="s">
        <v>616</v>
      </c>
      <c r="AA3503" t="s">
        <v>616</v>
      </c>
      <c r="AB3503" t="s">
        <v>616</v>
      </c>
      <c r="AC3503" t="s">
        <v>616</v>
      </c>
      <c r="AD3503" t="s">
        <v>616</v>
      </c>
      <c r="AE3503" t="s">
        <v>616</v>
      </c>
      <c r="AF3503" t="s">
        <v>616</v>
      </c>
      <c r="AG3503" t="s">
        <v>616</v>
      </c>
      <c r="AH3503" t="s">
        <v>616</v>
      </c>
      <c r="AI3503">
        <v>0</v>
      </c>
      <c r="AJ3503">
        <v>0</v>
      </c>
      <c r="AK3503">
        <v>0</v>
      </c>
      <c r="AL3503">
        <v>0</v>
      </c>
    </row>
    <row r="3504" spans="1:38" x14ac:dyDescent="0.25">
      <c r="A3504">
        <v>3503</v>
      </c>
      <c r="B3504" t="str">
        <f xml:space="preserve"> "000562"</f>
        <v>000562</v>
      </c>
      <c r="C3504" t="s">
        <v>9545</v>
      </c>
      <c r="D3504" t="s">
        <v>616</v>
      </c>
      <c r="E3504" t="s">
        <v>616</v>
      </c>
      <c r="F3504" t="s">
        <v>616</v>
      </c>
      <c r="G3504" t="s">
        <v>616</v>
      </c>
      <c r="H3504" t="s">
        <v>616</v>
      </c>
      <c r="I3504" t="s">
        <v>616</v>
      </c>
      <c r="J3504" t="s">
        <v>616</v>
      </c>
      <c r="K3504" t="s">
        <v>616</v>
      </c>
      <c r="L3504" t="s">
        <v>616</v>
      </c>
      <c r="M3504" t="s">
        <v>616</v>
      </c>
      <c r="N3504" t="s">
        <v>616</v>
      </c>
      <c r="O3504" t="s">
        <v>306</v>
      </c>
      <c r="P3504" t="s">
        <v>616</v>
      </c>
      <c r="Q3504" t="s">
        <v>616</v>
      </c>
      <c r="R3504" t="s">
        <v>616</v>
      </c>
      <c r="S3504">
        <v>30.5</v>
      </c>
      <c r="T3504" t="s">
        <v>616</v>
      </c>
      <c r="U3504" t="s">
        <v>616</v>
      </c>
      <c r="V3504" t="s">
        <v>616</v>
      </c>
      <c r="W3504" t="s">
        <v>616</v>
      </c>
      <c r="X3504" t="s">
        <v>616</v>
      </c>
      <c r="Y3504" t="s">
        <v>616</v>
      </c>
      <c r="Z3504" t="s">
        <v>616</v>
      </c>
      <c r="AA3504" t="s">
        <v>616</v>
      </c>
      <c r="AB3504" t="s">
        <v>616</v>
      </c>
      <c r="AC3504" t="s">
        <v>616</v>
      </c>
      <c r="AD3504" t="s">
        <v>616</v>
      </c>
      <c r="AE3504" t="s">
        <v>616</v>
      </c>
      <c r="AF3504" t="s">
        <v>616</v>
      </c>
      <c r="AG3504" t="s">
        <v>616</v>
      </c>
      <c r="AH3504" t="s">
        <v>616</v>
      </c>
      <c r="AI3504">
        <v>0</v>
      </c>
      <c r="AJ3504">
        <v>0</v>
      </c>
      <c r="AK3504">
        <v>0</v>
      </c>
      <c r="AL3504">
        <v>0</v>
      </c>
    </row>
    <row r="3505" spans="1:38" x14ac:dyDescent="0.25">
      <c r="A3505">
        <v>3504</v>
      </c>
      <c r="B3505" t="str">
        <f xml:space="preserve"> "000556"</f>
        <v>000556</v>
      </c>
      <c r="C3505" t="s">
        <v>9546</v>
      </c>
      <c r="D3505" t="s">
        <v>616</v>
      </c>
      <c r="E3505" t="s">
        <v>616</v>
      </c>
      <c r="F3505" t="s">
        <v>616</v>
      </c>
      <c r="G3505" t="s">
        <v>616</v>
      </c>
      <c r="H3505" t="s">
        <v>616</v>
      </c>
      <c r="I3505" t="s">
        <v>616</v>
      </c>
      <c r="J3505" t="s">
        <v>616</v>
      </c>
      <c r="K3505" t="s">
        <v>616</v>
      </c>
      <c r="L3505" t="s">
        <v>616</v>
      </c>
      <c r="M3505" t="s">
        <v>616</v>
      </c>
      <c r="N3505" t="s">
        <v>616</v>
      </c>
      <c r="O3505" t="s">
        <v>274</v>
      </c>
      <c r="P3505" t="s">
        <v>616</v>
      </c>
      <c r="Q3505" t="s">
        <v>616</v>
      </c>
      <c r="R3505" t="s">
        <v>616</v>
      </c>
      <c r="S3505">
        <v>1.5</v>
      </c>
      <c r="T3505" t="s">
        <v>616</v>
      </c>
      <c r="U3505" t="s">
        <v>616</v>
      </c>
      <c r="V3505" t="s">
        <v>616</v>
      </c>
      <c r="W3505" t="s">
        <v>616</v>
      </c>
      <c r="X3505" t="s">
        <v>616</v>
      </c>
      <c r="Y3505" t="s">
        <v>616</v>
      </c>
      <c r="Z3505" t="s">
        <v>616</v>
      </c>
      <c r="AA3505" t="s">
        <v>616</v>
      </c>
      <c r="AB3505" t="s">
        <v>616</v>
      </c>
      <c r="AC3505" t="s">
        <v>616</v>
      </c>
      <c r="AD3505" t="s">
        <v>616</v>
      </c>
      <c r="AE3505" t="s">
        <v>616</v>
      </c>
      <c r="AF3505" t="s">
        <v>616</v>
      </c>
      <c r="AG3505" t="s">
        <v>616</v>
      </c>
      <c r="AH3505" t="s">
        <v>616</v>
      </c>
      <c r="AI3505">
        <v>0</v>
      </c>
      <c r="AJ3505">
        <v>0</v>
      </c>
      <c r="AK3505">
        <v>0</v>
      </c>
      <c r="AL3505">
        <v>0</v>
      </c>
    </row>
    <row r="3506" spans="1:38" x14ac:dyDescent="0.25">
      <c r="A3506">
        <v>3505</v>
      </c>
      <c r="B3506" t="str">
        <f xml:space="preserve"> "000549"</f>
        <v>000549</v>
      </c>
      <c r="C3506" t="s">
        <v>9547</v>
      </c>
      <c r="D3506" t="s">
        <v>616</v>
      </c>
      <c r="E3506" t="s">
        <v>616</v>
      </c>
      <c r="F3506" t="s">
        <v>616</v>
      </c>
      <c r="G3506" t="s">
        <v>616</v>
      </c>
      <c r="H3506" t="s">
        <v>616</v>
      </c>
      <c r="I3506" t="s">
        <v>616</v>
      </c>
      <c r="J3506" t="s">
        <v>616</v>
      </c>
      <c r="K3506" t="s">
        <v>616</v>
      </c>
      <c r="L3506" t="s">
        <v>616</v>
      </c>
      <c r="M3506" t="s">
        <v>616</v>
      </c>
      <c r="N3506" t="s">
        <v>616</v>
      </c>
      <c r="O3506" t="s">
        <v>616</v>
      </c>
      <c r="P3506" t="s">
        <v>616</v>
      </c>
      <c r="Q3506" t="s">
        <v>616</v>
      </c>
      <c r="R3506" t="s">
        <v>616</v>
      </c>
      <c r="S3506">
        <v>8.9</v>
      </c>
      <c r="T3506" t="s">
        <v>616</v>
      </c>
      <c r="U3506" t="s">
        <v>616</v>
      </c>
      <c r="V3506" t="s">
        <v>616</v>
      </c>
      <c r="W3506" t="s">
        <v>616</v>
      </c>
      <c r="X3506" t="s">
        <v>616</v>
      </c>
      <c r="Y3506" t="s">
        <v>616</v>
      </c>
      <c r="Z3506" t="s">
        <v>616</v>
      </c>
      <c r="AA3506" t="s">
        <v>616</v>
      </c>
      <c r="AB3506" t="s">
        <v>616</v>
      </c>
      <c r="AC3506" t="s">
        <v>616</v>
      </c>
      <c r="AD3506" t="s">
        <v>616</v>
      </c>
      <c r="AE3506" t="s">
        <v>616</v>
      </c>
      <c r="AF3506" t="s">
        <v>616</v>
      </c>
      <c r="AG3506" t="s">
        <v>616</v>
      </c>
      <c r="AH3506" t="s">
        <v>616</v>
      </c>
      <c r="AI3506">
        <v>0</v>
      </c>
      <c r="AJ3506">
        <v>0</v>
      </c>
      <c r="AK3506">
        <v>0</v>
      </c>
      <c r="AL3506">
        <v>0</v>
      </c>
    </row>
    <row r="3507" spans="1:38" x14ac:dyDescent="0.25">
      <c r="A3507">
        <v>3506</v>
      </c>
      <c r="B3507" t="str">
        <f xml:space="preserve"> "000542"</f>
        <v>000542</v>
      </c>
      <c r="C3507" t="s">
        <v>9548</v>
      </c>
      <c r="D3507" t="s">
        <v>616</v>
      </c>
      <c r="E3507" t="s">
        <v>616</v>
      </c>
      <c r="F3507" t="s">
        <v>616</v>
      </c>
      <c r="G3507" t="s">
        <v>616</v>
      </c>
      <c r="H3507" t="s">
        <v>616</v>
      </c>
      <c r="I3507" t="s">
        <v>616</v>
      </c>
      <c r="J3507" t="s">
        <v>616</v>
      </c>
      <c r="K3507" t="s">
        <v>616</v>
      </c>
      <c r="L3507" t="s">
        <v>616</v>
      </c>
      <c r="M3507" t="s">
        <v>616</v>
      </c>
      <c r="N3507" t="s">
        <v>616</v>
      </c>
      <c r="O3507" t="s">
        <v>616</v>
      </c>
      <c r="P3507" t="s">
        <v>616</v>
      </c>
      <c r="Q3507" t="s">
        <v>616</v>
      </c>
      <c r="R3507" t="s">
        <v>616</v>
      </c>
      <c r="S3507">
        <v>27.34</v>
      </c>
      <c r="T3507" t="s">
        <v>616</v>
      </c>
      <c r="U3507" t="s">
        <v>616</v>
      </c>
      <c r="V3507" t="s">
        <v>616</v>
      </c>
      <c r="W3507" t="s">
        <v>616</v>
      </c>
      <c r="X3507" t="s">
        <v>616</v>
      </c>
      <c r="Y3507" t="s">
        <v>616</v>
      </c>
      <c r="Z3507" t="s">
        <v>616</v>
      </c>
      <c r="AA3507" t="s">
        <v>616</v>
      </c>
      <c r="AB3507" t="s">
        <v>616</v>
      </c>
      <c r="AC3507" t="s">
        <v>616</v>
      </c>
      <c r="AD3507" t="s">
        <v>616</v>
      </c>
      <c r="AE3507" t="s">
        <v>616</v>
      </c>
      <c r="AF3507" t="s">
        <v>616</v>
      </c>
      <c r="AG3507" t="s">
        <v>616</v>
      </c>
      <c r="AH3507" t="s">
        <v>616</v>
      </c>
      <c r="AI3507">
        <v>0</v>
      </c>
      <c r="AJ3507">
        <v>0</v>
      </c>
      <c r="AK3507">
        <v>0</v>
      </c>
      <c r="AL3507">
        <v>0</v>
      </c>
    </row>
    <row r="3508" spans="1:38" x14ac:dyDescent="0.25">
      <c r="A3508">
        <v>3507</v>
      </c>
      <c r="B3508" t="str">
        <f xml:space="preserve"> "000535"</f>
        <v>000535</v>
      </c>
      <c r="C3508" t="s">
        <v>9549</v>
      </c>
      <c r="D3508" t="s">
        <v>616</v>
      </c>
      <c r="E3508" t="s">
        <v>616</v>
      </c>
      <c r="F3508" t="s">
        <v>616</v>
      </c>
      <c r="G3508" t="s">
        <v>616</v>
      </c>
      <c r="H3508" t="s">
        <v>616</v>
      </c>
      <c r="I3508" t="s">
        <v>616</v>
      </c>
      <c r="J3508" t="s">
        <v>616</v>
      </c>
      <c r="K3508" t="s">
        <v>616</v>
      </c>
      <c r="L3508" t="s">
        <v>616</v>
      </c>
      <c r="M3508" t="s">
        <v>616</v>
      </c>
      <c r="N3508" t="s">
        <v>616</v>
      </c>
      <c r="O3508" t="s">
        <v>616</v>
      </c>
      <c r="P3508" t="s">
        <v>616</v>
      </c>
      <c r="Q3508" t="s">
        <v>616</v>
      </c>
      <c r="R3508" t="s">
        <v>616</v>
      </c>
      <c r="S3508">
        <v>0.5</v>
      </c>
      <c r="T3508" t="s">
        <v>616</v>
      </c>
      <c r="U3508" t="s">
        <v>616</v>
      </c>
      <c r="V3508" t="s">
        <v>616</v>
      </c>
      <c r="W3508" t="s">
        <v>616</v>
      </c>
      <c r="X3508" t="s">
        <v>616</v>
      </c>
      <c r="Y3508" t="s">
        <v>616</v>
      </c>
      <c r="Z3508" t="s">
        <v>616</v>
      </c>
      <c r="AA3508" t="s">
        <v>616</v>
      </c>
      <c r="AB3508" t="s">
        <v>616</v>
      </c>
      <c r="AC3508" t="s">
        <v>616</v>
      </c>
      <c r="AD3508" t="s">
        <v>616</v>
      </c>
      <c r="AE3508" t="s">
        <v>616</v>
      </c>
      <c r="AF3508" t="s">
        <v>616</v>
      </c>
      <c r="AG3508" t="s">
        <v>616</v>
      </c>
      <c r="AH3508" t="s">
        <v>616</v>
      </c>
      <c r="AI3508">
        <v>0</v>
      </c>
      <c r="AJ3508">
        <v>0</v>
      </c>
      <c r="AK3508">
        <v>0</v>
      </c>
      <c r="AL3508">
        <v>0</v>
      </c>
    </row>
    <row r="3509" spans="1:38" x14ac:dyDescent="0.25">
      <c r="A3509">
        <v>3508</v>
      </c>
      <c r="B3509" t="str">
        <f xml:space="preserve"> "000527"</f>
        <v>000527</v>
      </c>
      <c r="C3509" t="s">
        <v>9550</v>
      </c>
      <c r="D3509" t="s">
        <v>616</v>
      </c>
      <c r="E3509" t="s">
        <v>616</v>
      </c>
      <c r="F3509" t="s">
        <v>616</v>
      </c>
      <c r="G3509" t="s">
        <v>616</v>
      </c>
      <c r="H3509" t="s">
        <v>616</v>
      </c>
      <c r="I3509" t="s">
        <v>616</v>
      </c>
      <c r="J3509" t="s">
        <v>616</v>
      </c>
      <c r="K3509" t="s">
        <v>616</v>
      </c>
      <c r="L3509" t="s">
        <v>616</v>
      </c>
      <c r="M3509" t="s">
        <v>616</v>
      </c>
      <c r="N3509" t="s">
        <v>616</v>
      </c>
      <c r="O3509" t="s">
        <v>215</v>
      </c>
      <c r="P3509" t="s">
        <v>616</v>
      </c>
      <c r="Q3509" t="s">
        <v>616</v>
      </c>
      <c r="R3509" t="s">
        <v>616</v>
      </c>
      <c r="S3509">
        <v>14.02</v>
      </c>
      <c r="T3509" t="s">
        <v>616</v>
      </c>
      <c r="U3509" t="s">
        <v>616</v>
      </c>
      <c r="V3509" t="s">
        <v>616</v>
      </c>
      <c r="W3509" t="s">
        <v>616</v>
      </c>
      <c r="X3509" t="s">
        <v>616</v>
      </c>
      <c r="Y3509" t="s">
        <v>616</v>
      </c>
      <c r="Z3509" t="s">
        <v>616</v>
      </c>
      <c r="AA3509" t="s">
        <v>616</v>
      </c>
      <c r="AB3509" t="s">
        <v>616</v>
      </c>
      <c r="AC3509" t="s">
        <v>616</v>
      </c>
      <c r="AD3509" t="s">
        <v>616</v>
      </c>
      <c r="AE3509" t="s">
        <v>616</v>
      </c>
      <c r="AF3509" t="s">
        <v>616</v>
      </c>
      <c r="AG3509" t="s">
        <v>616</v>
      </c>
      <c r="AH3509" t="s">
        <v>616</v>
      </c>
      <c r="AI3509">
        <v>0</v>
      </c>
      <c r="AJ3509">
        <v>0</v>
      </c>
      <c r="AK3509">
        <v>0</v>
      </c>
      <c r="AL3509">
        <v>0</v>
      </c>
    </row>
    <row r="3510" spans="1:38" x14ac:dyDescent="0.25">
      <c r="A3510">
        <v>3509</v>
      </c>
      <c r="B3510" t="str">
        <f xml:space="preserve"> "000522"</f>
        <v>000522</v>
      </c>
      <c r="C3510" t="s">
        <v>9551</v>
      </c>
      <c r="D3510" t="s">
        <v>616</v>
      </c>
      <c r="E3510" t="s">
        <v>616</v>
      </c>
      <c r="F3510" t="s">
        <v>616</v>
      </c>
      <c r="G3510" t="s">
        <v>616</v>
      </c>
      <c r="H3510" t="s">
        <v>616</v>
      </c>
      <c r="I3510" t="s">
        <v>616</v>
      </c>
      <c r="J3510" t="s">
        <v>616</v>
      </c>
      <c r="K3510" t="s">
        <v>616</v>
      </c>
      <c r="L3510" t="s">
        <v>616</v>
      </c>
      <c r="M3510" t="s">
        <v>616</v>
      </c>
      <c r="N3510" t="s">
        <v>616</v>
      </c>
      <c r="O3510" t="s">
        <v>392</v>
      </c>
      <c r="P3510" t="s">
        <v>616</v>
      </c>
      <c r="Q3510" t="s">
        <v>616</v>
      </c>
      <c r="R3510" t="s">
        <v>616</v>
      </c>
      <c r="S3510">
        <v>23.27</v>
      </c>
      <c r="T3510" t="s">
        <v>616</v>
      </c>
      <c r="U3510" t="s">
        <v>616</v>
      </c>
      <c r="V3510" t="s">
        <v>616</v>
      </c>
      <c r="W3510" t="s">
        <v>616</v>
      </c>
      <c r="X3510" t="s">
        <v>616</v>
      </c>
      <c r="Y3510" t="s">
        <v>616</v>
      </c>
      <c r="Z3510" t="s">
        <v>616</v>
      </c>
      <c r="AA3510" t="s">
        <v>616</v>
      </c>
      <c r="AB3510" t="s">
        <v>616</v>
      </c>
      <c r="AC3510" t="s">
        <v>616</v>
      </c>
      <c r="AD3510" t="s">
        <v>616</v>
      </c>
      <c r="AE3510" t="s">
        <v>616</v>
      </c>
      <c r="AF3510" t="s">
        <v>616</v>
      </c>
      <c r="AG3510" t="s">
        <v>616</v>
      </c>
      <c r="AH3510" t="s">
        <v>616</v>
      </c>
      <c r="AI3510">
        <v>0</v>
      </c>
      <c r="AJ3510">
        <v>0</v>
      </c>
      <c r="AK3510">
        <v>0</v>
      </c>
      <c r="AL3510">
        <v>0</v>
      </c>
    </row>
    <row r="3511" spans="1:38" x14ac:dyDescent="0.25">
      <c r="A3511">
        <v>3510</v>
      </c>
      <c r="B3511" t="str">
        <f xml:space="preserve"> "000515"</f>
        <v>000515</v>
      </c>
      <c r="C3511" t="s">
        <v>9552</v>
      </c>
      <c r="D3511" t="s">
        <v>616</v>
      </c>
      <c r="E3511" t="s">
        <v>616</v>
      </c>
      <c r="F3511" t="s">
        <v>616</v>
      </c>
      <c r="G3511" t="s">
        <v>616</v>
      </c>
      <c r="H3511" t="s">
        <v>616</v>
      </c>
      <c r="I3511" t="s">
        <v>616</v>
      </c>
      <c r="J3511" t="s">
        <v>616</v>
      </c>
      <c r="K3511" t="s">
        <v>616</v>
      </c>
      <c r="L3511" t="s">
        <v>616</v>
      </c>
      <c r="M3511" t="s">
        <v>616</v>
      </c>
      <c r="N3511" t="s">
        <v>616</v>
      </c>
      <c r="O3511" t="s">
        <v>616</v>
      </c>
      <c r="P3511" t="s">
        <v>616</v>
      </c>
      <c r="Q3511" t="s">
        <v>616</v>
      </c>
      <c r="R3511" t="s">
        <v>616</v>
      </c>
      <c r="S3511">
        <v>15.29</v>
      </c>
      <c r="T3511" t="s">
        <v>616</v>
      </c>
      <c r="U3511" t="s">
        <v>616</v>
      </c>
      <c r="V3511" t="s">
        <v>616</v>
      </c>
      <c r="W3511" t="s">
        <v>616</v>
      </c>
      <c r="X3511" t="s">
        <v>616</v>
      </c>
      <c r="Y3511" t="s">
        <v>616</v>
      </c>
      <c r="Z3511" t="s">
        <v>616</v>
      </c>
      <c r="AA3511" t="s">
        <v>616</v>
      </c>
      <c r="AB3511" t="s">
        <v>616</v>
      </c>
      <c r="AC3511" t="s">
        <v>616</v>
      </c>
      <c r="AD3511" t="s">
        <v>616</v>
      </c>
      <c r="AE3511" t="s">
        <v>616</v>
      </c>
      <c r="AF3511" t="s">
        <v>616</v>
      </c>
      <c r="AG3511" t="s">
        <v>616</v>
      </c>
      <c r="AH3511" t="s">
        <v>616</v>
      </c>
      <c r="AI3511">
        <v>0</v>
      </c>
      <c r="AJ3511">
        <v>0</v>
      </c>
      <c r="AK3511">
        <v>0</v>
      </c>
      <c r="AL3511">
        <v>0</v>
      </c>
    </row>
    <row r="3512" spans="1:38" x14ac:dyDescent="0.25">
      <c r="A3512">
        <v>3511</v>
      </c>
      <c r="B3512" t="str">
        <f xml:space="preserve"> "000508"</f>
        <v>000508</v>
      </c>
      <c r="C3512" t="s">
        <v>9553</v>
      </c>
      <c r="D3512" t="s">
        <v>616</v>
      </c>
      <c r="E3512" t="s">
        <v>616</v>
      </c>
      <c r="F3512" t="s">
        <v>616</v>
      </c>
      <c r="G3512" t="s">
        <v>616</v>
      </c>
      <c r="H3512" t="s">
        <v>616</v>
      </c>
      <c r="I3512" t="s">
        <v>616</v>
      </c>
      <c r="J3512" t="s">
        <v>616</v>
      </c>
      <c r="K3512" t="s">
        <v>616</v>
      </c>
      <c r="L3512" t="s">
        <v>616</v>
      </c>
      <c r="M3512" t="s">
        <v>616</v>
      </c>
      <c r="N3512" t="s">
        <v>616</v>
      </c>
      <c r="O3512" t="s">
        <v>616</v>
      </c>
      <c r="P3512" t="s">
        <v>616</v>
      </c>
      <c r="Q3512" t="s">
        <v>616</v>
      </c>
      <c r="R3512" t="s">
        <v>616</v>
      </c>
      <c r="S3512" t="s">
        <v>616</v>
      </c>
      <c r="T3512" t="s">
        <v>616</v>
      </c>
      <c r="U3512" t="s">
        <v>616</v>
      </c>
      <c r="V3512" t="s">
        <v>616</v>
      </c>
      <c r="W3512" t="s">
        <v>616</v>
      </c>
      <c r="X3512" t="s">
        <v>616</v>
      </c>
      <c r="Y3512" t="s">
        <v>616</v>
      </c>
      <c r="Z3512" t="s">
        <v>616</v>
      </c>
      <c r="AA3512" t="s">
        <v>616</v>
      </c>
      <c r="AB3512" t="s">
        <v>616</v>
      </c>
      <c r="AC3512" t="s">
        <v>616</v>
      </c>
      <c r="AD3512" t="s">
        <v>616</v>
      </c>
      <c r="AE3512" t="s">
        <v>616</v>
      </c>
      <c r="AF3512" t="s">
        <v>616</v>
      </c>
      <c r="AG3512" t="s">
        <v>616</v>
      </c>
      <c r="AH3512" t="s">
        <v>616</v>
      </c>
      <c r="AI3512">
        <v>0</v>
      </c>
      <c r="AJ3512">
        <v>0</v>
      </c>
      <c r="AK3512">
        <v>0</v>
      </c>
      <c r="AL3512">
        <v>0</v>
      </c>
    </row>
    <row r="3513" spans="1:38" x14ac:dyDescent="0.25">
      <c r="A3513">
        <v>3512</v>
      </c>
      <c r="B3513" t="str">
        <f xml:space="preserve"> "000412"</f>
        <v>000412</v>
      </c>
      <c r="C3513" t="s">
        <v>9554</v>
      </c>
      <c r="D3513" t="s">
        <v>616</v>
      </c>
      <c r="E3513" t="s">
        <v>616</v>
      </c>
      <c r="F3513" t="s">
        <v>616</v>
      </c>
      <c r="G3513" t="s">
        <v>616</v>
      </c>
      <c r="H3513" t="s">
        <v>616</v>
      </c>
      <c r="I3513" t="s">
        <v>616</v>
      </c>
      <c r="J3513" t="s">
        <v>616</v>
      </c>
      <c r="K3513" t="s">
        <v>616</v>
      </c>
      <c r="L3513" t="s">
        <v>616</v>
      </c>
      <c r="M3513" t="s">
        <v>616</v>
      </c>
      <c r="N3513" t="s">
        <v>616</v>
      </c>
      <c r="O3513" t="s">
        <v>616</v>
      </c>
      <c r="P3513" t="s">
        <v>616</v>
      </c>
      <c r="Q3513" t="s">
        <v>616</v>
      </c>
      <c r="R3513" t="s">
        <v>616</v>
      </c>
      <c r="S3513">
        <v>2.89</v>
      </c>
      <c r="T3513" t="s">
        <v>616</v>
      </c>
      <c r="U3513" t="s">
        <v>616</v>
      </c>
      <c r="V3513" t="s">
        <v>616</v>
      </c>
      <c r="W3513" t="s">
        <v>616</v>
      </c>
      <c r="X3513" t="s">
        <v>616</v>
      </c>
      <c r="Y3513" t="s">
        <v>616</v>
      </c>
      <c r="Z3513" t="s">
        <v>616</v>
      </c>
      <c r="AA3513" t="s">
        <v>616</v>
      </c>
      <c r="AB3513" t="s">
        <v>616</v>
      </c>
      <c r="AC3513" t="s">
        <v>616</v>
      </c>
      <c r="AD3513" t="s">
        <v>616</v>
      </c>
      <c r="AE3513" t="s">
        <v>616</v>
      </c>
      <c r="AF3513" t="s">
        <v>616</v>
      </c>
      <c r="AG3513" t="s">
        <v>616</v>
      </c>
      <c r="AH3513" t="s">
        <v>616</v>
      </c>
      <c r="AI3513">
        <v>0</v>
      </c>
      <c r="AJ3513">
        <v>0</v>
      </c>
      <c r="AK3513">
        <v>0</v>
      </c>
      <c r="AL3513">
        <v>0</v>
      </c>
    </row>
    <row r="3514" spans="1:38" x14ac:dyDescent="0.25">
      <c r="A3514">
        <v>3513</v>
      </c>
      <c r="B3514" t="str">
        <f xml:space="preserve"> "000406"</f>
        <v>000406</v>
      </c>
      <c r="C3514" t="s">
        <v>9555</v>
      </c>
      <c r="D3514" t="s">
        <v>616</v>
      </c>
      <c r="E3514" t="s">
        <v>616</v>
      </c>
      <c r="F3514" t="s">
        <v>616</v>
      </c>
      <c r="G3514" t="s">
        <v>616</v>
      </c>
      <c r="H3514" t="s">
        <v>616</v>
      </c>
      <c r="I3514" t="s">
        <v>616</v>
      </c>
      <c r="J3514" t="s">
        <v>616</v>
      </c>
      <c r="K3514" t="s">
        <v>616</v>
      </c>
      <c r="L3514" t="s">
        <v>616</v>
      </c>
      <c r="M3514" t="s">
        <v>616</v>
      </c>
      <c r="N3514" t="s">
        <v>616</v>
      </c>
      <c r="O3514" t="s">
        <v>616</v>
      </c>
      <c r="P3514" t="s">
        <v>616</v>
      </c>
      <c r="Q3514" t="s">
        <v>616</v>
      </c>
      <c r="R3514" t="s">
        <v>616</v>
      </c>
      <c r="S3514">
        <v>10.119999999999999</v>
      </c>
      <c r="T3514" t="s">
        <v>616</v>
      </c>
      <c r="U3514" t="s">
        <v>616</v>
      </c>
      <c r="V3514" t="s">
        <v>616</v>
      </c>
      <c r="W3514" t="s">
        <v>616</v>
      </c>
      <c r="X3514" t="s">
        <v>616</v>
      </c>
      <c r="Y3514" t="s">
        <v>616</v>
      </c>
      <c r="Z3514" t="s">
        <v>616</v>
      </c>
      <c r="AA3514" t="s">
        <v>616</v>
      </c>
      <c r="AB3514" t="s">
        <v>616</v>
      </c>
      <c r="AC3514" t="s">
        <v>616</v>
      </c>
      <c r="AD3514" t="s">
        <v>616</v>
      </c>
      <c r="AE3514" t="s">
        <v>616</v>
      </c>
      <c r="AF3514" t="s">
        <v>616</v>
      </c>
      <c r="AG3514" t="s">
        <v>616</v>
      </c>
      <c r="AH3514" t="s">
        <v>616</v>
      </c>
      <c r="AI3514">
        <v>0</v>
      </c>
      <c r="AJ3514">
        <v>0</v>
      </c>
      <c r="AK3514">
        <v>0</v>
      </c>
      <c r="AL3514">
        <v>0</v>
      </c>
    </row>
    <row r="3515" spans="1:38" x14ac:dyDescent="0.25">
      <c r="A3515">
        <v>3514</v>
      </c>
      <c r="B3515" t="str">
        <f xml:space="preserve"> "000405"</f>
        <v>000405</v>
      </c>
      <c r="C3515" t="s">
        <v>9556</v>
      </c>
      <c r="D3515" t="s">
        <v>616</v>
      </c>
      <c r="E3515" t="s">
        <v>616</v>
      </c>
      <c r="F3515" t="s">
        <v>616</v>
      </c>
      <c r="G3515" t="s">
        <v>616</v>
      </c>
      <c r="H3515" t="s">
        <v>616</v>
      </c>
      <c r="I3515" t="s">
        <v>616</v>
      </c>
      <c r="J3515" t="s">
        <v>616</v>
      </c>
      <c r="K3515" t="s">
        <v>616</v>
      </c>
      <c r="L3515" t="s">
        <v>616</v>
      </c>
      <c r="M3515" t="s">
        <v>616</v>
      </c>
      <c r="N3515" t="s">
        <v>616</v>
      </c>
      <c r="O3515" t="s">
        <v>616</v>
      </c>
      <c r="P3515" t="s">
        <v>616</v>
      </c>
      <c r="Q3515" t="s">
        <v>616</v>
      </c>
      <c r="R3515" t="s">
        <v>616</v>
      </c>
      <c r="S3515">
        <v>2.86</v>
      </c>
      <c r="T3515" t="s">
        <v>616</v>
      </c>
      <c r="U3515" t="s">
        <v>616</v>
      </c>
      <c r="V3515" t="s">
        <v>616</v>
      </c>
      <c r="W3515" t="s">
        <v>616</v>
      </c>
      <c r="X3515" t="s">
        <v>616</v>
      </c>
      <c r="Y3515" t="s">
        <v>616</v>
      </c>
      <c r="Z3515" t="s">
        <v>616</v>
      </c>
      <c r="AA3515" t="s">
        <v>616</v>
      </c>
      <c r="AB3515" t="s">
        <v>616</v>
      </c>
      <c r="AC3515" t="s">
        <v>616</v>
      </c>
      <c r="AD3515" t="s">
        <v>616</v>
      </c>
      <c r="AE3515" t="s">
        <v>616</v>
      </c>
      <c r="AF3515" t="s">
        <v>616</v>
      </c>
      <c r="AG3515" t="s">
        <v>616</v>
      </c>
      <c r="AH3515" t="s">
        <v>616</v>
      </c>
      <c r="AI3515">
        <v>0</v>
      </c>
      <c r="AJ3515">
        <v>0</v>
      </c>
      <c r="AK3515">
        <v>0</v>
      </c>
      <c r="AL3515">
        <v>0</v>
      </c>
    </row>
    <row r="3516" spans="1:38" x14ac:dyDescent="0.25">
      <c r="A3516">
        <v>3515</v>
      </c>
      <c r="B3516" t="str">
        <f xml:space="preserve"> "000047"</f>
        <v>000047</v>
      </c>
      <c r="C3516" t="s">
        <v>9557</v>
      </c>
      <c r="D3516" t="s">
        <v>616</v>
      </c>
      <c r="E3516" t="s">
        <v>616</v>
      </c>
      <c r="F3516" t="s">
        <v>616</v>
      </c>
      <c r="G3516" t="s">
        <v>616</v>
      </c>
      <c r="H3516" t="s">
        <v>616</v>
      </c>
      <c r="I3516" t="s">
        <v>616</v>
      </c>
      <c r="J3516" t="s">
        <v>616</v>
      </c>
      <c r="K3516" t="s">
        <v>616</v>
      </c>
      <c r="L3516" t="s">
        <v>616</v>
      </c>
      <c r="M3516" t="s">
        <v>616</v>
      </c>
      <c r="N3516" t="s">
        <v>616</v>
      </c>
      <c r="O3516" t="s">
        <v>616</v>
      </c>
      <c r="P3516" t="s">
        <v>616</v>
      </c>
      <c r="Q3516" t="s">
        <v>616</v>
      </c>
      <c r="R3516" t="s">
        <v>616</v>
      </c>
      <c r="S3516">
        <v>8.0299999999999994</v>
      </c>
      <c r="T3516" t="s">
        <v>616</v>
      </c>
      <c r="U3516" t="s">
        <v>616</v>
      </c>
      <c r="V3516" t="s">
        <v>616</v>
      </c>
      <c r="W3516" t="s">
        <v>616</v>
      </c>
      <c r="X3516" t="s">
        <v>616</v>
      </c>
      <c r="Y3516" t="s">
        <v>616</v>
      </c>
      <c r="Z3516" t="s">
        <v>616</v>
      </c>
      <c r="AA3516" t="s">
        <v>616</v>
      </c>
      <c r="AB3516" t="s">
        <v>616</v>
      </c>
      <c r="AC3516" t="s">
        <v>616</v>
      </c>
      <c r="AD3516" t="s">
        <v>616</v>
      </c>
      <c r="AE3516" t="s">
        <v>616</v>
      </c>
      <c r="AF3516" t="s">
        <v>616</v>
      </c>
      <c r="AG3516" t="s">
        <v>616</v>
      </c>
      <c r="AH3516" t="s">
        <v>616</v>
      </c>
      <c r="AI3516">
        <v>0</v>
      </c>
      <c r="AJ3516">
        <v>0</v>
      </c>
      <c r="AK3516">
        <v>0</v>
      </c>
      <c r="AL3516">
        <v>0</v>
      </c>
    </row>
    <row r="3517" spans="1:38" x14ac:dyDescent="0.25">
      <c r="A3517">
        <v>3516</v>
      </c>
      <c r="B3517" t="str">
        <f xml:space="preserve"> "000015"</f>
        <v>000015</v>
      </c>
      <c r="C3517" t="s">
        <v>9558</v>
      </c>
      <c r="D3517" t="s">
        <v>616</v>
      </c>
      <c r="E3517" t="s">
        <v>616</v>
      </c>
      <c r="F3517" t="s">
        <v>616</v>
      </c>
      <c r="G3517" t="s">
        <v>616</v>
      </c>
      <c r="H3517" t="s">
        <v>616</v>
      </c>
      <c r="I3517" t="s">
        <v>616</v>
      </c>
      <c r="J3517" t="s">
        <v>616</v>
      </c>
      <c r="K3517" t="s">
        <v>616</v>
      </c>
      <c r="L3517" t="s">
        <v>616</v>
      </c>
      <c r="M3517" t="s">
        <v>616</v>
      </c>
      <c r="N3517" t="s">
        <v>616</v>
      </c>
      <c r="O3517" t="s">
        <v>616</v>
      </c>
      <c r="P3517" t="s">
        <v>616</v>
      </c>
      <c r="Q3517" t="s">
        <v>616</v>
      </c>
      <c r="R3517" t="s">
        <v>616</v>
      </c>
      <c r="S3517">
        <v>6.85</v>
      </c>
      <c r="T3517" t="s">
        <v>616</v>
      </c>
      <c r="U3517" t="s">
        <v>616</v>
      </c>
      <c r="V3517" t="s">
        <v>616</v>
      </c>
      <c r="W3517" t="s">
        <v>616</v>
      </c>
      <c r="X3517" t="s">
        <v>616</v>
      </c>
      <c r="Y3517" t="s">
        <v>616</v>
      </c>
      <c r="Z3517" t="s">
        <v>616</v>
      </c>
      <c r="AA3517" t="s">
        <v>616</v>
      </c>
      <c r="AB3517" t="s">
        <v>616</v>
      </c>
      <c r="AC3517" t="s">
        <v>616</v>
      </c>
      <c r="AD3517" t="s">
        <v>616</v>
      </c>
      <c r="AE3517" t="s">
        <v>616</v>
      </c>
      <c r="AF3517" t="s">
        <v>616</v>
      </c>
      <c r="AG3517" t="s">
        <v>616</v>
      </c>
      <c r="AH3517" t="s">
        <v>616</v>
      </c>
      <c r="AI3517">
        <v>0</v>
      </c>
      <c r="AJ3517">
        <v>0</v>
      </c>
      <c r="AK3517">
        <v>0</v>
      </c>
      <c r="AL3517">
        <v>0</v>
      </c>
    </row>
    <row r="3518" spans="1:38" x14ac:dyDescent="0.25">
      <c r="A3518">
        <v>3517</v>
      </c>
      <c r="B3518" t="str">
        <f xml:space="preserve"> "000013"</f>
        <v>000013</v>
      </c>
      <c r="C3518" t="s">
        <v>9559</v>
      </c>
      <c r="D3518" t="s">
        <v>616</v>
      </c>
      <c r="E3518" t="s">
        <v>616</v>
      </c>
      <c r="F3518" t="s">
        <v>616</v>
      </c>
      <c r="G3518" t="s">
        <v>616</v>
      </c>
      <c r="H3518" t="s">
        <v>616</v>
      </c>
      <c r="I3518" t="s">
        <v>616</v>
      </c>
      <c r="J3518" t="s">
        <v>616</v>
      </c>
      <c r="K3518" t="s">
        <v>616</v>
      </c>
      <c r="L3518" t="s">
        <v>616</v>
      </c>
      <c r="M3518" t="s">
        <v>616</v>
      </c>
      <c r="N3518" t="s">
        <v>616</v>
      </c>
      <c r="O3518" t="s">
        <v>616</v>
      </c>
      <c r="P3518" t="s">
        <v>616</v>
      </c>
      <c r="Q3518" t="s">
        <v>616</v>
      </c>
      <c r="R3518" t="s">
        <v>616</v>
      </c>
      <c r="S3518">
        <v>2.4700000000000002</v>
      </c>
      <c r="T3518" t="s">
        <v>616</v>
      </c>
      <c r="U3518" t="s">
        <v>616</v>
      </c>
      <c r="V3518" t="s">
        <v>616</v>
      </c>
      <c r="W3518" t="s">
        <v>616</v>
      </c>
      <c r="X3518" t="s">
        <v>616</v>
      </c>
      <c r="Y3518" t="s">
        <v>616</v>
      </c>
      <c r="Z3518" t="s">
        <v>616</v>
      </c>
      <c r="AA3518" t="s">
        <v>616</v>
      </c>
      <c r="AB3518" t="s">
        <v>616</v>
      </c>
      <c r="AC3518" t="s">
        <v>616</v>
      </c>
      <c r="AD3518" t="s">
        <v>616</v>
      </c>
      <c r="AE3518" t="s">
        <v>616</v>
      </c>
      <c r="AF3518" t="s">
        <v>616</v>
      </c>
      <c r="AG3518" t="s">
        <v>616</v>
      </c>
      <c r="AH3518" t="s">
        <v>616</v>
      </c>
      <c r="AI3518">
        <v>0</v>
      </c>
      <c r="AJ3518">
        <v>0</v>
      </c>
      <c r="AK3518">
        <v>0</v>
      </c>
      <c r="AL3518">
        <v>0</v>
      </c>
    </row>
    <row r="3519" spans="1:38" x14ac:dyDescent="0.25">
      <c r="A3519">
        <v>3518</v>
      </c>
      <c r="B3519" t="str">
        <f xml:space="preserve"> "000003"</f>
        <v>000003</v>
      </c>
      <c r="C3519" t="s">
        <v>9560</v>
      </c>
      <c r="D3519" t="s">
        <v>616</v>
      </c>
      <c r="E3519" t="s">
        <v>616</v>
      </c>
      <c r="F3519" t="s">
        <v>616</v>
      </c>
      <c r="G3519" t="s">
        <v>616</v>
      </c>
      <c r="H3519" t="s">
        <v>616</v>
      </c>
      <c r="I3519" t="s">
        <v>616</v>
      </c>
      <c r="J3519" t="s">
        <v>616</v>
      </c>
      <c r="K3519" t="s">
        <v>616</v>
      </c>
      <c r="L3519" t="s">
        <v>616</v>
      </c>
      <c r="M3519" t="s">
        <v>616</v>
      </c>
      <c r="N3519" t="s">
        <v>616</v>
      </c>
      <c r="O3519" t="s">
        <v>616</v>
      </c>
      <c r="P3519" t="s">
        <v>616</v>
      </c>
      <c r="Q3519" t="s">
        <v>616</v>
      </c>
      <c r="R3519" t="s">
        <v>616</v>
      </c>
      <c r="S3519">
        <v>2.71</v>
      </c>
      <c r="T3519" t="s">
        <v>616</v>
      </c>
      <c r="U3519" t="s">
        <v>616</v>
      </c>
      <c r="V3519" t="s">
        <v>616</v>
      </c>
      <c r="W3519" t="s">
        <v>616</v>
      </c>
      <c r="X3519" t="s">
        <v>616</v>
      </c>
      <c r="Y3519" t="s">
        <v>616</v>
      </c>
      <c r="Z3519" t="s">
        <v>616</v>
      </c>
      <c r="AA3519" t="s">
        <v>616</v>
      </c>
      <c r="AB3519" t="s">
        <v>616</v>
      </c>
      <c r="AC3519" t="s">
        <v>616</v>
      </c>
      <c r="AD3519" t="s">
        <v>616</v>
      </c>
      <c r="AE3519" t="s">
        <v>616</v>
      </c>
      <c r="AF3519" t="s">
        <v>616</v>
      </c>
      <c r="AG3519" t="s">
        <v>616</v>
      </c>
      <c r="AH3519" t="s">
        <v>616</v>
      </c>
      <c r="AI3519">
        <v>0</v>
      </c>
      <c r="AJ3519">
        <v>0</v>
      </c>
      <c r="AK3519">
        <v>0</v>
      </c>
      <c r="AL3519">
        <v>0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3449"/>
  <sheetViews>
    <sheetView topLeftCell="A110" workbookViewId="0">
      <selection activeCell="D180" sqref="D180"/>
    </sheetView>
  </sheetViews>
  <sheetFormatPr defaultRowHeight="14" x14ac:dyDescent="0.25"/>
  <cols>
    <col min="1" max="1" width="10.26953125" bestFit="1" customWidth="1"/>
  </cols>
  <sheetData>
    <row r="1" spans="1:1" x14ac:dyDescent="0.25">
      <c r="A1" t="s">
        <v>41</v>
      </c>
    </row>
    <row r="2" spans="1:1" x14ac:dyDescent="0.25">
      <c r="A2" t="s">
        <v>41</v>
      </c>
    </row>
    <row r="3" spans="1:1" x14ac:dyDescent="0.25">
      <c r="A3" t="s">
        <v>61</v>
      </c>
    </row>
    <row r="4" spans="1:1" hidden="1" x14ac:dyDescent="0.25">
      <c r="A4" t="s">
        <v>41</v>
      </c>
    </row>
    <row r="5" spans="1:1" hidden="1" x14ac:dyDescent="0.25">
      <c r="A5" t="s">
        <v>41</v>
      </c>
    </row>
    <row r="6" spans="1:1" x14ac:dyDescent="0.25">
      <c r="A6" t="s">
        <v>94</v>
      </c>
    </row>
    <row r="7" spans="1:1" hidden="1" x14ac:dyDescent="0.25">
      <c r="A7" t="s">
        <v>94</v>
      </c>
    </row>
    <row r="8" spans="1:1" hidden="1" x14ac:dyDescent="0.25">
      <c r="A8" t="s">
        <v>61</v>
      </c>
    </row>
    <row r="9" spans="1:1" x14ac:dyDescent="0.25">
      <c r="A9" t="s">
        <v>123</v>
      </c>
    </row>
    <row r="10" spans="1:1" hidden="1" x14ac:dyDescent="0.25">
      <c r="A10" t="s">
        <v>41</v>
      </c>
    </row>
    <row r="11" spans="1:1" hidden="1" x14ac:dyDescent="0.25">
      <c r="A11" t="s">
        <v>41</v>
      </c>
    </row>
    <row r="12" spans="1:1" x14ac:dyDescent="0.25">
      <c r="A12" t="s">
        <v>150</v>
      </c>
    </row>
    <row r="13" spans="1:1" hidden="1" x14ac:dyDescent="0.25">
      <c r="A13" t="s">
        <v>41</v>
      </c>
    </row>
    <row r="14" spans="1:1" x14ac:dyDescent="0.25">
      <c r="A14" t="s">
        <v>169</v>
      </c>
    </row>
    <row r="15" spans="1:1" hidden="1" x14ac:dyDescent="0.25">
      <c r="A15" t="s">
        <v>41</v>
      </c>
    </row>
    <row r="16" spans="1:1" x14ac:dyDescent="0.25">
      <c r="A16" t="s">
        <v>186</v>
      </c>
    </row>
    <row r="17" spans="1:1" hidden="1" x14ac:dyDescent="0.25">
      <c r="A17" t="s">
        <v>94</v>
      </c>
    </row>
    <row r="18" spans="1:1" x14ac:dyDescent="0.25">
      <c r="A18" t="s">
        <v>205</v>
      </c>
    </row>
    <row r="19" spans="1:1" x14ac:dyDescent="0.25">
      <c r="A19" t="s">
        <v>215</v>
      </c>
    </row>
    <row r="20" spans="1:1" hidden="1" x14ac:dyDescent="0.25">
      <c r="A20" t="s">
        <v>41</v>
      </c>
    </row>
    <row r="21" spans="1:1" hidden="1" x14ac:dyDescent="0.25">
      <c r="A21" t="s">
        <v>41</v>
      </c>
    </row>
    <row r="22" spans="1:1" x14ac:dyDescent="0.25">
      <c r="A22" t="s">
        <v>244</v>
      </c>
    </row>
    <row r="23" spans="1:1" x14ac:dyDescent="0.25">
      <c r="A23" t="s">
        <v>253</v>
      </c>
    </row>
    <row r="24" spans="1:1" x14ac:dyDescent="0.25">
      <c r="A24" t="s">
        <v>263</v>
      </c>
    </row>
    <row r="25" spans="1:1" x14ac:dyDescent="0.25">
      <c r="A25" t="s">
        <v>274</v>
      </c>
    </row>
    <row r="26" spans="1:1" hidden="1" x14ac:dyDescent="0.25">
      <c r="A26" t="s">
        <v>263</v>
      </c>
    </row>
    <row r="27" spans="1:1" hidden="1" x14ac:dyDescent="0.25">
      <c r="A27" t="s">
        <v>215</v>
      </c>
    </row>
    <row r="28" spans="1:1" hidden="1" x14ac:dyDescent="0.25">
      <c r="A28" t="s">
        <v>123</v>
      </c>
    </row>
    <row r="29" spans="1:1" x14ac:dyDescent="0.25">
      <c r="A29" t="s">
        <v>306</v>
      </c>
    </row>
    <row r="30" spans="1:1" hidden="1" x14ac:dyDescent="0.25">
      <c r="A30" t="s">
        <v>263</v>
      </c>
    </row>
    <row r="31" spans="1:1" hidden="1" x14ac:dyDescent="0.25">
      <c r="A31" t="s">
        <v>41</v>
      </c>
    </row>
    <row r="32" spans="1:1" hidden="1" x14ac:dyDescent="0.25">
      <c r="A32" t="s">
        <v>41</v>
      </c>
    </row>
    <row r="33" spans="1:1" hidden="1" x14ac:dyDescent="0.25">
      <c r="A33" t="s">
        <v>306</v>
      </c>
    </row>
    <row r="34" spans="1:1" hidden="1" x14ac:dyDescent="0.25">
      <c r="A34" t="s">
        <v>169</v>
      </c>
    </row>
    <row r="35" spans="1:1" hidden="1" x14ac:dyDescent="0.25">
      <c r="A35" t="s">
        <v>94</v>
      </c>
    </row>
    <row r="36" spans="1:1" hidden="1" x14ac:dyDescent="0.25">
      <c r="A36" t="s">
        <v>169</v>
      </c>
    </row>
    <row r="37" spans="1:1" x14ac:dyDescent="0.25">
      <c r="A37" t="s">
        <v>380</v>
      </c>
    </row>
    <row r="38" spans="1:1" x14ac:dyDescent="0.25">
      <c r="A38" t="s">
        <v>392</v>
      </c>
    </row>
    <row r="39" spans="1:1" hidden="1" x14ac:dyDescent="0.25">
      <c r="A39" t="s">
        <v>306</v>
      </c>
    </row>
    <row r="40" spans="1:1" x14ac:dyDescent="0.25">
      <c r="A40" t="s">
        <v>406</v>
      </c>
    </row>
    <row r="41" spans="1:1" x14ac:dyDescent="0.25">
      <c r="A41" t="s">
        <v>416</v>
      </c>
    </row>
    <row r="42" spans="1:1" hidden="1" x14ac:dyDescent="0.25">
      <c r="A42" t="s">
        <v>263</v>
      </c>
    </row>
    <row r="43" spans="1:1" hidden="1" x14ac:dyDescent="0.25">
      <c r="A43" t="s">
        <v>123</v>
      </c>
    </row>
    <row r="44" spans="1:1" x14ac:dyDescent="0.25">
      <c r="A44" t="s">
        <v>440</v>
      </c>
    </row>
    <row r="45" spans="1:1" x14ac:dyDescent="0.25">
      <c r="A45" t="s">
        <v>449</v>
      </c>
    </row>
    <row r="46" spans="1:1" hidden="1" x14ac:dyDescent="0.25">
      <c r="A46" t="s">
        <v>306</v>
      </c>
    </row>
    <row r="47" spans="1:1" x14ac:dyDescent="0.25">
      <c r="A47" t="s">
        <v>467</v>
      </c>
    </row>
    <row r="48" spans="1:1" hidden="1" x14ac:dyDescent="0.25">
      <c r="A48" t="s">
        <v>306</v>
      </c>
    </row>
    <row r="49" spans="1:1" x14ac:dyDescent="0.25">
      <c r="A49" t="s">
        <v>482</v>
      </c>
    </row>
    <row r="50" spans="1:1" hidden="1" x14ac:dyDescent="0.25">
      <c r="A50" t="s">
        <v>244</v>
      </c>
    </row>
    <row r="51" spans="1:1" hidden="1" x14ac:dyDescent="0.25">
      <c r="A51" t="s">
        <v>306</v>
      </c>
    </row>
    <row r="52" spans="1:1" hidden="1" x14ac:dyDescent="0.25">
      <c r="A52" t="s">
        <v>41</v>
      </c>
    </row>
    <row r="53" spans="1:1" hidden="1" x14ac:dyDescent="0.25">
      <c r="A53" t="s">
        <v>41</v>
      </c>
    </row>
    <row r="54" spans="1:1" hidden="1" x14ac:dyDescent="0.25">
      <c r="A54" t="s">
        <v>306</v>
      </c>
    </row>
    <row r="55" spans="1:1" x14ac:dyDescent="0.25">
      <c r="A55" t="s">
        <v>532</v>
      </c>
    </row>
    <row r="56" spans="1:1" hidden="1" x14ac:dyDescent="0.25">
      <c r="A56" t="s">
        <v>274</v>
      </c>
    </row>
    <row r="57" spans="1:1" hidden="1" x14ac:dyDescent="0.25">
      <c r="A57" t="s">
        <v>406</v>
      </c>
    </row>
    <row r="58" spans="1:1" x14ac:dyDescent="0.25">
      <c r="A58" t="s">
        <v>553</v>
      </c>
    </row>
    <row r="59" spans="1:1" x14ac:dyDescent="0.25">
      <c r="A59" t="s">
        <v>562</v>
      </c>
    </row>
    <row r="60" spans="1:1" x14ac:dyDescent="0.25">
      <c r="A60" t="s">
        <v>572</v>
      </c>
    </row>
    <row r="61" spans="1:1" x14ac:dyDescent="0.25">
      <c r="A61" t="s">
        <v>580</v>
      </c>
    </row>
    <row r="62" spans="1:1" hidden="1" x14ac:dyDescent="0.25">
      <c r="A62" t="s">
        <v>244</v>
      </c>
    </row>
    <row r="63" spans="1:1" hidden="1" x14ac:dyDescent="0.25">
      <c r="A63" t="s">
        <v>416</v>
      </c>
    </row>
    <row r="64" spans="1:1" hidden="1" x14ac:dyDescent="0.25">
      <c r="A64" t="s">
        <v>263</v>
      </c>
    </row>
    <row r="65" spans="1:1" hidden="1" x14ac:dyDescent="0.25">
      <c r="A65" t="s">
        <v>449</v>
      </c>
    </row>
    <row r="66" spans="1:1" x14ac:dyDescent="0.25">
      <c r="A66" t="s">
        <v>622</v>
      </c>
    </row>
    <row r="67" spans="1:1" hidden="1" x14ac:dyDescent="0.25">
      <c r="A67" t="s">
        <v>41</v>
      </c>
    </row>
    <row r="68" spans="1:1" x14ac:dyDescent="0.25">
      <c r="A68" t="s">
        <v>635</v>
      </c>
    </row>
    <row r="69" spans="1:1" hidden="1" x14ac:dyDescent="0.25">
      <c r="A69" t="s">
        <v>306</v>
      </c>
    </row>
    <row r="70" spans="1:1" x14ac:dyDescent="0.25">
      <c r="A70" t="s">
        <v>648</v>
      </c>
    </row>
    <row r="71" spans="1:1" hidden="1" x14ac:dyDescent="0.25">
      <c r="A71" t="s">
        <v>306</v>
      </c>
    </row>
    <row r="72" spans="1:1" x14ac:dyDescent="0.25">
      <c r="A72" t="s">
        <v>667</v>
      </c>
    </row>
    <row r="73" spans="1:1" hidden="1" x14ac:dyDescent="0.25">
      <c r="A73" t="s">
        <v>169</v>
      </c>
    </row>
    <row r="74" spans="1:1" x14ac:dyDescent="0.25">
      <c r="A74" t="s">
        <v>680</v>
      </c>
    </row>
    <row r="75" spans="1:1" hidden="1" x14ac:dyDescent="0.25">
      <c r="A75" t="s">
        <v>263</v>
      </c>
    </row>
    <row r="76" spans="1:1" hidden="1" x14ac:dyDescent="0.25">
      <c r="A76" t="s">
        <v>186</v>
      </c>
    </row>
    <row r="77" spans="1:1" hidden="1" x14ac:dyDescent="0.25">
      <c r="A77" t="s">
        <v>244</v>
      </c>
    </row>
    <row r="78" spans="1:1" hidden="1" x14ac:dyDescent="0.25">
      <c r="A78" t="s">
        <v>392</v>
      </c>
    </row>
    <row r="79" spans="1:1" hidden="1" x14ac:dyDescent="0.25">
      <c r="A79" t="s">
        <v>392</v>
      </c>
    </row>
    <row r="80" spans="1:1" hidden="1" x14ac:dyDescent="0.25">
      <c r="A80" t="s">
        <v>306</v>
      </c>
    </row>
    <row r="81" spans="1:1" hidden="1" x14ac:dyDescent="0.25">
      <c r="A81" t="s">
        <v>572</v>
      </c>
    </row>
    <row r="82" spans="1:1" hidden="1" x14ac:dyDescent="0.25">
      <c r="A82" t="s">
        <v>215</v>
      </c>
    </row>
    <row r="83" spans="1:1" hidden="1" x14ac:dyDescent="0.25">
      <c r="A83" t="s">
        <v>41</v>
      </c>
    </row>
    <row r="84" spans="1:1" hidden="1" x14ac:dyDescent="0.25">
      <c r="A84" t="s">
        <v>392</v>
      </c>
    </row>
    <row r="85" spans="1:1" hidden="1" x14ac:dyDescent="0.25">
      <c r="A85" t="s">
        <v>380</v>
      </c>
    </row>
    <row r="86" spans="1:1" hidden="1" x14ac:dyDescent="0.25">
      <c r="A86" t="s">
        <v>244</v>
      </c>
    </row>
    <row r="87" spans="1:1" hidden="1" x14ac:dyDescent="0.25">
      <c r="A87" t="s">
        <v>244</v>
      </c>
    </row>
    <row r="88" spans="1:1" hidden="1" x14ac:dyDescent="0.25">
      <c r="A88" t="s">
        <v>392</v>
      </c>
    </row>
    <row r="89" spans="1:1" x14ac:dyDescent="0.25">
      <c r="A89" t="s">
        <v>788</v>
      </c>
    </row>
    <row r="90" spans="1:1" hidden="1" x14ac:dyDescent="0.25">
      <c r="A90" t="s">
        <v>123</v>
      </c>
    </row>
    <row r="91" spans="1:1" x14ac:dyDescent="0.25">
      <c r="A91" t="s">
        <v>807</v>
      </c>
    </row>
    <row r="92" spans="1:1" hidden="1" x14ac:dyDescent="0.25">
      <c r="A92" t="s">
        <v>532</v>
      </c>
    </row>
    <row r="93" spans="1:1" hidden="1" x14ac:dyDescent="0.25">
      <c r="A93" t="s">
        <v>572</v>
      </c>
    </row>
    <row r="94" spans="1:1" hidden="1" x14ac:dyDescent="0.25">
      <c r="A94" t="s">
        <v>150</v>
      </c>
    </row>
    <row r="95" spans="1:1" hidden="1" x14ac:dyDescent="0.25">
      <c r="A95" t="s">
        <v>150</v>
      </c>
    </row>
    <row r="96" spans="1:1" hidden="1" x14ac:dyDescent="0.25">
      <c r="A96" t="s">
        <v>41</v>
      </c>
    </row>
    <row r="97" spans="1:1" hidden="1" x14ac:dyDescent="0.25">
      <c r="A97" t="s">
        <v>406</v>
      </c>
    </row>
    <row r="98" spans="1:1" x14ac:dyDescent="0.25">
      <c r="A98" t="s">
        <v>859</v>
      </c>
    </row>
    <row r="99" spans="1:1" hidden="1" x14ac:dyDescent="0.25">
      <c r="A99" t="s">
        <v>440</v>
      </c>
    </row>
    <row r="100" spans="1:1" hidden="1" x14ac:dyDescent="0.25">
      <c r="A100" t="s">
        <v>859</v>
      </c>
    </row>
    <row r="101" spans="1:1" hidden="1" x14ac:dyDescent="0.25">
      <c r="A101" t="s">
        <v>572</v>
      </c>
    </row>
    <row r="102" spans="1:1" x14ac:dyDescent="0.25">
      <c r="A102" t="s">
        <v>893</v>
      </c>
    </row>
    <row r="103" spans="1:1" hidden="1" x14ac:dyDescent="0.25">
      <c r="A103" t="s">
        <v>244</v>
      </c>
    </row>
    <row r="104" spans="1:1" hidden="1" x14ac:dyDescent="0.25">
      <c r="A104" t="s">
        <v>205</v>
      </c>
    </row>
    <row r="105" spans="1:1" hidden="1" x14ac:dyDescent="0.25">
      <c r="A105" t="s">
        <v>186</v>
      </c>
    </row>
    <row r="106" spans="1:1" hidden="1" x14ac:dyDescent="0.25">
      <c r="A106" t="s">
        <v>306</v>
      </c>
    </row>
    <row r="107" spans="1:1" x14ac:dyDescent="0.25">
      <c r="A107" t="s">
        <v>926</v>
      </c>
    </row>
    <row r="108" spans="1:1" hidden="1" x14ac:dyDescent="0.25">
      <c r="A108" t="s">
        <v>169</v>
      </c>
    </row>
    <row r="109" spans="1:1" hidden="1" x14ac:dyDescent="0.25">
      <c r="A109" t="s">
        <v>306</v>
      </c>
    </row>
    <row r="110" spans="1:1" x14ac:dyDescent="0.25">
      <c r="A110" t="s">
        <v>951</v>
      </c>
    </row>
    <row r="111" spans="1:1" hidden="1" x14ac:dyDescent="0.25">
      <c r="A111" t="s">
        <v>440</v>
      </c>
    </row>
    <row r="112" spans="1:1" hidden="1" x14ac:dyDescent="0.25">
      <c r="A112" t="s">
        <v>244</v>
      </c>
    </row>
    <row r="113" spans="1:1" hidden="1" x14ac:dyDescent="0.25">
      <c r="A113" t="s">
        <v>306</v>
      </c>
    </row>
    <row r="114" spans="1:1" hidden="1" x14ac:dyDescent="0.25">
      <c r="A114" t="s">
        <v>169</v>
      </c>
    </row>
    <row r="115" spans="1:1" hidden="1" x14ac:dyDescent="0.25">
      <c r="A115" t="s">
        <v>41</v>
      </c>
    </row>
    <row r="116" spans="1:1" hidden="1" x14ac:dyDescent="0.25">
      <c r="A116" t="s">
        <v>392</v>
      </c>
    </row>
    <row r="117" spans="1:1" hidden="1" x14ac:dyDescent="0.25">
      <c r="A117" t="s">
        <v>61</v>
      </c>
    </row>
    <row r="118" spans="1:1" hidden="1" x14ac:dyDescent="0.25">
      <c r="A118" t="s">
        <v>667</v>
      </c>
    </row>
    <row r="119" spans="1:1" hidden="1" x14ac:dyDescent="0.25">
      <c r="A119" t="s">
        <v>380</v>
      </c>
    </row>
    <row r="120" spans="1:1" hidden="1" x14ac:dyDescent="0.25">
      <c r="A120" t="s">
        <v>380</v>
      </c>
    </row>
    <row r="121" spans="1:1" hidden="1" x14ac:dyDescent="0.25">
      <c r="A121" t="s">
        <v>562</v>
      </c>
    </row>
    <row r="122" spans="1:1" hidden="1" x14ac:dyDescent="0.25">
      <c r="A122" t="s">
        <v>667</v>
      </c>
    </row>
    <row r="123" spans="1:1" hidden="1" x14ac:dyDescent="0.25">
      <c r="A123" t="s">
        <v>392</v>
      </c>
    </row>
    <row r="124" spans="1:1" x14ac:dyDescent="0.25">
      <c r="A124" t="s">
        <v>1058</v>
      </c>
    </row>
    <row r="125" spans="1:1" hidden="1" x14ac:dyDescent="0.25">
      <c r="A125" t="s">
        <v>186</v>
      </c>
    </row>
    <row r="126" spans="1:1" hidden="1" x14ac:dyDescent="0.25">
      <c r="A126" t="s">
        <v>553</v>
      </c>
    </row>
    <row r="127" spans="1:1" hidden="1" x14ac:dyDescent="0.25">
      <c r="A127" t="s">
        <v>449</v>
      </c>
    </row>
    <row r="128" spans="1:1" hidden="1" x14ac:dyDescent="0.25">
      <c r="A128" t="s">
        <v>274</v>
      </c>
    </row>
    <row r="129" spans="1:1" hidden="1" x14ac:dyDescent="0.25">
      <c r="A129" t="s">
        <v>648</v>
      </c>
    </row>
    <row r="130" spans="1:1" hidden="1" x14ac:dyDescent="0.25">
      <c r="A130" t="s">
        <v>449</v>
      </c>
    </row>
    <row r="131" spans="1:1" hidden="1" x14ac:dyDescent="0.25">
      <c r="A131" t="s">
        <v>274</v>
      </c>
    </row>
    <row r="132" spans="1:1" hidden="1" x14ac:dyDescent="0.25">
      <c r="A132" t="s">
        <v>150</v>
      </c>
    </row>
    <row r="133" spans="1:1" x14ac:dyDescent="0.25">
      <c r="A133" t="s">
        <v>1126</v>
      </c>
    </row>
    <row r="134" spans="1:1" hidden="1" x14ac:dyDescent="0.25">
      <c r="A134" t="s">
        <v>1126</v>
      </c>
    </row>
    <row r="135" spans="1:1" hidden="1" x14ac:dyDescent="0.25">
      <c r="A135" t="s">
        <v>306</v>
      </c>
    </row>
    <row r="136" spans="1:1" hidden="1" x14ac:dyDescent="0.25">
      <c r="A136" t="s">
        <v>186</v>
      </c>
    </row>
    <row r="137" spans="1:1" hidden="1" x14ac:dyDescent="0.25">
      <c r="A137" t="s">
        <v>380</v>
      </c>
    </row>
    <row r="138" spans="1:1" x14ac:dyDescent="0.25">
      <c r="A138" t="s">
        <v>1155</v>
      </c>
    </row>
    <row r="139" spans="1:1" hidden="1" x14ac:dyDescent="0.25">
      <c r="A139" t="s">
        <v>648</v>
      </c>
    </row>
    <row r="140" spans="1:1" hidden="1" x14ac:dyDescent="0.25">
      <c r="A140" t="s">
        <v>553</v>
      </c>
    </row>
    <row r="141" spans="1:1" hidden="1" x14ac:dyDescent="0.25">
      <c r="A141" t="s">
        <v>449</v>
      </c>
    </row>
    <row r="142" spans="1:1" hidden="1" x14ac:dyDescent="0.25">
      <c r="A142" t="s">
        <v>169</v>
      </c>
    </row>
    <row r="143" spans="1:1" hidden="1" x14ac:dyDescent="0.25">
      <c r="A143" t="s">
        <v>306</v>
      </c>
    </row>
    <row r="144" spans="1:1" hidden="1" x14ac:dyDescent="0.25">
      <c r="A144" t="s">
        <v>788</v>
      </c>
    </row>
    <row r="145" spans="1:1" hidden="1" x14ac:dyDescent="0.25">
      <c r="A145" t="s">
        <v>244</v>
      </c>
    </row>
    <row r="146" spans="1:1" hidden="1" x14ac:dyDescent="0.25">
      <c r="A146" t="s">
        <v>859</v>
      </c>
    </row>
    <row r="147" spans="1:1" x14ac:dyDescent="0.25">
      <c r="A147" t="s">
        <v>1221</v>
      </c>
    </row>
    <row r="148" spans="1:1" x14ac:dyDescent="0.25">
      <c r="A148" t="s">
        <v>1229</v>
      </c>
    </row>
    <row r="149" spans="1:1" hidden="1" x14ac:dyDescent="0.25">
      <c r="A149" t="s">
        <v>306</v>
      </c>
    </row>
    <row r="150" spans="1:1" hidden="1" x14ac:dyDescent="0.25">
      <c r="A150" t="s">
        <v>306</v>
      </c>
    </row>
    <row r="151" spans="1:1" hidden="1" x14ac:dyDescent="0.25">
      <c r="A151" t="s">
        <v>449</v>
      </c>
    </row>
    <row r="152" spans="1:1" hidden="1" x14ac:dyDescent="0.25">
      <c r="A152" t="s">
        <v>169</v>
      </c>
    </row>
    <row r="153" spans="1:1" hidden="1" x14ac:dyDescent="0.25">
      <c r="A153" t="s">
        <v>380</v>
      </c>
    </row>
    <row r="154" spans="1:1" hidden="1" x14ac:dyDescent="0.25">
      <c r="A154" t="s">
        <v>572</v>
      </c>
    </row>
    <row r="155" spans="1:1" hidden="1" x14ac:dyDescent="0.25">
      <c r="A155" t="s">
        <v>1126</v>
      </c>
    </row>
    <row r="156" spans="1:1" hidden="1" x14ac:dyDescent="0.25">
      <c r="A156" t="s">
        <v>61</v>
      </c>
    </row>
    <row r="157" spans="1:1" hidden="1" x14ac:dyDescent="0.25">
      <c r="A157" t="s">
        <v>926</v>
      </c>
    </row>
    <row r="158" spans="1:1" hidden="1" x14ac:dyDescent="0.25">
      <c r="A158" t="s">
        <v>306</v>
      </c>
    </row>
    <row r="159" spans="1:1" hidden="1" x14ac:dyDescent="0.25">
      <c r="A159" t="s">
        <v>482</v>
      </c>
    </row>
    <row r="160" spans="1:1" hidden="1" x14ac:dyDescent="0.25">
      <c r="A160" t="s">
        <v>667</v>
      </c>
    </row>
    <row r="161" spans="1:1" hidden="1" x14ac:dyDescent="0.25">
      <c r="A161" t="s">
        <v>244</v>
      </c>
    </row>
    <row r="162" spans="1:1" hidden="1" x14ac:dyDescent="0.25">
      <c r="A162" t="s">
        <v>392</v>
      </c>
    </row>
    <row r="163" spans="1:1" hidden="1" x14ac:dyDescent="0.25">
      <c r="A163" t="s">
        <v>186</v>
      </c>
    </row>
    <row r="164" spans="1:1" hidden="1" x14ac:dyDescent="0.25">
      <c r="A164" t="s">
        <v>553</v>
      </c>
    </row>
    <row r="165" spans="1:1" hidden="1" x14ac:dyDescent="0.25">
      <c r="A165" t="s">
        <v>41</v>
      </c>
    </row>
    <row r="166" spans="1:1" x14ac:dyDescent="0.25">
      <c r="A166" t="s">
        <v>1348</v>
      </c>
    </row>
    <row r="167" spans="1:1" hidden="1" x14ac:dyDescent="0.25">
      <c r="A167" t="s">
        <v>680</v>
      </c>
    </row>
    <row r="168" spans="1:1" hidden="1" x14ac:dyDescent="0.25">
      <c r="A168" t="s">
        <v>859</v>
      </c>
    </row>
    <row r="169" spans="1:1" x14ac:dyDescent="0.25">
      <c r="A169" t="s">
        <v>1372</v>
      </c>
    </row>
    <row r="170" spans="1:1" hidden="1" x14ac:dyDescent="0.25">
      <c r="A170" t="s">
        <v>306</v>
      </c>
    </row>
    <row r="171" spans="1:1" hidden="1" x14ac:dyDescent="0.25">
      <c r="A171" t="s">
        <v>263</v>
      </c>
    </row>
    <row r="172" spans="1:1" hidden="1" x14ac:dyDescent="0.25">
      <c r="A172" t="s">
        <v>482</v>
      </c>
    </row>
    <row r="173" spans="1:1" hidden="1" x14ac:dyDescent="0.25">
      <c r="A173" t="s">
        <v>449</v>
      </c>
    </row>
    <row r="174" spans="1:1" hidden="1" x14ac:dyDescent="0.25">
      <c r="A174" t="s">
        <v>680</v>
      </c>
    </row>
    <row r="175" spans="1:1" hidden="1" x14ac:dyDescent="0.25">
      <c r="A175" t="s">
        <v>392</v>
      </c>
    </row>
    <row r="176" spans="1:1" hidden="1" x14ac:dyDescent="0.25">
      <c r="A176" t="s">
        <v>416</v>
      </c>
    </row>
    <row r="177" spans="1:1" hidden="1" x14ac:dyDescent="0.25">
      <c r="A177" t="s">
        <v>648</v>
      </c>
    </row>
    <row r="178" spans="1:1" hidden="1" x14ac:dyDescent="0.25">
      <c r="A178" t="s">
        <v>580</v>
      </c>
    </row>
    <row r="179" spans="1:1" hidden="1" x14ac:dyDescent="0.25">
      <c r="A179" t="s">
        <v>123</v>
      </c>
    </row>
    <row r="180" spans="1:1" x14ac:dyDescent="0.25">
      <c r="A180" t="s">
        <v>1443</v>
      </c>
    </row>
    <row r="181" spans="1:1" hidden="1" x14ac:dyDescent="0.25">
      <c r="A181" t="s">
        <v>440</v>
      </c>
    </row>
    <row r="182" spans="1:1" hidden="1" x14ac:dyDescent="0.25">
      <c r="A182" t="s">
        <v>416</v>
      </c>
    </row>
    <row r="183" spans="1:1" hidden="1" x14ac:dyDescent="0.25">
      <c r="A183" t="s">
        <v>392</v>
      </c>
    </row>
    <row r="184" spans="1:1" x14ac:dyDescent="0.25">
      <c r="A184" t="s">
        <v>1469</v>
      </c>
    </row>
    <row r="185" spans="1:1" hidden="1" x14ac:dyDescent="0.25">
      <c r="A185" t="s">
        <v>667</v>
      </c>
    </row>
    <row r="186" spans="1:1" hidden="1" x14ac:dyDescent="0.25">
      <c r="A186" t="s">
        <v>169</v>
      </c>
    </row>
    <row r="187" spans="1:1" hidden="1" x14ac:dyDescent="0.25">
      <c r="A187" t="s">
        <v>215</v>
      </c>
    </row>
    <row r="188" spans="1:1" hidden="1" x14ac:dyDescent="0.25">
      <c r="A188" t="s">
        <v>306</v>
      </c>
    </row>
    <row r="189" spans="1:1" hidden="1" x14ac:dyDescent="0.25">
      <c r="A189" t="s">
        <v>1126</v>
      </c>
    </row>
    <row r="190" spans="1:1" hidden="1" x14ac:dyDescent="0.25">
      <c r="A190" t="s">
        <v>580</v>
      </c>
    </row>
    <row r="191" spans="1:1" hidden="1" x14ac:dyDescent="0.25">
      <c r="A191" t="s">
        <v>440</v>
      </c>
    </row>
    <row r="192" spans="1:1" hidden="1" x14ac:dyDescent="0.25">
      <c r="A192" t="s">
        <v>392</v>
      </c>
    </row>
    <row r="193" spans="1:1" hidden="1" x14ac:dyDescent="0.25">
      <c r="A193" t="s">
        <v>648</v>
      </c>
    </row>
    <row r="194" spans="1:1" hidden="1" x14ac:dyDescent="0.25">
      <c r="A194" t="s">
        <v>215</v>
      </c>
    </row>
    <row r="195" spans="1:1" x14ac:dyDescent="0.25">
      <c r="A195" t="s">
        <v>1552</v>
      </c>
    </row>
    <row r="196" spans="1:1" hidden="1" x14ac:dyDescent="0.25">
      <c r="A196" t="s">
        <v>150</v>
      </c>
    </row>
    <row r="197" spans="1:1" hidden="1" x14ac:dyDescent="0.25">
      <c r="A197" t="s">
        <v>392</v>
      </c>
    </row>
    <row r="198" spans="1:1" hidden="1" x14ac:dyDescent="0.25">
      <c r="A198" t="s">
        <v>622</v>
      </c>
    </row>
    <row r="199" spans="1:1" hidden="1" x14ac:dyDescent="0.25">
      <c r="A199" t="s">
        <v>61</v>
      </c>
    </row>
    <row r="200" spans="1:1" hidden="1" x14ac:dyDescent="0.25">
      <c r="A200" t="s">
        <v>123</v>
      </c>
    </row>
    <row r="201" spans="1:1" hidden="1" x14ac:dyDescent="0.25">
      <c r="A201" t="s">
        <v>186</v>
      </c>
    </row>
    <row r="202" spans="1:1" hidden="1" x14ac:dyDescent="0.25">
      <c r="A202" t="s">
        <v>392</v>
      </c>
    </row>
    <row r="203" spans="1:1" hidden="1" x14ac:dyDescent="0.25">
      <c r="A203" t="s">
        <v>380</v>
      </c>
    </row>
    <row r="204" spans="1:1" hidden="1" x14ac:dyDescent="0.25">
      <c r="A204" t="s">
        <v>553</v>
      </c>
    </row>
    <row r="205" spans="1:1" hidden="1" x14ac:dyDescent="0.25">
      <c r="A205" t="s">
        <v>532</v>
      </c>
    </row>
    <row r="206" spans="1:1" hidden="1" x14ac:dyDescent="0.25">
      <c r="A206" t="s">
        <v>274</v>
      </c>
    </row>
    <row r="207" spans="1:1" hidden="1" x14ac:dyDescent="0.25">
      <c r="A207" t="s">
        <v>440</v>
      </c>
    </row>
    <row r="208" spans="1:1" hidden="1" x14ac:dyDescent="0.25">
      <c r="A208" t="s">
        <v>667</v>
      </c>
    </row>
    <row r="209" spans="1:1" hidden="1" x14ac:dyDescent="0.25">
      <c r="A209" t="s">
        <v>380</v>
      </c>
    </row>
    <row r="210" spans="1:1" hidden="1" x14ac:dyDescent="0.25">
      <c r="A210" t="s">
        <v>580</v>
      </c>
    </row>
    <row r="211" spans="1:1" hidden="1" x14ac:dyDescent="0.25">
      <c r="A211" t="s">
        <v>186</v>
      </c>
    </row>
    <row r="212" spans="1:1" hidden="1" x14ac:dyDescent="0.25">
      <c r="A212" t="s">
        <v>244</v>
      </c>
    </row>
    <row r="213" spans="1:1" hidden="1" x14ac:dyDescent="0.25">
      <c r="A213" t="s">
        <v>1126</v>
      </c>
    </row>
    <row r="214" spans="1:1" hidden="1" x14ac:dyDescent="0.25">
      <c r="A214" t="s">
        <v>244</v>
      </c>
    </row>
    <row r="215" spans="1:1" hidden="1" x14ac:dyDescent="0.25">
      <c r="A215" t="s">
        <v>1126</v>
      </c>
    </row>
    <row r="216" spans="1:1" hidden="1" x14ac:dyDescent="0.25">
      <c r="A216" t="s">
        <v>580</v>
      </c>
    </row>
    <row r="217" spans="1:1" hidden="1" x14ac:dyDescent="0.25">
      <c r="A217" t="s">
        <v>392</v>
      </c>
    </row>
    <row r="218" spans="1:1" hidden="1" x14ac:dyDescent="0.25">
      <c r="A218" t="s">
        <v>482</v>
      </c>
    </row>
    <row r="219" spans="1:1" hidden="1" x14ac:dyDescent="0.25">
      <c r="A219" t="s">
        <v>306</v>
      </c>
    </row>
    <row r="220" spans="1:1" hidden="1" x14ac:dyDescent="0.25">
      <c r="A220" t="s">
        <v>680</v>
      </c>
    </row>
    <row r="221" spans="1:1" hidden="1" x14ac:dyDescent="0.25">
      <c r="A221" t="s">
        <v>392</v>
      </c>
    </row>
    <row r="222" spans="1:1" hidden="1" x14ac:dyDescent="0.25">
      <c r="A222" t="s">
        <v>1552</v>
      </c>
    </row>
    <row r="223" spans="1:1" hidden="1" x14ac:dyDescent="0.25">
      <c r="A223" t="s">
        <v>244</v>
      </c>
    </row>
    <row r="224" spans="1:1" hidden="1" x14ac:dyDescent="0.25">
      <c r="A224" t="s">
        <v>392</v>
      </c>
    </row>
    <row r="225" spans="1:1" hidden="1" x14ac:dyDescent="0.25">
      <c r="A225" t="s">
        <v>169</v>
      </c>
    </row>
    <row r="226" spans="1:1" hidden="1" x14ac:dyDescent="0.25">
      <c r="A226" t="s">
        <v>94</v>
      </c>
    </row>
    <row r="227" spans="1:1" hidden="1" x14ac:dyDescent="0.25">
      <c r="A227" t="s">
        <v>263</v>
      </c>
    </row>
    <row r="228" spans="1:1" hidden="1" x14ac:dyDescent="0.25">
      <c r="A228" t="s">
        <v>306</v>
      </c>
    </row>
    <row r="229" spans="1:1" hidden="1" x14ac:dyDescent="0.25">
      <c r="A229" t="s">
        <v>532</v>
      </c>
    </row>
    <row r="230" spans="1:1" hidden="1" x14ac:dyDescent="0.25">
      <c r="A230" t="s">
        <v>667</v>
      </c>
    </row>
    <row r="231" spans="1:1" hidden="1" x14ac:dyDescent="0.25">
      <c r="A231" t="s">
        <v>1155</v>
      </c>
    </row>
    <row r="232" spans="1:1" hidden="1" x14ac:dyDescent="0.25">
      <c r="A232" t="s">
        <v>622</v>
      </c>
    </row>
    <row r="233" spans="1:1" hidden="1" x14ac:dyDescent="0.25">
      <c r="A233" t="s">
        <v>392</v>
      </c>
    </row>
    <row r="234" spans="1:1" hidden="1" x14ac:dyDescent="0.25">
      <c r="A234" t="s">
        <v>440</v>
      </c>
    </row>
    <row r="235" spans="1:1" hidden="1" x14ac:dyDescent="0.25">
      <c r="A235" t="s">
        <v>392</v>
      </c>
    </row>
    <row r="236" spans="1:1" x14ac:dyDescent="0.25">
      <c r="A236" t="s">
        <v>1798</v>
      </c>
    </row>
    <row r="237" spans="1:1" hidden="1" x14ac:dyDescent="0.25">
      <c r="A237" t="s">
        <v>186</v>
      </c>
    </row>
    <row r="238" spans="1:1" hidden="1" x14ac:dyDescent="0.25">
      <c r="A238" t="s">
        <v>635</v>
      </c>
    </row>
    <row r="239" spans="1:1" hidden="1" x14ac:dyDescent="0.25">
      <c r="A239" t="s">
        <v>680</v>
      </c>
    </row>
    <row r="240" spans="1:1" hidden="1" x14ac:dyDescent="0.25">
      <c r="A240" t="s">
        <v>1469</v>
      </c>
    </row>
    <row r="241" spans="1:1" hidden="1" x14ac:dyDescent="0.25">
      <c r="A241" t="s">
        <v>1443</v>
      </c>
    </row>
    <row r="242" spans="1:1" hidden="1" x14ac:dyDescent="0.25">
      <c r="A242" t="s">
        <v>244</v>
      </c>
    </row>
    <row r="243" spans="1:1" hidden="1" x14ac:dyDescent="0.25">
      <c r="A243" t="s">
        <v>186</v>
      </c>
    </row>
    <row r="244" spans="1:1" hidden="1" x14ac:dyDescent="0.25">
      <c r="A244" t="s">
        <v>416</v>
      </c>
    </row>
    <row r="245" spans="1:1" hidden="1" x14ac:dyDescent="0.25">
      <c r="A245" t="s">
        <v>788</v>
      </c>
    </row>
    <row r="246" spans="1:1" hidden="1" x14ac:dyDescent="0.25">
      <c r="A246" t="s">
        <v>553</v>
      </c>
    </row>
    <row r="247" spans="1:1" hidden="1" x14ac:dyDescent="0.25">
      <c r="A247" t="s">
        <v>306</v>
      </c>
    </row>
    <row r="248" spans="1:1" hidden="1" x14ac:dyDescent="0.25">
      <c r="A248" t="s">
        <v>150</v>
      </c>
    </row>
    <row r="249" spans="1:1" x14ac:dyDescent="0.25">
      <c r="A249" t="s">
        <v>1874</v>
      </c>
    </row>
    <row r="250" spans="1:1" hidden="1" x14ac:dyDescent="0.25">
      <c r="A250" t="s">
        <v>306</v>
      </c>
    </row>
    <row r="251" spans="1:1" hidden="1" x14ac:dyDescent="0.25">
      <c r="A251" t="s">
        <v>392</v>
      </c>
    </row>
    <row r="252" spans="1:1" hidden="1" x14ac:dyDescent="0.25">
      <c r="A252" t="s">
        <v>215</v>
      </c>
    </row>
    <row r="253" spans="1:1" hidden="1" x14ac:dyDescent="0.25">
      <c r="A253" t="s">
        <v>580</v>
      </c>
    </row>
    <row r="254" spans="1:1" hidden="1" x14ac:dyDescent="0.25">
      <c r="A254" t="s">
        <v>244</v>
      </c>
    </row>
    <row r="255" spans="1:1" hidden="1" x14ac:dyDescent="0.25">
      <c r="A255" t="s">
        <v>648</v>
      </c>
    </row>
    <row r="256" spans="1:1" hidden="1" x14ac:dyDescent="0.25">
      <c r="A256" t="s">
        <v>380</v>
      </c>
    </row>
    <row r="257" spans="1:1" hidden="1" x14ac:dyDescent="0.25">
      <c r="A257" t="s">
        <v>449</v>
      </c>
    </row>
    <row r="258" spans="1:1" x14ac:dyDescent="0.25">
      <c r="A258" t="s">
        <v>1936</v>
      </c>
    </row>
    <row r="259" spans="1:1" hidden="1" x14ac:dyDescent="0.25">
      <c r="A259" t="s">
        <v>893</v>
      </c>
    </row>
    <row r="260" spans="1:1" hidden="1" x14ac:dyDescent="0.25">
      <c r="A260" t="s">
        <v>392</v>
      </c>
    </row>
    <row r="261" spans="1:1" hidden="1" x14ac:dyDescent="0.25">
      <c r="A261" t="s">
        <v>274</v>
      </c>
    </row>
    <row r="262" spans="1:1" hidden="1" x14ac:dyDescent="0.25">
      <c r="A262" t="s">
        <v>893</v>
      </c>
    </row>
    <row r="263" spans="1:1" hidden="1" x14ac:dyDescent="0.25">
      <c r="A263" t="s">
        <v>416</v>
      </c>
    </row>
    <row r="264" spans="1:1" hidden="1" x14ac:dyDescent="0.25">
      <c r="A264" t="s">
        <v>306</v>
      </c>
    </row>
    <row r="265" spans="1:1" hidden="1" x14ac:dyDescent="0.25">
      <c r="A265" t="s">
        <v>244</v>
      </c>
    </row>
    <row r="266" spans="1:1" hidden="1" x14ac:dyDescent="0.25">
      <c r="A266" t="s">
        <v>532</v>
      </c>
    </row>
    <row r="267" spans="1:1" hidden="1" x14ac:dyDescent="0.25">
      <c r="A267" t="s">
        <v>562</v>
      </c>
    </row>
    <row r="268" spans="1:1" hidden="1" x14ac:dyDescent="0.25">
      <c r="A268" t="s">
        <v>1058</v>
      </c>
    </row>
    <row r="269" spans="1:1" hidden="1" x14ac:dyDescent="0.25">
      <c r="A269" t="s">
        <v>169</v>
      </c>
    </row>
    <row r="270" spans="1:1" x14ac:dyDescent="0.25">
      <c r="A270" t="s">
        <v>2001</v>
      </c>
    </row>
    <row r="271" spans="1:1" hidden="1" x14ac:dyDescent="0.25">
      <c r="A271" t="s">
        <v>648</v>
      </c>
    </row>
    <row r="272" spans="1:1" hidden="1" x14ac:dyDescent="0.25">
      <c r="A272" t="s">
        <v>416</v>
      </c>
    </row>
    <row r="273" spans="1:1" hidden="1" x14ac:dyDescent="0.25">
      <c r="A273" t="s">
        <v>380</v>
      </c>
    </row>
    <row r="274" spans="1:1" hidden="1" x14ac:dyDescent="0.25">
      <c r="A274" t="s">
        <v>893</v>
      </c>
    </row>
    <row r="275" spans="1:1" hidden="1" x14ac:dyDescent="0.25">
      <c r="A275" t="s">
        <v>123</v>
      </c>
    </row>
    <row r="276" spans="1:1" hidden="1" x14ac:dyDescent="0.25">
      <c r="A276" t="s">
        <v>893</v>
      </c>
    </row>
    <row r="277" spans="1:1" hidden="1" x14ac:dyDescent="0.25">
      <c r="A277" t="s">
        <v>562</v>
      </c>
    </row>
    <row r="278" spans="1:1" hidden="1" x14ac:dyDescent="0.25">
      <c r="A278" t="s">
        <v>244</v>
      </c>
    </row>
    <row r="279" spans="1:1" hidden="1" x14ac:dyDescent="0.25">
      <c r="A279" t="s">
        <v>263</v>
      </c>
    </row>
    <row r="280" spans="1:1" hidden="1" x14ac:dyDescent="0.25">
      <c r="A280" t="s">
        <v>380</v>
      </c>
    </row>
    <row r="281" spans="1:1" hidden="1" x14ac:dyDescent="0.25">
      <c r="A281" t="s">
        <v>893</v>
      </c>
    </row>
    <row r="282" spans="1:1" x14ac:dyDescent="0.25">
      <c r="A282" t="s">
        <v>2060</v>
      </c>
    </row>
    <row r="283" spans="1:1" hidden="1" x14ac:dyDescent="0.25">
      <c r="A283" t="s">
        <v>392</v>
      </c>
    </row>
    <row r="284" spans="1:1" hidden="1" x14ac:dyDescent="0.25">
      <c r="A284" t="s">
        <v>41</v>
      </c>
    </row>
    <row r="285" spans="1:1" hidden="1" x14ac:dyDescent="0.25">
      <c r="A285" t="s">
        <v>263</v>
      </c>
    </row>
    <row r="286" spans="1:1" hidden="1" x14ac:dyDescent="0.25">
      <c r="A286" t="s">
        <v>635</v>
      </c>
    </row>
    <row r="287" spans="1:1" x14ac:dyDescent="0.25">
      <c r="A287" t="s">
        <v>2085</v>
      </c>
    </row>
    <row r="288" spans="1:1" hidden="1" x14ac:dyDescent="0.25">
      <c r="A288" t="s">
        <v>449</v>
      </c>
    </row>
    <row r="289" spans="1:1" hidden="1" x14ac:dyDescent="0.25">
      <c r="A289" t="s">
        <v>215</v>
      </c>
    </row>
    <row r="290" spans="1:1" hidden="1" x14ac:dyDescent="0.25">
      <c r="A290" t="s">
        <v>2001</v>
      </c>
    </row>
    <row r="291" spans="1:1" hidden="1" x14ac:dyDescent="0.25">
      <c r="A291" t="s">
        <v>274</v>
      </c>
    </row>
    <row r="292" spans="1:1" hidden="1" x14ac:dyDescent="0.25">
      <c r="A292" t="s">
        <v>667</v>
      </c>
    </row>
    <row r="293" spans="1:1" hidden="1" x14ac:dyDescent="0.25">
      <c r="A293" t="s">
        <v>449</v>
      </c>
    </row>
    <row r="294" spans="1:1" hidden="1" x14ac:dyDescent="0.25">
      <c r="A294" t="s">
        <v>1126</v>
      </c>
    </row>
    <row r="295" spans="1:1" hidden="1" x14ac:dyDescent="0.25">
      <c r="A295" t="s">
        <v>893</v>
      </c>
    </row>
    <row r="296" spans="1:1" hidden="1" x14ac:dyDescent="0.25">
      <c r="A296" t="s">
        <v>926</v>
      </c>
    </row>
    <row r="297" spans="1:1" x14ac:dyDescent="0.25">
      <c r="A297" t="s">
        <v>2128</v>
      </c>
    </row>
    <row r="298" spans="1:1" hidden="1" x14ac:dyDescent="0.25">
      <c r="A298" t="s">
        <v>449</v>
      </c>
    </row>
    <row r="299" spans="1:1" hidden="1" x14ac:dyDescent="0.25">
      <c r="A299" t="s">
        <v>306</v>
      </c>
    </row>
    <row r="300" spans="1:1" hidden="1" x14ac:dyDescent="0.25">
      <c r="A300" t="s">
        <v>622</v>
      </c>
    </row>
    <row r="301" spans="1:1" hidden="1" x14ac:dyDescent="0.25">
      <c r="A301" t="s">
        <v>169</v>
      </c>
    </row>
    <row r="302" spans="1:1" hidden="1" x14ac:dyDescent="0.25">
      <c r="A302" t="s">
        <v>186</v>
      </c>
    </row>
    <row r="303" spans="1:1" hidden="1" x14ac:dyDescent="0.25">
      <c r="A303" t="s">
        <v>150</v>
      </c>
    </row>
    <row r="304" spans="1:1" hidden="1" x14ac:dyDescent="0.25">
      <c r="A304" t="s">
        <v>1126</v>
      </c>
    </row>
    <row r="305" spans="1:1" hidden="1" x14ac:dyDescent="0.25">
      <c r="A305" t="s">
        <v>449</v>
      </c>
    </row>
    <row r="306" spans="1:1" hidden="1" x14ac:dyDescent="0.25">
      <c r="A306" t="s">
        <v>392</v>
      </c>
    </row>
    <row r="307" spans="1:1" hidden="1" x14ac:dyDescent="0.25">
      <c r="A307" t="s">
        <v>263</v>
      </c>
    </row>
    <row r="308" spans="1:1" hidden="1" x14ac:dyDescent="0.25">
      <c r="A308" t="s">
        <v>449</v>
      </c>
    </row>
    <row r="309" spans="1:1" hidden="1" x14ac:dyDescent="0.25">
      <c r="A309" t="s">
        <v>380</v>
      </c>
    </row>
    <row r="310" spans="1:1" hidden="1" x14ac:dyDescent="0.25">
      <c r="A310" t="s">
        <v>667</v>
      </c>
    </row>
    <row r="311" spans="1:1" hidden="1" x14ac:dyDescent="0.25">
      <c r="A311" t="s">
        <v>859</v>
      </c>
    </row>
    <row r="312" spans="1:1" hidden="1" x14ac:dyDescent="0.25">
      <c r="A312" t="s">
        <v>306</v>
      </c>
    </row>
    <row r="313" spans="1:1" hidden="1" x14ac:dyDescent="0.25">
      <c r="A313" t="s">
        <v>1229</v>
      </c>
    </row>
    <row r="314" spans="1:1" hidden="1" x14ac:dyDescent="0.25">
      <c r="A314" t="s">
        <v>380</v>
      </c>
    </row>
    <row r="315" spans="1:1" hidden="1" x14ac:dyDescent="0.25">
      <c r="A315" t="s">
        <v>807</v>
      </c>
    </row>
    <row r="316" spans="1:1" hidden="1" x14ac:dyDescent="0.25">
      <c r="A316" t="s">
        <v>622</v>
      </c>
    </row>
    <row r="317" spans="1:1" hidden="1" x14ac:dyDescent="0.25">
      <c r="A317" t="s">
        <v>648</v>
      </c>
    </row>
    <row r="318" spans="1:1" hidden="1" x14ac:dyDescent="0.25">
      <c r="A318" t="s">
        <v>622</v>
      </c>
    </row>
    <row r="319" spans="1:1" hidden="1" x14ac:dyDescent="0.25">
      <c r="A319" t="s">
        <v>392</v>
      </c>
    </row>
    <row r="320" spans="1:1" hidden="1" x14ac:dyDescent="0.25">
      <c r="A320" t="s">
        <v>467</v>
      </c>
    </row>
    <row r="321" spans="1:1" hidden="1" x14ac:dyDescent="0.25">
      <c r="A321" t="s">
        <v>2085</v>
      </c>
    </row>
    <row r="322" spans="1:1" hidden="1" x14ac:dyDescent="0.25">
      <c r="A322" t="s">
        <v>215</v>
      </c>
    </row>
    <row r="323" spans="1:1" hidden="1" x14ac:dyDescent="0.25">
      <c r="A323" t="s">
        <v>380</v>
      </c>
    </row>
    <row r="324" spans="1:1" hidden="1" x14ac:dyDescent="0.25">
      <c r="A324" t="s">
        <v>123</v>
      </c>
    </row>
    <row r="325" spans="1:1" hidden="1" x14ac:dyDescent="0.25">
      <c r="A325" t="s">
        <v>263</v>
      </c>
    </row>
    <row r="326" spans="1:1" hidden="1" x14ac:dyDescent="0.25">
      <c r="A326" t="s">
        <v>380</v>
      </c>
    </row>
    <row r="327" spans="1:1" hidden="1" x14ac:dyDescent="0.25">
      <c r="A327" t="s">
        <v>380</v>
      </c>
    </row>
    <row r="328" spans="1:1" hidden="1" x14ac:dyDescent="0.25">
      <c r="A328" t="s">
        <v>215</v>
      </c>
    </row>
    <row r="329" spans="1:1" hidden="1" x14ac:dyDescent="0.25">
      <c r="A329" t="s">
        <v>263</v>
      </c>
    </row>
    <row r="330" spans="1:1" hidden="1" x14ac:dyDescent="0.25">
      <c r="A330" t="s">
        <v>380</v>
      </c>
    </row>
    <row r="331" spans="1:1" hidden="1" x14ac:dyDescent="0.25">
      <c r="A331" t="s">
        <v>622</v>
      </c>
    </row>
    <row r="332" spans="1:1" hidden="1" x14ac:dyDescent="0.25">
      <c r="A332" t="s">
        <v>94</v>
      </c>
    </row>
    <row r="333" spans="1:1" x14ac:dyDescent="0.25">
      <c r="A333" t="s">
        <v>2309</v>
      </c>
    </row>
    <row r="334" spans="1:1" hidden="1" x14ac:dyDescent="0.25">
      <c r="A334" t="s">
        <v>205</v>
      </c>
    </row>
    <row r="335" spans="1:1" hidden="1" x14ac:dyDescent="0.25">
      <c r="A335" t="s">
        <v>893</v>
      </c>
    </row>
    <row r="336" spans="1:1" hidden="1" x14ac:dyDescent="0.25">
      <c r="A336" t="s">
        <v>150</v>
      </c>
    </row>
    <row r="337" spans="1:1" hidden="1" x14ac:dyDescent="0.25">
      <c r="A337" t="s">
        <v>392</v>
      </c>
    </row>
    <row r="338" spans="1:1" hidden="1" x14ac:dyDescent="0.25">
      <c r="A338" t="s">
        <v>244</v>
      </c>
    </row>
    <row r="339" spans="1:1" hidden="1" x14ac:dyDescent="0.25">
      <c r="A339" t="s">
        <v>926</v>
      </c>
    </row>
    <row r="340" spans="1:1" hidden="1" x14ac:dyDescent="0.25">
      <c r="A340" t="s">
        <v>1155</v>
      </c>
    </row>
    <row r="341" spans="1:1" hidden="1" x14ac:dyDescent="0.25">
      <c r="A341" t="s">
        <v>1126</v>
      </c>
    </row>
    <row r="342" spans="1:1" hidden="1" x14ac:dyDescent="0.25">
      <c r="A342" t="s">
        <v>306</v>
      </c>
    </row>
    <row r="343" spans="1:1" hidden="1" x14ac:dyDescent="0.25">
      <c r="A343" t="s">
        <v>1348</v>
      </c>
    </row>
    <row r="344" spans="1:1" hidden="1" x14ac:dyDescent="0.25">
      <c r="A344" t="s">
        <v>951</v>
      </c>
    </row>
    <row r="345" spans="1:1" hidden="1" x14ac:dyDescent="0.25">
      <c r="A345" t="s">
        <v>306</v>
      </c>
    </row>
    <row r="346" spans="1:1" hidden="1" x14ac:dyDescent="0.25">
      <c r="A346" t="s">
        <v>244</v>
      </c>
    </row>
    <row r="347" spans="1:1" hidden="1" x14ac:dyDescent="0.25">
      <c r="A347" t="s">
        <v>416</v>
      </c>
    </row>
    <row r="348" spans="1:1" hidden="1" x14ac:dyDescent="0.25">
      <c r="A348" t="s">
        <v>244</v>
      </c>
    </row>
    <row r="349" spans="1:1" hidden="1" x14ac:dyDescent="0.25">
      <c r="A349" t="s">
        <v>926</v>
      </c>
    </row>
    <row r="350" spans="1:1" hidden="1" x14ac:dyDescent="0.25">
      <c r="A350" t="s">
        <v>572</v>
      </c>
    </row>
    <row r="351" spans="1:1" hidden="1" x14ac:dyDescent="0.25">
      <c r="A351" t="s">
        <v>951</v>
      </c>
    </row>
    <row r="352" spans="1:1" hidden="1" x14ac:dyDescent="0.25">
      <c r="A352" t="s">
        <v>680</v>
      </c>
    </row>
    <row r="353" spans="1:1" hidden="1" x14ac:dyDescent="0.25">
      <c r="A353" t="s">
        <v>449</v>
      </c>
    </row>
    <row r="354" spans="1:1" hidden="1" x14ac:dyDescent="0.25">
      <c r="A354" t="s">
        <v>859</v>
      </c>
    </row>
    <row r="355" spans="1:1" hidden="1" x14ac:dyDescent="0.25">
      <c r="A355" t="s">
        <v>392</v>
      </c>
    </row>
    <row r="356" spans="1:1" hidden="1" x14ac:dyDescent="0.25">
      <c r="A356" t="s">
        <v>392</v>
      </c>
    </row>
    <row r="357" spans="1:1" hidden="1" x14ac:dyDescent="0.25">
      <c r="A357" t="s">
        <v>186</v>
      </c>
    </row>
    <row r="358" spans="1:1" hidden="1" x14ac:dyDescent="0.25">
      <c r="A358" t="s">
        <v>61</v>
      </c>
    </row>
    <row r="359" spans="1:1" hidden="1" x14ac:dyDescent="0.25">
      <c r="A359" t="s">
        <v>532</v>
      </c>
    </row>
    <row r="360" spans="1:1" hidden="1" x14ac:dyDescent="0.25">
      <c r="A360" t="s">
        <v>926</v>
      </c>
    </row>
    <row r="361" spans="1:1" hidden="1" x14ac:dyDescent="0.25">
      <c r="A361" t="s">
        <v>1126</v>
      </c>
    </row>
    <row r="362" spans="1:1" hidden="1" x14ac:dyDescent="0.25">
      <c r="A362" t="s">
        <v>169</v>
      </c>
    </row>
    <row r="363" spans="1:1" hidden="1" x14ac:dyDescent="0.25">
      <c r="A363" t="s">
        <v>532</v>
      </c>
    </row>
    <row r="364" spans="1:1" hidden="1" x14ac:dyDescent="0.25">
      <c r="A364" t="s">
        <v>61</v>
      </c>
    </row>
    <row r="365" spans="1:1" hidden="1" x14ac:dyDescent="0.25">
      <c r="A365" t="s">
        <v>186</v>
      </c>
    </row>
    <row r="366" spans="1:1" hidden="1" x14ac:dyDescent="0.25">
      <c r="A366" t="s">
        <v>186</v>
      </c>
    </row>
    <row r="367" spans="1:1" hidden="1" x14ac:dyDescent="0.25">
      <c r="A367" t="s">
        <v>1126</v>
      </c>
    </row>
    <row r="368" spans="1:1" hidden="1" x14ac:dyDescent="0.25">
      <c r="A368" t="s">
        <v>244</v>
      </c>
    </row>
    <row r="369" spans="1:1" hidden="1" x14ac:dyDescent="0.25">
      <c r="A369" t="s">
        <v>553</v>
      </c>
    </row>
    <row r="370" spans="1:1" hidden="1" x14ac:dyDescent="0.25">
      <c r="A370" t="s">
        <v>392</v>
      </c>
    </row>
    <row r="371" spans="1:1" hidden="1" x14ac:dyDescent="0.25">
      <c r="A371" t="s">
        <v>648</v>
      </c>
    </row>
    <row r="372" spans="1:1" hidden="1" x14ac:dyDescent="0.25">
      <c r="A372" t="s">
        <v>392</v>
      </c>
    </row>
    <row r="373" spans="1:1" hidden="1" x14ac:dyDescent="0.25">
      <c r="A373" t="s">
        <v>449</v>
      </c>
    </row>
    <row r="374" spans="1:1" hidden="1" x14ac:dyDescent="0.25">
      <c r="A374" t="s">
        <v>572</v>
      </c>
    </row>
    <row r="375" spans="1:1" hidden="1" x14ac:dyDescent="0.25">
      <c r="A375" t="s">
        <v>416</v>
      </c>
    </row>
    <row r="376" spans="1:1" hidden="1" x14ac:dyDescent="0.25">
      <c r="A376" t="s">
        <v>392</v>
      </c>
    </row>
    <row r="377" spans="1:1" hidden="1" x14ac:dyDescent="0.25">
      <c r="A377" t="s">
        <v>648</v>
      </c>
    </row>
    <row r="378" spans="1:1" hidden="1" x14ac:dyDescent="0.25">
      <c r="A378" t="s">
        <v>244</v>
      </c>
    </row>
    <row r="379" spans="1:1" hidden="1" x14ac:dyDescent="0.25">
      <c r="A379" t="s">
        <v>1936</v>
      </c>
    </row>
    <row r="380" spans="1:1" hidden="1" x14ac:dyDescent="0.25">
      <c r="A380" t="s">
        <v>392</v>
      </c>
    </row>
    <row r="381" spans="1:1" hidden="1" x14ac:dyDescent="0.25">
      <c r="A381" t="s">
        <v>893</v>
      </c>
    </row>
    <row r="382" spans="1:1" hidden="1" x14ac:dyDescent="0.25">
      <c r="A382" t="s">
        <v>580</v>
      </c>
    </row>
    <row r="383" spans="1:1" hidden="1" x14ac:dyDescent="0.25">
      <c r="A383" t="s">
        <v>380</v>
      </c>
    </row>
    <row r="384" spans="1:1" hidden="1" x14ac:dyDescent="0.25">
      <c r="A384" t="s">
        <v>440</v>
      </c>
    </row>
    <row r="385" spans="1:1" hidden="1" x14ac:dyDescent="0.25">
      <c r="A385" t="s">
        <v>392</v>
      </c>
    </row>
    <row r="386" spans="1:1" hidden="1" x14ac:dyDescent="0.25">
      <c r="A386" t="s">
        <v>244</v>
      </c>
    </row>
    <row r="387" spans="1:1" hidden="1" x14ac:dyDescent="0.25">
      <c r="A387" t="s">
        <v>482</v>
      </c>
    </row>
    <row r="388" spans="1:1" hidden="1" x14ac:dyDescent="0.25">
      <c r="A388" t="s">
        <v>416</v>
      </c>
    </row>
    <row r="389" spans="1:1" hidden="1" x14ac:dyDescent="0.25">
      <c r="A389" t="s">
        <v>1798</v>
      </c>
    </row>
    <row r="390" spans="1:1" hidden="1" x14ac:dyDescent="0.25">
      <c r="A390" t="s">
        <v>449</v>
      </c>
    </row>
    <row r="391" spans="1:1" hidden="1" x14ac:dyDescent="0.25">
      <c r="A391" t="s">
        <v>2128</v>
      </c>
    </row>
    <row r="392" spans="1:1" hidden="1" x14ac:dyDescent="0.25">
      <c r="A392" t="s">
        <v>667</v>
      </c>
    </row>
    <row r="393" spans="1:1" hidden="1" x14ac:dyDescent="0.25">
      <c r="A393" t="s">
        <v>648</v>
      </c>
    </row>
    <row r="394" spans="1:1" hidden="1" x14ac:dyDescent="0.25">
      <c r="A394" t="s">
        <v>1229</v>
      </c>
    </row>
    <row r="395" spans="1:1" hidden="1" x14ac:dyDescent="0.25">
      <c r="A395" t="s">
        <v>667</v>
      </c>
    </row>
    <row r="396" spans="1:1" hidden="1" x14ac:dyDescent="0.25">
      <c r="A396" t="s">
        <v>2085</v>
      </c>
    </row>
    <row r="397" spans="1:1" hidden="1" x14ac:dyDescent="0.25">
      <c r="A397" t="s">
        <v>553</v>
      </c>
    </row>
    <row r="398" spans="1:1" hidden="1" x14ac:dyDescent="0.25">
      <c r="A398" t="s">
        <v>1443</v>
      </c>
    </row>
    <row r="399" spans="1:1" hidden="1" x14ac:dyDescent="0.25">
      <c r="A399" t="s">
        <v>1874</v>
      </c>
    </row>
    <row r="400" spans="1:1" hidden="1" x14ac:dyDescent="0.25">
      <c r="A400" t="s">
        <v>392</v>
      </c>
    </row>
    <row r="401" spans="1:1" hidden="1" x14ac:dyDescent="0.25">
      <c r="A401" t="s">
        <v>416</v>
      </c>
    </row>
    <row r="402" spans="1:1" hidden="1" x14ac:dyDescent="0.25">
      <c r="A402" t="s">
        <v>440</v>
      </c>
    </row>
    <row r="403" spans="1:1" hidden="1" x14ac:dyDescent="0.25">
      <c r="A403" t="s">
        <v>123</v>
      </c>
    </row>
    <row r="404" spans="1:1" hidden="1" x14ac:dyDescent="0.25">
      <c r="A404" t="s">
        <v>893</v>
      </c>
    </row>
    <row r="405" spans="1:1" hidden="1" x14ac:dyDescent="0.25">
      <c r="A405" t="s">
        <v>572</v>
      </c>
    </row>
    <row r="406" spans="1:1" hidden="1" x14ac:dyDescent="0.25">
      <c r="A406" t="s">
        <v>1229</v>
      </c>
    </row>
    <row r="407" spans="1:1" hidden="1" x14ac:dyDescent="0.25">
      <c r="A407" t="s">
        <v>622</v>
      </c>
    </row>
    <row r="408" spans="1:1" hidden="1" x14ac:dyDescent="0.25">
      <c r="A408" t="s">
        <v>392</v>
      </c>
    </row>
    <row r="409" spans="1:1" hidden="1" x14ac:dyDescent="0.25">
      <c r="A409" t="s">
        <v>553</v>
      </c>
    </row>
    <row r="410" spans="1:1" hidden="1" x14ac:dyDescent="0.25">
      <c r="A410" t="s">
        <v>380</v>
      </c>
    </row>
    <row r="411" spans="1:1" x14ac:dyDescent="0.25">
      <c r="A411" t="s">
        <v>2647</v>
      </c>
    </row>
    <row r="412" spans="1:1" hidden="1" x14ac:dyDescent="0.25">
      <c r="A412" t="s">
        <v>680</v>
      </c>
    </row>
    <row r="413" spans="1:1" hidden="1" x14ac:dyDescent="0.25">
      <c r="A413" t="s">
        <v>380</v>
      </c>
    </row>
    <row r="414" spans="1:1" hidden="1" x14ac:dyDescent="0.25">
      <c r="A414" t="s">
        <v>2128</v>
      </c>
    </row>
    <row r="415" spans="1:1" hidden="1" x14ac:dyDescent="0.25">
      <c r="A415" t="s">
        <v>244</v>
      </c>
    </row>
    <row r="416" spans="1:1" hidden="1" x14ac:dyDescent="0.25">
      <c r="A416" t="s">
        <v>253</v>
      </c>
    </row>
    <row r="417" spans="1:1" hidden="1" x14ac:dyDescent="0.25">
      <c r="A417" t="s">
        <v>169</v>
      </c>
    </row>
    <row r="418" spans="1:1" hidden="1" x14ac:dyDescent="0.25">
      <c r="A418" t="s">
        <v>205</v>
      </c>
    </row>
    <row r="419" spans="1:1" hidden="1" x14ac:dyDescent="0.25">
      <c r="A419" t="s">
        <v>859</v>
      </c>
    </row>
    <row r="420" spans="1:1" hidden="1" x14ac:dyDescent="0.25">
      <c r="A420" t="s">
        <v>667</v>
      </c>
    </row>
    <row r="421" spans="1:1" hidden="1" x14ac:dyDescent="0.25">
      <c r="A421" t="s">
        <v>1126</v>
      </c>
    </row>
    <row r="422" spans="1:1" hidden="1" x14ac:dyDescent="0.25">
      <c r="A422" t="s">
        <v>553</v>
      </c>
    </row>
    <row r="423" spans="1:1" hidden="1" x14ac:dyDescent="0.25">
      <c r="A423" t="s">
        <v>392</v>
      </c>
    </row>
    <row r="424" spans="1:1" hidden="1" x14ac:dyDescent="0.25">
      <c r="A424" t="s">
        <v>2085</v>
      </c>
    </row>
    <row r="425" spans="1:1" hidden="1" x14ac:dyDescent="0.25">
      <c r="A425" t="s">
        <v>449</v>
      </c>
    </row>
    <row r="426" spans="1:1" hidden="1" x14ac:dyDescent="0.25">
      <c r="A426" t="s">
        <v>1126</v>
      </c>
    </row>
    <row r="427" spans="1:1" hidden="1" x14ac:dyDescent="0.25">
      <c r="A427" t="s">
        <v>926</v>
      </c>
    </row>
    <row r="428" spans="1:1" hidden="1" x14ac:dyDescent="0.25">
      <c r="A428" t="s">
        <v>893</v>
      </c>
    </row>
    <row r="429" spans="1:1" hidden="1" x14ac:dyDescent="0.25">
      <c r="A429" t="s">
        <v>1443</v>
      </c>
    </row>
    <row r="430" spans="1:1" hidden="1" x14ac:dyDescent="0.25">
      <c r="A430" t="s">
        <v>306</v>
      </c>
    </row>
    <row r="431" spans="1:1" hidden="1" x14ac:dyDescent="0.25">
      <c r="A431" t="s">
        <v>392</v>
      </c>
    </row>
    <row r="432" spans="1:1" hidden="1" x14ac:dyDescent="0.25">
      <c r="A432" t="s">
        <v>41</v>
      </c>
    </row>
    <row r="433" spans="1:1" hidden="1" x14ac:dyDescent="0.25">
      <c r="A433" t="s">
        <v>392</v>
      </c>
    </row>
    <row r="434" spans="1:1" hidden="1" x14ac:dyDescent="0.25">
      <c r="A434" t="s">
        <v>1155</v>
      </c>
    </row>
    <row r="435" spans="1:1" hidden="1" x14ac:dyDescent="0.25">
      <c r="A435" t="s">
        <v>553</v>
      </c>
    </row>
    <row r="436" spans="1:1" hidden="1" x14ac:dyDescent="0.25">
      <c r="A436" t="s">
        <v>680</v>
      </c>
    </row>
    <row r="437" spans="1:1" hidden="1" x14ac:dyDescent="0.25">
      <c r="A437" t="s">
        <v>1155</v>
      </c>
    </row>
    <row r="438" spans="1:1" hidden="1" x14ac:dyDescent="0.25">
      <c r="A438" t="s">
        <v>648</v>
      </c>
    </row>
    <row r="439" spans="1:1" hidden="1" x14ac:dyDescent="0.25">
      <c r="A439" t="s">
        <v>186</v>
      </c>
    </row>
    <row r="440" spans="1:1" hidden="1" x14ac:dyDescent="0.25">
      <c r="A440" t="s">
        <v>580</v>
      </c>
    </row>
    <row r="441" spans="1:1" hidden="1" x14ac:dyDescent="0.25">
      <c r="A441" t="s">
        <v>306</v>
      </c>
    </row>
    <row r="442" spans="1:1" hidden="1" x14ac:dyDescent="0.25">
      <c r="A442" t="s">
        <v>667</v>
      </c>
    </row>
    <row r="443" spans="1:1" hidden="1" x14ac:dyDescent="0.25">
      <c r="A443" t="s">
        <v>244</v>
      </c>
    </row>
    <row r="444" spans="1:1" hidden="1" x14ac:dyDescent="0.25">
      <c r="A444" t="s">
        <v>392</v>
      </c>
    </row>
    <row r="445" spans="1:1" hidden="1" x14ac:dyDescent="0.25">
      <c r="A445" t="s">
        <v>1874</v>
      </c>
    </row>
    <row r="446" spans="1:1" hidden="1" x14ac:dyDescent="0.25">
      <c r="A446" t="s">
        <v>667</v>
      </c>
    </row>
    <row r="447" spans="1:1" hidden="1" x14ac:dyDescent="0.25">
      <c r="A447" t="s">
        <v>1126</v>
      </c>
    </row>
    <row r="448" spans="1:1" hidden="1" x14ac:dyDescent="0.25">
      <c r="A448" t="s">
        <v>380</v>
      </c>
    </row>
    <row r="449" spans="1:1" hidden="1" x14ac:dyDescent="0.25">
      <c r="A449" t="s">
        <v>893</v>
      </c>
    </row>
    <row r="450" spans="1:1" hidden="1" x14ac:dyDescent="0.25">
      <c r="A450" t="s">
        <v>392</v>
      </c>
    </row>
    <row r="451" spans="1:1" hidden="1" x14ac:dyDescent="0.25">
      <c r="A451" t="s">
        <v>244</v>
      </c>
    </row>
    <row r="452" spans="1:1" hidden="1" x14ac:dyDescent="0.25">
      <c r="A452" t="s">
        <v>648</v>
      </c>
    </row>
    <row r="453" spans="1:1" hidden="1" x14ac:dyDescent="0.25">
      <c r="A453" t="s">
        <v>667</v>
      </c>
    </row>
    <row r="454" spans="1:1" hidden="1" x14ac:dyDescent="0.25">
      <c r="A454" t="s">
        <v>150</v>
      </c>
    </row>
    <row r="455" spans="1:1" hidden="1" x14ac:dyDescent="0.25">
      <c r="A455" t="s">
        <v>667</v>
      </c>
    </row>
    <row r="456" spans="1:1" hidden="1" x14ac:dyDescent="0.25">
      <c r="A456" t="s">
        <v>648</v>
      </c>
    </row>
    <row r="457" spans="1:1" hidden="1" x14ac:dyDescent="0.25">
      <c r="A457" t="s">
        <v>244</v>
      </c>
    </row>
    <row r="458" spans="1:1" hidden="1" x14ac:dyDescent="0.25">
      <c r="A458" t="s">
        <v>648</v>
      </c>
    </row>
    <row r="459" spans="1:1" hidden="1" x14ac:dyDescent="0.25">
      <c r="A459" t="s">
        <v>392</v>
      </c>
    </row>
    <row r="460" spans="1:1" hidden="1" x14ac:dyDescent="0.25">
      <c r="A460" t="s">
        <v>392</v>
      </c>
    </row>
    <row r="461" spans="1:1" hidden="1" x14ac:dyDescent="0.25">
      <c r="A461" t="s">
        <v>169</v>
      </c>
    </row>
    <row r="462" spans="1:1" hidden="1" x14ac:dyDescent="0.25">
      <c r="A462" t="s">
        <v>416</v>
      </c>
    </row>
    <row r="463" spans="1:1" hidden="1" x14ac:dyDescent="0.25">
      <c r="A463" t="s">
        <v>1126</v>
      </c>
    </row>
    <row r="464" spans="1:1" hidden="1" x14ac:dyDescent="0.25">
      <c r="A464" t="s">
        <v>440</v>
      </c>
    </row>
    <row r="465" spans="1:1" hidden="1" x14ac:dyDescent="0.25">
      <c r="A465" t="s">
        <v>244</v>
      </c>
    </row>
    <row r="466" spans="1:1" hidden="1" x14ac:dyDescent="0.25">
      <c r="A466" t="s">
        <v>648</v>
      </c>
    </row>
    <row r="467" spans="1:1" hidden="1" x14ac:dyDescent="0.25">
      <c r="A467" t="s">
        <v>392</v>
      </c>
    </row>
    <row r="468" spans="1:1" hidden="1" x14ac:dyDescent="0.25">
      <c r="A468" t="s">
        <v>274</v>
      </c>
    </row>
    <row r="469" spans="1:1" hidden="1" x14ac:dyDescent="0.25">
      <c r="A469" t="s">
        <v>926</v>
      </c>
    </row>
    <row r="470" spans="1:1" hidden="1" x14ac:dyDescent="0.25">
      <c r="A470" t="s">
        <v>1443</v>
      </c>
    </row>
    <row r="471" spans="1:1" hidden="1" x14ac:dyDescent="0.25">
      <c r="A471" t="s">
        <v>392</v>
      </c>
    </row>
    <row r="472" spans="1:1" hidden="1" x14ac:dyDescent="0.25">
      <c r="A472" t="s">
        <v>1798</v>
      </c>
    </row>
    <row r="473" spans="1:1" hidden="1" x14ac:dyDescent="0.25">
      <c r="A473" t="s">
        <v>667</v>
      </c>
    </row>
    <row r="474" spans="1:1" hidden="1" x14ac:dyDescent="0.25">
      <c r="A474" t="s">
        <v>263</v>
      </c>
    </row>
    <row r="475" spans="1:1" hidden="1" x14ac:dyDescent="0.25">
      <c r="A475" t="s">
        <v>622</v>
      </c>
    </row>
    <row r="476" spans="1:1" hidden="1" x14ac:dyDescent="0.25">
      <c r="A476" t="s">
        <v>553</v>
      </c>
    </row>
    <row r="477" spans="1:1" hidden="1" x14ac:dyDescent="0.25">
      <c r="A477" t="s">
        <v>1372</v>
      </c>
    </row>
    <row r="478" spans="1:1" hidden="1" x14ac:dyDescent="0.25">
      <c r="A478" t="s">
        <v>1155</v>
      </c>
    </row>
    <row r="479" spans="1:1" hidden="1" x14ac:dyDescent="0.25">
      <c r="A479" t="s">
        <v>416</v>
      </c>
    </row>
    <row r="480" spans="1:1" hidden="1" x14ac:dyDescent="0.25">
      <c r="A480" t="s">
        <v>169</v>
      </c>
    </row>
    <row r="481" spans="1:1" hidden="1" x14ac:dyDescent="0.25">
      <c r="A481" t="s">
        <v>2060</v>
      </c>
    </row>
    <row r="482" spans="1:1" hidden="1" x14ac:dyDescent="0.25">
      <c r="A482" t="s">
        <v>951</v>
      </c>
    </row>
    <row r="483" spans="1:1" hidden="1" x14ac:dyDescent="0.25">
      <c r="A483" t="s">
        <v>648</v>
      </c>
    </row>
    <row r="484" spans="1:1" hidden="1" x14ac:dyDescent="0.25">
      <c r="A484" t="s">
        <v>562</v>
      </c>
    </row>
    <row r="485" spans="1:1" hidden="1" x14ac:dyDescent="0.25">
      <c r="A485" t="s">
        <v>186</v>
      </c>
    </row>
    <row r="486" spans="1:1" hidden="1" x14ac:dyDescent="0.25">
      <c r="A486" t="s">
        <v>380</v>
      </c>
    </row>
    <row r="487" spans="1:1" hidden="1" x14ac:dyDescent="0.25">
      <c r="A487" t="s">
        <v>1552</v>
      </c>
    </row>
    <row r="488" spans="1:1" hidden="1" x14ac:dyDescent="0.25">
      <c r="A488" t="s">
        <v>380</v>
      </c>
    </row>
    <row r="489" spans="1:1" hidden="1" x14ac:dyDescent="0.25">
      <c r="A489" t="s">
        <v>1874</v>
      </c>
    </row>
    <row r="490" spans="1:1" hidden="1" x14ac:dyDescent="0.25">
      <c r="A490" t="s">
        <v>406</v>
      </c>
    </row>
    <row r="491" spans="1:1" hidden="1" x14ac:dyDescent="0.25">
      <c r="A491" t="s">
        <v>553</v>
      </c>
    </row>
    <row r="492" spans="1:1" hidden="1" x14ac:dyDescent="0.25">
      <c r="A492" t="s">
        <v>440</v>
      </c>
    </row>
    <row r="493" spans="1:1" hidden="1" x14ac:dyDescent="0.25">
      <c r="A493" t="s">
        <v>1221</v>
      </c>
    </row>
    <row r="494" spans="1:1" hidden="1" x14ac:dyDescent="0.25">
      <c r="A494" t="s">
        <v>1469</v>
      </c>
    </row>
    <row r="495" spans="1:1" hidden="1" x14ac:dyDescent="0.25">
      <c r="A495" t="s">
        <v>648</v>
      </c>
    </row>
    <row r="496" spans="1:1" hidden="1" x14ac:dyDescent="0.25">
      <c r="A496" t="s">
        <v>893</v>
      </c>
    </row>
    <row r="497" spans="1:1" hidden="1" x14ac:dyDescent="0.25">
      <c r="A497" t="s">
        <v>392</v>
      </c>
    </row>
    <row r="498" spans="1:1" hidden="1" x14ac:dyDescent="0.25">
      <c r="A498" t="s">
        <v>467</v>
      </c>
    </row>
    <row r="499" spans="1:1" hidden="1" x14ac:dyDescent="0.25">
      <c r="A499" t="s">
        <v>667</v>
      </c>
    </row>
    <row r="500" spans="1:1" hidden="1" x14ac:dyDescent="0.25">
      <c r="A500" t="s">
        <v>61</v>
      </c>
    </row>
    <row r="501" spans="1:1" hidden="1" x14ac:dyDescent="0.25">
      <c r="A501" t="s">
        <v>380</v>
      </c>
    </row>
    <row r="502" spans="1:1" hidden="1" x14ac:dyDescent="0.25">
      <c r="A502" t="s">
        <v>186</v>
      </c>
    </row>
    <row r="503" spans="1:1" hidden="1" x14ac:dyDescent="0.25">
      <c r="A503" t="s">
        <v>648</v>
      </c>
    </row>
    <row r="504" spans="1:1" hidden="1" x14ac:dyDescent="0.25">
      <c r="A504" t="s">
        <v>380</v>
      </c>
    </row>
    <row r="505" spans="1:1" hidden="1" x14ac:dyDescent="0.25">
      <c r="A505" t="s">
        <v>380</v>
      </c>
    </row>
    <row r="506" spans="1:1" x14ac:dyDescent="0.25">
      <c r="A506" t="s">
        <v>2984</v>
      </c>
    </row>
    <row r="507" spans="1:1" hidden="1" x14ac:dyDescent="0.25">
      <c r="A507" t="s">
        <v>274</v>
      </c>
    </row>
    <row r="508" spans="1:1" hidden="1" x14ac:dyDescent="0.25">
      <c r="A508" t="s">
        <v>244</v>
      </c>
    </row>
    <row r="509" spans="1:1" hidden="1" x14ac:dyDescent="0.25">
      <c r="A509" t="s">
        <v>416</v>
      </c>
    </row>
    <row r="510" spans="1:1" hidden="1" x14ac:dyDescent="0.25">
      <c r="A510" t="s">
        <v>1348</v>
      </c>
    </row>
    <row r="511" spans="1:1" hidden="1" x14ac:dyDescent="0.25">
      <c r="A511" t="s">
        <v>893</v>
      </c>
    </row>
    <row r="512" spans="1:1" hidden="1" x14ac:dyDescent="0.25">
      <c r="A512" t="s">
        <v>123</v>
      </c>
    </row>
    <row r="513" spans="1:1" hidden="1" x14ac:dyDescent="0.25">
      <c r="A513" t="s">
        <v>392</v>
      </c>
    </row>
    <row r="514" spans="1:1" hidden="1" x14ac:dyDescent="0.25">
      <c r="A514" t="s">
        <v>648</v>
      </c>
    </row>
    <row r="515" spans="1:1" hidden="1" x14ac:dyDescent="0.25">
      <c r="A515" t="s">
        <v>215</v>
      </c>
    </row>
    <row r="516" spans="1:1" hidden="1" x14ac:dyDescent="0.25">
      <c r="A516" t="s">
        <v>449</v>
      </c>
    </row>
    <row r="517" spans="1:1" hidden="1" x14ac:dyDescent="0.25">
      <c r="A517" t="s">
        <v>416</v>
      </c>
    </row>
    <row r="518" spans="1:1" hidden="1" x14ac:dyDescent="0.25">
      <c r="A518" t="s">
        <v>169</v>
      </c>
    </row>
    <row r="519" spans="1:1" hidden="1" x14ac:dyDescent="0.25">
      <c r="A519" t="s">
        <v>667</v>
      </c>
    </row>
    <row r="520" spans="1:1" hidden="1" x14ac:dyDescent="0.25">
      <c r="A520" t="s">
        <v>562</v>
      </c>
    </row>
    <row r="521" spans="1:1" hidden="1" x14ac:dyDescent="0.25">
      <c r="A521" t="s">
        <v>244</v>
      </c>
    </row>
    <row r="522" spans="1:1" hidden="1" x14ac:dyDescent="0.25">
      <c r="A522" t="s">
        <v>380</v>
      </c>
    </row>
    <row r="523" spans="1:1" hidden="1" x14ac:dyDescent="0.25">
      <c r="A523" t="s">
        <v>580</v>
      </c>
    </row>
    <row r="524" spans="1:1" hidden="1" x14ac:dyDescent="0.25">
      <c r="A524" t="s">
        <v>1348</v>
      </c>
    </row>
    <row r="525" spans="1:1" hidden="1" x14ac:dyDescent="0.25">
      <c r="A525" t="s">
        <v>1155</v>
      </c>
    </row>
    <row r="526" spans="1:1" hidden="1" x14ac:dyDescent="0.25">
      <c r="A526" t="s">
        <v>1126</v>
      </c>
    </row>
    <row r="527" spans="1:1" hidden="1" x14ac:dyDescent="0.25">
      <c r="A527" t="s">
        <v>380</v>
      </c>
    </row>
    <row r="528" spans="1:1" hidden="1" x14ac:dyDescent="0.25">
      <c r="A528" t="s">
        <v>553</v>
      </c>
    </row>
    <row r="529" spans="1:1" hidden="1" x14ac:dyDescent="0.25">
      <c r="A529" t="s">
        <v>392</v>
      </c>
    </row>
    <row r="530" spans="1:1" hidden="1" x14ac:dyDescent="0.25">
      <c r="A530" t="s">
        <v>169</v>
      </c>
    </row>
    <row r="531" spans="1:1" hidden="1" x14ac:dyDescent="0.25">
      <c r="A531" t="s">
        <v>449</v>
      </c>
    </row>
    <row r="532" spans="1:1" hidden="1" x14ac:dyDescent="0.25">
      <c r="A532" t="s">
        <v>449</v>
      </c>
    </row>
    <row r="533" spans="1:1" hidden="1" x14ac:dyDescent="0.25">
      <c r="A533" t="s">
        <v>1936</v>
      </c>
    </row>
    <row r="534" spans="1:1" hidden="1" x14ac:dyDescent="0.25">
      <c r="A534" t="s">
        <v>1798</v>
      </c>
    </row>
    <row r="535" spans="1:1" hidden="1" x14ac:dyDescent="0.25">
      <c r="A535" t="s">
        <v>1443</v>
      </c>
    </row>
    <row r="536" spans="1:1" hidden="1" x14ac:dyDescent="0.25">
      <c r="A536" t="s">
        <v>380</v>
      </c>
    </row>
    <row r="537" spans="1:1" hidden="1" x14ac:dyDescent="0.25">
      <c r="A537" t="s">
        <v>169</v>
      </c>
    </row>
    <row r="538" spans="1:1" hidden="1" x14ac:dyDescent="0.25">
      <c r="A538" t="s">
        <v>482</v>
      </c>
    </row>
    <row r="539" spans="1:1" hidden="1" x14ac:dyDescent="0.25">
      <c r="A539" t="s">
        <v>1126</v>
      </c>
    </row>
    <row r="540" spans="1:1" hidden="1" x14ac:dyDescent="0.25">
      <c r="A540" t="s">
        <v>667</v>
      </c>
    </row>
    <row r="541" spans="1:1" hidden="1" x14ac:dyDescent="0.25">
      <c r="A541" t="s">
        <v>150</v>
      </c>
    </row>
    <row r="542" spans="1:1" hidden="1" x14ac:dyDescent="0.25">
      <c r="A542" t="s">
        <v>1126</v>
      </c>
    </row>
    <row r="543" spans="1:1" hidden="1" x14ac:dyDescent="0.25">
      <c r="A543" t="s">
        <v>449</v>
      </c>
    </row>
    <row r="544" spans="1:1" hidden="1" x14ac:dyDescent="0.25">
      <c r="A544" t="s">
        <v>449</v>
      </c>
    </row>
    <row r="545" spans="1:1" hidden="1" x14ac:dyDescent="0.25">
      <c r="A545" t="s">
        <v>680</v>
      </c>
    </row>
    <row r="546" spans="1:1" hidden="1" x14ac:dyDescent="0.25">
      <c r="A546" t="s">
        <v>1126</v>
      </c>
    </row>
    <row r="547" spans="1:1" hidden="1" x14ac:dyDescent="0.25">
      <c r="A547" t="s">
        <v>648</v>
      </c>
    </row>
    <row r="548" spans="1:1" hidden="1" x14ac:dyDescent="0.25">
      <c r="A548" t="s">
        <v>449</v>
      </c>
    </row>
    <row r="549" spans="1:1" hidden="1" x14ac:dyDescent="0.25">
      <c r="A549" t="s">
        <v>169</v>
      </c>
    </row>
    <row r="550" spans="1:1" hidden="1" x14ac:dyDescent="0.25">
      <c r="A550" t="s">
        <v>648</v>
      </c>
    </row>
    <row r="551" spans="1:1" hidden="1" x14ac:dyDescent="0.25">
      <c r="A551" t="s">
        <v>215</v>
      </c>
    </row>
    <row r="552" spans="1:1" hidden="1" x14ac:dyDescent="0.25">
      <c r="A552" t="s">
        <v>244</v>
      </c>
    </row>
    <row r="553" spans="1:1" hidden="1" x14ac:dyDescent="0.25">
      <c r="A553" t="s">
        <v>244</v>
      </c>
    </row>
    <row r="554" spans="1:1" hidden="1" x14ac:dyDescent="0.25">
      <c r="A554" t="s">
        <v>667</v>
      </c>
    </row>
    <row r="555" spans="1:1" hidden="1" x14ac:dyDescent="0.25">
      <c r="A555" t="s">
        <v>648</v>
      </c>
    </row>
    <row r="556" spans="1:1" hidden="1" x14ac:dyDescent="0.25">
      <c r="A556" t="s">
        <v>680</v>
      </c>
    </row>
    <row r="557" spans="1:1" hidden="1" x14ac:dyDescent="0.25">
      <c r="A557" t="s">
        <v>186</v>
      </c>
    </row>
    <row r="558" spans="1:1" hidden="1" x14ac:dyDescent="0.25">
      <c r="A558" t="s">
        <v>680</v>
      </c>
    </row>
    <row r="559" spans="1:1" hidden="1" x14ac:dyDescent="0.25">
      <c r="A559" t="s">
        <v>215</v>
      </c>
    </row>
    <row r="560" spans="1:1" hidden="1" x14ac:dyDescent="0.25">
      <c r="A560" t="s">
        <v>1155</v>
      </c>
    </row>
    <row r="561" spans="1:1" hidden="1" x14ac:dyDescent="0.25">
      <c r="A561" t="s">
        <v>807</v>
      </c>
    </row>
    <row r="562" spans="1:1" hidden="1" x14ac:dyDescent="0.25">
      <c r="A562" t="s">
        <v>392</v>
      </c>
    </row>
    <row r="563" spans="1:1" hidden="1" x14ac:dyDescent="0.25">
      <c r="A563" t="s">
        <v>1126</v>
      </c>
    </row>
    <row r="564" spans="1:1" hidden="1" x14ac:dyDescent="0.25">
      <c r="A564" t="s">
        <v>893</v>
      </c>
    </row>
    <row r="565" spans="1:1" hidden="1" x14ac:dyDescent="0.25">
      <c r="A565" t="s">
        <v>449</v>
      </c>
    </row>
    <row r="566" spans="1:1" hidden="1" x14ac:dyDescent="0.25">
      <c r="A566" t="s">
        <v>406</v>
      </c>
    </row>
    <row r="567" spans="1:1" hidden="1" x14ac:dyDescent="0.25">
      <c r="A567" t="s">
        <v>1058</v>
      </c>
    </row>
    <row r="568" spans="1:1" hidden="1" x14ac:dyDescent="0.25">
      <c r="A568" t="s">
        <v>186</v>
      </c>
    </row>
    <row r="569" spans="1:1" hidden="1" x14ac:dyDescent="0.25">
      <c r="A569" t="s">
        <v>893</v>
      </c>
    </row>
    <row r="570" spans="1:1" hidden="1" x14ac:dyDescent="0.25">
      <c r="A570" t="s">
        <v>440</v>
      </c>
    </row>
    <row r="571" spans="1:1" hidden="1" x14ac:dyDescent="0.25">
      <c r="A571" t="s">
        <v>406</v>
      </c>
    </row>
    <row r="572" spans="1:1" hidden="1" x14ac:dyDescent="0.25">
      <c r="A572" t="s">
        <v>263</v>
      </c>
    </row>
    <row r="573" spans="1:1" hidden="1" x14ac:dyDescent="0.25">
      <c r="A573" t="s">
        <v>562</v>
      </c>
    </row>
    <row r="574" spans="1:1" hidden="1" x14ac:dyDescent="0.25">
      <c r="A574" t="s">
        <v>648</v>
      </c>
    </row>
    <row r="575" spans="1:1" hidden="1" x14ac:dyDescent="0.25">
      <c r="A575" t="s">
        <v>1058</v>
      </c>
    </row>
    <row r="576" spans="1:1" hidden="1" x14ac:dyDescent="0.25">
      <c r="A576" t="s">
        <v>380</v>
      </c>
    </row>
    <row r="577" spans="1:1" hidden="1" x14ac:dyDescent="0.25">
      <c r="A577" t="s">
        <v>406</v>
      </c>
    </row>
    <row r="578" spans="1:1" hidden="1" x14ac:dyDescent="0.25">
      <c r="A578" t="s">
        <v>807</v>
      </c>
    </row>
    <row r="579" spans="1:1" hidden="1" x14ac:dyDescent="0.25">
      <c r="A579" t="s">
        <v>244</v>
      </c>
    </row>
    <row r="580" spans="1:1" hidden="1" x14ac:dyDescent="0.25">
      <c r="A580" t="s">
        <v>244</v>
      </c>
    </row>
    <row r="581" spans="1:1" hidden="1" x14ac:dyDescent="0.25">
      <c r="A581" t="s">
        <v>2128</v>
      </c>
    </row>
    <row r="582" spans="1:1" hidden="1" x14ac:dyDescent="0.25">
      <c r="A582" t="s">
        <v>392</v>
      </c>
    </row>
    <row r="583" spans="1:1" hidden="1" x14ac:dyDescent="0.25">
      <c r="A583" t="s">
        <v>893</v>
      </c>
    </row>
    <row r="584" spans="1:1" hidden="1" x14ac:dyDescent="0.25">
      <c r="A584" t="s">
        <v>392</v>
      </c>
    </row>
    <row r="585" spans="1:1" hidden="1" x14ac:dyDescent="0.25">
      <c r="A585" t="s">
        <v>416</v>
      </c>
    </row>
    <row r="586" spans="1:1" hidden="1" x14ac:dyDescent="0.25">
      <c r="A586" t="s">
        <v>123</v>
      </c>
    </row>
    <row r="587" spans="1:1" hidden="1" x14ac:dyDescent="0.25">
      <c r="A587" t="s">
        <v>788</v>
      </c>
    </row>
    <row r="588" spans="1:1" hidden="1" x14ac:dyDescent="0.25">
      <c r="A588" t="s">
        <v>274</v>
      </c>
    </row>
    <row r="589" spans="1:1" hidden="1" x14ac:dyDescent="0.25">
      <c r="A589" t="s">
        <v>553</v>
      </c>
    </row>
    <row r="590" spans="1:1" hidden="1" x14ac:dyDescent="0.25">
      <c r="A590" t="s">
        <v>380</v>
      </c>
    </row>
    <row r="591" spans="1:1" hidden="1" x14ac:dyDescent="0.25">
      <c r="A591" t="s">
        <v>61</v>
      </c>
    </row>
    <row r="592" spans="1:1" hidden="1" x14ac:dyDescent="0.25">
      <c r="A592" t="s">
        <v>416</v>
      </c>
    </row>
    <row r="593" spans="1:1" hidden="1" x14ac:dyDescent="0.25">
      <c r="A593" t="s">
        <v>2001</v>
      </c>
    </row>
    <row r="594" spans="1:1" hidden="1" x14ac:dyDescent="0.25">
      <c r="A594" t="s">
        <v>215</v>
      </c>
    </row>
    <row r="595" spans="1:1" hidden="1" x14ac:dyDescent="0.25">
      <c r="A595" t="s">
        <v>532</v>
      </c>
    </row>
    <row r="596" spans="1:1" x14ac:dyDescent="0.25">
      <c r="A596" t="s">
        <v>3277</v>
      </c>
    </row>
    <row r="597" spans="1:1" hidden="1" x14ac:dyDescent="0.25">
      <c r="A597" t="s">
        <v>2085</v>
      </c>
    </row>
    <row r="598" spans="1:1" hidden="1" x14ac:dyDescent="0.25">
      <c r="A598" t="s">
        <v>859</v>
      </c>
    </row>
    <row r="599" spans="1:1" hidden="1" x14ac:dyDescent="0.25">
      <c r="A599" t="s">
        <v>1126</v>
      </c>
    </row>
    <row r="600" spans="1:1" hidden="1" x14ac:dyDescent="0.25">
      <c r="A600" t="s">
        <v>244</v>
      </c>
    </row>
    <row r="601" spans="1:1" hidden="1" x14ac:dyDescent="0.25">
      <c r="A601" t="s">
        <v>1155</v>
      </c>
    </row>
    <row r="602" spans="1:1" hidden="1" x14ac:dyDescent="0.25">
      <c r="A602" t="s">
        <v>2001</v>
      </c>
    </row>
    <row r="603" spans="1:1" hidden="1" x14ac:dyDescent="0.25">
      <c r="A603" t="s">
        <v>244</v>
      </c>
    </row>
    <row r="604" spans="1:1" hidden="1" x14ac:dyDescent="0.25">
      <c r="A604" t="s">
        <v>392</v>
      </c>
    </row>
    <row r="605" spans="1:1" hidden="1" x14ac:dyDescent="0.25">
      <c r="A605" t="s">
        <v>648</v>
      </c>
    </row>
    <row r="606" spans="1:1" hidden="1" x14ac:dyDescent="0.25">
      <c r="A606" t="s">
        <v>2001</v>
      </c>
    </row>
    <row r="607" spans="1:1" hidden="1" x14ac:dyDescent="0.25">
      <c r="A607" t="s">
        <v>553</v>
      </c>
    </row>
    <row r="608" spans="1:1" hidden="1" x14ac:dyDescent="0.25">
      <c r="A608" t="s">
        <v>648</v>
      </c>
    </row>
    <row r="609" spans="1:1" hidden="1" x14ac:dyDescent="0.25">
      <c r="A609" t="s">
        <v>244</v>
      </c>
    </row>
    <row r="610" spans="1:1" hidden="1" x14ac:dyDescent="0.25">
      <c r="A610" t="s">
        <v>553</v>
      </c>
    </row>
    <row r="611" spans="1:1" hidden="1" x14ac:dyDescent="0.25">
      <c r="A611" t="s">
        <v>380</v>
      </c>
    </row>
    <row r="612" spans="1:1" hidden="1" x14ac:dyDescent="0.25">
      <c r="A612" t="s">
        <v>416</v>
      </c>
    </row>
    <row r="613" spans="1:1" hidden="1" x14ac:dyDescent="0.25">
      <c r="A613" t="s">
        <v>61</v>
      </c>
    </row>
    <row r="614" spans="1:1" hidden="1" x14ac:dyDescent="0.25">
      <c r="A614" t="s">
        <v>1126</v>
      </c>
    </row>
    <row r="615" spans="1:1" hidden="1" x14ac:dyDescent="0.25">
      <c r="A615" t="s">
        <v>41</v>
      </c>
    </row>
    <row r="616" spans="1:1" hidden="1" x14ac:dyDescent="0.25">
      <c r="A616" t="s">
        <v>392</v>
      </c>
    </row>
    <row r="617" spans="1:1" hidden="1" x14ac:dyDescent="0.25">
      <c r="A617" t="s">
        <v>150</v>
      </c>
    </row>
    <row r="618" spans="1:1" hidden="1" x14ac:dyDescent="0.25">
      <c r="A618" t="s">
        <v>186</v>
      </c>
    </row>
    <row r="619" spans="1:1" hidden="1" x14ac:dyDescent="0.25">
      <c r="A619" t="s">
        <v>406</v>
      </c>
    </row>
    <row r="620" spans="1:1" hidden="1" x14ac:dyDescent="0.25">
      <c r="A620" t="s">
        <v>416</v>
      </c>
    </row>
    <row r="621" spans="1:1" hidden="1" x14ac:dyDescent="0.25">
      <c r="A621" t="s">
        <v>263</v>
      </c>
    </row>
    <row r="622" spans="1:1" hidden="1" x14ac:dyDescent="0.25">
      <c r="A622" t="s">
        <v>482</v>
      </c>
    </row>
    <row r="623" spans="1:1" hidden="1" x14ac:dyDescent="0.25">
      <c r="A623" t="s">
        <v>406</v>
      </c>
    </row>
    <row r="624" spans="1:1" hidden="1" x14ac:dyDescent="0.25">
      <c r="A624" t="s">
        <v>123</v>
      </c>
    </row>
    <row r="625" spans="1:1" hidden="1" x14ac:dyDescent="0.25">
      <c r="A625" t="s">
        <v>1936</v>
      </c>
    </row>
    <row r="626" spans="1:1" hidden="1" x14ac:dyDescent="0.25">
      <c r="A626" t="s">
        <v>562</v>
      </c>
    </row>
    <row r="627" spans="1:1" hidden="1" x14ac:dyDescent="0.25">
      <c r="A627" t="s">
        <v>244</v>
      </c>
    </row>
    <row r="628" spans="1:1" hidden="1" x14ac:dyDescent="0.25">
      <c r="A628" t="s">
        <v>1155</v>
      </c>
    </row>
    <row r="629" spans="1:1" hidden="1" x14ac:dyDescent="0.25">
      <c r="A629" t="s">
        <v>61</v>
      </c>
    </row>
    <row r="630" spans="1:1" hidden="1" x14ac:dyDescent="0.25">
      <c r="A630" t="s">
        <v>169</v>
      </c>
    </row>
    <row r="631" spans="1:1" hidden="1" x14ac:dyDescent="0.25">
      <c r="A631" t="s">
        <v>667</v>
      </c>
    </row>
    <row r="632" spans="1:1" hidden="1" x14ac:dyDescent="0.25">
      <c r="A632" t="s">
        <v>553</v>
      </c>
    </row>
    <row r="633" spans="1:1" hidden="1" x14ac:dyDescent="0.25">
      <c r="A633" t="s">
        <v>2085</v>
      </c>
    </row>
    <row r="634" spans="1:1" hidden="1" x14ac:dyDescent="0.25">
      <c r="A634" t="s">
        <v>648</v>
      </c>
    </row>
    <row r="635" spans="1:1" hidden="1" x14ac:dyDescent="0.25">
      <c r="A635" t="s">
        <v>392</v>
      </c>
    </row>
    <row r="636" spans="1:1" hidden="1" x14ac:dyDescent="0.25">
      <c r="A636" t="s">
        <v>186</v>
      </c>
    </row>
    <row r="637" spans="1:1" hidden="1" x14ac:dyDescent="0.25">
      <c r="A637" t="s">
        <v>1155</v>
      </c>
    </row>
    <row r="638" spans="1:1" hidden="1" x14ac:dyDescent="0.25">
      <c r="A638" t="s">
        <v>380</v>
      </c>
    </row>
    <row r="639" spans="1:1" hidden="1" x14ac:dyDescent="0.25">
      <c r="A639" t="s">
        <v>1348</v>
      </c>
    </row>
    <row r="640" spans="1:1" hidden="1" x14ac:dyDescent="0.25">
      <c r="A640" t="s">
        <v>380</v>
      </c>
    </row>
    <row r="641" spans="1:1" hidden="1" x14ac:dyDescent="0.25">
      <c r="A641" t="s">
        <v>926</v>
      </c>
    </row>
    <row r="642" spans="1:1" hidden="1" x14ac:dyDescent="0.25">
      <c r="A642" t="s">
        <v>562</v>
      </c>
    </row>
    <row r="643" spans="1:1" hidden="1" x14ac:dyDescent="0.25">
      <c r="A643" t="s">
        <v>392</v>
      </c>
    </row>
    <row r="644" spans="1:1" hidden="1" x14ac:dyDescent="0.25">
      <c r="A644" t="s">
        <v>449</v>
      </c>
    </row>
    <row r="645" spans="1:1" hidden="1" x14ac:dyDescent="0.25">
      <c r="A645" t="s">
        <v>392</v>
      </c>
    </row>
    <row r="646" spans="1:1" hidden="1" x14ac:dyDescent="0.25">
      <c r="A646" t="s">
        <v>416</v>
      </c>
    </row>
    <row r="647" spans="1:1" hidden="1" x14ac:dyDescent="0.25">
      <c r="A647" t="s">
        <v>380</v>
      </c>
    </row>
    <row r="648" spans="1:1" hidden="1" x14ac:dyDescent="0.25">
      <c r="A648" t="s">
        <v>562</v>
      </c>
    </row>
    <row r="649" spans="1:1" hidden="1" x14ac:dyDescent="0.25">
      <c r="A649" t="s">
        <v>2085</v>
      </c>
    </row>
    <row r="650" spans="1:1" hidden="1" x14ac:dyDescent="0.25">
      <c r="A650" t="s">
        <v>1443</v>
      </c>
    </row>
    <row r="651" spans="1:1" hidden="1" x14ac:dyDescent="0.25">
      <c r="A651" t="s">
        <v>440</v>
      </c>
    </row>
    <row r="652" spans="1:1" hidden="1" x14ac:dyDescent="0.25">
      <c r="A652" t="s">
        <v>392</v>
      </c>
    </row>
    <row r="653" spans="1:1" hidden="1" x14ac:dyDescent="0.25">
      <c r="A653" t="s">
        <v>244</v>
      </c>
    </row>
    <row r="654" spans="1:1" hidden="1" x14ac:dyDescent="0.25">
      <c r="A654" t="s">
        <v>1552</v>
      </c>
    </row>
    <row r="655" spans="1:1" hidden="1" x14ac:dyDescent="0.25">
      <c r="A655" t="s">
        <v>41</v>
      </c>
    </row>
    <row r="656" spans="1:1" hidden="1" x14ac:dyDescent="0.25">
      <c r="A656" t="s">
        <v>440</v>
      </c>
    </row>
    <row r="657" spans="1:1" hidden="1" x14ac:dyDescent="0.25">
      <c r="A657" t="s">
        <v>572</v>
      </c>
    </row>
    <row r="658" spans="1:1" hidden="1" x14ac:dyDescent="0.25">
      <c r="A658" t="s">
        <v>406</v>
      </c>
    </row>
    <row r="659" spans="1:1" hidden="1" x14ac:dyDescent="0.25">
      <c r="A659" t="s">
        <v>150</v>
      </c>
    </row>
    <row r="660" spans="1:1" hidden="1" x14ac:dyDescent="0.25">
      <c r="A660" t="s">
        <v>580</v>
      </c>
    </row>
    <row r="661" spans="1:1" hidden="1" x14ac:dyDescent="0.25">
      <c r="A661" t="s">
        <v>893</v>
      </c>
    </row>
    <row r="662" spans="1:1" hidden="1" x14ac:dyDescent="0.25">
      <c r="A662" t="s">
        <v>2128</v>
      </c>
    </row>
    <row r="663" spans="1:1" hidden="1" x14ac:dyDescent="0.25">
      <c r="A663" t="s">
        <v>648</v>
      </c>
    </row>
    <row r="664" spans="1:1" hidden="1" x14ac:dyDescent="0.25">
      <c r="A664" t="s">
        <v>1469</v>
      </c>
    </row>
    <row r="665" spans="1:1" hidden="1" x14ac:dyDescent="0.25">
      <c r="A665" t="s">
        <v>580</v>
      </c>
    </row>
    <row r="666" spans="1:1" hidden="1" x14ac:dyDescent="0.25">
      <c r="A666" t="s">
        <v>244</v>
      </c>
    </row>
    <row r="667" spans="1:1" hidden="1" x14ac:dyDescent="0.25">
      <c r="A667" t="s">
        <v>440</v>
      </c>
    </row>
    <row r="668" spans="1:1" hidden="1" x14ac:dyDescent="0.25">
      <c r="A668" t="s">
        <v>3277</v>
      </c>
    </row>
    <row r="669" spans="1:1" hidden="1" x14ac:dyDescent="0.25">
      <c r="A669" t="s">
        <v>622</v>
      </c>
    </row>
    <row r="670" spans="1:1" hidden="1" x14ac:dyDescent="0.25">
      <c r="A670" t="s">
        <v>392</v>
      </c>
    </row>
    <row r="671" spans="1:1" hidden="1" x14ac:dyDescent="0.25">
      <c r="A671" t="s">
        <v>416</v>
      </c>
    </row>
    <row r="672" spans="1:1" hidden="1" x14ac:dyDescent="0.25">
      <c r="A672" t="s">
        <v>150</v>
      </c>
    </row>
    <row r="673" spans="1:1" hidden="1" x14ac:dyDescent="0.25">
      <c r="A673" t="s">
        <v>169</v>
      </c>
    </row>
    <row r="674" spans="1:1" hidden="1" x14ac:dyDescent="0.25">
      <c r="A674" t="s">
        <v>186</v>
      </c>
    </row>
    <row r="675" spans="1:1" hidden="1" x14ac:dyDescent="0.25">
      <c r="A675" t="s">
        <v>1229</v>
      </c>
    </row>
    <row r="676" spans="1:1" hidden="1" x14ac:dyDescent="0.25">
      <c r="A676" t="s">
        <v>61</v>
      </c>
    </row>
    <row r="677" spans="1:1" hidden="1" x14ac:dyDescent="0.25">
      <c r="A677" t="s">
        <v>1552</v>
      </c>
    </row>
    <row r="678" spans="1:1" hidden="1" x14ac:dyDescent="0.25">
      <c r="A678" t="s">
        <v>622</v>
      </c>
    </row>
    <row r="679" spans="1:1" hidden="1" x14ac:dyDescent="0.25">
      <c r="A679" t="s">
        <v>380</v>
      </c>
    </row>
    <row r="680" spans="1:1" hidden="1" x14ac:dyDescent="0.25">
      <c r="A680" t="s">
        <v>440</v>
      </c>
    </row>
    <row r="681" spans="1:1" hidden="1" x14ac:dyDescent="0.25">
      <c r="A681" t="s">
        <v>61</v>
      </c>
    </row>
    <row r="682" spans="1:1" hidden="1" x14ac:dyDescent="0.25">
      <c r="A682" t="s">
        <v>244</v>
      </c>
    </row>
    <row r="683" spans="1:1" hidden="1" x14ac:dyDescent="0.25">
      <c r="A683" t="s">
        <v>2060</v>
      </c>
    </row>
    <row r="684" spans="1:1" hidden="1" x14ac:dyDescent="0.25">
      <c r="A684" t="s">
        <v>186</v>
      </c>
    </row>
    <row r="685" spans="1:1" hidden="1" x14ac:dyDescent="0.25">
      <c r="A685" t="s">
        <v>1126</v>
      </c>
    </row>
    <row r="686" spans="1:1" hidden="1" x14ac:dyDescent="0.25">
      <c r="A686" t="s">
        <v>562</v>
      </c>
    </row>
    <row r="687" spans="1:1" hidden="1" x14ac:dyDescent="0.25">
      <c r="A687" t="s">
        <v>532</v>
      </c>
    </row>
    <row r="688" spans="1:1" hidden="1" x14ac:dyDescent="0.25">
      <c r="A688" t="s">
        <v>215</v>
      </c>
    </row>
    <row r="689" spans="1:1" hidden="1" x14ac:dyDescent="0.25">
      <c r="A689" t="s">
        <v>41</v>
      </c>
    </row>
    <row r="690" spans="1:1" hidden="1" x14ac:dyDescent="0.25">
      <c r="A690" t="s">
        <v>667</v>
      </c>
    </row>
    <row r="691" spans="1:1" hidden="1" x14ac:dyDescent="0.25">
      <c r="A691" t="s">
        <v>667</v>
      </c>
    </row>
    <row r="692" spans="1:1" hidden="1" x14ac:dyDescent="0.25">
      <c r="A692" t="s">
        <v>648</v>
      </c>
    </row>
    <row r="693" spans="1:1" hidden="1" x14ac:dyDescent="0.25">
      <c r="A693" t="s">
        <v>807</v>
      </c>
    </row>
    <row r="694" spans="1:1" hidden="1" x14ac:dyDescent="0.25">
      <c r="A694" t="s">
        <v>392</v>
      </c>
    </row>
    <row r="695" spans="1:1" hidden="1" x14ac:dyDescent="0.25">
      <c r="A695" t="s">
        <v>416</v>
      </c>
    </row>
    <row r="696" spans="1:1" hidden="1" x14ac:dyDescent="0.25">
      <c r="A696" t="s">
        <v>622</v>
      </c>
    </row>
    <row r="697" spans="1:1" hidden="1" x14ac:dyDescent="0.25">
      <c r="A697" t="s">
        <v>553</v>
      </c>
    </row>
    <row r="698" spans="1:1" hidden="1" x14ac:dyDescent="0.25">
      <c r="A698" t="s">
        <v>263</v>
      </c>
    </row>
    <row r="699" spans="1:1" hidden="1" x14ac:dyDescent="0.25">
      <c r="A699" t="s">
        <v>893</v>
      </c>
    </row>
    <row r="700" spans="1:1" hidden="1" x14ac:dyDescent="0.25">
      <c r="A700" t="s">
        <v>553</v>
      </c>
    </row>
    <row r="701" spans="1:1" hidden="1" x14ac:dyDescent="0.25">
      <c r="A701" t="s">
        <v>244</v>
      </c>
    </row>
    <row r="702" spans="1:1" hidden="1" x14ac:dyDescent="0.25">
      <c r="A702" t="s">
        <v>2001</v>
      </c>
    </row>
    <row r="703" spans="1:1" hidden="1" x14ac:dyDescent="0.25">
      <c r="A703" t="s">
        <v>553</v>
      </c>
    </row>
    <row r="704" spans="1:1" hidden="1" x14ac:dyDescent="0.25">
      <c r="A704" t="s">
        <v>392</v>
      </c>
    </row>
    <row r="705" spans="1:1" hidden="1" x14ac:dyDescent="0.25">
      <c r="A705" t="s">
        <v>580</v>
      </c>
    </row>
    <row r="706" spans="1:1" hidden="1" x14ac:dyDescent="0.25">
      <c r="A706" t="s">
        <v>380</v>
      </c>
    </row>
    <row r="707" spans="1:1" hidden="1" x14ac:dyDescent="0.25">
      <c r="A707" t="s">
        <v>667</v>
      </c>
    </row>
    <row r="708" spans="1:1" hidden="1" x14ac:dyDescent="0.25">
      <c r="A708" t="s">
        <v>392</v>
      </c>
    </row>
    <row r="709" spans="1:1" hidden="1" x14ac:dyDescent="0.25">
      <c r="A709" t="s">
        <v>215</v>
      </c>
    </row>
    <row r="710" spans="1:1" hidden="1" x14ac:dyDescent="0.25">
      <c r="A710" t="s">
        <v>680</v>
      </c>
    </row>
    <row r="711" spans="1:1" hidden="1" x14ac:dyDescent="0.25">
      <c r="A711" t="s">
        <v>580</v>
      </c>
    </row>
    <row r="712" spans="1:1" hidden="1" x14ac:dyDescent="0.25">
      <c r="A712" t="s">
        <v>893</v>
      </c>
    </row>
    <row r="713" spans="1:1" hidden="1" x14ac:dyDescent="0.25">
      <c r="A713" t="s">
        <v>263</v>
      </c>
    </row>
    <row r="714" spans="1:1" hidden="1" x14ac:dyDescent="0.25">
      <c r="A714" t="s">
        <v>680</v>
      </c>
    </row>
    <row r="715" spans="1:1" hidden="1" x14ac:dyDescent="0.25">
      <c r="A715" t="s">
        <v>553</v>
      </c>
    </row>
    <row r="716" spans="1:1" hidden="1" x14ac:dyDescent="0.25">
      <c r="A716" t="s">
        <v>169</v>
      </c>
    </row>
    <row r="717" spans="1:1" hidden="1" x14ac:dyDescent="0.25">
      <c r="A717" t="s">
        <v>244</v>
      </c>
    </row>
    <row r="718" spans="1:1" hidden="1" x14ac:dyDescent="0.25">
      <c r="A718" t="s">
        <v>2984</v>
      </c>
    </row>
    <row r="719" spans="1:1" hidden="1" x14ac:dyDescent="0.25">
      <c r="A719" t="s">
        <v>274</v>
      </c>
    </row>
    <row r="720" spans="1:1" hidden="1" x14ac:dyDescent="0.25">
      <c r="A720" t="s">
        <v>482</v>
      </c>
    </row>
    <row r="721" spans="1:1" hidden="1" x14ac:dyDescent="0.25">
      <c r="A721" t="s">
        <v>1155</v>
      </c>
    </row>
    <row r="722" spans="1:1" hidden="1" x14ac:dyDescent="0.25">
      <c r="A722" t="s">
        <v>580</v>
      </c>
    </row>
    <row r="723" spans="1:1" hidden="1" x14ac:dyDescent="0.25">
      <c r="A723" t="s">
        <v>215</v>
      </c>
    </row>
    <row r="724" spans="1:1" hidden="1" x14ac:dyDescent="0.25">
      <c r="A724" t="s">
        <v>380</v>
      </c>
    </row>
    <row r="725" spans="1:1" hidden="1" x14ac:dyDescent="0.25">
      <c r="A725" t="s">
        <v>680</v>
      </c>
    </row>
    <row r="726" spans="1:1" hidden="1" x14ac:dyDescent="0.25">
      <c r="A726" t="s">
        <v>2085</v>
      </c>
    </row>
    <row r="727" spans="1:1" hidden="1" x14ac:dyDescent="0.25">
      <c r="A727" t="s">
        <v>244</v>
      </c>
    </row>
    <row r="728" spans="1:1" hidden="1" x14ac:dyDescent="0.25">
      <c r="A728" t="s">
        <v>532</v>
      </c>
    </row>
    <row r="729" spans="1:1" hidden="1" x14ac:dyDescent="0.25">
      <c r="A729" t="s">
        <v>123</v>
      </c>
    </row>
    <row r="730" spans="1:1" hidden="1" x14ac:dyDescent="0.25">
      <c r="A730" t="s">
        <v>1372</v>
      </c>
    </row>
    <row r="731" spans="1:1" hidden="1" x14ac:dyDescent="0.25">
      <c r="A731" t="s">
        <v>680</v>
      </c>
    </row>
    <row r="732" spans="1:1" hidden="1" x14ac:dyDescent="0.25">
      <c r="A732" t="s">
        <v>380</v>
      </c>
    </row>
    <row r="733" spans="1:1" hidden="1" x14ac:dyDescent="0.25">
      <c r="A733" t="s">
        <v>2128</v>
      </c>
    </row>
    <row r="734" spans="1:1" hidden="1" x14ac:dyDescent="0.25">
      <c r="A734" t="s">
        <v>859</v>
      </c>
    </row>
    <row r="735" spans="1:1" hidden="1" x14ac:dyDescent="0.25">
      <c r="A735" t="s">
        <v>2647</v>
      </c>
    </row>
    <row r="736" spans="1:1" hidden="1" x14ac:dyDescent="0.25">
      <c r="A736" t="s">
        <v>553</v>
      </c>
    </row>
    <row r="737" spans="1:1" hidden="1" x14ac:dyDescent="0.25">
      <c r="A737" t="s">
        <v>169</v>
      </c>
    </row>
    <row r="738" spans="1:1" hidden="1" x14ac:dyDescent="0.25">
      <c r="A738" t="s">
        <v>680</v>
      </c>
    </row>
    <row r="739" spans="1:1" hidden="1" x14ac:dyDescent="0.25">
      <c r="A739" t="s">
        <v>667</v>
      </c>
    </row>
    <row r="740" spans="1:1" hidden="1" x14ac:dyDescent="0.25">
      <c r="A740" t="s">
        <v>274</v>
      </c>
    </row>
    <row r="741" spans="1:1" hidden="1" x14ac:dyDescent="0.25">
      <c r="A741" t="s">
        <v>169</v>
      </c>
    </row>
    <row r="742" spans="1:1" hidden="1" x14ac:dyDescent="0.25">
      <c r="A742" t="s">
        <v>680</v>
      </c>
    </row>
    <row r="743" spans="1:1" hidden="1" x14ac:dyDescent="0.25">
      <c r="A743" t="s">
        <v>680</v>
      </c>
    </row>
    <row r="744" spans="1:1" hidden="1" x14ac:dyDescent="0.25">
      <c r="A744" t="s">
        <v>380</v>
      </c>
    </row>
    <row r="745" spans="1:1" hidden="1" x14ac:dyDescent="0.25">
      <c r="A745" t="s">
        <v>2060</v>
      </c>
    </row>
    <row r="746" spans="1:1" hidden="1" x14ac:dyDescent="0.25">
      <c r="A746" t="s">
        <v>1936</v>
      </c>
    </row>
    <row r="747" spans="1:1" hidden="1" x14ac:dyDescent="0.25">
      <c r="A747" t="s">
        <v>380</v>
      </c>
    </row>
    <row r="748" spans="1:1" hidden="1" x14ac:dyDescent="0.25">
      <c r="A748" t="s">
        <v>380</v>
      </c>
    </row>
    <row r="749" spans="1:1" hidden="1" x14ac:dyDescent="0.25">
      <c r="A749" t="s">
        <v>392</v>
      </c>
    </row>
    <row r="750" spans="1:1" hidden="1" x14ac:dyDescent="0.25">
      <c r="A750" t="s">
        <v>2001</v>
      </c>
    </row>
    <row r="751" spans="1:1" hidden="1" x14ac:dyDescent="0.25">
      <c r="A751" t="s">
        <v>392</v>
      </c>
    </row>
    <row r="752" spans="1:1" hidden="1" x14ac:dyDescent="0.25">
      <c r="A752" t="s">
        <v>380</v>
      </c>
    </row>
    <row r="753" spans="1:1" hidden="1" x14ac:dyDescent="0.25">
      <c r="A753" t="s">
        <v>1229</v>
      </c>
    </row>
    <row r="754" spans="1:1" hidden="1" x14ac:dyDescent="0.25">
      <c r="A754" t="s">
        <v>1221</v>
      </c>
    </row>
    <row r="755" spans="1:1" hidden="1" x14ac:dyDescent="0.25">
      <c r="A755" t="s">
        <v>392</v>
      </c>
    </row>
    <row r="756" spans="1:1" hidden="1" x14ac:dyDescent="0.25">
      <c r="A756" t="s">
        <v>1372</v>
      </c>
    </row>
    <row r="757" spans="1:1" hidden="1" x14ac:dyDescent="0.25">
      <c r="A757" t="s">
        <v>893</v>
      </c>
    </row>
    <row r="758" spans="1:1" hidden="1" x14ac:dyDescent="0.25">
      <c r="A758" t="s">
        <v>648</v>
      </c>
    </row>
    <row r="759" spans="1:1" hidden="1" x14ac:dyDescent="0.25">
      <c r="A759" t="s">
        <v>1443</v>
      </c>
    </row>
    <row r="760" spans="1:1" hidden="1" x14ac:dyDescent="0.25">
      <c r="A760" t="s">
        <v>648</v>
      </c>
    </row>
    <row r="761" spans="1:1" hidden="1" x14ac:dyDescent="0.25">
      <c r="A761" t="s">
        <v>2128</v>
      </c>
    </row>
    <row r="762" spans="1:1" hidden="1" x14ac:dyDescent="0.25">
      <c r="A762" t="s">
        <v>205</v>
      </c>
    </row>
    <row r="763" spans="1:1" hidden="1" x14ac:dyDescent="0.25">
      <c r="A763" t="s">
        <v>893</v>
      </c>
    </row>
    <row r="764" spans="1:1" hidden="1" x14ac:dyDescent="0.25">
      <c r="A764" t="s">
        <v>41</v>
      </c>
    </row>
    <row r="765" spans="1:1" hidden="1" x14ac:dyDescent="0.25">
      <c r="A765" t="s">
        <v>449</v>
      </c>
    </row>
    <row r="766" spans="1:1" hidden="1" x14ac:dyDescent="0.25">
      <c r="A766" t="s">
        <v>1155</v>
      </c>
    </row>
    <row r="767" spans="1:1" hidden="1" x14ac:dyDescent="0.25">
      <c r="A767" t="s">
        <v>1126</v>
      </c>
    </row>
    <row r="768" spans="1:1" hidden="1" x14ac:dyDescent="0.25">
      <c r="A768" t="s">
        <v>61</v>
      </c>
    </row>
    <row r="769" spans="1:1" hidden="1" x14ac:dyDescent="0.25">
      <c r="A769" t="s">
        <v>2085</v>
      </c>
    </row>
    <row r="770" spans="1:1" hidden="1" x14ac:dyDescent="0.25">
      <c r="A770" t="s">
        <v>648</v>
      </c>
    </row>
    <row r="771" spans="1:1" hidden="1" x14ac:dyDescent="0.25">
      <c r="A771" t="s">
        <v>1469</v>
      </c>
    </row>
    <row r="772" spans="1:1" hidden="1" x14ac:dyDescent="0.25">
      <c r="A772" t="s">
        <v>893</v>
      </c>
    </row>
    <row r="773" spans="1:1" hidden="1" x14ac:dyDescent="0.25">
      <c r="A773" t="s">
        <v>392</v>
      </c>
    </row>
    <row r="774" spans="1:1" hidden="1" x14ac:dyDescent="0.25">
      <c r="A774" t="s">
        <v>1372</v>
      </c>
    </row>
    <row r="775" spans="1:1" hidden="1" x14ac:dyDescent="0.25">
      <c r="A775" t="s">
        <v>893</v>
      </c>
    </row>
    <row r="776" spans="1:1" hidden="1" x14ac:dyDescent="0.25">
      <c r="A776" t="s">
        <v>150</v>
      </c>
    </row>
    <row r="777" spans="1:1" hidden="1" x14ac:dyDescent="0.25">
      <c r="A777" t="s">
        <v>667</v>
      </c>
    </row>
    <row r="778" spans="1:1" hidden="1" x14ac:dyDescent="0.25">
      <c r="A778" t="s">
        <v>392</v>
      </c>
    </row>
    <row r="779" spans="1:1" hidden="1" x14ac:dyDescent="0.25">
      <c r="A779" t="s">
        <v>392</v>
      </c>
    </row>
    <row r="780" spans="1:1" hidden="1" x14ac:dyDescent="0.25">
      <c r="A780" t="s">
        <v>2085</v>
      </c>
    </row>
    <row r="781" spans="1:1" hidden="1" x14ac:dyDescent="0.25">
      <c r="A781" t="s">
        <v>169</v>
      </c>
    </row>
    <row r="782" spans="1:1" hidden="1" x14ac:dyDescent="0.25">
      <c r="A782" t="s">
        <v>380</v>
      </c>
    </row>
    <row r="783" spans="1:1" hidden="1" x14ac:dyDescent="0.25">
      <c r="A783" t="s">
        <v>392</v>
      </c>
    </row>
    <row r="784" spans="1:1" hidden="1" x14ac:dyDescent="0.25">
      <c r="A784" t="s">
        <v>893</v>
      </c>
    </row>
    <row r="785" spans="1:1" hidden="1" x14ac:dyDescent="0.25">
      <c r="A785" t="s">
        <v>406</v>
      </c>
    </row>
    <row r="786" spans="1:1" hidden="1" x14ac:dyDescent="0.25">
      <c r="A786" t="s">
        <v>893</v>
      </c>
    </row>
    <row r="787" spans="1:1" hidden="1" x14ac:dyDescent="0.25">
      <c r="A787" t="s">
        <v>648</v>
      </c>
    </row>
    <row r="788" spans="1:1" x14ac:dyDescent="0.25">
      <c r="A788" t="s">
        <v>3873</v>
      </c>
    </row>
    <row r="789" spans="1:1" hidden="1" x14ac:dyDescent="0.25">
      <c r="A789" t="s">
        <v>392</v>
      </c>
    </row>
    <row r="790" spans="1:1" hidden="1" x14ac:dyDescent="0.25">
      <c r="A790" t="s">
        <v>622</v>
      </c>
    </row>
    <row r="791" spans="1:1" hidden="1" x14ac:dyDescent="0.25">
      <c r="A791" t="s">
        <v>1552</v>
      </c>
    </row>
    <row r="792" spans="1:1" hidden="1" x14ac:dyDescent="0.25">
      <c r="A792" t="s">
        <v>440</v>
      </c>
    </row>
    <row r="793" spans="1:1" hidden="1" x14ac:dyDescent="0.25">
      <c r="A793" t="s">
        <v>667</v>
      </c>
    </row>
    <row r="794" spans="1:1" hidden="1" x14ac:dyDescent="0.25">
      <c r="A794" t="s">
        <v>1798</v>
      </c>
    </row>
    <row r="795" spans="1:1" hidden="1" x14ac:dyDescent="0.25">
      <c r="A795" t="s">
        <v>482</v>
      </c>
    </row>
    <row r="796" spans="1:1" hidden="1" x14ac:dyDescent="0.25">
      <c r="A796" t="s">
        <v>392</v>
      </c>
    </row>
    <row r="797" spans="1:1" hidden="1" x14ac:dyDescent="0.25">
      <c r="A797" t="s">
        <v>2001</v>
      </c>
    </row>
    <row r="798" spans="1:1" hidden="1" x14ac:dyDescent="0.25">
      <c r="A798" t="s">
        <v>859</v>
      </c>
    </row>
    <row r="799" spans="1:1" hidden="1" x14ac:dyDescent="0.25">
      <c r="A799" t="s">
        <v>244</v>
      </c>
    </row>
    <row r="800" spans="1:1" hidden="1" x14ac:dyDescent="0.25">
      <c r="A800" t="s">
        <v>392</v>
      </c>
    </row>
    <row r="801" spans="1:1" hidden="1" x14ac:dyDescent="0.25">
      <c r="A801" t="s">
        <v>449</v>
      </c>
    </row>
    <row r="802" spans="1:1" hidden="1" x14ac:dyDescent="0.25">
      <c r="A802" t="s">
        <v>951</v>
      </c>
    </row>
    <row r="803" spans="1:1" hidden="1" x14ac:dyDescent="0.25">
      <c r="A803" t="s">
        <v>392</v>
      </c>
    </row>
    <row r="804" spans="1:1" hidden="1" x14ac:dyDescent="0.25">
      <c r="A804" t="s">
        <v>205</v>
      </c>
    </row>
    <row r="805" spans="1:1" hidden="1" x14ac:dyDescent="0.25">
      <c r="A805" t="s">
        <v>244</v>
      </c>
    </row>
    <row r="806" spans="1:1" hidden="1" x14ac:dyDescent="0.25">
      <c r="A806" t="s">
        <v>562</v>
      </c>
    </row>
    <row r="807" spans="1:1" hidden="1" x14ac:dyDescent="0.25">
      <c r="A807" t="s">
        <v>1552</v>
      </c>
    </row>
    <row r="808" spans="1:1" hidden="1" x14ac:dyDescent="0.25">
      <c r="A808" t="s">
        <v>951</v>
      </c>
    </row>
    <row r="809" spans="1:1" hidden="1" x14ac:dyDescent="0.25">
      <c r="A809" t="s">
        <v>215</v>
      </c>
    </row>
    <row r="810" spans="1:1" hidden="1" x14ac:dyDescent="0.25">
      <c r="A810" t="s">
        <v>1552</v>
      </c>
    </row>
    <row r="811" spans="1:1" hidden="1" x14ac:dyDescent="0.25">
      <c r="A811" t="s">
        <v>680</v>
      </c>
    </row>
    <row r="812" spans="1:1" hidden="1" x14ac:dyDescent="0.25">
      <c r="A812" t="s">
        <v>449</v>
      </c>
    </row>
    <row r="813" spans="1:1" hidden="1" x14ac:dyDescent="0.25">
      <c r="A813" t="s">
        <v>1443</v>
      </c>
    </row>
    <row r="814" spans="1:1" hidden="1" x14ac:dyDescent="0.25">
      <c r="A814" t="s">
        <v>580</v>
      </c>
    </row>
    <row r="815" spans="1:1" hidden="1" x14ac:dyDescent="0.25">
      <c r="A815" t="s">
        <v>186</v>
      </c>
    </row>
    <row r="816" spans="1:1" hidden="1" x14ac:dyDescent="0.25">
      <c r="A816" t="s">
        <v>416</v>
      </c>
    </row>
    <row r="817" spans="1:1" hidden="1" x14ac:dyDescent="0.25">
      <c r="A817" t="s">
        <v>859</v>
      </c>
    </row>
    <row r="818" spans="1:1" hidden="1" x14ac:dyDescent="0.25">
      <c r="A818" t="s">
        <v>1443</v>
      </c>
    </row>
    <row r="819" spans="1:1" hidden="1" x14ac:dyDescent="0.25">
      <c r="A819" t="s">
        <v>440</v>
      </c>
    </row>
    <row r="820" spans="1:1" hidden="1" x14ac:dyDescent="0.25">
      <c r="A820" t="s">
        <v>392</v>
      </c>
    </row>
    <row r="821" spans="1:1" hidden="1" x14ac:dyDescent="0.25">
      <c r="A821" t="s">
        <v>263</v>
      </c>
    </row>
    <row r="822" spans="1:1" hidden="1" x14ac:dyDescent="0.25">
      <c r="A822" t="s">
        <v>244</v>
      </c>
    </row>
    <row r="823" spans="1:1" hidden="1" x14ac:dyDescent="0.25">
      <c r="A823" t="s">
        <v>553</v>
      </c>
    </row>
    <row r="824" spans="1:1" hidden="1" x14ac:dyDescent="0.25">
      <c r="A824" t="s">
        <v>449</v>
      </c>
    </row>
    <row r="825" spans="1:1" hidden="1" x14ac:dyDescent="0.25">
      <c r="A825" t="s">
        <v>532</v>
      </c>
    </row>
    <row r="826" spans="1:1" hidden="1" x14ac:dyDescent="0.25">
      <c r="A826" t="s">
        <v>1372</v>
      </c>
    </row>
    <row r="827" spans="1:1" hidden="1" x14ac:dyDescent="0.25">
      <c r="A827" t="s">
        <v>2085</v>
      </c>
    </row>
    <row r="828" spans="1:1" hidden="1" x14ac:dyDescent="0.25">
      <c r="A828" t="s">
        <v>622</v>
      </c>
    </row>
    <row r="829" spans="1:1" hidden="1" x14ac:dyDescent="0.25">
      <c r="A829" t="s">
        <v>449</v>
      </c>
    </row>
    <row r="830" spans="1:1" hidden="1" x14ac:dyDescent="0.25">
      <c r="A830" t="s">
        <v>1348</v>
      </c>
    </row>
    <row r="831" spans="1:1" hidden="1" x14ac:dyDescent="0.25">
      <c r="A831" t="s">
        <v>215</v>
      </c>
    </row>
    <row r="832" spans="1:1" hidden="1" x14ac:dyDescent="0.25">
      <c r="A832" t="s">
        <v>392</v>
      </c>
    </row>
    <row r="833" spans="1:1" hidden="1" x14ac:dyDescent="0.25">
      <c r="A833" t="s">
        <v>1126</v>
      </c>
    </row>
    <row r="834" spans="1:1" hidden="1" x14ac:dyDescent="0.25">
      <c r="A834" t="s">
        <v>893</v>
      </c>
    </row>
    <row r="835" spans="1:1" hidden="1" x14ac:dyDescent="0.25">
      <c r="A835" t="s">
        <v>2984</v>
      </c>
    </row>
    <row r="836" spans="1:1" hidden="1" x14ac:dyDescent="0.25">
      <c r="A836" t="s">
        <v>667</v>
      </c>
    </row>
    <row r="837" spans="1:1" hidden="1" x14ac:dyDescent="0.25">
      <c r="A837" t="s">
        <v>2128</v>
      </c>
    </row>
    <row r="838" spans="1:1" hidden="1" x14ac:dyDescent="0.25">
      <c r="A838" t="s">
        <v>392</v>
      </c>
    </row>
    <row r="839" spans="1:1" hidden="1" x14ac:dyDescent="0.25">
      <c r="A839" t="s">
        <v>580</v>
      </c>
    </row>
    <row r="840" spans="1:1" hidden="1" x14ac:dyDescent="0.25">
      <c r="A840" t="s">
        <v>449</v>
      </c>
    </row>
    <row r="841" spans="1:1" hidden="1" x14ac:dyDescent="0.25">
      <c r="A841" t="s">
        <v>1469</v>
      </c>
    </row>
    <row r="842" spans="1:1" hidden="1" x14ac:dyDescent="0.25">
      <c r="A842" t="s">
        <v>3873</v>
      </c>
    </row>
    <row r="843" spans="1:1" hidden="1" x14ac:dyDescent="0.25">
      <c r="A843" t="s">
        <v>580</v>
      </c>
    </row>
    <row r="844" spans="1:1" hidden="1" x14ac:dyDescent="0.25">
      <c r="A844" t="s">
        <v>562</v>
      </c>
    </row>
    <row r="845" spans="1:1" hidden="1" x14ac:dyDescent="0.25">
      <c r="A845" t="s">
        <v>1155</v>
      </c>
    </row>
    <row r="846" spans="1:1" hidden="1" x14ac:dyDescent="0.25">
      <c r="A846" t="s">
        <v>2309</v>
      </c>
    </row>
    <row r="847" spans="1:1" hidden="1" x14ac:dyDescent="0.25">
      <c r="A847" t="s">
        <v>553</v>
      </c>
    </row>
    <row r="848" spans="1:1" hidden="1" x14ac:dyDescent="0.25">
      <c r="A848" t="s">
        <v>392</v>
      </c>
    </row>
    <row r="849" spans="1:1" hidden="1" x14ac:dyDescent="0.25">
      <c r="A849" t="s">
        <v>392</v>
      </c>
    </row>
    <row r="850" spans="1:1" hidden="1" x14ac:dyDescent="0.25">
      <c r="A850" t="s">
        <v>532</v>
      </c>
    </row>
    <row r="851" spans="1:1" hidden="1" x14ac:dyDescent="0.25">
      <c r="A851" t="s">
        <v>532</v>
      </c>
    </row>
    <row r="852" spans="1:1" hidden="1" x14ac:dyDescent="0.25">
      <c r="A852" t="s">
        <v>2647</v>
      </c>
    </row>
    <row r="853" spans="1:1" hidden="1" x14ac:dyDescent="0.25">
      <c r="A853" t="s">
        <v>244</v>
      </c>
    </row>
    <row r="854" spans="1:1" hidden="1" x14ac:dyDescent="0.25">
      <c r="A854" t="s">
        <v>205</v>
      </c>
    </row>
    <row r="855" spans="1:1" hidden="1" x14ac:dyDescent="0.25">
      <c r="A855" t="s">
        <v>392</v>
      </c>
    </row>
    <row r="856" spans="1:1" hidden="1" x14ac:dyDescent="0.25">
      <c r="A856" t="s">
        <v>680</v>
      </c>
    </row>
    <row r="857" spans="1:1" hidden="1" x14ac:dyDescent="0.25">
      <c r="A857" t="s">
        <v>380</v>
      </c>
    </row>
    <row r="858" spans="1:1" hidden="1" x14ac:dyDescent="0.25">
      <c r="A858" t="s">
        <v>680</v>
      </c>
    </row>
    <row r="859" spans="1:1" hidden="1" x14ac:dyDescent="0.25">
      <c r="A859" t="s">
        <v>2001</v>
      </c>
    </row>
    <row r="860" spans="1:1" hidden="1" x14ac:dyDescent="0.25">
      <c r="A860" t="s">
        <v>482</v>
      </c>
    </row>
    <row r="861" spans="1:1" hidden="1" x14ac:dyDescent="0.25">
      <c r="A861" t="s">
        <v>1058</v>
      </c>
    </row>
    <row r="862" spans="1:1" hidden="1" x14ac:dyDescent="0.25">
      <c r="A862" t="s">
        <v>2984</v>
      </c>
    </row>
    <row r="863" spans="1:1" hidden="1" x14ac:dyDescent="0.25">
      <c r="A863" t="s">
        <v>244</v>
      </c>
    </row>
    <row r="864" spans="1:1" hidden="1" x14ac:dyDescent="0.25">
      <c r="A864" t="s">
        <v>169</v>
      </c>
    </row>
    <row r="865" spans="1:1" hidden="1" x14ac:dyDescent="0.25">
      <c r="A865" t="s">
        <v>667</v>
      </c>
    </row>
    <row r="866" spans="1:1" hidden="1" x14ac:dyDescent="0.25">
      <c r="A866" t="s">
        <v>169</v>
      </c>
    </row>
    <row r="867" spans="1:1" hidden="1" x14ac:dyDescent="0.25">
      <c r="A867" t="s">
        <v>680</v>
      </c>
    </row>
    <row r="868" spans="1:1" hidden="1" x14ac:dyDescent="0.25">
      <c r="A868" t="s">
        <v>667</v>
      </c>
    </row>
    <row r="869" spans="1:1" hidden="1" x14ac:dyDescent="0.25">
      <c r="A869" t="s">
        <v>123</v>
      </c>
    </row>
    <row r="870" spans="1:1" hidden="1" x14ac:dyDescent="0.25">
      <c r="A870" t="s">
        <v>859</v>
      </c>
    </row>
    <row r="871" spans="1:1" hidden="1" x14ac:dyDescent="0.25">
      <c r="A871" t="s">
        <v>169</v>
      </c>
    </row>
    <row r="872" spans="1:1" hidden="1" x14ac:dyDescent="0.25">
      <c r="A872" t="s">
        <v>380</v>
      </c>
    </row>
    <row r="873" spans="1:1" hidden="1" x14ac:dyDescent="0.25">
      <c r="A873" t="s">
        <v>553</v>
      </c>
    </row>
    <row r="874" spans="1:1" hidden="1" x14ac:dyDescent="0.25">
      <c r="A874" t="s">
        <v>169</v>
      </c>
    </row>
    <row r="875" spans="1:1" hidden="1" x14ac:dyDescent="0.25">
      <c r="A875" t="s">
        <v>380</v>
      </c>
    </row>
    <row r="876" spans="1:1" hidden="1" x14ac:dyDescent="0.25">
      <c r="A876" t="s">
        <v>893</v>
      </c>
    </row>
    <row r="877" spans="1:1" hidden="1" x14ac:dyDescent="0.25">
      <c r="A877" t="s">
        <v>580</v>
      </c>
    </row>
    <row r="878" spans="1:1" hidden="1" x14ac:dyDescent="0.25">
      <c r="A878" t="s">
        <v>274</v>
      </c>
    </row>
    <row r="879" spans="1:1" hidden="1" x14ac:dyDescent="0.25">
      <c r="A879" t="s">
        <v>123</v>
      </c>
    </row>
    <row r="880" spans="1:1" hidden="1" x14ac:dyDescent="0.25">
      <c r="A880" t="s">
        <v>859</v>
      </c>
    </row>
    <row r="881" spans="1:1" hidden="1" x14ac:dyDescent="0.25">
      <c r="A881" t="s">
        <v>667</v>
      </c>
    </row>
    <row r="882" spans="1:1" hidden="1" x14ac:dyDescent="0.25">
      <c r="A882" t="s">
        <v>893</v>
      </c>
    </row>
    <row r="883" spans="1:1" hidden="1" x14ac:dyDescent="0.25">
      <c r="A883" t="s">
        <v>274</v>
      </c>
    </row>
    <row r="884" spans="1:1" hidden="1" x14ac:dyDescent="0.25">
      <c r="A884" t="s">
        <v>392</v>
      </c>
    </row>
    <row r="885" spans="1:1" hidden="1" x14ac:dyDescent="0.25">
      <c r="A885" t="s">
        <v>392</v>
      </c>
    </row>
    <row r="886" spans="1:1" hidden="1" x14ac:dyDescent="0.25">
      <c r="A886" t="s">
        <v>380</v>
      </c>
    </row>
    <row r="887" spans="1:1" hidden="1" x14ac:dyDescent="0.25">
      <c r="A887" t="s">
        <v>392</v>
      </c>
    </row>
    <row r="888" spans="1:1" hidden="1" x14ac:dyDescent="0.25">
      <c r="A888" t="s">
        <v>274</v>
      </c>
    </row>
    <row r="889" spans="1:1" hidden="1" x14ac:dyDescent="0.25">
      <c r="A889" t="s">
        <v>2309</v>
      </c>
    </row>
    <row r="890" spans="1:1" hidden="1" x14ac:dyDescent="0.25">
      <c r="A890" t="s">
        <v>893</v>
      </c>
    </row>
    <row r="891" spans="1:1" hidden="1" x14ac:dyDescent="0.25">
      <c r="A891" t="s">
        <v>392</v>
      </c>
    </row>
    <row r="892" spans="1:1" hidden="1" x14ac:dyDescent="0.25">
      <c r="A892" t="s">
        <v>3873</v>
      </c>
    </row>
    <row r="893" spans="1:1" hidden="1" x14ac:dyDescent="0.25">
      <c r="A893" t="s">
        <v>635</v>
      </c>
    </row>
    <row r="894" spans="1:1" hidden="1" x14ac:dyDescent="0.25">
      <c r="A894" t="s">
        <v>380</v>
      </c>
    </row>
    <row r="895" spans="1:1" hidden="1" x14ac:dyDescent="0.25">
      <c r="A895" t="s">
        <v>449</v>
      </c>
    </row>
    <row r="896" spans="1:1" hidden="1" x14ac:dyDescent="0.25">
      <c r="A896" t="s">
        <v>392</v>
      </c>
    </row>
    <row r="897" spans="1:1" hidden="1" x14ac:dyDescent="0.25">
      <c r="A897" t="s">
        <v>406</v>
      </c>
    </row>
    <row r="898" spans="1:1" hidden="1" x14ac:dyDescent="0.25">
      <c r="A898" t="s">
        <v>553</v>
      </c>
    </row>
    <row r="899" spans="1:1" hidden="1" x14ac:dyDescent="0.25">
      <c r="A899" t="s">
        <v>1126</v>
      </c>
    </row>
    <row r="900" spans="1:1" hidden="1" x14ac:dyDescent="0.25">
      <c r="A900" t="s">
        <v>449</v>
      </c>
    </row>
    <row r="901" spans="1:1" hidden="1" x14ac:dyDescent="0.25">
      <c r="A901" t="s">
        <v>648</v>
      </c>
    </row>
    <row r="902" spans="1:1" hidden="1" x14ac:dyDescent="0.25">
      <c r="A902" t="s">
        <v>1443</v>
      </c>
    </row>
    <row r="903" spans="1:1" hidden="1" x14ac:dyDescent="0.25">
      <c r="A903" t="s">
        <v>622</v>
      </c>
    </row>
    <row r="904" spans="1:1" hidden="1" x14ac:dyDescent="0.25">
      <c r="A904" t="s">
        <v>263</v>
      </c>
    </row>
    <row r="905" spans="1:1" hidden="1" x14ac:dyDescent="0.25">
      <c r="A905" t="s">
        <v>893</v>
      </c>
    </row>
    <row r="906" spans="1:1" hidden="1" x14ac:dyDescent="0.25">
      <c r="A906" t="s">
        <v>622</v>
      </c>
    </row>
    <row r="907" spans="1:1" hidden="1" x14ac:dyDescent="0.25">
      <c r="A907" t="s">
        <v>788</v>
      </c>
    </row>
    <row r="908" spans="1:1" hidden="1" x14ac:dyDescent="0.25">
      <c r="A908" t="s">
        <v>244</v>
      </c>
    </row>
    <row r="909" spans="1:1" hidden="1" x14ac:dyDescent="0.25">
      <c r="A909" t="s">
        <v>482</v>
      </c>
    </row>
    <row r="910" spans="1:1" hidden="1" x14ac:dyDescent="0.25">
      <c r="A910" t="s">
        <v>215</v>
      </c>
    </row>
    <row r="911" spans="1:1" hidden="1" x14ac:dyDescent="0.25">
      <c r="A911" t="s">
        <v>440</v>
      </c>
    </row>
    <row r="912" spans="1:1" hidden="1" x14ac:dyDescent="0.25">
      <c r="A912" t="s">
        <v>648</v>
      </c>
    </row>
    <row r="913" spans="1:1" hidden="1" x14ac:dyDescent="0.25">
      <c r="A913" t="s">
        <v>2060</v>
      </c>
    </row>
    <row r="914" spans="1:1" hidden="1" x14ac:dyDescent="0.25">
      <c r="A914" t="s">
        <v>1126</v>
      </c>
    </row>
    <row r="915" spans="1:1" hidden="1" x14ac:dyDescent="0.25">
      <c r="A915" t="s">
        <v>1443</v>
      </c>
    </row>
    <row r="916" spans="1:1" hidden="1" x14ac:dyDescent="0.25">
      <c r="A916" t="s">
        <v>3277</v>
      </c>
    </row>
    <row r="917" spans="1:1" hidden="1" x14ac:dyDescent="0.25">
      <c r="A917" t="s">
        <v>244</v>
      </c>
    </row>
    <row r="918" spans="1:1" hidden="1" x14ac:dyDescent="0.25">
      <c r="A918" t="s">
        <v>1348</v>
      </c>
    </row>
    <row r="919" spans="1:1" hidden="1" x14ac:dyDescent="0.25">
      <c r="A919" t="s">
        <v>150</v>
      </c>
    </row>
    <row r="920" spans="1:1" hidden="1" x14ac:dyDescent="0.25">
      <c r="A920" t="s">
        <v>553</v>
      </c>
    </row>
    <row r="921" spans="1:1" hidden="1" x14ac:dyDescent="0.25">
      <c r="A921" t="s">
        <v>1936</v>
      </c>
    </row>
    <row r="922" spans="1:1" hidden="1" x14ac:dyDescent="0.25">
      <c r="A922" t="s">
        <v>380</v>
      </c>
    </row>
    <row r="923" spans="1:1" hidden="1" x14ac:dyDescent="0.25">
      <c r="A923" t="s">
        <v>1552</v>
      </c>
    </row>
    <row r="924" spans="1:1" hidden="1" x14ac:dyDescent="0.25">
      <c r="A924" t="s">
        <v>3873</v>
      </c>
    </row>
    <row r="925" spans="1:1" hidden="1" x14ac:dyDescent="0.25">
      <c r="A925" t="s">
        <v>274</v>
      </c>
    </row>
    <row r="926" spans="1:1" hidden="1" x14ac:dyDescent="0.25">
      <c r="A926" t="s">
        <v>1058</v>
      </c>
    </row>
    <row r="927" spans="1:1" hidden="1" x14ac:dyDescent="0.25">
      <c r="A927" t="s">
        <v>680</v>
      </c>
    </row>
    <row r="928" spans="1:1" hidden="1" x14ac:dyDescent="0.25">
      <c r="A928" t="s">
        <v>1936</v>
      </c>
    </row>
    <row r="929" spans="1:1" hidden="1" x14ac:dyDescent="0.25">
      <c r="A929" t="s">
        <v>380</v>
      </c>
    </row>
    <row r="930" spans="1:1" hidden="1" x14ac:dyDescent="0.25">
      <c r="A930" t="s">
        <v>2128</v>
      </c>
    </row>
    <row r="931" spans="1:1" hidden="1" x14ac:dyDescent="0.25">
      <c r="A931" t="s">
        <v>392</v>
      </c>
    </row>
    <row r="932" spans="1:1" hidden="1" x14ac:dyDescent="0.25">
      <c r="A932" t="s">
        <v>1221</v>
      </c>
    </row>
    <row r="933" spans="1:1" hidden="1" x14ac:dyDescent="0.25">
      <c r="A933" t="s">
        <v>244</v>
      </c>
    </row>
    <row r="934" spans="1:1" hidden="1" x14ac:dyDescent="0.25">
      <c r="A934" t="s">
        <v>274</v>
      </c>
    </row>
    <row r="935" spans="1:1" hidden="1" x14ac:dyDescent="0.25">
      <c r="A935" t="s">
        <v>532</v>
      </c>
    </row>
    <row r="936" spans="1:1" hidden="1" x14ac:dyDescent="0.25">
      <c r="A936" t="s">
        <v>648</v>
      </c>
    </row>
    <row r="937" spans="1:1" hidden="1" x14ac:dyDescent="0.25">
      <c r="A937" t="s">
        <v>244</v>
      </c>
    </row>
    <row r="938" spans="1:1" hidden="1" x14ac:dyDescent="0.25">
      <c r="A938" t="s">
        <v>3277</v>
      </c>
    </row>
    <row r="939" spans="1:1" hidden="1" x14ac:dyDescent="0.25">
      <c r="A939" t="s">
        <v>1229</v>
      </c>
    </row>
    <row r="940" spans="1:1" hidden="1" x14ac:dyDescent="0.25">
      <c r="A940" t="s">
        <v>244</v>
      </c>
    </row>
    <row r="941" spans="1:1" hidden="1" x14ac:dyDescent="0.25">
      <c r="A941" t="s">
        <v>553</v>
      </c>
    </row>
    <row r="942" spans="1:1" hidden="1" x14ac:dyDescent="0.25">
      <c r="A942" t="s">
        <v>306</v>
      </c>
    </row>
    <row r="943" spans="1:1" hidden="1" x14ac:dyDescent="0.25">
      <c r="A943" t="s">
        <v>449</v>
      </c>
    </row>
    <row r="944" spans="1:1" hidden="1" x14ac:dyDescent="0.25">
      <c r="A944" t="s">
        <v>680</v>
      </c>
    </row>
    <row r="945" spans="1:1" hidden="1" x14ac:dyDescent="0.25">
      <c r="A945" t="s">
        <v>667</v>
      </c>
    </row>
    <row r="946" spans="1:1" hidden="1" x14ac:dyDescent="0.25">
      <c r="A946" t="s">
        <v>893</v>
      </c>
    </row>
    <row r="947" spans="1:1" hidden="1" x14ac:dyDescent="0.25">
      <c r="A947" t="s">
        <v>648</v>
      </c>
    </row>
    <row r="948" spans="1:1" hidden="1" x14ac:dyDescent="0.25">
      <c r="A948" t="s">
        <v>380</v>
      </c>
    </row>
    <row r="949" spans="1:1" hidden="1" x14ac:dyDescent="0.25">
      <c r="A949" t="s">
        <v>1443</v>
      </c>
    </row>
    <row r="950" spans="1:1" hidden="1" x14ac:dyDescent="0.25">
      <c r="A950" t="s">
        <v>1936</v>
      </c>
    </row>
    <row r="951" spans="1:1" hidden="1" x14ac:dyDescent="0.25">
      <c r="A951" t="s">
        <v>1229</v>
      </c>
    </row>
    <row r="952" spans="1:1" hidden="1" x14ac:dyDescent="0.25">
      <c r="A952" t="s">
        <v>532</v>
      </c>
    </row>
    <row r="953" spans="1:1" hidden="1" x14ac:dyDescent="0.25">
      <c r="A953" t="s">
        <v>215</v>
      </c>
    </row>
    <row r="954" spans="1:1" hidden="1" x14ac:dyDescent="0.25">
      <c r="A954" t="s">
        <v>926</v>
      </c>
    </row>
    <row r="955" spans="1:1" hidden="1" x14ac:dyDescent="0.25">
      <c r="A955" t="s">
        <v>244</v>
      </c>
    </row>
    <row r="956" spans="1:1" hidden="1" x14ac:dyDescent="0.25">
      <c r="A956" t="s">
        <v>1874</v>
      </c>
    </row>
    <row r="957" spans="1:1" hidden="1" x14ac:dyDescent="0.25">
      <c r="A957" t="s">
        <v>449</v>
      </c>
    </row>
    <row r="958" spans="1:1" hidden="1" x14ac:dyDescent="0.25">
      <c r="A958" t="s">
        <v>2647</v>
      </c>
    </row>
    <row r="959" spans="1:1" hidden="1" x14ac:dyDescent="0.25">
      <c r="A959" t="s">
        <v>893</v>
      </c>
    </row>
    <row r="960" spans="1:1" hidden="1" x14ac:dyDescent="0.25">
      <c r="A960" t="s">
        <v>680</v>
      </c>
    </row>
    <row r="961" spans="1:1" hidden="1" x14ac:dyDescent="0.25">
      <c r="A961" t="s">
        <v>622</v>
      </c>
    </row>
    <row r="962" spans="1:1" hidden="1" x14ac:dyDescent="0.25">
      <c r="A962" t="s">
        <v>380</v>
      </c>
    </row>
    <row r="963" spans="1:1" hidden="1" x14ac:dyDescent="0.25">
      <c r="A963" t="s">
        <v>667</v>
      </c>
    </row>
    <row r="964" spans="1:1" hidden="1" x14ac:dyDescent="0.25">
      <c r="A964" t="s">
        <v>648</v>
      </c>
    </row>
    <row r="965" spans="1:1" hidden="1" x14ac:dyDescent="0.25">
      <c r="A965" t="s">
        <v>580</v>
      </c>
    </row>
    <row r="966" spans="1:1" hidden="1" x14ac:dyDescent="0.25">
      <c r="A966" t="s">
        <v>1221</v>
      </c>
    </row>
    <row r="967" spans="1:1" hidden="1" x14ac:dyDescent="0.25">
      <c r="A967" t="s">
        <v>807</v>
      </c>
    </row>
    <row r="968" spans="1:1" hidden="1" x14ac:dyDescent="0.25">
      <c r="A968" t="s">
        <v>1126</v>
      </c>
    </row>
    <row r="969" spans="1:1" hidden="1" x14ac:dyDescent="0.25">
      <c r="A969" t="s">
        <v>169</v>
      </c>
    </row>
    <row r="970" spans="1:1" hidden="1" x14ac:dyDescent="0.25">
      <c r="A970" t="s">
        <v>61</v>
      </c>
    </row>
    <row r="971" spans="1:1" hidden="1" x14ac:dyDescent="0.25">
      <c r="A971" t="s">
        <v>1126</v>
      </c>
    </row>
    <row r="972" spans="1:1" hidden="1" x14ac:dyDescent="0.25">
      <c r="A972" t="s">
        <v>680</v>
      </c>
    </row>
    <row r="973" spans="1:1" hidden="1" x14ac:dyDescent="0.25">
      <c r="A973" t="s">
        <v>667</v>
      </c>
    </row>
    <row r="974" spans="1:1" hidden="1" x14ac:dyDescent="0.25">
      <c r="A974" t="s">
        <v>392</v>
      </c>
    </row>
    <row r="975" spans="1:1" hidden="1" x14ac:dyDescent="0.25">
      <c r="A975" t="s">
        <v>807</v>
      </c>
    </row>
    <row r="976" spans="1:1" hidden="1" x14ac:dyDescent="0.25">
      <c r="A976" t="s">
        <v>244</v>
      </c>
    </row>
    <row r="977" spans="1:1" hidden="1" x14ac:dyDescent="0.25">
      <c r="A977" t="s">
        <v>1348</v>
      </c>
    </row>
    <row r="978" spans="1:1" hidden="1" x14ac:dyDescent="0.25">
      <c r="A978" t="s">
        <v>2309</v>
      </c>
    </row>
    <row r="979" spans="1:1" hidden="1" x14ac:dyDescent="0.25">
      <c r="A979" t="s">
        <v>1469</v>
      </c>
    </row>
    <row r="980" spans="1:1" hidden="1" x14ac:dyDescent="0.25">
      <c r="A980" t="s">
        <v>680</v>
      </c>
    </row>
    <row r="981" spans="1:1" hidden="1" x14ac:dyDescent="0.25">
      <c r="A981" t="s">
        <v>169</v>
      </c>
    </row>
    <row r="982" spans="1:1" hidden="1" x14ac:dyDescent="0.25">
      <c r="A982" t="s">
        <v>449</v>
      </c>
    </row>
    <row r="983" spans="1:1" hidden="1" x14ac:dyDescent="0.25">
      <c r="A983" t="s">
        <v>648</v>
      </c>
    </row>
    <row r="984" spans="1:1" hidden="1" x14ac:dyDescent="0.25">
      <c r="A984" t="s">
        <v>648</v>
      </c>
    </row>
    <row r="985" spans="1:1" hidden="1" x14ac:dyDescent="0.25">
      <c r="A985" t="s">
        <v>449</v>
      </c>
    </row>
    <row r="986" spans="1:1" hidden="1" x14ac:dyDescent="0.25">
      <c r="A986" t="s">
        <v>648</v>
      </c>
    </row>
    <row r="987" spans="1:1" hidden="1" x14ac:dyDescent="0.25">
      <c r="A987" t="s">
        <v>3873</v>
      </c>
    </row>
    <row r="988" spans="1:1" hidden="1" x14ac:dyDescent="0.25">
      <c r="A988" t="s">
        <v>150</v>
      </c>
    </row>
    <row r="989" spans="1:1" hidden="1" x14ac:dyDescent="0.25">
      <c r="A989" t="s">
        <v>926</v>
      </c>
    </row>
    <row r="990" spans="1:1" hidden="1" x14ac:dyDescent="0.25">
      <c r="A990" t="s">
        <v>380</v>
      </c>
    </row>
    <row r="991" spans="1:1" hidden="1" x14ac:dyDescent="0.25">
      <c r="A991" t="s">
        <v>244</v>
      </c>
    </row>
    <row r="992" spans="1:1" hidden="1" x14ac:dyDescent="0.25">
      <c r="A992" t="s">
        <v>205</v>
      </c>
    </row>
    <row r="993" spans="1:1" hidden="1" x14ac:dyDescent="0.25">
      <c r="A993" t="s">
        <v>380</v>
      </c>
    </row>
    <row r="994" spans="1:1" hidden="1" x14ac:dyDescent="0.25">
      <c r="A994" t="s">
        <v>1126</v>
      </c>
    </row>
    <row r="995" spans="1:1" hidden="1" x14ac:dyDescent="0.25">
      <c r="A995" t="s">
        <v>680</v>
      </c>
    </row>
    <row r="996" spans="1:1" hidden="1" x14ac:dyDescent="0.25">
      <c r="A996" t="s">
        <v>532</v>
      </c>
    </row>
    <row r="997" spans="1:1" hidden="1" x14ac:dyDescent="0.25">
      <c r="A997" t="s">
        <v>274</v>
      </c>
    </row>
    <row r="998" spans="1:1" hidden="1" x14ac:dyDescent="0.25">
      <c r="A998" t="s">
        <v>244</v>
      </c>
    </row>
    <row r="999" spans="1:1" hidden="1" x14ac:dyDescent="0.25">
      <c r="A999" t="s">
        <v>1552</v>
      </c>
    </row>
    <row r="1000" spans="1:1" hidden="1" x14ac:dyDescent="0.25">
      <c r="A1000" t="s">
        <v>2309</v>
      </c>
    </row>
    <row r="1001" spans="1:1" hidden="1" x14ac:dyDescent="0.25">
      <c r="A1001" t="s">
        <v>392</v>
      </c>
    </row>
    <row r="1002" spans="1:1" hidden="1" x14ac:dyDescent="0.25">
      <c r="A1002" t="s">
        <v>893</v>
      </c>
    </row>
    <row r="1003" spans="1:1" hidden="1" x14ac:dyDescent="0.25">
      <c r="A1003" t="s">
        <v>788</v>
      </c>
    </row>
    <row r="1004" spans="1:1" hidden="1" x14ac:dyDescent="0.25">
      <c r="A1004" t="s">
        <v>951</v>
      </c>
    </row>
    <row r="1005" spans="1:1" hidden="1" x14ac:dyDescent="0.25">
      <c r="A1005" t="s">
        <v>1348</v>
      </c>
    </row>
    <row r="1006" spans="1:1" hidden="1" x14ac:dyDescent="0.25">
      <c r="A1006" t="s">
        <v>648</v>
      </c>
    </row>
    <row r="1007" spans="1:1" hidden="1" x14ac:dyDescent="0.25">
      <c r="A1007" t="s">
        <v>380</v>
      </c>
    </row>
    <row r="1008" spans="1:1" hidden="1" x14ac:dyDescent="0.25">
      <c r="A1008" t="s">
        <v>263</v>
      </c>
    </row>
    <row r="1009" spans="1:1" hidden="1" x14ac:dyDescent="0.25">
      <c r="A1009" t="s">
        <v>1126</v>
      </c>
    </row>
    <row r="1010" spans="1:1" hidden="1" x14ac:dyDescent="0.25">
      <c r="A1010" t="s">
        <v>244</v>
      </c>
    </row>
    <row r="1011" spans="1:1" hidden="1" x14ac:dyDescent="0.25">
      <c r="A1011" t="s">
        <v>532</v>
      </c>
    </row>
    <row r="1012" spans="1:1" hidden="1" x14ac:dyDescent="0.25">
      <c r="A1012" t="s">
        <v>667</v>
      </c>
    </row>
    <row r="1013" spans="1:1" hidden="1" x14ac:dyDescent="0.25">
      <c r="A1013" t="s">
        <v>150</v>
      </c>
    </row>
    <row r="1014" spans="1:1" hidden="1" x14ac:dyDescent="0.25">
      <c r="A1014" t="s">
        <v>648</v>
      </c>
    </row>
    <row r="1015" spans="1:1" hidden="1" x14ac:dyDescent="0.25">
      <c r="A1015" t="s">
        <v>263</v>
      </c>
    </row>
    <row r="1016" spans="1:1" hidden="1" x14ac:dyDescent="0.25">
      <c r="A1016" t="s">
        <v>562</v>
      </c>
    </row>
    <row r="1017" spans="1:1" hidden="1" x14ac:dyDescent="0.25">
      <c r="A1017" t="s">
        <v>380</v>
      </c>
    </row>
    <row r="1018" spans="1:1" hidden="1" x14ac:dyDescent="0.25">
      <c r="A1018" t="s">
        <v>1469</v>
      </c>
    </row>
    <row r="1019" spans="1:1" hidden="1" x14ac:dyDescent="0.25">
      <c r="A1019" t="s">
        <v>532</v>
      </c>
    </row>
    <row r="1020" spans="1:1" hidden="1" x14ac:dyDescent="0.25">
      <c r="A1020" t="s">
        <v>667</v>
      </c>
    </row>
    <row r="1021" spans="1:1" hidden="1" x14ac:dyDescent="0.25">
      <c r="A1021" t="s">
        <v>926</v>
      </c>
    </row>
    <row r="1022" spans="1:1" hidden="1" x14ac:dyDescent="0.25">
      <c r="A1022" t="s">
        <v>380</v>
      </c>
    </row>
    <row r="1023" spans="1:1" hidden="1" x14ac:dyDescent="0.25">
      <c r="A1023" t="s">
        <v>667</v>
      </c>
    </row>
    <row r="1024" spans="1:1" hidden="1" x14ac:dyDescent="0.25">
      <c r="A1024" t="s">
        <v>380</v>
      </c>
    </row>
    <row r="1025" spans="1:1" hidden="1" x14ac:dyDescent="0.25">
      <c r="A1025" t="s">
        <v>859</v>
      </c>
    </row>
    <row r="1026" spans="1:1" hidden="1" x14ac:dyDescent="0.25">
      <c r="A1026" t="s">
        <v>648</v>
      </c>
    </row>
    <row r="1027" spans="1:1" hidden="1" x14ac:dyDescent="0.25">
      <c r="A1027" t="s">
        <v>893</v>
      </c>
    </row>
    <row r="1028" spans="1:1" hidden="1" x14ac:dyDescent="0.25">
      <c r="A1028" t="s">
        <v>244</v>
      </c>
    </row>
    <row r="1029" spans="1:1" hidden="1" x14ac:dyDescent="0.25">
      <c r="A1029" t="s">
        <v>580</v>
      </c>
    </row>
    <row r="1030" spans="1:1" hidden="1" x14ac:dyDescent="0.25">
      <c r="A1030" t="s">
        <v>1229</v>
      </c>
    </row>
    <row r="1031" spans="1:1" hidden="1" x14ac:dyDescent="0.25">
      <c r="A1031" t="s">
        <v>1443</v>
      </c>
    </row>
    <row r="1032" spans="1:1" hidden="1" x14ac:dyDescent="0.25">
      <c r="A1032" t="s">
        <v>648</v>
      </c>
    </row>
    <row r="1033" spans="1:1" hidden="1" x14ac:dyDescent="0.25">
      <c r="A1033" t="s">
        <v>2647</v>
      </c>
    </row>
    <row r="1034" spans="1:1" hidden="1" x14ac:dyDescent="0.25">
      <c r="A1034" t="s">
        <v>553</v>
      </c>
    </row>
    <row r="1035" spans="1:1" hidden="1" x14ac:dyDescent="0.25">
      <c r="A1035" t="s">
        <v>562</v>
      </c>
    </row>
    <row r="1036" spans="1:1" hidden="1" x14ac:dyDescent="0.25">
      <c r="A1036" t="s">
        <v>406</v>
      </c>
    </row>
    <row r="1037" spans="1:1" hidden="1" x14ac:dyDescent="0.25">
      <c r="A1037" t="s">
        <v>150</v>
      </c>
    </row>
    <row r="1038" spans="1:1" hidden="1" x14ac:dyDescent="0.25">
      <c r="A1038" t="s">
        <v>580</v>
      </c>
    </row>
    <row r="1039" spans="1:1" hidden="1" x14ac:dyDescent="0.25">
      <c r="A1039" t="s">
        <v>893</v>
      </c>
    </row>
    <row r="1040" spans="1:1" hidden="1" x14ac:dyDescent="0.25">
      <c r="A1040" t="s">
        <v>580</v>
      </c>
    </row>
    <row r="1041" spans="1:1" hidden="1" x14ac:dyDescent="0.25">
      <c r="A1041" t="s">
        <v>1229</v>
      </c>
    </row>
    <row r="1042" spans="1:1" hidden="1" x14ac:dyDescent="0.25">
      <c r="A1042" t="s">
        <v>553</v>
      </c>
    </row>
    <row r="1043" spans="1:1" hidden="1" x14ac:dyDescent="0.25">
      <c r="A1043" t="s">
        <v>680</v>
      </c>
    </row>
    <row r="1044" spans="1:1" hidden="1" x14ac:dyDescent="0.25">
      <c r="A1044" t="s">
        <v>893</v>
      </c>
    </row>
    <row r="1045" spans="1:1" hidden="1" x14ac:dyDescent="0.25">
      <c r="A1045" t="s">
        <v>2647</v>
      </c>
    </row>
    <row r="1046" spans="1:1" hidden="1" x14ac:dyDescent="0.25">
      <c r="A1046" t="s">
        <v>205</v>
      </c>
    </row>
    <row r="1047" spans="1:1" hidden="1" x14ac:dyDescent="0.25">
      <c r="A1047" t="s">
        <v>2085</v>
      </c>
    </row>
    <row r="1048" spans="1:1" hidden="1" x14ac:dyDescent="0.25">
      <c r="A1048" t="s">
        <v>859</v>
      </c>
    </row>
    <row r="1049" spans="1:1" hidden="1" x14ac:dyDescent="0.25">
      <c r="A1049" t="s">
        <v>392</v>
      </c>
    </row>
    <row r="1050" spans="1:1" hidden="1" x14ac:dyDescent="0.25">
      <c r="A1050" t="s">
        <v>244</v>
      </c>
    </row>
    <row r="1051" spans="1:1" hidden="1" x14ac:dyDescent="0.25">
      <c r="A1051" t="s">
        <v>380</v>
      </c>
    </row>
    <row r="1052" spans="1:1" hidden="1" x14ac:dyDescent="0.25">
      <c r="A1052" t="s">
        <v>667</v>
      </c>
    </row>
    <row r="1053" spans="1:1" hidden="1" x14ac:dyDescent="0.25">
      <c r="A1053" t="s">
        <v>244</v>
      </c>
    </row>
    <row r="1054" spans="1:1" hidden="1" x14ac:dyDescent="0.25">
      <c r="A1054" t="s">
        <v>648</v>
      </c>
    </row>
    <row r="1055" spans="1:1" hidden="1" x14ac:dyDescent="0.25">
      <c r="A1055" t="s">
        <v>1126</v>
      </c>
    </row>
    <row r="1056" spans="1:1" hidden="1" x14ac:dyDescent="0.25">
      <c r="A1056" t="s">
        <v>1058</v>
      </c>
    </row>
    <row r="1057" spans="1:1" hidden="1" x14ac:dyDescent="0.25">
      <c r="A1057" t="s">
        <v>2309</v>
      </c>
    </row>
    <row r="1058" spans="1:1" hidden="1" x14ac:dyDescent="0.25">
      <c r="A1058" t="s">
        <v>1229</v>
      </c>
    </row>
    <row r="1059" spans="1:1" hidden="1" x14ac:dyDescent="0.25">
      <c r="A1059" t="s">
        <v>244</v>
      </c>
    </row>
    <row r="1060" spans="1:1" hidden="1" x14ac:dyDescent="0.25">
      <c r="A1060" t="s">
        <v>553</v>
      </c>
    </row>
    <row r="1061" spans="1:1" hidden="1" x14ac:dyDescent="0.25">
      <c r="A1061" t="s">
        <v>416</v>
      </c>
    </row>
    <row r="1062" spans="1:1" hidden="1" x14ac:dyDescent="0.25">
      <c r="A1062" t="s">
        <v>416</v>
      </c>
    </row>
    <row r="1063" spans="1:1" hidden="1" x14ac:dyDescent="0.25">
      <c r="A1063" t="s">
        <v>1126</v>
      </c>
    </row>
    <row r="1064" spans="1:1" hidden="1" x14ac:dyDescent="0.25">
      <c r="A1064" t="s">
        <v>449</v>
      </c>
    </row>
    <row r="1065" spans="1:1" hidden="1" x14ac:dyDescent="0.25">
      <c r="A1065" t="s">
        <v>2647</v>
      </c>
    </row>
    <row r="1066" spans="1:1" hidden="1" x14ac:dyDescent="0.25">
      <c r="A1066" t="s">
        <v>1348</v>
      </c>
    </row>
    <row r="1067" spans="1:1" hidden="1" x14ac:dyDescent="0.25">
      <c r="A1067" t="s">
        <v>263</v>
      </c>
    </row>
    <row r="1068" spans="1:1" hidden="1" x14ac:dyDescent="0.25">
      <c r="A1068" t="s">
        <v>2085</v>
      </c>
    </row>
    <row r="1069" spans="1:1" hidden="1" x14ac:dyDescent="0.25">
      <c r="A1069" t="s">
        <v>244</v>
      </c>
    </row>
    <row r="1070" spans="1:1" hidden="1" x14ac:dyDescent="0.25">
      <c r="A1070" t="s">
        <v>680</v>
      </c>
    </row>
    <row r="1071" spans="1:1" hidden="1" x14ac:dyDescent="0.25">
      <c r="A1071" t="s">
        <v>169</v>
      </c>
    </row>
    <row r="1072" spans="1:1" hidden="1" x14ac:dyDescent="0.25">
      <c r="A1072" t="s">
        <v>648</v>
      </c>
    </row>
    <row r="1073" spans="1:1" hidden="1" x14ac:dyDescent="0.25">
      <c r="A1073" t="s">
        <v>380</v>
      </c>
    </row>
    <row r="1074" spans="1:1" hidden="1" x14ac:dyDescent="0.25">
      <c r="A1074" t="s">
        <v>667</v>
      </c>
    </row>
    <row r="1075" spans="1:1" hidden="1" x14ac:dyDescent="0.25">
      <c r="A1075" t="s">
        <v>1372</v>
      </c>
    </row>
    <row r="1076" spans="1:1" hidden="1" x14ac:dyDescent="0.25">
      <c r="A1076" t="s">
        <v>580</v>
      </c>
    </row>
    <row r="1077" spans="1:1" hidden="1" x14ac:dyDescent="0.25">
      <c r="A1077" t="s">
        <v>532</v>
      </c>
    </row>
    <row r="1078" spans="1:1" hidden="1" x14ac:dyDescent="0.25">
      <c r="A1078" t="s">
        <v>123</v>
      </c>
    </row>
    <row r="1079" spans="1:1" hidden="1" x14ac:dyDescent="0.25">
      <c r="A1079" t="s">
        <v>532</v>
      </c>
    </row>
    <row r="1080" spans="1:1" hidden="1" x14ac:dyDescent="0.25">
      <c r="A1080" t="s">
        <v>2128</v>
      </c>
    </row>
    <row r="1081" spans="1:1" hidden="1" x14ac:dyDescent="0.25">
      <c r="A1081" t="s">
        <v>380</v>
      </c>
    </row>
    <row r="1082" spans="1:1" hidden="1" x14ac:dyDescent="0.25">
      <c r="A1082" t="s">
        <v>150</v>
      </c>
    </row>
    <row r="1083" spans="1:1" hidden="1" x14ac:dyDescent="0.25">
      <c r="A1083" t="s">
        <v>1936</v>
      </c>
    </row>
    <row r="1084" spans="1:1" hidden="1" x14ac:dyDescent="0.25">
      <c r="A1084" t="s">
        <v>1798</v>
      </c>
    </row>
    <row r="1085" spans="1:1" hidden="1" x14ac:dyDescent="0.25">
      <c r="A1085" t="s">
        <v>1874</v>
      </c>
    </row>
    <row r="1086" spans="1:1" hidden="1" x14ac:dyDescent="0.25">
      <c r="A1086" t="s">
        <v>893</v>
      </c>
    </row>
    <row r="1087" spans="1:1" hidden="1" x14ac:dyDescent="0.25">
      <c r="A1087" t="s">
        <v>1443</v>
      </c>
    </row>
    <row r="1088" spans="1:1" hidden="1" x14ac:dyDescent="0.25">
      <c r="A1088" t="s">
        <v>951</v>
      </c>
    </row>
    <row r="1089" spans="1:1" hidden="1" x14ac:dyDescent="0.25">
      <c r="A1089" t="s">
        <v>150</v>
      </c>
    </row>
    <row r="1090" spans="1:1" hidden="1" x14ac:dyDescent="0.25">
      <c r="A1090" t="s">
        <v>1874</v>
      </c>
    </row>
    <row r="1091" spans="1:1" hidden="1" x14ac:dyDescent="0.25">
      <c r="A1091" t="s">
        <v>392</v>
      </c>
    </row>
    <row r="1092" spans="1:1" hidden="1" x14ac:dyDescent="0.25">
      <c r="A1092" t="s">
        <v>1874</v>
      </c>
    </row>
    <row r="1093" spans="1:1" hidden="1" x14ac:dyDescent="0.25">
      <c r="A1093" t="s">
        <v>926</v>
      </c>
    </row>
    <row r="1094" spans="1:1" hidden="1" x14ac:dyDescent="0.25">
      <c r="A1094" t="s">
        <v>648</v>
      </c>
    </row>
    <row r="1095" spans="1:1" hidden="1" x14ac:dyDescent="0.25">
      <c r="A1095" t="s">
        <v>449</v>
      </c>
    </row>
    <row r="1096" spans="1:1" hidden="1" x14ac:dyDescent="0.25">
      <c r="A1096" t="s">
        <v>380</v>
      </c>
    </row>
    <row r="1097" spans="1:1" hidden="1" x14ac:dyDescent="0.25">
      <c r="A1097" t="s">
        <v>893</v>
      </c>
    </row>
    <row r="1098" spans="1:1" hidden="1" x14ac:dyDescent="0.25">
      <c r="A1098" t="s">
        <v>532</v>
      </c>
    </row>
    <row r="1099" spans="1:1" hidden="1" x14ac:dyDescent="0.25">
      <c r="A1099" t="s">
        <v>244</v>
      </c>
    </row>
    <row r="1100" spans="1:1" hidden="1" x14ac:dyDescent="0.25">
      <c r="A1100" t="s">
        <v>380</v>
      </c>
    </row>
    <row r="1101" spans="1:1" hidden="1" x14ac:dyDescent="0.25">
      <c r="A1101" t="s">
        <v>562</v>
      </c>
    </row>
    <row r="1102" spans="1:1" hidden="1" x14ac:dyDescent="0.25">
      <c r="A1102" t="s">
        <v>244</v>
      </c>
    </row>
    <row r="1103" spans="1:1" hidden="1" x14ac:dyDescent="0.25">
      <c r="A1103" t="s">
        <v>680</v>
      </c>
    </row>
    <row r="1104" spans="1:1" hidden="1" x14ac:dyDescent="0.25">
      <c r="A1104" t="s">
        <v>449</v>
      </c>
    </row>
    <row r="1105" spans="1:1" hidden="1" x14ac:dyDescent="0.25">
      <c r="A1105" t="s">
        <v>150</v>
      </c>
    </row>
    <row r="1106" spans="1:1" hidden="1" x14ac:dyDescent="0.25">
      <c r="A1106" t="s">
        <v>215</v>
      </c>
    </row>
    <row r="1107" spans="1:1" hidden="1" x14ac:dyDescent="0.25">
      <c r="A1107" t="s">
        <v>788</v>
      </c>
    </row>
    <row r="1108" spans="1:1" hidden="1" x14ac:dyDescent="0.25">
      <c r="A1108" t="s">
        <v>1469</v>
      </c>
    </row>
    <row r="1109" spans="1:1" hidden="1" x14ac:dyDescent="0.25">
      <c r="A1109" t="s">
        <v>1798</v>
      </c>
    </row>
    <row r="1110" spans="1:1" hidden="1" x14ac:dyDescent="0.25">
      <c r="A1110" t="s">
        <v>580</v>
      </c>
    </row>
    <row r="1111" spans="1:1" hidden="1" x14ac:dyDescent="0.25">
      <c r="A1111" t="s">
        <v>380</v>
      </c>
    </row>
    <row r="1112" spans="1:1" hidden="1" x14ac:dyDescent="0.25">
      <c r="A1112" t="s">
        <v>580</v>
      </c>
    </row>
    <row r="1113" spans="1:1" hidden="1" x14ac:dyDescent="0.25">
      <c r="A1113" t="s">
        <v>1469</v>
      </c>
    </row>
    <row r="1114" spans="1:1" hidden="1" x14ac:dyDescent="0.25">
      <c r="A1114" t="s">
        <v>169</v>
      </c>
    </row>
    <row r="1115" spans="1:1" hidden="1" x14ac:dyDescent="0.25">
      <c r="A1115" t="s">
        <v>215</v>
      </c>
    </row>
    <row r="1116" spans="1:1" hidden="1" x14ac:dyDescent="0.25">
      <c r="A1116" t="s">
        <v>1126</v>
      </c>
    </row>
    <row r="1117" spans="1:1" hidden="1" x14ac:dyDescent="0.25">
      <c r="A1117" t="s">
        <v>562</v>
      </c>
    </row>
    <row r="1118" spans="1:1" hidden="1" x14ac:dyDescent="0.25">
      <c r="A1118" t="s">
        <v>253</v>
      </c>
    </row>
    <row r="1119" spans="1:1" hidden="1" x14ac:dyDescent="0.25">
      <c r="A1119" t="s">
        <v>532</v>
      </c>
    </row>
    <row r="1120" spans="1:1" hidden="1" x14ac:dyDescent="0.25">
      <c r="A1120" t="s">
        <v>244</v>
      </c>
    </row>
    <row r="1121" spans="1:1" hidden="1" x14ac:dyDescent="0.25">
      <c r="A1121" t="s">
        <v>2647</v>
      </c>
    </row>
    <row r="1122" spans="1:1" hidden="1" x14ac:dyDescent="0.25">
      <c r="A1122" t="s">
        <v>150</v>
      </c>
    </row>
    <row r="1123" spans="1:1" hidden="1" x14ac:dyDescent="0.25">
      <c r="A1123" t="s">
        <v>893</v>
      </c>
    </row>
    <row r="1124" spans="1:1" hidden="1" x14ac:dyDescent="0.25">
      <c r="A1124" t="s">
        <v>1229</v>
      </c>
    </row>
    <row r="1125" spans="1:1" hidden="1" x14ac:dyDescent="0.25">
      <c r="A1125" t="s">
        <v>667</v>
      </c>
    </row>
    <row r="1126" spans="1:1" hidden="1" x14ac:dyDescent="0.25">
      <c r="A1126" t="s">
        <v>580</v>
      </c>
    </row>
    <row r="1127" spans="1:1" hidden="1" x14ac:dyDescent="0.25">
      <c r="A1127" t="s">
        <v>893</v>
      </c>
    </row>
    <row r="1128" spans="1:1" hidden="1" x14ac:dyDescent="0.25">
      <c r="A1128" t="s">
        <v>392</v>
      </c>
    </row>
    <row r="1129" spans="1:1" hidden="1" x14ac:dyDescent="0.25">
      <c r="A1129" t="s">
        <v>244</v>
      </c>
    </row>
    <row r="1130" spans="1:1" hidden="1" x14ac:dyDescent="0.25">
      <c r="A1130" t="s">
        <v>186</v>
      </c>
    </row>
    <row r="1131" spans="1:1" hidden="1" x14ac:dyDescent="0.25">
      <c r="A1131" t="s">
        <v>169</v>
      </c>
    </row>
    <row r="1132" spans="1:1" hidden="1" x14ac:dyDescent="0.25">
      <c r="A1132" t="s">
        <v>553</v>
      </c>
    </row>
    <row r="1133" spans="1:1" hidden="1" x14ac:dyDescent="0.25">
      <c r="A1133" t="s">
        <v>893</v>
      </c>
    </row>
    <row r="1134" spans="1:1" hidden="1" x14ac:dyDescent="0.25">
      <c r="A1134" t="s">
        <v>440</v>
      </c>
    </row>
    <row r="1135" spans="1:1" hidden="1" x14ac:dyDescent="0.25">
      <c r="A1135" t="s">
        <v>1126</v>
      </c>
    </row>
    <row r="1136" spans="1:1" hidden="1" x14ac:dyDescent="0.25">
      <c r="A1136" t="s">
        <v>186</v>
      </c>
    </row>
    <row r="1137" spans="1:1" hidden="1" x14ac:dyDescent="0.25">
      <c r="A1137" t="s">
        <v>123</v>
      </c>
    </row>
    <row r="1138" spans="1:1" hidden="1" x14ac:dyDescent="0.25">
      <c r="A1138" t="s">
        <v>2647</v>
      </c>
    </row>
    <row r="1139" spans="1:1" hidden="1" x14ac:dyDescent="0.25">
      <c r="A1139" t="s">
        <v>648</v>
      </c>
    </row>
    <row r="1140" spans="1:1" hidden="1" x14ac:dyDescent="0.25">
      <c r="A1140" t="s">
        <v>392</v>
      </c>
    </row>
    <row r="1141" spans="1:1" hidden="1" x14ac:dyDescent="0.25">
      <c r="A1141" t="s">
        <v>186</v>
      </c>
    </row>
    <row r="1142" spans="1:1" hidden="1" x14ac:dyDescent="0.25">
      <c r="A1142" t="s">
        <v>392</v>
      </c>
    </row>
    <row r="1143" spans="1:1" hidden="1" x14ac:dyDescent="0.25">
      <c r="A1143" t="s">
        <v>893</v>
      </c>
    </row>
    <row r="1144" spans="1:1" hidden="1" x14ac:dyDescent="0.25">
      <c r="A1144" t="s">
        <v>449</v>
      </c>
    </row>
    <row r="1145" spans="1:1" hidden="1" x14ac:dyDescent="0.25">
      <c r="A1145" t="s">
        <v>150</v>
      </c>
    </row>
    <row r="1146" spans="1:1" hidden="1" x14ac:dyDescent="0.25">
      <c r="A1146" t="s">
        <v>648</v>
      </c>
    </row>
    <row r="1147" spans="1:1" hidden="1" x14ac:dyDescent="0.25">
      <c r="A1147" t="s">
        <v>1229</v>
      </c>
    </row>
    <row r="1148" spans="1:1" hidden="1" x14ac:dyDescent="0.25">
      <c r="A1148" t="s">
        <v>648</v>
      </c>
    </row>
    <row r="1149" spans="1:1" hidden="1" x14ac:dyDescent="0.25">
      <c r="A1149" t="s">
        <v>3277</v>
      </c>
    </row>
    <row r="1150" spans="1:1" hidden="1" x14ac:dyDescent="0.25">
      <c r="A1150" t="s">
        <v>1469</v>
      </c>
    </row>
    <row r="1151" spans="1:1" hidden="1" x14ac:dyDescent="0.25">
      <c r="A1151" t="s">
        <v>380</v>
      </c>
    </row>
    <row r="1152" spans="1:1" hidden="1" x14ac:dyDescent="0.25">
      <c r="A1152" t="s">
        <v>406</v>
      </c>
    </row>
    <row r="1153" spans="1:1" hidden="1" x14ac:dyDescent="0.25">
      <c r="A1153" t="s">
        <v>562</v>
      </c>
    </row>
    <row r="1154" spans="1:1" hidden="1" x14ac:dyDescent="0.25">
      <c r="A1154" t="s">
        <v>532</v>
      </c>
    </row>
    <row r="1155" spans="1:1" hidden="1" x14ac:dyDescent="0.25">
      <c r="A1155" t="s">
        <v>1126</v>
      </c>
    </row>
    <row r="1156" spans="1:1" hidden="1" x14ac:dyDescent="0.25">
      <c r="A1156" t="s">
        <v>1126</v>
      </c>
    </row>
    <row r="1157" spans="1:1" hidden="1" x14ac:dyDescent="0.25">
      <c r="A1157" t="s">
        <v>580</v>
      </c>
    </row>
    <row r="1158" spans="1:1" hidden="1" x14ac:dyDescent="0.25">
      <c r="A1158" t="s">
        <v>1348</v>
      </c>
    </row>
    <row r="1159" spans="1:1" hidden="1" x14ac:dyDescent="0.25">
      <c r="A1159" t="s">
        <v>680</v>
      </c>
    </row>
    <row r="1160" spans="1:1" hidden="1" x14ac:dyDescent="0.25">
      <c r="A1160" t="s">
        <v>150</v>
      </c>
    </row>
    <row r="1161" spans="1:1" hidden="1" x14ac:dyDescent="0.25">
      <c r="A1161" t="s">
        <v>1155</v>
      </c>
    </row>
    <row r="1162" spans="1:1" hidden="1" x14ac:dyDescent="0.25">
      <c r="A1162" t="s">
        <v>680</v>
      </c>
    </row>
    <row r="1163" spans="1:1" hidden="1" x14ac:dyDescent="0.25">
      <c r="A1163" t="s">
        <v>263</v>
      </c>
    </row>
    <row r="1164" spans="1:1" hidden="1" x14ac:dyDescent="0.25">
      <c r="A1164" t="s">
        <v>859</v>
      </c>
    </row>
    <row r="1165" spans="1:1" hidden="1" x14ac:dyDescent="0.25">
      <c r="A1165" t="s">
        <v>380</v>
      </c>
    </row>
    <row r="1166" spans="1:1" hidden="1" x14ac:dyDescent="0.25">
      <c r="A1166" t="s">
        <v>392</v>
      </c>
    </row>
    <row r="1167" spans="1:1" hidden="1" x14ac:dyDescent="0.25">
      <c r="A1167" t="s">
        <v>244</v>
      </c>
    </row>
    <row r="1168" spans="1:1" hidden="1" x14ac:dyDescent="0.25">
      <c r="A1168" t="s">
        <v>406</v>
      </c>
    </row>
    <row r="1169" spans="1:1" hidden="1" x14ac:dyDescent="0.25">
      <c r="A1169" t="s">
        <v>392</v>
      </c>
    </row>
    <row r="1170" spans="1:1" hidden="1" x14ac:dyDescent="0.25">
      <c r="A1170" t="s">
        <v>406</v>
      </c>
    </row>
    <row r="1171" spans="1:1" hidden="1" x14ac:dyDescent="0.25">
      <c r="A1171" t="s">
        <v>1443</v>
      </c>
    </row>
    <row r="1172" spans="1:1" hidden="1" x14ac:dyDescent="0.25">
      <c r="A1172" t="s">
        <v>580</v>
      </c>
    </row>
    <row r="1173" spans="1:1" hidden="1" x14ac:dyDescent="0.25">
      <c r="A1173" t="s">
        <v>648</v>
      </c>
    </row>
    <row r="1174" spans="1:1" hidden="1" x14ac:dyDescent="0.25">
      <c r="A1174" t="s">
        <v>392</v>
      </c>
    </row>
    <row r="1175" spans="1:1" hidden="1" x14ac:dyDescent="0.25">
      <c r="A1175" t="s">
        <v>951</v>
      </c>
    </row>
    <row r="1176" spans="1:1" hidden="1" x14ac:dyDescent="0.25">
      <c r="A1176" t="s">
        <v>406</v>
      </c>
    </row>
    <row r="1177" spans="1:1" hidden="1" x14ac:dyDescent="0.25">
      <c r="A1177" t="s">
        <v>169</v>
      </c>
    </row>
    <row r="1178" spans="1:1" hidden="1" x14ac:dyDescent="0.25">
      <c r="A1178" t="s">
        <v>467</v>
      </c>
    </row>
    <row r="1179" spans="1:1" hidden="1" x14ac:dyDescent="0.25">
      <c r="A1179" t="s">
        <v>1126</v>
      </c>
    </row>
    <row r="1180" spans="1:1" hidden="1" x14ac:dyDescent="0.25">
      <c r="A1180" t="s">
        <v>1229</v>
      </c>
    </row>
    <row r="1181" spans="1:1" hidden="1" x14ac:dyDescent="0.25">
      <c r="A1181" t="s">
        <v>380</v>
      </c>
    </row>
    <row r="1182" spans="1:1" hidden="1" x14ac:dyDescent="0.25">
      <c r="A1182" t="s">
        <v>392</v>
      </c>
    </row>
    <row r="1183" spans="1:1" hidden="1" x14ac:dyDescent="0.25">
      <c r="A1183" t="s">
        <v>532</v>
      </c>
    </row>
    <row r="1184" spans="1:1" hidden="1" x14ac:dyDescent="0.25">
      <c r="A1184" t="s">
        <v>1348</v>
      </c>
    </row>
    <row r="1185" spans="1:1" hidden="1" x14ac:dyDescent="0.25">
      <c r="A1185" t="s">
        <v>532</v>
      </c>
    </row>
    <row r="1186" spans="1:1" hidden="1" x14ac:dyDescent="0.25">
      <c r="A1186" t="s">
        <v>807</v>
      </c>
    </row>
    <row r="1187" spans="1:1" hidden="1" x14ac:dyDescent="0.25">
      <c r="A1187" t="s">
        <v>1126</v>
      </c>
    </row>
    <row r="1188" spans="1:1" hidden="1" x14ac:dyDescent="0.25">
      <c r="A1188" t="s">
        <v>680</v>
      </c>
    </row>
    <row r="1189" spans="1:1" hidden="1" x14ac:dyDescent="0.25">
      <c r="A1189" t="s">
        <v>926</v>
      </c>
    </row>
    <row r="1190" spans="1:1" hidden="1" x14ac:dyDescent="0.25">
      <c r="A1190" t="s">
        <v>648</v>
      </c>
    </row>
    <row r="1191" spans="1:1" hidden="1" x14ac:dyDescent="0.25">
      <c r="A1191" t="s">
        <v>2001</v>
      </c>
    </row>
    <row r="1192" spans="1:1" hidden="1" x14ac:dyDescent="0.25">
      <c r="A1192" t="s">
        <v>788</v>
      </c>
    </row>
    <row r="1193" spans="1:1" hidden="1" x14ac:dyDescent="0.25">
      <c r="A1193" t="s">
        <v>244</v>
      </c>
    </row>
    <row r="1194" spans="1:1" hidden="1" x14ac:dyDescent="0.25">
      <c r="A1194" t="s">
        <v>263</v>
      </c>
    </row>
    <row r="1195" spans="1:1" hidden="1" x14ac:dyDescent="0.25">
      <c r="A1195" t="s">
        <v>580</v>
      </c>
    </row>
    <row r="1196" spans="1:1" hidden="1" x14ac:dyDescent="0.25">
      <c r="A1196" t="s">
        <v>392</v>
      </c>
    </row>
    <row r="1197" spans="1:1" hidden="1" x14ac:dyDescent="0.25">
      <c r="A1197" t="s">
        <v>580</v>
      </c>
    </row>
    <row r="1198" spans="1:1" hidden="1" x14ac:dyDescent="0.25">
      <c r="A1198" t="s">
        <v>392</v>
      </c>
    </row>
    <row r="1199" spans="1:1" hidden="1" x14ac:dyDescent="0.25">
      <c r="A1199" t="s">
        <v>380</v>
      </c>
    </row>
    <row r="1200" spans="1:1" hidden="1" x14ac:dyDescent="0.25">
      <c r="A1200" t="s">
        <v>667</v>
      </c>
    </row>
    <row r="1201" spans="1:1" hidden="1" x14ac:dyDescent="0.25">
      <c r="A1201" t="s">
        <v>580</v>
      </c>
    </row>
    <row r="1202" spans="1:1" hidden="1" x14ac:dyDescent="0.25">
      <c r="A1202" t="s">
        <v>380</v>
      </c>
    </row>
    <row r="1203" spans="1:1" hidden="1" x14ac:dyDescent="0.25">
      <c r="A1203" t="s">
        <v>449</v>
      </c>
    </row>
    <row r="1204" spans="1:1" hidden="1" x14ac:dyDescent="0.25">
      <c r="A1204" t="s">
        <v>580</v>
      </c>
    </row>
    <row r="1205" spans="1:1" hidden="1" x14ac:dyDescent="0.25">
      <c r="A1205" t="s">
        <v>392</v>
      </c>
    </row>
    <row r="1206" spans="1:1" hidden="1" x14ac:dyDescent="0.25">
      <c r="A1206" t="s">
        <v>1126</v>
      </c>
    </row>
    <row r="1207" spans="1:1" hidden="1" x14ac:dyDescent="0.25">
      <c r="A1207" t="s">
        <v>553</v>
      </c>
    </row>
    <row r="1208" spans="1:1" hidden="1" x14ac:dyDescent="0.25">
      <c r="A1208" t="s">
        <v>553</v>
      </c>
    </row>
    <row r="1209" spans="1:1" hidden="1" x14ac:dyDescent="0.25">
      <c r="A1209" t="s">
        <v>648</v>
      </c>
    </row>
    <row r="1210" spans="1:1" hidden="1" x14ac:dyDescent="0.25">
      <c r="A1210" t="s">
        <v>186</v>
      </c>
    </row>
    <row r="1211" spans="1:1" hidden="1" x14ac:dyDescent="0.25">
      <c r="A1211" t="s">
        <v>1126</v>
      </c>
    </row>
    <row r="1212" spans="1:1" hidden="1" x14ac:dyDescent="0.25">
      <c r="A1212" t="s">
        <v>169</v>
      </c>
    </row>
    <row r="1213" spans="1:1" hidden="1" x14ac:dyDescent="0.25">
      <c r="A1213" t="s">
        <v>392</v>
      </c>
    </row>
    <row r="1214" spans="1:1" hidden="1" x14ac:dyDescent="0.25">
      <c r="A1214" t="s">
        <v>648</v>
      </c>
    </row>
    <row r="1215" spans="1:1" hidden="1" x14ac:dyDescent="0.25">
      <c r="A1215" t="s">
        <v>215</v>
      </c>
    </row>
    <row r="1216" spans="1:1" hidden="1" x14ac:dyDescent="0.25">
      <c r="A1216" t="s">
        <v>150</v>
      </c>
    </row>
    <row r="1217" spans="1:1" hidden="1" x14ac:dyDescent="0.25">
      <c r="A1217" t="s">
        <v>648</v>
      </c>
    </row>
    <row r="1218" spans="1:1" hidden="1" x14ac:dyDescent="0.25">
      <c r="A1218" t="s">
        <v>449</v>
      </c>
    </row>
    <row r="1219" spans="1:1" hidden="1" x14ac:dyDescent="0.25">
      <c r="A1219" t="s">
        <v>562</v>
      </c>
    </row>
    <row r="1220" spans="1:1" hidden="1" x14ac:dyDescent="0.25">
      <c r="A1220" t="s">
        <v>667</v>
      </c>
    </row>
    <row r="1221" spans="1:1" hidden="1" x14ac:dyDescent="0.25">
      <c r="A1221" t="s">
        <v>893</v>
      </c>
    </row>
    <row r="1222" spans="1:1" hidden="1" x14ac:dyDescent="0.25">
      <c r="A1222" t="s">
        <v>392</v>
      </c>
    </row>
    <row r="1223" spans="1:1" hidden="1" x14ac:dyDescent="0.25">
      <c r="A1223" t="s">
        <v>553</v>
      </c>
    </row>
    <row r="1224" spans="1:1" hidden="1" x14ac:dyDescent="0.25">
      <c r="A1224" t="s">
        <v>667</v>
      </c>
    </row>
    <row r="1225" spans="1:1" hidden="1" x14ac:dyDescent="0.25">
      <c r="A1225" t="s">
        <v>648</v>
      </c>
    </row>
    <row r="1226" spans="1:1" hidden="1" x14ac:dyDescent="0.25">
      <c r="A1226" t="s">
        <v>416</v>
      </c>
    </row>
    <row r="1227" spans="1:1" hidden="1" x14ac:dyDescent="0.25">
      <c r="A1227" t="s">
        <v>553</v>
      </c>
    </row>
    <row r="1228" spans="1:1" hidden="1" x14ac:dyDescent="0.25">
      <c r="A1228" t="s">
        <v>667</v>
      </c>
    </row>
    <row r="1229" spans="1:1" hidden="1" x14ac:dyDescent="0.25">
      <c r="A1229" t="s">
        <v>893</v>
      </c>
    </row>
    <row r="1230" spans="1:1" hidden="1" x14ac:dyDescent="0.25">
      <c r="A1230" t="s">
        <v>680</v>
      </c>
    </row>
    <row r="1231" spans="1:1" hidden="1" x14ac:dyDescent="0.25">
      <c r="A1231" t="s">
        <v>532</v>
      </c>
    </row>
    <row r="1232" spans="1:1" hidden="1" x14ac:dyDescent="0.25">
      <c r="A1232" t="s">
        <v>667</v>
      </c>
    </row>
    <row r="1233" spans="1:1" hidden="1" x14ac:dyDescent="0.25">
      <c r="A1233" t="s">
        <v>123</v>
      </c>
    </row>
    <row r="1234" spans="1:1" hidden="1" x14ac:dyDescent="0.25">
      <c r="A1234" t="s">
        <v>859</v>
      </c>
    </row>
    <row r="1235" spans="1:1" hidden="1" x14ac:dyDescent="0.25">
      <c r="A1235" t="s">
        <v>532</v>
      </c>
    </row>
    <row r="1236" spans="1:1" hidden="1" x14ac:dyDescent="0.25">
      <c r="A1236" t="s">
        <v>2984</v>
      </c>
    </row>
    <row r="1237" spans="1:1" hidden="1" x14ac:dyDescent="0.25">
      <c r="A1237" t="s">
        <v>648</v>
      </c>
    </row>
    <row r="1238" spans="1:1" hidden="1" x14ac:dyDescent="0.25">
      <c r="A1238" t="s">
        <v>1126</v>
      </c>
    </row>
    <row r="1239" spans="1:1" hidden="1" x14ac:dyDescent="0.25">
      <c r="A1239" t="s">
        <v>380</v>
      </c>
    </row>
    <row r="1240" spans="1:1" hidden="1" x14ac:dyDescent="0.25">
      <c r="A1240" t="s">
        <v>449</v>
      </c>
    </row>
    <row r="1241" spans="1:1" hidden="1" x14ac:dyDescent="0.25">
      <c r="A1241" t="s">
        <v>553</v>
      </c>
    </row>
    <row r="1242" spans="1:1" hidden="1" x14ac:dyDescent="0.25">
      <c r="A1242" t="s">
        <v>380</v>
      </c>
    </row>
    <row r="1243" spans="1:1" hidden="1" x14ac:dyDescent="0.25">
      <c r="A1243" t="s">
        <v>244</v>
      </c>
    </row>
    <row r="1244" spans="1:1" hidden="1" x14ac:dyDescent="0.25">
      <c r="A1244" t="s">
        <v>1229</v>
      </c>
    </row>
    <row r="1245" spans="1:1" hidden="1" x14ac:dyDescent="0.25">
      <c r="A1245" t="s">
        <v>788</v>
      </c>
    </row>
    <row r="1246" spans="1:1" hidden="1" x14ac:dyDescent="0.25">
      <c r="A1246" t="s">
        <v>1221</v>
      </c>
    </row>
    <row r="1247" spans="1:1" hidden="1" x14ac:dyDescent="0.25">
      <c r="A1247" t="s">
        <v>1874</v>
      </c>
    </row>
    <row r="1248" spans="1:1" hidden="1" x14ac:dyDescent="0.25">
      <c r="A1248" t="s">
        <v>169</v>
      </c>
    </row>
    <row r="1249" spans="1:1" hidden="1" x14ac:dyDescent="0.25">
      <c r="A1249" t="s">
        <v>449</v>
      </c>
    </row>
    <row r="1250" spans="1:1" hidden="1" x14ac:dyDescent="0.25">
      <c r="A1250" t="s">
        <v>1229</v>
      </c>
    </row>
    <row r="1251" spans="1:1" hidden="1" x14ac:dyDescent="0.25">
      <c r="A1251" t="s">
        <v>244</v>
      </c>
    </row>
    <row r="1252" spans="1:1" hidden="1" x14ac:dyDescent="0.25">
      <c r="A1252" t="s">
        <v>215</v>
      </c>
    </row>
    <row r="1253" spans="1:1" hidden="1" x14ac:dyDescent="0.25">
      <c r="A1253" t="s">
        <v>244</v>
      </c>
    </row>
    <row r="1254" spans="1:1" hidden="1" x14ac:dyDescent="0.25">
      <c r="A1254" t="s">
        <v>2647</v>
      </c>
    </row>
    <row r="1255" spans="1:1" hidden="1" x14ac:dyDescent="0.25">
      <c r="A1255" t="s">
        <v>244</v>
      </c>
    </row>
    <row r="1256" spans="1:1" hidden="1" x14ac:dyDescent="0.25">
      <c r="A1256" t="s">
        <v>1469</v>
      </c>
    </row>
    <row r="1257" spans="1:1" hidden="1" x14ac:dyDescent="0.25">
      <c r="A1257" t="s">
        <v>859</v>
      </c>
    </row>
    <row r="1258" spans="1:1" hidden="1" x14ac:dyDescent="0.25">
      <c r="A1258" t="s">
        <v>622</v>
      </c>
    </row>
    <row r="1259" spans="1:1" hidden="1" x14ac:dyDescent="0.25">
      <c r="A1259" t="s">
        <v>622</v>
      </c>
    </row>
    <row r="1260" spans="1:1" hidden="1" x14ac:dyDescent="0.25">
      <c r="A1260" t="s">
        <v>186</v>
      </c>
    </row>
    <row r="1261" spans="1:1" hidden="1" x14ac:dyDescent="0.25">
      <c r="A1261" t="s">
        <v>859</v>
      </c>
    </row>
    <row r="1262" spans="1:1" hidden="1" x14ac:dyDescent="0.25">
      <c r="A1262" t="s">
        <v>123</v>
      </c>
    </row>
    <row r="1263" spans="1:1" hidden="1" x14ac:dyDescent="0.25">
      <c r="A1263" t="s">
        <v>205</v>
      </c>
    </row>
    <row r="1264" spans="1:1" hidden="1" x14ac:dyDescent="0.25">
      <c r="A1264" t="s">
        <v>406</v>
      </c>
    </row>
    <row r="1265" spans="1:1" hidden="1" x14ac:dyDescent="0.25">
      <c r="A1265" t="s">
        <v>532</v>
      </c>
    </row>
    <row r="1266" spans="1:1" hidden="1" x14ac:dyDescent="0.25">
      <c r="A1266" t="s">
        <v>893</v>
      </c>
    </row>
    <row r="1267" spans="1:1" hidden="1" x14ac:dyDescent="0.25">
      <c r="A1267" t="s">
        <v>532</v>
      </c>
    </row>
    <row r="1268" spans="1:1" hidden="1" x14ac:dyDescent="0.25">
      <c r="A1268" t="s">
        <v>1469</v>
      </c>
    </row>
    <row r="1269" spans="1:1" hidden="1" x14ac:dyDescent="0.25">
      <c r="A1269" t="s">
        <v>380</v>
      </c>
    </row>
    <row r="1270" spans="1:1" hidden="1" x14ac:dyDescent="0.25">
      <c r="A1270" t="s">
        <v>169</v>
      </c>
    </row>
    <row r="1271" spans="1:1" hidden="1" x14ac:dyDescent="0.25">
      <c r="A1271" t="s">
        <v>380</v>
      </c>
    </row>
    <row r="1272" spans="1:1" hidden="1" x14ac:dyDescent="0.25">
      <c r="A1272" t="s">
        <v>680</v>
      </c>
    </row>
    <row r="1273" spans="1:1" hidden="1" x14ac:dyDescent="0.25">
      <c r="A1273" t="s">
        <v>244</v>
      </c>
    </row>
    <row r="1274" spans="1:1" hidden="1" x14ac:dyDescent="0.25">
      <c r="A1274" t="s">
        <v>580</v>
      </c>
    </row>
    <row r="1275" spans="1:1" hidden="1" x14ac:dyDescent="0.25">
      <c r="A1275" t="s">
        <v>893</v>
      </c>
    </row>
    <row r="1276" spans="1:1" hidden="1" x14ac:dyDescent="0.25">
      <c r="A1276" t="s">
        <v>622</v>
      </c>
    </row>
    <row r="1277" spans="1:1" hidden="1" x14ac:dyDescent="0.25">
      <c r="A1277" t="s">
        <v>244</v>
      </c>
    </row>
    <row r="1278" spans="1:1" hidden="1" x14ac:dyDescent="0.25">
      <c r="A1278" t="s">
        <v>2085</v>
      </c>
    </row>
    <row r="1279" spans="1:1" hidden="1" x14ac:dyDescent="0.25">
      <c r="A1279" t="s">
        <v>553</v>
      </c>
    </row>
    <row r="1280" spans="1:1" hidden="1" x14ac:dyDescent="0.25">
      <c r="A1280" t="s">
        <v>1443</v>
      </c>
    </row>
    <row r="1281" spans="1:1" hidden="1" x14ac:dyDescent="0.25">
      <c r="A1281" t="s">
        <v>380</v>
      </c>
    </row>
    <row r="1282" spans="1:1" hidden="1" x14ac:dyDescent="0.25">
      <c r="A1282" t="s">
        <v>893</v>
      </c>
    </row>
    <row r="1283" spans="1:1" hidden="1" x14ac:dyDescent="0.25">
      <c r="A1283" t="s">
        <v>449</v>
      </c>
    </row>
    <row r="1284" spans="1:1" hidden="1" x14ac:dyDescent="0.25">
      <c r="A1284" t="s">
        <v>893</v>
      </c>
    </row>
    <row r="1285" spans="1:1" hidden="1" x14ac:dyDescent="0.25">
      <c r="A1285" t="s">
        <v>1221</v>
      </c>
    </row>
    <row r="1286" spans="1:1" hidden="1" x14ac:dyDescent="0.25">
      <c r="A1286" t="s">
        <v>123</v>
      </c>
    </row>
    <row r="1287" spans="1:1" hidden="1" x14ac:dyDescent="0.25">
      <c r="A1287" t="s">
        <v>244</v>
      </c>
    </row>
    <row r="1288" spans="1:1" hidden="1" x14ac:dyDescent="0.25">
      <c r="A1288" t="s">
        <v>532</v>
      </c>
    </row>
    <row r="1289" spans="1:1" hidden="1" x14ac:dyDescent="0.25">
      <c r="A1289" t="s">
        <v>1372</v>
      </c>
    </row>
    <row r="1290" spans="1:1" hidden="1" x14ac:dyDescent="0.25">
      <c r="A1290" t="s">
        <v>680</v>
      </c>
    </row>
    <row r="1291" spans="1:1" hidden="1" x14ac:dyDescent="0.25">
      <c r="A1291" t="s">
        <v>380</v>
      </c>
    </row>
    <row r="1292" spans="1:1" hidden="1" x14ac:dyDescent="0.25">
      <c r="A1292" t="s">
        <v>648</v>
      </c>
    </row>
    <row r="1293" spans="1:1" hidden="1" x14ac:dyDescent="0.25">
      <c r="A1293" t="s">
        <v>2647</v>
      </c>
    </row>
    <row r="1294" spans="1:1" hidden="1" x14ac:dyDescent="0.25">
      <c r="A1294" t="s">
        <v>169</v>
      </c>
    </row>
    <row r="1295" spans="1:1" hidden="1" x14ac:dyDescent="0.25">
      <c r="A1295" t="s">
        <v>392</v>
      </c>
    </row>
    <row r="1296" spans="1:1" hidden="1" x14ac:dyDescent="0.25">
      <c r="A1296" t="s">
        <v>2128</v>
      </c>
    </row>
    <row r="1297" spans="1:1" hidden="1" x14ac:dyDescent="0.25">
      <c r="A1297" t="s">
        <v>1155</v>
      </c>
    </row>
    <row r="1298" spans="1:1" hidden="1" x14ac:dyDescent="0.25">
      <c r="A1298" t="s">
        <v>244</v>
      </c>
    </row>
    <row r="1299" spans="1:1" hidden="1" x14ac:dyDescent="0.25">
      <c r="A1299" t="s">
        <v>253</v>
      </c>
    </row>
    <row r="1300" spans="1:1" hidden="1" x14ac:dyDescent="0.25">
      <c r="A1300" t="s">
        <v>169</v>
      </c>
    </row>
    <row r="1301" spans="1:1" hidden="1" x14ac:dyDescent="0.25">
      <c r="A1301" t="s">
        <v>392</v>
      </c>
    </row>
    <row r="1302" spans="1:1" hidden="1" x14ac:dyDescent="0.25">
      <c r="A1302" t="s">
        <v>1126</v>
      </c>
    </row>
    <row r="1303" spans="1:1" hidden="1" x14ac:dyDescent="0.25">
      <c r="A1303" t="s">
        <v>416</v>
      </c>
    </row>
    <row r="1304" spans="1:1" hidden="1" x14ac:dyDescent="0.25">
      <c r="A1304" t="s">
        <v>1221</v>
      </c>
    </row>
    <row r="1305" spans="1:1" hidden="1" x14ac:dyDescent="0.25">
      <c r="A1305" t="s">
        <v>244</v>
      </c>
    </row>
    <row r="1306" spans="1:1" hidden="1" x14ac:dyDescent="0.25">
      <c r="A1306" t="s">
        <v>1443</v>
      </c>
    </row>
    <row r="1307" spans="1:1" hidden="1" x14ac:dyDescent="0.25">
      <c r="A1307" t="s">
        <v>648</v>
      </c>
    </row>
    <row r="1308" spans="1:1" hidden="1" x14ac:dyDescent="0.25">
      <c r="A1308" t="s">
        <v>406</v>
      </c>
    </row>
    <row r="1309" spans="1:1" hidden="1" x14ac:dyDescent="0.25">
      <c r="A1309" t="s">
        <v>61</v>
      </c>
    </row>
    <row r="1310" spans="1:1" hidden="1" x14ac:dyDescent="0.25">
      <c r="A1310" t="s">
        <v>169</v>
      </c>
    </row>
    <row r="1311" spans="1:1" hidden="1" x14ac:dyDescent="0.25">
      <c r="A1311" t="s">
        <v>648</v>
      </c>
    </row>
    <row r="1312" spans="1:1" hidden="1" x14ac:dyDescent="0.25">
      <c r="A1312" t="s">
        <v>380</v>
      </c>
    </row>
    <row r="1313" spans="1:1" hidden="1" x14ac:dyDescent="0.25">
      <c r="A1313" t="s">
        <v>648</v>
      </c>
    </row>
    <row r="1314" spans="1:1" hidden="1" x14ac:dyDescent="0.25">
      <c r="A1314" t="s">
        <v>244</v>
      </c>
    </row>
    <row r="1315" spans="1:1" hidden="1" x14ac:dyDescent="0.25">
      <c r="A1315" t="s">
        <v>1798</v>
      </c>
    </row>
    <row r="1316" spans="1:1" hidden="1" x14ac:dyDescent="0.25">
      <c r="A1316" t="s">
        <v>680</v>
      </c>
    </row>
    <row r="1317" spans="1:1" hidden="1" x14ac:dyDescent="0.25">
      <c r="A1317" t="s">
        <v>562</v>
      </c>
    </row>
    <row r="1318" spans="1:1" hidden="1" x14ac:dyDescent="0.25">
      <c r="A1318" t="s">
        <v>807</v>
      </c>
    </row>
    <row r="1319" spans="1:1" hidden="1" x14ac:dyDescent="0.25">
      <c r="A1319" t="s">
        <v>1552</v>
      </c>
    </row>
    <row r="1320" spans="1:1" hidden="1" x14ac:dyDescent="0.25">
      <c r="A1320" t="s">
        <v>1126</v>
      </c>
    </row>
    <row r="1321" spans="1:1" hidden="1" x14ac:dyDescent="0.25">
      <c r="A1321" t="s">
        <v>951</v>
      </c>
    </row>
    <row r="1322" spans="1:1" hidden="1" x14ac:dyDescent="0.25">
      <c r="A1322" t="s">
        <v>680</v>
      </c>
    </row>
    <row r="1323" spans="1:1" hidden="1" x14ac:dyDescent="0.25">
      <c r="A1323" t="s">
        <v>926</v>
      </c>
    </row>
    <row r="1324" spans="1:1" hidden="1" x14ac:dyDescent="0.25">
      <c r="A1324" t="s">
        <v>274</v>
      </c>
    </row>
    <row r="1325" spans="1:1" hidden="1" x14ac:dyDescent="0.25">
      <c r="A1325" t="s">
        <v>667</v>
      </c>
    </row>
    <row r="1326" spans="1:1" hidden="1" x14ac:dyDescent="0.25">
      <c r="A1326" t="s">
        <v>1229</v>
      </c>
    </row>
    <row r="1327" spans="1:1" hidden="1" x14ac:dyDescent="0.25">
      <c r="A1327" t="s">
        <v>1155</v>
      </c>
    </row>
    <row r="1328" spans="1:1" hidden="1" x14ac:dyDescent="0.25">
      <c r="A1328" t="s">
        <v>1126</v>
      </c>
    </row>
    <row r="1329" spans="1:1" hidden="1" x14ac:dyDescent="0.25">
      <c r="A1329" t="s">
        <v>150</v>
      </c>
    </row>
    <row r="1330" spans="1:1" hidden="1" x14ac:dyDescent="0.25">
      <c r="A1330" t="s">
        <v>380</v>
      </c>
    </row>
    <row r="1331" spans="1:1" hidden="1" x14ac:dyDescent="0.25">
      <c r="A1331" t="s">
        <v>667</v>
      </c>
    </row>
    <row r="1332" spans="1:1" hidden="1" x14ac:dyDescent="0.25">
      <c r="A1332" t="s">
        <v>1936</v>
      </c>
    </row>
    <row r="1333" spans="1:1" hidden="1" x14ac:dyDescent="0.25">
      <c r="A1333" t="s">
        <v>648</v>
      </c>
    </row>
    <row r="1334" spans="1:1" hidden="1" x14ac:dyDescent="0.25">
      <c r="A1334" t="s">
        <v>859</v>
      </c>
    </row>
    <row r="1335" spans="1:1" hidden="1" x14ac:dyDescent="0.25">
      <c r="A1335" t="s">
        <v>380</v>
      </c>
    </row>
    <row r="1336" spans="1:1" hidden="1" x14ac:dyDescent="0.25">
      <c r="A1336" t="s">
        <v>1443</v>
      </c>
    </row>
    <row r="1337" spans="1:1" hidden="1" x14ac:dyDescent="0.25">
      <c r="A1337" t="s">
        <v>2984</v>
      </c>
    </row>
    <row r="1338" spans="1:1" hidden="1" x14ac:dyDescent="0.25">
      <c r="A1338" t="s">
        <v>1348</v>
      </c>
    </row>
    <row r="1339" spans="1:1" hidden="1" x14ac:dyDescent="0.25">
      <c r="A1339" t="s">
        <v>406</v>
      </c>
    </row>
    <row r="1340" spans="1:1" hidden="1" x14ac:dyDescent="0.25">
      <c r="A1340" t="s">
        <v>893</v>
      </c>
    </row>
    <row r="1341" spans="1:1" hidden="1" x14ac:dyDescent="0.25">
      <c r="A1341" t="s">
        <v>392</v>
      </c>
    </row>
    <row r="1342" spans="1:1" hidden="1" x14ac:dyDescent="0.25">
      <c r="A1342" t="s">
        <v>1552</v>
      </c>
    </row>
    <row r="1343" spans="1:1" hidden="1" x14ac:dyDescent="0.25">
      <c r="A1343" t="s">
        <v>648</v>
      </c>
    </row>
    <row r="1344" spans="1:1" hidden="1" x14ac:dyDescent="0.25">
      <c r="A1344" t="s">
        <v>622</v>
      </c>
    </row>
    <row r="1345" spans="1:1" hidden="1" x14ac:dyDescent="0.25">
      <c r="A1345" t="s">
        <v>680</v>
      </c>
    </row>
    <row r="1346" spans="1:1" hidden="1" x14ac:dyDescent="0.25">
      <c r="A1346" t="s">
        <v>1155</v>
      </c>
    </row>
    <row r="1347" spans="1:1" hidden="1" x14ac:dyDescent="0.25">
      <c r="A1347" t="s">
        <v>274</v>
      </c>
    </row>
    <row r="1348" spans="1:1" hidden="1" x14ac:dyDescent="0.25">
      <c r="A1348" t="s">
        <v>263</v>
      </c>
    </row>
    <row r="1349" spans="1:1" hidden="1" x14ac:dyDescent="0.25">
      <c r="A1349" t="s">
        <v>406</v>
      </c>
    </row>
    <row r="1350" spans="1:1" hidden="1" x14ac:dyDescent="0.25">
      <c r="A1350" t="s">
        <v>1126</v>
      </c>
    </row>
    <row r="1351" spans="1:1" hidden="1" x14ac:dyDescent="0.25">
      <c r="A1351" t="s">
        <v>3873</v>
      </c>
    </row>
    <row r="1352" spans="1:1" hidden="1" x14ac:dyDescent="0.25">
      <c r="A1352" t="s">
        <v>392</v>
      </c>
    </row>
    <row r="1353" spans="1:1" hidden="1" x14ac:dyDescent="0.25">
      <c r="A1353" t="s">
        <v>1229</v>
      </c>
    </row>
    <row r="1354" spans="1:1" hidden="1" x14ac:dyDescent="0.25">
      <c r="A1354" t="s">
        <v>392</v>
      </c>
    </row>
    <row r="1355" spans="1:1" hidden="1" x14ac:dyDescent="0.25">
      <c r="A1355" t="s">
        <v>406</v>
      </c>
    </row>
    <row r="1356" spans="1:1" hidden="1" x14ac:dyDescent="0.25">
      <c r="A1356" t="s">
        <v>169</v>
      </c>
    </row>
    <row r="1357" spans="1:1" hidden="1" x14ac:dyDescent="0.25">
      <c r="A1357" t="s">
        <v>3873</v>
      </c>
    </row>
    <row r="1358" spans="1:1" hidden="1" x14ac:dyDescent="0.25">
      <c r="A1358" t="s">
        <v>667</v>
      </c>
    </row>
    <row r="1359" spans="1:1" hidden="1" x14ac:dyDescent="0.25">
      <c r="A1359" t="s">
        <v>2128</v>
      </c>
    </row>
    <row r="1360" spans="1:1" hidden="1" x14ac:dyDescent="0.25">
      <c r="A1360" t="s">
        <v>893</v>
      </c>
    </row>
    <row r="1361" spans="1:1" hidden="1" x14ac:dyDescent="0.25">
      <c r="A1361" t="s">
        <v>406</v>
      </c>
    </row>
    <row r="1362" spans="1:1" hidden="1" x14ac:dyDescent="0.25">
      <c r="A1362" t="s">
        <v>680</v>
      </c>
    </row>
    <row r="1363" spans="1:1" hidden="1" x14ac:dyDescent="0.25">
      <c r="A1363" t="s">
        <v>648</v>
      </c>
    </row>
    <row r="1364" spans="1:1" hidden="1" x14ac:dyDescent="0.25">
      <c r="A1364" t="s">
        <v>893</v>
      </c>
    </row>
    <row r="1365" spans="1:1" hidden="1" x14ac:dyDescent="0.25">
      <c r="A1365" t="s">
        <v>392</v>
      </c>
    </row>
    <row r="1366" spans="1:1" hidden="1" x14ac:dyDescent="0.25">
      <c r="A1366" t="s">
        <v>392</v>
      </c>
    </row>
    <row r="1367" spans="1:1" hidden="1" x14ac:dyDescent="0.25">
      <c r="A1367" t="s">
        <v>893</v>
      </c>
    </row>
    <row r="1368" spans="1:1" hidden="1" x14ac:dyDescent="0.25">
      <c r="A1368" t="s">
        <v>380</v>
      </c>
    </row>
    <row r="1369" spans="1:1" hidden="1" x14ac:dyDescent="0.25">
      <c r="A1369" t="s">
        <v>553</v>
      </c>
    </row>
    <row r="1370" spans="1:1" hidden="1" x14ac:dyDescent="0.25">
      <c r="A1370" t="s">
        <v>667</v>
      </c>
    </row>
    <row r="1371" spans="1:1" hidden="1" x14ac:dyDescent="0.25">
      <c r="A1371" t="s">
        <v>893</v>
      </c>
    </row>
    <row r="1372" spans="1:1" hidden="1" x14ac:dyDescent="0.25">
      <c r="A1372" t="s">
        <v>680</v>
      </c>
    </row>
    <row r="1373" spans="1:1" hidden="1" x14ac:dyDescent="0.25">
      <c r="A1373" t="s">
        <v>186</v>
      </c>
    </row>
    <row r="1374" spans="1:1" hidden="1" x14ac:dyDescent="0.25">
      <c r="A1374" t="s">
        <v>449</v>
      </c>
    </row>
    <row r="1375" spans="1:1" hidden="1" x14ac:dyDescent="0.25">
      <c r="A1375" t="s">
        <v>553</v>
      </c>
    </row>
    <row r="1376" spans="1:1" hidden="1" x14ac:dyDescent="0.25">
      <c r="A1376" t="s">
        <v>380</v>
      </c>
    </row>
    <row r="1377" spans="1:1" hidden="1" x14ac:dyDescent="0.25">
      <c r="A1377" t="s">
        <v>1155</v>
      </c>
    </row>
    <row r="1378" spans="1:1" hidden="1" x14ac:dyDescent="0.25">
      <c r="A1378" t="s">
        <v>951</v>
      </c>
    </row>
    <row r="1379" spans="1:1" hidden="1" x14ac:dyDescent="0.25">
      <c r="A1379" t="s">
        <v>150</v>
      </c>
    </row>
    <row r="1380" spans="1:1" hidden="1" x14ac:dyDescent="0.25">
      <c r="A1380" t="s">
        <v>1798</v>
      </c>
    </row>
    <row r="1381" spans="1:1" hidden="1" x14ac:dyDescent="0.25">
      <c r="A1381" t="s">
        <v>263</v>
      </c>
    </row>
    <row r="1382" spans="1:1" hidden="1" x14ac:dyDescent="0.25">
      <c r="A1382" t="s">
        <v>553</v>
      </c>
    </row>
    <row r="1383" spans="1:1" hidden="1" x14ac:dyDescent="0.25">
      <c r="A1383" t="s">
        <v>648</v>
      </c>
    </row>
    <row r="1384" spans="1:1" hidden="1" x14ac:dyDescent="0.25">
      <c r="A1384" t="s">
        <v>1155</v>
      </c>
    </row>
    <row r="1385" spans="1:1" hidden="1" x14ac:dyDescent="0.25">
      <c r="A1385" t="s">
        <v>380</v>
      </c>
    </row>
    <row r="1386" spans="1:1" hidden="1" x14ac:dyDescent="0.25">
      <c r="A1386" t="s">
        <v>392</v>
      </c>
    </row>
    <row r="1387" spans="1:1" hidden="1" x14ac:dyDescent="0.25">
      <c r="A1387" t="s">
        <v>3277</v>
      </c>
    </row>
    <row r="1388" spans="1:1" hidden="1" x14ac:dyDescent="0.25">
      <c r="A1388" t="s">
        <v>274</v>
      </c>
    </row>
    <row r="1389" spans="1:1" hidden="1" x14ac:dyDescent="0.25">
      <c r="A1389" t="s">
        <v>440</v>
      </c>
    </row>
    <row r="1390" spans="1:1" hidden="1" x14ac:dyDescent="0.25">
      <c r="A1390" t="s">
        <v>2647</v>
      </c>
    </row>
    <row r="1391" spans="1:1" hidden="1" x14ac:dyDescent="0.25">
      <c r="A1391" t="s">
        <v>380</v>
      </c>
    </row>
    <row r="1392" spans="1:1" hidden="1" x14ac:dyDescent="0.25">
      <c r="A1392" t="s">
        <v>580</v>
      </c>
    </row>
    <row r="1393" spans="1:1" hidden="1" x14ac:dyDescent="0.25">
      <c r="A1393" t="s">
        <v>467</v>
      </c>
    </row>
    <row r="1394" spans="1:1" hidden="1" x14ac:dyDescent="0.25">
      <c r="A1394" t="s">
        <v>244</v>
      </c>
    </row>
    <row r="1395" spans="1:1" hidden="1" x14ac:dyDescent="0.25">
      <c r="A1395" t="s">
        <v>893</v>
      </c>
    </row>
    <row r="1396" spans="1:1" hidden="1" x14ac:dyDescent="0.25">
      <c r="A1396" t="s">
        <v>392</v>
      </c>
    </row>
    <row r="1397" spans="1:1" hidden="1" x14ac:dyDescent="0.25">
      <c r="A1397" t="s">
        <v>392</v>
      </c>
    </row>
    <row r="1398" spans="1:1" hidden="1" x14ac:dyDescent="0.25">
      <c r="A1398" t="s">
        <v>169</v>
      </c>
    </row>
    <row r="1399" spans="1:1" hidden="1" x14ac:dyDescent="0.25">
      <c r="A1399" t="s">
        <v>392</v>
      </c>
    </row>
    <row r="1400" spans="1:1" hidden="1" x14ac:dyDescent="0.25">
      <c r="A1400" t="s">
        <v>1126</v>
      </c>
    </row>
    <row r="1401" spans="1:1" hidden="1" x14ac:dyDescent="0.25">
      <c r="A1401" t="s">
        <v>1552</v>
      </c>
    </row>
    <row r="1402" spans="1:1" hidden="1" x14ac:dyDescent="0.25">
      <c r="A1402" t="s">
        <v>859</v>
      </c>
    </row>
    <row r="1403" spans="1:1" hidden="1" x14ac:dyDescent="0.25">
      <c r="A1403" t="s">
        <v>553</v>
      </c>
    </row>
    <row r="1404" spans="1:1" hidden="1" x14ac:dyDescent="0.25">
      <c r="A1404" t="s">
        <v>926</v>
      </c>
    </row>
    <row r="1405" spans="1:1" hidden="1" x14ac:dyDescent="0.25">
      <c r="A1405" t="s">
        <v>215</v>
      </c>
    </row>
    <row r="1406" spans="1:1" hidden="1" x14ac:dyDescent="0.25">
      <c r="A1406" t="s">
        <v>1798</v>
      </c>
    </row>
    <row r="1407" spans="1:1" hidden="1" x14ac:dyDescent="0.25">
      <c r="A1407" t="s">
        <v>61</v>
      </c>
    </row>
    <row r="1408" spans="1:1" hidden="1" x14ac:dyDescent="0.25">
      <c r="A1408" t="s">
        <v>648</v>
      </c>
    </row>
    <row r="1409" spans="1:1" hidden="1" x14ac:dyDescent="0.25">
      <c r="A1409" t="s">
        <v>449</v>
      </c>
    </row>
    <row r="1410" spans="1:1" hidden="1" x14ac:dyDescent="0.25">
      <c r="A1410" t="s">
        <v>3277</v>
      </c>
    </row>
    <row r="1411" spans="1:1" x14ac:dyDescent="0.25">
      <c r="A1411" t="s">
        <v>5499</v>
      </c>
    </row>
    <row r="1412" spans="1:1" hidden="1" x14ac:dyDescent="0.25">
      <c r="A1412" t="s">
        <v>380</v>
      </c>
    </row>
    <row r="1413" spans="1:1" hidden="1" x14ac:dyDescent="0.25">
      <c r="A1413" t="s">
        <v>1874</v>
      </c>
    </row>
    <row r="1414" spans="1:1" hidden="1" x14ac:dyDescent="0.25">
      <c r="A1414" t="s">
        <v>186</v>
      </c>
    </row>
    <row r="1415" spans="1:1" hidden="1" x14ac:dyDescent="0.25">
      <c r="A1415" t="s">
        <v>244</v>
      </c>
    </row>
    <row r="1416" spans="1:1" hidden="1" x14ac:dyDescent="0.25">
      <c r="A1416" t="s">
        <v>635</v>
      </c>
    </row>
    <row r="1417" spans="1:1" hidden="1" x14ac:dyDescent="0.25">
      <c r="A1417" t="s">
        <v>2647</v>
      </c>
    </row>
    <row r="1418" spans="1:1" hidden="1" x14ac:dyDescent="0.25">
      <c r="A1418" t="s">
        <v>169</v>
      </c>
    </row>
    <row r="1419" spans="1:1" hidden="1" x14ac:dyDescent="0.25">
      <c r="A1419" t="s">
        <v>61</v>
      </c>
    </row>
    <row r="1420" spans="1:1" hidden="1" x14ac:dyDescent="0.25">
      <c r="A1420" t="s">
        <v>380</v>
      </c>
    </row>
    <row r="1421" spans="1:1" hidden="1" x14ac:dyDescent="0.25">
      <c r="A1421" t="s">
        <v>648</v>
      </c>
    </row>
    <row r="1422" spans="1:1" hidden="1" x14ac:dyDescent="0.25">
      <c r="A1422" t="s">
        <v>449</v>
      </c>
    </row>
    <row r="1423" spans="1:1" hidden="1" x14ac:dyDescent="0.25">
      <c r="A1423" t="s">
        <v>2647</v>
      </c>
    </row>
    <row r="1424" spans="1:1" hidden="1" x14ac:dyDescent="0.25">
      <c r="A1424" t="s">
        <v>1443</v>
      </c>
    </row>
    <row r="1425" spans="1:1" hidden="1" x14ac:dyDescent="0.25">
      <c r="A1425" t="s">
        <v>449</v>
      </c>
    </row>
    <row r="1426" spans="1:1" hidden="1" x14ac:dyDescent="0.25">
      <c r="A1426" t="s">
        <v>648</v>
      </c>
    </row>
    <row r="1427" spans="1:1" hidden="1" x14ac:dyDescent="0.25">
      <c r="A1427" t="s">
        <v>667</v>
      </c>
    </row>
    <row r="1428" spans="1:1" hidden="1" x14ac:dyDescent="0.25">
      <c r="A1428" t="s">
        <v>380</v>
      </c>
    </row>
    <row r="1429" spans="1:1" hidden="1" x14ac:dyDescent="0.25">
      <c r="A1429" t="s">
        <v>1372</v>
      </c>
    </row>
    <row r="1430" spans="1:1" hidden="1" x14ac:dyDescent="0.25">
      <c r="A1430" t="s">
        <v>392</v>
      </c>
    </row>
    <row r="1431" spans="1:1" hidden="1" x14ac:dyDescent="0.25">
      <c r="A1431" t="s">
        <v>580</v>
      </c>
    </row>
    <row r="1432" spans="1:1" hidden="1" x14ac:dyDescent="0.25">
      <c r="A1432" t="s">
        <v>648</v>
      </c>
    </row>
    <row r="1433" spans="1:1" hidden="1" x14ac:dyDescent="0.25">
      <c r="A1433" t="s">
        <v>951</v>
      </c>
    </row>
    <row r="1434" spans="1:1" hidden="1" x14ac:dyDescent="0.25">
      <c r="A1434" t="s">
        <v>2128</v>
      </c>
    </row>
    <row r="1435" spans="1:1" hidden="1" x14ac:dyDescent="0.25">
      <c r="A1435" t="s">
        <v>648</v>
      </c>
    </row>
    <row r="1436" spans="1:1" hidden="1" x14ac:dyDescent="0.25">
      <c r="A1436" t="s">
        <v>893</v>
      </c>
    </row>
    <row r="1437" spans="1:1" hidden="1" x14ac:dyDescent="0.25">
      <c r="A1437" t="s">
        <v>392</v>
      </c>
    </row>
    <row r="1438" spans="1:1" hidden="1" x14ac:dyDescent="0.25">
      <c r="A1438" t="s">
        <v>1155</v>
      </c>
    </row>
    <row r="1439" spans="1:1" hidden="1" x14ac:dyDescent="0.25">
      <c r="A1439" t="s">
        <v>244</v>
      </c>
    </row>
    <row r="1440" spans="1:1" hidden="1" x14ac:dyDescent="0.25">
      <c r="A1440" t="s">
        <v>1798</v>
      </c>
    </row>
    <row r="1441" spans="1:1" hidden="1" x14ac:dyDescent="0.25">
      <c r="A1441" t="s">
        <v>2647</v>
      </c>
    </row>
    <row r="1442" spans="1:1" hidden="1" x14ac:dyDescent="0.25">
      <c r="A1442" t="s">
        <v>263</v>
      </c>
    </row>
    <row r="1443" spans="1:1" hidden="1" x14ac:dyDescent="0.25">
      <c r="A1443" t="s">
        <v>622</v>
      </c>
    </row>
    <row r="1444" spans="1:1" hidden="1" x14ac:dyDescent="0.25">
      <c r="A1444" t="s">
        <v>392</v>
      </c>
    </row>
    <row r="1445" spans="1:1" hidden="1" x14ac:dyDescent="0.25">
      <c r="A1445" t="s">
        <v>893</v>
      </c>
    </row>
    <row r="1446" spans="1:1" hidden="1" x14ac:dyDescent="0.25">
      <c r="A1446" t="s">
        <v>380</v>
      </c>
    </row>
    <row r="1447" spans="1:1" hidden="1" x14ac:dyDescent="0.25">
      <c r="A1447" t="s">
        <v>392</v>
      </c>
    </row>
    <row r="1448" spans="1:1" hidden="1" x14ac:dyDescent="0.25">
      <c r="A1448" t="s">
        <v>380</v>
      </c>
    </row>
    <row r="1449" spans="1:1" hidden="1" x14ac:dyDescent="0.25">
      <c r="A1449" t="s">
        <v>392</v>
      </c>
    </row>
    <row r="1450" spans="1:1" hidden="1" x14ac:dyDescent="0.25">
      <c r="A1450" t="s">
        <v>263</v>
      </c>
    </row>
    <row r="1451" spans="1:1" hidden="1" x14ac:dyDescent="0.25">
      <c r="A1451" t="s">
        <v>416</v>
      </c>
    </row>
    <row r="1452" spans="1:1" hidden="1" x14ac:dyDescent="0.25">
      <c r="A1452" t="s">
        <v>807</v>
      </c>
    </row>
    <row r="1453" spans="1:1" hidden="1" x14ac:dyDescent="0.25">
      <c r="A1453" t="s">
        <v>380</v>
      </c>
    </row>
    <row r="1454" spans="1:1" hidden="1" x14ac:dyDescent="0.25">
      <c r="A1454" t="s">
        <v>244</v>
      </c>
    </row>
    <row r="1455" spans="1:1" hidden="1" x14ac:dyDescent="0.25">
      <c r="A1455" t="s">
        <v>680</v>
      </c>
    </row>
    <row r="1456" spans="1:1" hidden="1" x14ac:dyDescent="0.25">
      <c r="A1456" t="s">
        <v>274</v>
      </c>
    </row>
    <row r="1457" spans="1:1" hidden="1" x14ac:dyDescent="0.25">
      <c r="A1457" t="s">
        <v>648</v>
      </c>
    </row>
    <row r="1458" spans="1:1" hidden="1" x14ac:dyDescent="0.25">
      <c r="A1458" t="s">
        <v>169</v>
      </c>
    </row>
    <row r="1459" spans="1:1" hidden="1" x14ac:dyDescent="0.25">
      <c r="A1459" t="s">
        <v>274</v>
      </c>
    </row>
    <row r="1460" spans="1:1" hidden="1" x14ac:dyDescent="0.25">
      <c r="A1460" t="s">
        <v>380</v>
      </c>
    </row>
    <row r="1461" spans="1:1" hidden="1" x14ac:dyDescent="0.25">
      <c r="A1461" t="s">
        <v>169</v>
      </c>
    </row>
    <row r="1462" spans="1:1" hidden="1" x14ac:dyDescent="0.25">
      <c r="A1462" t="s">
        <v>2647</v>
      </c>
    </row>
    <row r="1463" spans="1:1" hidden="1" x14ac:dyDescent="0.25">
      <c r="A1463" t="s">
        <v>169</v>
      </c>
    </row>
    <row r="1464" spans="1:1" hidden="1" x14ac:dyDescent="0.25">
      <c r="A1464" t="s">
        <v>1552</v>
      </c>
    </row>
    <row r="1465" spans="1:1" hidden="1" x14ac:dyDescent="0.25">
      <c r="A1465" t="s">
        <v>253</v>
      </c>
    </row>
    <row r="1466" spans="1:1" hidden="1" x14ac:dyDescent="0.25">
      <c r="A1466" t="s">
        <v>380</v>
      </c>
    </row>
    <row r="1467" spans="1:1" hidden="1" x14ac:dyDescent="0.25">
      <c r="A1467" t="s">
        <v>186</v>
      </c>
    </row>
    <row r="1468" spans="1:1" hidden="1" x14ac:dyDescent="0.25">
      <c r="A1468" t="s">
        <v>553</v>
      </c>
    </row>
    <row r="1469" spans="1:1" hidden="1" x14ac:dyDescent="0.25">
      <c r="A1469" t="s">
        <v>263</v>
      </c>
    </row>
    <row r="1470" spans="1:1" hidden="1" x14ac:dyDescent="0.25">
      <c r="A1470" t="s">
        <v>859</v>
      </c>
    </row>
    <row r="1471" spans="1:1" hidden="1" x14ac:dyDescent="0.25">
      <c r="A1471" t="s">
        <v>680</v>
      </c>
    </row>
    <row r="1472" spans="1:1" hidden="1" x14ac:dyDescent="0.25">
      <c r="A1472" t="s">
        <v>2060</v>
      </c>
    </row>
    <row r="1473" spans="1:1" hidden="1" x14ac:dyDescent="0.25">
      <c r="A1473" t="s">
        <v>169</v>
      </c>
    </row>
    <row r="1474" spans="1:1" hidden="1" x14ac:dyDescent="0.25">
      <c r="A1474" t="s">
        <v>1874</v>
      </c>
    </row>
    <row r="1475" spans="1:1" hidden="1" x14ac:dyDescent="0.25">
      <c r="A1475" t="s">
        <v>648</v>
      </c>
    </row>
    <row r="1476" spans="1:1" hidden="1" x14ac:dyDescent="0.25">
      <c r="A1476" t="s">
        <v>1229</v>
      </c>
    </row>
    <row r="1477" spans="1:1" hidden="1" x14ac:dyDescent="0.25">
      <c r="A1477" t="s">
        <v>893</v>
      </c>
    </row>
    <row r="1478" spans="1:1" hidden="1" x14ac:dyDescent="0.25">
      <c r="A1478" t="s">
        <v>648</v>
      </c>
    </row>
    <row r="1479" spans="1:1" hidden="1" x14ac:dyDescent="0.25">
      <c r="A1479" t="s">
        <v>1552</v>
      </c>
    </row>
    <row r="1480" spans="1:1" hidden="1" x14ac:dyDescent="0.25">
      <c r="A1480" t="s">
        <v>2309</v>
      </c>
    </row>
    <row r="1481" spans="1:1" hidden="1" x14ac:dyDescent="0.25">
      <c r="A1481" t="s">
        <v>244</v>
      </c>
    </row>
    <row r="1482" spans="1:1" hidden="1" x14ac:dyDescent="0.25">
      <c r="A1482" t="s">
        <v>406</v>
      </c>
    </row>
    <row r="1483" spans="1:1" hidden="1" x14ac:dyDescent="0.25">
      <c r="A1483" t="s">
        <v>392</v>
      </c>
    </row>
    <row r="1484" spans="1:1" hidden="1" x14ac:dyDescent="0.25">
      <c r="A1484" t="s">
        <v>580</v>
      </c>
    </row>
    <row r="1485" spans="1:1" hidden="1" x14ac:dyDescent="0.25">
      <c r="A1485" t="s">
        <v>253</v>
      </c>
    </row>
    <row r="1486" spans="1:1" hidden="1" x14ac:dyDescent="0.25">
      <c r="A1486" t="s">
        <v>893</v>
      </c>
    </row>
    <row r="1487" spans="1:1" hidden="1" x14ac:dyDescent="0.25">
      <c r="A1487" t="s">
        <v>406</v>
      </c>
    </row>
    <row r="1488" spans="1:1" hidden="1" x14ac:dyDescent="0.25">
      <c r="A1488" t="s">
        <v>392</v>
      </c>
    </row>
    <row r="1489" spans="1:1" hidden="1" x14ac:dyDescent="0.25">
      <c r="A1489" t="s">
        <v>1443</v>
      </c>
    </row>
    <row r="1490" spans="1:1" hidden="1" x14ac:dyDescent="0.25">
      <c r="A1490" t="s">
        <v>380</v>
      </c>
    </row>
    <row r="1491" spans="1:1" hidden="1" x14ac:dyDescent="0.25">
      <c r="A1491" t="s">
        <v>1229</v>
      </c>
    </row>
    <row r="1492" spans="1:1" hidden="1" x14ac:dyDescent="0.25">
      <c r="A1492" t="s">
        <v>622</v>
      </c>
    </row>
    <row r="1493" spans="1:1" hidden="1" x14ac:dyDescent="0.25">
      <c r="A1493" t="s">
        <v>680</v>
      </c>
    </row>
    <row r="1494" spans="1:1" hidden="1" x14ac:dyDescent="0.25">
      <c r="A1494" t="s">
        <v>380</v>
      </c>
    </row>
    <row r="1495" spans="1:1" hidden="1" x14ac:dyDescent="0.25">
      <c r="A1495" t="s">
        <v>2647</v>
      </c>
    </row>
    <row r="1496" spans="1:1" hidden="1" x14ac:dyDescent="0.25">
      <c r="A1496" t="s">
        <v>380</v>
      </c>
    </row>
    <row r="1497" spans="1:1" hidden="1" x14ac:dyDescent="0.25">
      <c r="A1497" t="s">
        <v>274</v>
      </c>
    </row>
    <row r="1498" spans="1:1" hidden="1" x14ac:dyDescent="0.25">
      <c r="A1498" t="s">
        <v>580</v>
      </c>
    </row>
    <row r="1499" spans="1:1" hidden="1" x14ac:dyDescent="0.25">
      <c r="A1499" t="s">
        <v>680</v>
      </c>
    </row>
    <row r="1500" spans="1:1" hidden="1" x14ac:dyDescent="0.25">
      <c r="A1500" t="s">
        <v>562</v>
      </c>
    </row>
    <row r="1501" spans="1:1" hidden="1" x14ac:dyDescent="0.25">
      <c r="A1501" t="s">
        <v>215</v>
      </c>
    </row>
    <row r="1502" spans="1:1" hidden="1" x14ac:dyDescent="0.25">
      <c r="A1502" t="s">
        <v>449</v>
      </c>
    </row>
    <row r="1503" spans="1:1" hidden="1" x14ac:dyDescent="0.25">
      <c r="A1503" t="s">
        <v>392</v>
      </c>
    </row>
    <row r="1504" spans="1:1" hidden="1" x14ac:dyDescent="0.25">
      <c r="A1504" t="s">
        <v>859</v>
      </c>
    </row>
    <row r="1505" spans="1:1" hidden="1" x14ac:dyDescent="0.25">
      <c r="A1505" t="s">
        <v>1552</v>
      </c>
    </row>
    <row r="1506" spans="1:1" hidden="1" x14ac:dyDescent="0.25">
      <c r="A1506" t="s">
        <v>123</v>
      </c>
    </row>
    <row r="1507" spans="1:1" hidden="1" x14ac:dyDescent="0.25">
      <c r="A1507" t="s">
        <v>1874</v>
      </c>
    </row>
    <row r="1508" spans="1:1" hidden="1" x14ac:dyDescent="0.25">
      <c r="A1508" t="s">
        <v>440</v>
      </c>
    </row>
    <row r="1509" spans="1:1" hidden="1" x14ac:dyDescent="0.25">
      <c r="A1509" t="s">
        <v>622</v>
      </c>
    </row>
    <row r="1510" spans="1:1" hidden="1" x14ac:dyDescent="0.25">
      <c r="A1510" t="s">
        <v>648</v>
      </c>
    </row>
    <row r="1511" spans="1:1" hidden="1" x14ac:dyDescent="0.25">
      <c r="A1511" t="s">
        <v>532</v>
      </c>
    </row>
    <row r="1512" spans="1:1" hidden="1" x14ac:dyDescent="0.25">
      <c r="A1512" t="s">
        <v>1874</v>
      </c>
    </row>
    <row r="1513" spans="1:1" hidden="1" x14ac:dyDescent="0.25">
      <c r="A1513" t="s">
        <v>2128</v>
      </c>
    </row>
    <row r="1514" spans="1:1" hidden="1" x14ac:dyDescent="0.25">
      <c r="A1514" t="s">
        <v>1372</v>
      </c>
    </row>
    <row r="1515" spans="1:1" hidden="1" x14ac:dyDescent="0.25">
      <c r="A1515" t="s">
        <v>562</v>
      </c>
    </row>
    <row r="1516" spans="1:1" hidden="1" x14ac:dyDescent="0.25">
      <c r="A1516" t="s">
        <v>392</v>
      </c>
    </row>
    <row r="1517" spans="1:1" hidden="1" x14ac:dyDescent="0.25">
      <c r="A1517" t="s">
        <v>680</v>
      </c>
    </row>
    <row r="1518" spans="1:1" hidden="1" x14ac:dyDescent="0.25">
      <c r="A1518" t="s">
        <v>380</v>
      </c>
    </row>
    <row r="1519" spans="1:1" hidden="1" x14ac:dyDescent="0.25">
      <c r="A1519" t="s">
        <v>859</v>
      </c>
    </row>
    <row r="1520" spans="1:1" hidden="1" x14ac:dyDescent="0.25">
      <c r="A1520" t="s">
        <v>2128</v>
      </c>
    </row>
    <row r="1521" spans="1:1" hidden="1" x14ac:dyDescent="0.25">
      <c r="A1521" t="s">
        <v>667</v>
      </c>
    </row>
    <row r="1522" spans="1:1" hidden="1" x14ac:dyDescent="0.25">
      <c r="A1522" t="s">
        <v>244</v>
      </c>
    </row>
    <row r="1523" spans="1:1" hidden="1" x14ac:dyDescent="0.25">
      <c r="A1523" t="s">
        <v>2060</v>
      </c>
    </row>
    <row r="1524" spans="1:1" hidden="1" x14ac:dyDescent="0.25">
      <c r="A1524" t="s">
        <v>553</v>
      </c>
    </row>
    <row r="1525" spans="1:1" hidden="1" x14ac:dyDescent="0.25">
      <c r="A1525" t="s">
        <v>553</v>
      </c>
    </row>
    <row r="1526" spans="1:1" hidden="1" x14ac:dyDescent="0.25">
      <c r="A1526" t="s">
        <v>380</v>
      </c>
    </row>
    <row r="1527" spans="1:1" hidden="1" x14ac:dyDescent="0.25">
      <c r="A1527" t="s">
        <v>123</v>
      </c>
    </row>
    <row r="1528" spans="1:1" hidden="1" x14ac:dyDescent="0.25">
      <c r="A1528" t="s">
        <v>859</v>
      </c>
    </row>
    <row r="1529" spans="1:1" hidden="1" x14ac:dyDescent="0.25">
      <c r="A1529" t="s">
        <v>169</v>
      </c>
    </row>
    <row r="1530" spans="1:1" hidden="1" x14ac:dyDescent="0.25">
      <c r="A1530" t="s">
        <v>1126</v>
      </c>
    </row>
    <row r="1531" spans="1:1" hidden="1" x14ac:dyDescent="0.25">
      <c r="A1531" t="s">
        <v>893</v>
      </c>
    </row>
    <row r="1532" spans="1:1" hidden="1" x14ac:dyDescent="0.25">
      <c r="A1532" t="s">
        <v>449</v>
      </c>
    </row>
    <row r="1533" spans="1:1" hidden="1" x14ac:dyDescent="0.25">
      <c r="A1533" t="s">
        <v>1126</v>
      </c>
    </row>
    <row r="1534" spans="1:1" hidden="1" x14ac:dyDescent="0.25">
      <c r="A1534" t="s">
        <v>553</v>
      </c>
    </row>
    <row r="1535" spans="1:1" hidden="1" x14ac:dyDescent="0.25">
      <c r="A1535" t="s">
        <v>1443</v>
      </c>
    </row>
    <row r="1536" spans="1:1" hidden="1" x14ac:dyDescent="0.25">
      <c r="A1536" t="s">
        <v>380</v>
      </c>
    </row>
    <row r="1537" spans="1:1" hidden="1" x14ac:dyDescent="0.25">
      <c r="A1537" t="s">
        <v>2309</v>
      </c>
    </row>
    <row r="1538" spans="1:1" hidden="1" x14ac:dyDescent="0.25">
      <c r="A1538" t="s">
        <v>807</v>
      </c>
    </row>
    <row r="1539" spans="1:1" hidden="1" x14ac:dyDescent="0.25">
      <c r="A1539" t="s">
        <v>1798</v>
      </c>
    </row>
    <row r="1540" spans="1:1" hidden="1" x14ac:dyDescent="0.25">
      <c r="A1540" t="s">
        <v>1874</v>
      </c>
    </row>
    <row r="1541" spans="1:1" hidden="1" x14ac:dyDescent="0.25">
      <c r="A1541" t="s">
        <v>263</v>
      </c>
    </row>
    <row r="1542" spans="1:1" hidden="1" x14ac:dyDescent="0.25">
      <c r="A1542" t="s">
        <v>926</v>
      </c>
    </row>
    <row r="1543" spans="1:1" hidden="1" x14ac:dyDescent="0.25">
      <c r="A1543" t="s">
        <v>186</v>
      </c>
    </row>
    <row r="1544" spans="1:1" hidden="1" x14ac:dyDescent="0.25">
      <c r="A1544" t="s">
        <v>553</v>
      </c>
    </row>
    <row r="1545" spans="1:1" hidden="1" x14ac:dyDescent="0.25">
      <c r="A1545" t="s">
        <v>449</v>
      </c>
    </row>
    <row r="1546" spans="1:1" hidden="1" x14ac:dyDescent="0.25">
      <c r="A1546" t="s">
        <v>580</v>
      </c>
    </row>
    <row r="1547" spans="1:1" hidden="1" x14ac:dyDescent="0.25">
      <c r="A1547" t="s">
        <v>680</v>
      </c>
    </row>
    <row r="1548" spans="1:1" hidden="1" x14ac:dyDescent="0.25">
      <c r="A1548" t="s">
        <v>2647</v>
      </c>
    </row>
    <row r="1549" spans="1:1" hidden="1" x14ac:dyDescent="0.25">
      <c r="A1549" t="s">
        <v>215</v>
      </c>
    </row>
    <row r="1550" spans="1:1" hidden="1" x14ac:dyDescent="0.25">
      <c r="A1550" t="s">
        <v>392</v>
      </c>
    </row>
    <row r="1551" spans="1:1" hidden="1" x14ac:dyDescent="0.25">
      <c r="A1551" t="s">
        <v>648</v>
      </c>
    </row>
    <row r="1552" spans="1:1" hidden="1" x14ac:dyDescent="0.25">
      <c r="A1552" t="s">
        <v>263</v>
      </c>
    </row>
    <row r="1553" spans="1:1" hidden="1" x14ac:dyDescent="0.25">
      <c r="A1553" t="s">
        <v>562</v>
      </c>
    </row>
    <row r="1554" spans="1:1" hidden="1" x14ac:dyDescent="0.25">
      <c r="A1554" t="s">
        <v>562</v>
      </c>
    </row>
    <row r="1555" spans="1:1" hidden="1" x14ac:dyDescent="0.25">
      <c r="A1555" t="s">
        <v>580</v>
      </c>
    </row>
    <row r="1556" spans="1:1" hidden="1" x14ac:dyDescent="0.25">
      <c r="A1556" t="s">
        <v>169</v>
      </c>
    </row>
    <row r="1557" spans="1:1" hidden="1" x14ac:dyDescent="0.25">
      <c r="A1557" t="s">
        <v>253</v>
      </c>
    </row>
    <row r="1558" spans="1:1" hidden="1" x14ac:dyDescent="0.25">
      <c r="A1558" t="s">
        <v>380</v>
      </c>
    </row>
    <row r="1559" spans="1:1" hidden="1" x14ac:dyDescent="0.25">
      <c r="A1559" t="s">
        <v>392</v>
      </c>
    </row>
    <row r="1560" spans="1:1" hidden="1" x14ac:dyDescent="0.25">
      <c r="A1560" t="s">
        <v>1552</v>
      </c>
    </row>
    <row r="1561" spans="1:1" hidden="1" x14ac:dyDescent="0.25">
      <c r="A1561" t="s">
        <v>2984</v>
      </c>
    </row>
    <row r="1562" spans="1:1" hidden="1" x14ac:dyDescent="0.25">
      <c r="A1562" t="s">
        <v>392</v>
      </c>
    </row>
    <row r="1563" spans="1:1" hidden="1" x14ac:dyDescent="0.25">
      <c r="A1563" t="s">
        <v>253</v>
      </c>
    </row>
    <row r="1564" spans="1:1" hidden="1" x14ac:dyDescent="0.25">
      <c r="A1564" t="s">
        <v>635</v>
      </c>
    </row>
    <row r="1565" spans="1:1" hidden="1" x14ac:dyDescent="0.25">
      <c r="A1565" t="s">
        <v>667</v>
      </c>
    </row>
    <row r="1566" spans="1:1" hidden="1" x14ac:dyDescent="0.25">
      <c r="A1566" t="s">
        <v>186</v>
      </c>
    </row>
    <row r="1567" spans="1:1" hidden="1" x14ac:dyDescent="0.25">
      <c r="A1567" t="s">
        <v>123</v>
      </c>
    </row>
    <row r="1568" spans="1:1" hidden="1" x14ac:dyDescent="0.25">
      <c r="A1568" t="s">
        <v>648</v>
      </c>
    </row>
    <row r="1569" spans="1:1" hidden="1" x14ac:dyDescent="0.25">
      <c r="A1569" t="s">
        <v>893</v>
      </c>
    </row>
    <row r="1570" spans="1:1" hidden="1" x14ac:dyDescent="0.25">
      <c r="A1570" t="s">
        <v>580</v>
      </c>
    </row>
    <row r="1571" spans="1:1" hidden="1" x14ac:dyDescent="0.25">
      <c r="A1571" t="s">
        <v>788</v>
      </c>
    </row>
    <row r="1572" spans="1:1" hidden="1" x14ac:dyDescent="0.25">
      <c r="A1572" t="s">
        <v>123</v>
      </c>
    </row>
    <row r="1573" spans="1:1" hidden="1" x14ac:dyDescent="0.25">
      <c r="A1573" t="s">
        <v>532</v>
      </c>
    </row>
    <row r="1574" spans="1:1" hidden="1" x14ac:dyDescent="0.25">
      <c r="A1574" t="s">
        <v>169</v>
      </c>
    </row>
    <row r="1575" spans="1:1" hidden="1" x14ac:dyDescent="0.25">
      <c r="A1575" t="s">
        <v>532</v>
      </c>
    </row>
    <row r="1576" spans="1:1" hidden="1" x14ac:dyDescent="0.25">
      <c r="A1576" t="s">
        <v>380</v>
      </c>
    </row>
    <row r="1577" spans="1:1" hidden="1" x14ac:dyDescent="0.25">
      <c r="A1577" t="s">
        <v>1229</v>
      </c>
    </row>
    <row r="1578" spans="1:1" hidden="1" x14ac:dyDescent="0.25">
      <c r="A1578" t="s">
        <v>1126</v>
      </c>
    </row>
    <row r="1579" spans="1:1" hidden="1" x14ac:dyDescent="0.25">
      <c r="A1579" t="s">
        <v>392</v>
      </c>
    </row>
    <row r="1580" spans="1:1" hidden="1" x14ac:dyDescent="0.25">
      <c r="A1580" t="s">
        <v>580</v>
      </c>
    </row>
    <row r="1581" spans="1:1" hidden="1" x14ac:dyDescent="0.25">
      <c r="A1581" t="s">
        <v>951</v>
      </c>
    </row>
    <row r="1582" spans="1:1" hidden="1" x14ac:dyDescent="0.25">
      <c r="A1582" t="s">
        <v>1936</v>
      </c>
    </row>
    <row r="1583" spans="1:1" hidden="1" x14ac:dyDescent="0.25">
      <c r="A1583" t="s">
        <v>893</v>
      </c>
    </row>
    <row r="1584" spans="1:1" hidden="1" x14ac:dyDescent="0.25">
      <c r="A1584" t="s">
        <v>1126</v>
      </c>
    </row>
    <row r="1585" spans="1:1" hidden="1" x14ac:dyDescent="0.25">
      <c r="A1585" t="s">
        <v>893</v>
      </c>
    </row>
    <row r="1586" spans="1:1" hidden="1" x14ac:dyDescent="0.25">
      <c r="A1586" t="s">
        <v>2647</v>
      </c>
    </row>
    <row r="1587" spans="1:1" hidden="1" x14ac:dyDescent="0.25">
      <c r="A1587" t="s">
        <v>553</v>
      </c>
    </row>
    <row r="1588" spans="1:1" hidden="1" x14ac:dyDescent="0.25">
      <c r="A1588" t="s">
        <v>392</v>
      </c>
    </row>
    <row r="1589" spans="1:1" hidden="1" x14ac:dyDescent="0.25">
      <c r="A1589" t="s">
        <v>622</v>
      </c>
    </row>
    <row r="1590" spans="1:1" hidden="1" x14ac:dyDescent="0.25">
      <c r="A1590" t="s">
        <v>1126</v>
      </c>
    </row>
    <row r="1591" spans="1:1" hidden="1" x14ac:dyDescent="0.25">
      <c r="A1591" t="s">
        <v>1443</v>
      </c>
    </row>
    <row r="1592" spans="1:1" hidden="1" x14ac:dyDescent="0.25">
      <c r="A1592" t="s">
        <v>1443</v>
      </c>
    </row>
    <row r="1593" spans="1:1" hidden="1" x14ac:dyDescent="0.25">
      <c r="A1593" t="s">
        <v>532</v>
      </c>
    </row>
    <row r="1594" spans="1:1" hidden="1" x14ac:dyDescent="0.25">
      <c r="A1594" t="s">
        <v>169</v>
      </c>
    </row>
    <row r="1595" spans="1:1" hidden="1" x14ac:dyDescent="0.25">
      <c r="A1595" t="s">
        <v>392</v>
      </c>
    </row>
    <row r="1596" spans="1:1" hidden="1" x14ac:dyDescent="0.25">
      <c r="A1596" t="s">
        <v>580</v>
      </c>
    </row>
    <row r="1597" spans="1:1" hidden="1" x14ac:dyDescent="0.25">
      <c r="A1597" t="s">
        <v>893</v>
      </c>
    </row>
    <row r="1598" spans="1:1" hidden="1" x14ac:dyDescent="0.25">
      <c r="A1598" t="s">
        <v>532</v>
      </c>
    </row>
    <row r="1599" spans="1:1" hidden="1" x14ac:dyDescent="0.25">
      <c r="A1599" t="s">
        <v>1443</v>
      </c>
    </row>
    <row r="1600" spans="1:1" hidden="1" x14ac:dyDescent="0.25">
      <c r="A1600" t="s">
        <v>1552</v>
      </c>
    </row>
    <row r="1601" spans="1:1" hidden="1" x14ac:dyDescent="0.25">
      <c r="A1601" t="s">
        <v>553</v>
      </c>
    </row>
    <row r="1602" spans="1:1" hidden="1" x14ac:dyDescent="0.25">
      <c r="A1602" t="s">
        <v>169</v>
      </c>
    </row>
    <row r="1603" spans="1:1" hidden="1" x14ac:dyDescent="0.25">
      <c r="A1603" t="s">
        <v>1372</v>
      </c>
    </row>
    <row r="1604" spans="1:1" hidden="1" x14ac:dyDescent="0.25">
      <c r="A1604" t="s">
        <v>1798</v>
      </c>
    </row>
    <row r="1605" spans="1:1" hidden="1" x14ac:dyDescent="0.25">
      <c r="A1605" t="s">
        <v>859</v>
      </c>
    </row>
    <row r="1606" spans="1:1" hidden="1" x14ac:dyDescent="0.25">
      <c r="A1606" t="s">
        <v>392</v>
      </c>
    </row>
    <row r="1607" spans="1:1" hidden="1" x14ac:dyDescent="0.25">
      <c r="A1607" t="s">
        <v>1443</v>
      </c>
    </row>
    <row r="1608" spans="1:1" hidden="1" x14ac:dyDescent="0.25">
      <c r="A1608" t="s">
        <v>274</v>
      </c>
    </row>
    <row r="1609" spans="1:1" hidden="1" x14ac:dyDescent="0.25">
      <c r="A1609" t="s">
        <v>667</v>
      </c>
    </row>
    <row r="1610" spans="1:1" hidden="1" x14ac:dyDescent="0.25">
      <c r="A1610" t="s">
        <v>380</v>
      </c>
    </row>
    <row r="1611" spans="1:1" hidden="1" x14ac:dyDescent="0.25">
      <c r="A1611" t="s">
        <v>1874</v>
      </c>
    </row>
    <row r="1612" spans="1:1" hidden="1" x14ac:dyDescent="0.25">
      <c r="A1612" t="s">
        <v>380</v>
      </c>
    </row>
    <row r="1613" spans="1:1" hidden="1" x14ac:dyDescent="0.25">
      <c r="A1613" t="s">
        <v>667</v>
      </c>
    </row>
    <row r="1614" spans="1:1" hidden="1" x14ac:dyDescent="0.25">
      <c r="A1614" t="s">
        <v>406</v>
      </c>
    </row>
    <row r="1615" spans="1:1" hidden="1" x14ac:dyDescent="0.25">
      <c r="A1615" t="s">
        <v>205</v>
      </c>
    </row>
    <row r="1616" spans="1:1" hidden="1" x14ac:dyDescent="0.25">
      <c r="A1616" t="s">
        <v>2085</v>
      </c>
    </row>
    <row r="1617" spans="1:1" hidden="1" x14ac:dyDescent="0.25">
      <c r="A1617" t="s">
        <v>648</v>
      </c>
    </row>
    <row r="1618" spans="1:1" hidden="1" x14ac:dyDescent="0.25">
      <c r="A1618" t="s">
        <v>1126</v>
      </c>
    </row>
    <row r="1619" spans="1:1" hidden="1" x14ac:dyDescent="0.25">
      <c r="A1619" t="s">
        <v>3277</v>
      </c>
    </row>
    <row r="1620" spans="1:1" hidden="1" x14ac:dyDescent="0.25">
      <c r="A1620" t="s">
        <v>380</v>
      </c>
    </row>
    <row r="1621" spans="1:1" hidden="1" x14ac:dyDescent="0.25">
      <c r="A1621" t="s">
        <v>1155</v>
      </c>
    </row>
    <row r="1622" spans="1:1" hidden="1" x14ac:dyDescent="0.25">
      <c r="A1622" t="s">
        <v>1372</v>
      </c>
    </row>
    <row r="1623" spans="1:1" hidden="1" x14ac:dyDescent="0.25">
      <c r="A1623" t="s">
        <v>553</v>
      </c>
    </row>
    <row r="1624" spans="1:1" hidden="1" x14ac:dyDescent="0.25">
      <c r="A1624" t="s">
        <v>253</v>
      </c>
    </row>
    <row r="1625" spans="1:1" hidden="1" x14ac:dyDescent="0.25">
      <c r="A1625" t="s">
        <v>2309</v>
      </c>
    </row>
    <row r="1626" spans="1:1" hidden="1" x14ac:dyDescent="0.25">
      <c r="A1626" t="s">
        <v>1126</v>
      </c>
    </row>
    <row r="1627" spans="1:1" hidden="1" x14ac:dyDescent="0.25">
      <c r="A1627" t="s">
        <v>380</v>
      </c>
    </row>
    <row r="1628" spans="1:1" hidden="1" x14ac:dyDescent="0.25">
      <c r="A1628" t="s">
        <v>532</v>
      </c>
    </row>
    <row r="1629" spans="1:1" hidden="1" x14ac:dyDescent="0.25">
      <c r="A1629" t="s">
        <v>449</v>
      </c>
    </row>
    <row r="1630" spans="1:1" hidden="1" x14ac:dyDescent="0.25">
      <c r="A1630" t="s">
        <v>580</v>
      </c>
    </row>
    <row r="1631" spans="1:1" hidden="1" x14ac:dyDescent="0.25">
      <c r="A1631" t="s">
        <v>2128</v>
      </c>
    </row>
    <row r="1632" spans="1:1" hidden="1" x14ac:dyDescent="0.25">
      <c r="A1632" t="s">
        <v>622</v>
      </c>
    </row>
    <row r="1633" spans="1:1" hidden="1" x14ac:dyDescent="0.25">
      <c r="A1633" t="s">
        <v>392</v>
      </c>
    </row>
    <row r="1634" spans="1:1" hidden="1" x14ac:dyDescent="0.25">
      <c r="A1634" t="s">
        <v>1126</v>
      </c>
    </row>
    <row r="1635" spans="1:1" hidden="1" x14ac:dyDescent="0.25">
      <c r="A1635" t="s">
        <v>380</v>
      </c>
    </row>
    <row r="1636" spans="1:1" hidden="1" x14ac:dyDescent="0.25">
      <c r="A1636" t="s">
        <v>1221</v>
      </c>
    </row>
    <row r="1637" spans="1:1" hidden="1" x14ac:dyDescent="0.25">
      <c r="A1637" t="s">
        <v>392</v>
      </c>
    </row>
    <row r="1638" spans="1:1" hidden="1" x14ac:dyDescent="0.25">
      <c r="A1638" t="s">
        <v>3277</v>
      </c>
    </row>
    <row r="1639" spans="1:1" hidden="1" x14ac:dyDescent="0.25">
      <c r="A1639" t="s">
        <v>392</v>
      </c>
    </row>
    <row r="1640" spans="1:1" hidden="1" x14ac:dyDescent="0.25">
      <c r="A1640" t="s">
        <v>580</v>
      </c>
    </row>
    <row r="1641" spans="1:1" hidden="1" x14ac:dyDescent="0.25">
      <c r="A1641" t="s">
        <v>1552</v>
      </c>
    </row>
    <row r="1642" spans="1:1" hidden="1" x14ac:dyDescent="0.25">
      <c r="A1642" t="s">
        <v>3277</v>
      </c>
    </row>
    <row r="1643" spans="1:1" hidden="1" x14ac:dyDescent="0.25">
      <c r="A1643" t="s">
        <v>392</v>
      </c>
    </row>
    <row r="1644" spans="1:1" hidden="1" x14ac:dyDescent="0.25">
      <c r="A1644" t="s">
        <v>532</v>
      </c>
    </row>
    <row r="1645" spans="1:1" hidden="1" x14ac:dyDescent="0.25">
      <c r="A1645" t="s">
        <v>1874</v>
      </c>
    </row>
    <row r="1646" spans="1:1" hidden="1" x14ac:dyDescent="0.25">
      <c r="A1646" t="s">
        <v>186</v>
      </c>
    </row>
    <row r="1647" spans="1:1" hidden="1" x14ac:dyDescent="0.25">
      <c r="A1647" t="s">
        <v>667</v>
      </c>
    </row>
    <row r="1648" spans="1:1" hidden="1" x14ac:dyDescent="0.25">
      <c r="A1648" t="s">
        <v>2085</v>
      </c>
    </row>
    <row r="1649" spans="1:1" hidden="1" x14ac:dyDescent="0.25">
      <c r="A1649" t="s">
        <v>648</v>
      </c>
    </row>
    <row r="1650" spans="1:1" hidden="1" x14ac:dyDescent="0.25">
      <c r="A1650" t="s">
        <v>622</v>
      </c>
    </row>
    <row r="1651" spans="1:1" hidden="1" x14ac:dyDescent="0.25">
      <c r="A1651" t="s">
        <v>1469</v>
      </c>
    </row>
    <row r="1652" spans="1:1" hidden="1" x14ac:dyDescent="0.25">
      <c r="A1652" t="s">
        <v>169</v>
      </c>
    </row>
    <row r="1653" spans="1:1" hidden="1" x14ac:dyDescent="0.25">
      <c r="A1653" t="s">
        <v>553</v>
      </c>
    </row>
    <row r="1654" spans="1:1" hidden="1" x14ac:dyDescent="0.25">
      <c r="A1654" t="s">
        <v>580</v>
      </c>
    </row>
    <row r="1655" spans="1:1" hidden="1" x14ac:dyDescent="0.25">
      <c r="A1655" t="s">
        <v>406</v>
      </c>
    </row>
    <row r="1656" spans="1:1" hidden="1" x14ac:dyDescent="0.25">
      <c r="A1656" t="s">
        <v>648</v>
      </c>
    </row>
    <row r="1657" spans="1:1" hidden="1" x14ac:dyDescent="0.25">
      <c r="A1657" t="s">
        <v>807</v>
      </c>
    </row>
    <row r="1658" spans="1:1" hidden="1" x14ac:dyDescent="0.25">
      <c r="A1658" t="s">
        <v>169</v>
      </c>
    </row>
    <row r="1659" spans="1:1" hidden="1" x14ac:dyDescent="0.25">
      <c r="A1659" t="s">
        <v>648</v>
      </c>
    </row>
    <row r="1660" spans="1:1" hidden="1" x14ac:dyDescent="0.25">
      <c r="A1660" t="s">
        <v>667</v>
      </c>
    </row>
    <row r="1661" spans="1:1" hidden="1" x14ac:dyDescent="0.25">
      <c r="A1661" t="s">
        <v>1552</v>
      </c>
    </row>
    <row r="1662" spans="1:1" hidden="1" x14ac:dyDescent="0.25">
      <c r="A1662" t="s">
        <v>263</v>
      </c>
    </row>
    <row r="1663" spans="1:1" hidden="1" x14ac:dyDescent="0.25">
      <c r="A1663" t="s">
        <v>2128</v>
      </c>
    </row>
    <row r="1664" spans="1:1" hidden="1" x14ac:dyDescent="0.25">
      <c r="A1664" t="s">
        <v>1229</v>
      </c>
    </row>
    <row r="1665" spans="1:1" hidden="1" x14ac:dyDescent="0.25">
      <c r="A1665" t="s">
        <v>449</v>
      </c>
    </row>
    <row r="1666" spans="1:1" hidden="1" x14ac:dyDescent="0.25">
      <c r="A1666" t="s">
        <v>893</v>
      </c>
    </row>
    <row r="1667" spans="1:1" hidden="1" x14ac:dyDescent="0.25">
      <c r="A1667" t="s">
        <v>169</v>
      </c>
    </row>
    <row r="1668" spans="1:1" hidden="1" x14ac:dyDescent="0.25">
      <c r="A1668" t="s">
        <v>893</v>
      </c>
    </row>
    <row r="1669" spans="1:1" hidden="1" x14ac:dyDescent="0.25">
      <c r="A1669" t="s">
        <v>859</v>
      </c>
    </row>
    <row r="1670" spans="1:1" hidden="1" x14ac:dyDescent="0.25">
      <c r="A1670" t="s">
        <v>2060</v>
      </c>
    </row>
    <row r="1671" spans="1:1" hidden="1" x14ac:dyDescent="0.25">
      <c r="A1671" t="s">
        <v>392</v>
      </c>
    </row>
    <row r="1672" spans="1:1" hidden="1" x14ac:dyDescent="0.25">
      <c r="A1672" t="s">
        <v>169</v>
      </c>
    </row>
    <row r="1673" spans="1:1" hidden="1" x14ac:dyDescent="0.25">
      <c r="A1673" t="s">
        <v>169</v>
      </c>
    </row>
    <row r="1674" spans="1:1" hidden="1" x14ac:dyDescent="0.25">
      <c r="A1674" t="s">
        <v>532</v>
      </c>
    </row>
    <row r="1675" spans="1:1" hidden="1" x14ac:dyDescent="0.25">
      <c r="A1675" t="s">
        <v>622</v>
      </c>
    </row>
    <row r="1676" spans="1:1" hidden="1" x14ac:dyDescent="0.25">
      <c r="A1676" t="s">
        <v>926</v>
      </c>
    </row>
    <row r="1677" spans="1:1" hidden="1" x14ac:dyDescent="0.25">
      <c r="A1677" t="s">
        <v>1126</v>
      </c>
    </row>
    <row r="1678" spans="1:1" hidden="1" x14ac:dyDescent="0.25">
      <c r="A1678" t="s">
        <v>380</v>
      </c>
    </row>
    <row r="1679" spans="1:1" hidden="1" x14ac:dyDescent="0.25">
      <c r="A1679" t="s">
        <v>667</v>
      </c>
    </row>
    <row r="1680" spans="1:1" hidden="1" x14ac:dyDescent="0.25">
      <c r="A1680" t="s">
        <v>1443</v>
      </c>
    </row>
    <row r="1681" spans="1:1" hidden="1" x14ac:dyDescent="0.25">
      <c r="A1681" t="s">
        <v>169</v>
      </c>
    </row>
    <row r="1682" spans="1:1" hidden="1" x14ac:dyDescent="0.25">
      <c r="A1682" t="s">
        <v>2647</v>
      </c>
    </row>
    <row r="1683" spans="1:1" hidden="1" x14ac:dyDescent="0.25">
      <c r="A1683" t="s">
        <v>449</v>
      </c>
    </row>
    <row r="1684" spans="1:1" hidden="1" x14ac:dyDescent="0.25">
      <c r="A1684" t="s">
        <v>1552</v>
      </c>
    </row>
    <row r="1685" spans="1:1" hidden="1" x14ac:dyDescent="0.25">
      <c r="A1685" t="s">
        <v>562</v>
      </c>
    </row>
    <row r="1686" spans="1:1" hidden="1" x14ac:dyDescent="0.25">
      <c r="A1686" t="s">
        <v>392</v>
      </c>
    </row>
    <row r="1687" spans="1:1" hidden="1" x14ac:dyDescent="0.25">
      <c r="A1687" t="s">
        <v>1126</v>
      </c>
    </row>
    <row r="1688" spans="1:1" hidden="1" x14ac:dyDescent="0.25">
      <c r="A1688" t="s">
        <v>406</v>
      </c>
    </row>
    <row r="1689" spans="1:1" hidden="1" x14ac:dyDescent="0.25">
      <c r="A1689" t="s">
        <v>61</v>
      </c>
    </row>
    <row r="1690" spans="1:1" hidden="1" x14ac:dyDescent="0.25">
      <c r="A1690" t="s">
        <v>392</v>
      </c>
    </row>
    <row r="1691" spans="1:1" hidden="1" x14ac:dyDescent="0.25">
      <c r="A1691" t="s">
        <v>244</v>
      </c>
    </row>
    <row r="1692" spans="1:1" hidden="1" x14ac:dyDescent="0.25">
      <c r="A1692" t="s">
        <v>440</v>
      </c>
    </row>
    <row r="1693" spans="1:1" hidden="1" x14ac:dyDescent="0.25">
      <c r="A1693" t="s">
        <v>648</v>
      </c>
    </row>
    <row r="1694" spans="1:1" hidden="1" x14ac:dyDescent="0.25">
      <c r="A1694" t="s">
        <v>392</v>
      </c>
    </row>
    <row r="1695" spans="1:1" hidden="1" x14ac:dyDescent="0.25">
      <c r="A1695" t="s">
        <v>392</v>
      </c>
    </row>
    <row r="1696" spans="1:1" hidden="1" x14ac:dyDescent="0.25">
      <c r="A1696" t="s">
        <v>1348</v>
      </c>
    </row>
    <row r="1697" spans="1:1" hidden="1" x14ac:dyDescent="0.25">
      <c r="A1697" t="s">
        <v>406</v>
      </c>
    </row>
    <row r="1698" spans="1:1" hidden="1" x14ac:dyDescent="0.25">
      <c r="A1698" t="s">
        <v>2085</v>
      </c>
    </row>
    <row r="1699" spans="1:1" hidden="1" x14ac:dyDescent="0.25">
      <c r="A1699" t="s">
        <v>263</v>
      </c>
    </row>
    <row r="1700" spans="1:1" hidden="1" x14ac:dyDescent="0.25">
      <c r="A1700" t="s">
        <v>186</v>
      </c>
    </row>
    <row r="1701" spans="1:1" hidden="1" x14ac:dyDescent="0.25">
      <c r="A1701" t="s">
        <v>169</v>
      </c>
    </row>
    <row r="1702" spans="1:1" hidden="1" x14ac:dyDescent="0.25">
      <c r="A1702" t="s">
        <v>1552</v>
      </c>
    </row>
    <row r="1703" spans="1:1" hidden="1" x14ac:dyDescent="0.25">
      <c r="A1703" t="s">
        <v>186</v>
      </c>
    </row>
    <row r="1704" spans="1:1" hidden="1" x14ac:dyDescent="0.25">
      <c r="A1704" t="s">
        <v>893</v>
      </c>
    </row>
    <row r="1705" spans="1:1" hidden="1" x14ac:dyDescent="0.25">
      <c r="A1705" t="s">
        <v>169</v>
      </c>
    </row>
    <row r="1706" spans="1:1" hidden="1" x14ac:dyDescent="0.25">
      <c r="A1706" t="s">
        <v>2128</v>
      </c>
    </row>
    <row r="1707" spans="1:1" hidden="1" x14ac:dyDescent="0.25">
      <c r="A1707" t="s">
        <v>648</v>
      </c>
    </row>
    <row r="1708" spans="1:1" hidden="1" x14ac:dyDescent="0.25">
      <c r="A1708" t="s">
        <v>244</v>
      </c>
    </row>
    <row r="1709" spans="1:1" hidden="1" x14ac:dyDescent="0.25">
      <c r="A1709" t="s">
        <v>392</v>
      </c>
    </row>
    <row r="1710" spans="1:1" hidden="1" x14ac:dyDescent="0.25">
      <c r="A1710" t="s">
        <v>406</v>
      </c>
    </row>
    <row r="1711" spans="1:1" hidden="1" x14ac:dyDescent="0.25">
      <c r="A1711" t="s">
        <v>553</v>
      </c>
    </row>
    <row r="1712" spans="1:1" hidden="1" x14ac:dyDescent="0.25">
      <c r="A1712" t="s">
        <v>580</v>
      </c>
    </row>
    <row r="1713" spans="1:1" hidden="1" x14ac:dyDescent="0.25">
      <c r="A1713" t="s">
        <v>392</v>
      </c>
    </row>
    <row r="1714" spans="1:1" hidden="1" x14ac:dyDescent="0.25">
      <c r="A1714" t="s">
        <v>1058</v>
      </c>
    </row>
    <row r="1715" spans="1:1" hidden="1" x14ac:dyDescent="0.25">
      <c r="A1715" t="s">
        <v>392</v>
      </c>
    </row>
    <row r="1716" spans="1:1" hidden="1" x14ac:dyDescent="0.25">
      <c r="A1716" t="s">
        <v>263</v>
      </c>
    </row>
    <row r="1717" spans="1:1" hidden="1" x14ac:dyDescent="0.25">
      <c r="A1717" t="s">
        <v>169</v>
      </c>
    </row>
    <row r="1718" spans="1:1" hidden="1" x14ac:dyDescent="0.25">
      <c r="A1718" t="s">
        <v>392</v>
      </c>
    </row>
    <row r="1719" spans="1:1" hidden="1" x14ac:dyDescent="0.25">
      <c r="A1719" t="s">
        <v>1552</v>
      </c>
    </row>
    <row r="1720" spans="1:1" hidden="1" x14ac:dyDescent="0.25">
      <c r="A1720" t="s">
        <v>1552</v>
      </c>
    </row>
    <row r="1721" spans="1:1" hidden="1" x14ac:dyDescent="0.25">
      <c r="A1721" t="s">
        <v>572</v>
      </c>
    </row>
    <row r="1722" spans="1:1" hidden="1" x14ac:dyDescent="0.25">
      <c r="A1722" t="s">
        <v>169</v>
      </c>
    </row>
    <row r="1723" spans="1:1" hidden="1" x14ac:dyDescent="0.25">
      <c r="A1723" t="s">
        <v>1155</v>
      </c>
    </row>
    <row r="1724" spans="1:1" hidden="1" x14ac:dyDescent="0.25">
      <c r="A1724" t="s">
        <v>169</v>
      </c>
    </row>
    <row r="1725" spans="1:1" hidden="1" x14ac:dyDescent="0.25">
      <c r="A1725" t="s">
        <v>380</v>
      </c>
    </row>
    <row r="1726" spans="1:1" hidden="1" x14ac:dyDescent="0.25">
      <c r="A1726" t="s">
        <v>449</v>
      </c>
    </row>
    <row r="1727" spans="1:1" hidden="1" x14ac:dyDescent="0.25">
      <c r="A1727" t="s">
        <v>1874</v>
      </c>
    </row>
    <row r="1728" spans="1:1" hidden="1" x14ac:dyDescent="0.25">
      <c r="A1728" t="s">
        <v>680</v>
      </c>
    </row>
    <row r="1729" spans="1:1" hidden="1" x14ac:dyDescent="0.25">
      <c r="A1729" t="s">
        <v>893</v>
      </c>
    </row>
    <row r="1730" spans="1:1" hidden="1" x14ac:dyDescent="0.25">
      <c r="A1730" t="s">
        <v>263</v>
      </c>
    </row>
    <row r="1731" spans="1:1" hidden="1" x14ac:dyDescent="0.25">
      <c r="A1731" t="s">
        <v>263</v>
      </c>
    </row>
    <row r="1732" spans="1:1" hidden="1" x14ac:dyDescent="0.25">
      <c r="A1732" t="s">
        <v>1443</v>
      </c>
    </row>
    <row r="1733" spans="1:1" hidden="1" x14ac:dyDescent="0.25">
      <c r="A1733" t="s">
        <v>392</v>
      </c>
    </row>
    <row r="1734" spans="1:1" hidden="1" x14ac:dyDescent="0.25">
      <c r="A1734" t="s">
        <v>1155</v>
      </c>
    </row>
    <row r="1735" spans="1:1" hidden="1" x14ac:dyDescent="0.25">
      <c r="A1735" t="s">
        <v>893</v>
      </c>
    </row>
    <row r="1736" spans="1:1" hidden="1" x14ac:dyDescent="0.25">
      <c r="A1736" t="s">
        <v>553</v>
      </c>
    </row>
    <row r="1737" spans="1:1" hidden="1" x14ac:dyDescent="0.25">
      <c r="A1737" t="s">
        <v>263</v>
      </c>
    </row>
    <row r="1738" spans="1:1" hidden="1" x14ac:dyDescent="0.25">
      <c r="A1738" t="s">
        <v>648</v>
      </c>
    </row>
    <row r="1739" spans="1:1" hidden="1" x14ac:dyDescent="0.25">
      <c r="A1739" t="s">
        <v>244</v>
      </c>
    </row>
    <row r="1740" spans="1:1" hidden="1" x14ac:dyDescent="0.25">
      <c r="A1740" t="s">
        <v>215</v>
      </c>
    </row>
    <row r="1741" spans="1:1" hidden="1" x14ac:dyDescent="0.25">
      <c r="A1741" t="s">
        <v>1443</v>
      </c>
    </row>
    <row r="1742" spans="1:1" hidden="1" x14ac:dyDescent="0.25">
      <c r="A1742" t="s">
        <v>648</v>
      </c>
    </row>
    <row r="1743" spans="1:1" hidden="1" x14ac:dyDescent="0.25">
      <c r="A1743" t="s">
        <v>893</v>
      </c>
    </row>
    <row r="1744" spans="1:1" hidden="1" x14ac:dyDescent="0.25">
      <c r="A1744" t="s">
        <v>1443</v>
      </c>
    </row>
    <row r="1745" spans="1:1" hidden="1" x14ac:dyDescent="0.25">
      <c r="A1745" t="s">
        <v>1469</v>
      </c>
    </row>
    <row r="1746" spans="1:1" hidden="1" x14ac:dyDescent="0.25">
      <c r="A1746" t="s">
        <v>1229</v>
      </c>
    </row>
    <row r="1747" spans="1:1" hidden="1" x14ac:dyDescent="0.25">
      <c r="A1747" t="s">
        <v>1155</v>
      </c>
    </row>
    <row r="1748" spans="1:1" hidden="1" x14ac:dyDescent="0.25">
      <c r="A1748" t="s">
        <v>859</v>
      </c>
    </row>
    <row r="1749" spans="1:1" hidden="1" x14ac:dyDescent="0.25">
      <c r="A1749" t="s">
        <v>648</v>
      </c>
    </row>
    <row r="1750" spans="1:1" hidden="1" x14ac:dyDescent="0.25">
      <c r="A1750" t="s">
        <v>61</v>
      </c>
    </row>
    <row r="1751" spans="1:1" hidden="1" x14ac:dyDescent="0.25">
      <c r="A1751" t="s">
        <v>648</v>
      </c>
    </row>
    <row r="1752" spans="1:1" hidden="1" x14ac:dyDescent="0.25">
      <c r="A1752" t="s">
        <v>1229</v>
      </c>
    </row>
    <row r="1753" spans="1:1" hidden="1" x14ac:dyDescent="0.25">
      <c r="A1753" t="s">
        <v>893</v>
      </c>
    </row>
    <row r="1754" spans="1:1" hidden="1" x14ac:dyDescent="0.25">
      <c r="A1754" t="s">
        <v>205</v>
      </c>
    </row>
    <row r="1755" spans="1:1" hidden="1" x14ac:dyDescent="0.25">
      <c r="A1755" t="s">
        <v>680</v>
      </c>
    </row>
    <row r="1756" spans="1:1" hidden="1" x14ac:dyDescent="0.25">
      <c r="A1756" t="s">
        <v>680</v>
      </c>
    </row>
    <row r="1757" spans="1:1" hidden="1" x14ac:dyDescent="0.25">
      <c r="A1757" t="s">
        <v>1126</v>
      </c>
    </row>
    <row r="1758" spans="1:1" hidden="1" x14ac:dyDescent="0.25">
      <c r="A1758" t="s">
        <v>893</v>
      </c>
    </row>
    <row r="1759" spans="1:1" hidden="1" x14ac:dyDescent="0.25">
      <c r="A1759" t="s">
        <v>416</v>
      </c>
    </row>
    <row r="1760" spans="1:1" hidden="1" x14ac:dyDescent="0.25">
      <c r="A1760" t="s">
        <v>2309</v>
      </c>
    </row>
    <row r="1761" spans="1:1" hidden="1" x14ac:dyDescent="0.25">
      <c r="A1761" t="s">
        <v>2647</v>
      </c>
    </row>
    <row r="1762" spans="1:1" hidden="1" x14ac:dyDescent="0.25">
      <c r="A1762" t="s">
        <v>667</v>
      </c>
    </row>
    <row r="1763" spans="1:1" hidden="1" x14ac:dyDescent="0.25">
      <c r="A1763" t="s">
        <v>648</v>
      </c>
    </row>
    <row r="1764" spans="1:1" hidden="1" x14ac:dyDescent="0.25">
      <c r="A1764" t="s">
        <v>244</v>
      </c>
    </row>
    <row r="1765" spans="1:1" hidden="1" x14ac:dyDescent="0.25">
      <c r="A1765" t="s">
        <v>667</v>
      </c>
    </row>
    <row r="1766" spans="1:1" hidden="1" x14ac:dyDescent="0.25">
      <c r="A1766" t="s">
        <v>1443</v>
      </c>
    </row>
    <row r="1767" spans="1:1" hidden="1" x14ac:dyDescent="0.25">
      <c r="A1767" t="s">
        <v>1155</v>
      </c>
    </row>
    <row r="1768" spans="1:1" hidden="1" x14ac:dyDescent="0.25">
      <c r="A1768" t="s">
        <v>580</v>
      </c>
    </row>
    <row r="1769" spans="1:1" hidden="1" x14ac:dyDescent="0.25">
      <c r="A1769" t="s">
        <v>893</v>
      </c>
    </row>
    <row r="1770" spans="1:1" hidden="1" x14ac:dyDescent="0.25">
      <c r="A1770" t="s">
        <v>169</v>
      </c>
    </row>
    <row r="1771" spans="1:1" hidden="1" x14ac:dyDescent="0.25">
      <c r="A1771" t="s">
        <v>392</v>
      </c>
    </row>
    <row r="1772" spans="1:1" hidden="1" x14ac:dyDescent="0.25">
      <c r="A1772" t="s">
        <v>2001</v>
      </c>
    </row>
    <row r="1773" spans="1:1" hidden="1" x14ac:dyDescent="0.25">
      <c r="A1773" t="s">
        <v>215</v>
      </c>
    </row>
    <row r="1774" spans="1:1" hidden="1" x14ac:dyDescent="0.25">
      <c r="A1774" t="s">
        <v>893</v>
      </c>
    </row>
    <row r="1775" spans="1:1" hidden="1" x14ac:dyDescent="0.25">
      <c r="A1775" t="s">
        <v>562</v>
      </c>
    </row>
    <row r="1776" spans="1:1" hidden="1" x14ac:dyDescent="0.25">
      <c r="A1776" t="s">
        <v>648</v>
      </c>
    </row>
    <row r="1777" spans="1:1" hidden="1" x14ac:dyDescent="0.25">
      <c r="A1777" t="s">
        <v>244</v>
      </c>
    </row>
    <row r="1778" spans="1:1" hidden="1" x14ac:dyDescent="0.25">
      <c r="A1778" t="s">
        <v>1552</v>
      </c>
    </row>
    <row r="1779" spans="1:1" hidden="1" x14ac:dyDescent="0.25">
      <c r="A1779" t="s">
        <v>951</v>
      </c>
    </row>
    <row r="1780" spans="1:1" hidden="1" x14ac:dyDescent="0.25">
      <c r="A1780" t="s">
        <v>1443</v>
      </c>
    </row>
    <row r="1781" spans="1:1" hidden="1" x14ac:dyDescent="0.25">
      <c r="A1781" t="s">
        <v>244</v>
      </c>
    </row>
    <row r="1782" spans="1:1" hidden="1" x14ac:dyDescent="0.25">
      <c r="A1782" t="s">
        <v>622</v>
      </c>
    </row>
    <row r="1783" spans="1:1" hidden="1" x14ac:dyDescent="0.25">
      <c r="A1783" t="s">
        <v>392</v>
      </c>
    </row>
    <row r="1784" spans="1:1" hidden="1" x14ac:dyDescent="0.25">
      <c r="A1784" t="s">
        <v>680</v>
      </c>
    </row>
    <row r="1785" spans="1:1" hidden="1" x14ac:dyDescent="0.25">
      <c r="A1785" t="s">
        <v>380</v>
      </c>
    </row>
    <row r="1786" spans="1:1" hidden="1" x14ac:dyDescent="0.25">
      <c r="A1786" t="s">
        <v>648</v>
      </c>
    </row>
    <row r="1787" spans="1:1" hidden="1" x14ac:dyDescent="0.25">
      <c r="A1787" t="s">
        <v>562</v>
      </c>
    </row>
    <row r="1788" spans="1:1" hidden="1" x14ac:dyDescent="0.25">
      <c r="A1788" t="s">
        <v>1469</v>
      </c>
    </row>
    <row r="1789" spans="1:1" hidden="1" x14ac:dyDescent="0.25">
      <c r="A1789" t="s">
        <v>807</v>
      </c>
    </row>
    <row r="1790" spans="1:1" hidden="1" x14ac:dyDescent="0.25">
      <c r="A1790" t="s">
        <v>1126</v>
      </c>
    </row>
    <row r="1791" spans="1:1" hidden="1" x14ac:dyDescent="0.25">
      <c r="A1791" t="s">
        <v>648</v>
      </c>
    </row>
    <row r="1792" spans="1:1" hidden="1" x14ac:dyDescent="0.25">
      <c r="A1792" t="s">
        <v>680</v>
      </c>
    </row>
    <row r="1793" spans="1:1" hidden="1" x14ac:dyDescent="0.25">
      <c r="A1793" t="s">
        <v>406</v>
      </c>
    </row>
    <row r="1794" spans="1:1" hidden="1" x14ac:dyDescent="0.25">
      <c r="A1794" t="s">
        <v>859</v>
      </c>
    </row>
    <row r="1795" spans="1:1" hidden="1" x14ac:dyDescent="0.25">
      <c r="A1795" t="s">
        <v>893</v>
      </c>
    </row>
    <row r="1796" spans="1:1" hidden="1" x14ac:dyDescent="0.25">
      <c r="A1796" t="s">
        <v>150</v>
      </c>
    </row>
    <row r="1797" spans="1:1" hidden="1" x14ac:dyDescent="0.25">
      <c r="A1797" t="s">
        <v>859</v>
      </c>
    </row>
    <row r="1798" spans="1:1" hidden="1" x14ac:dyDescent="0.25">
      <c r="A1798" t="s">
        <v>263</v>
      </c>
    </row>
    <row r="1799" spans="1:1" hidden="1" x14ac:dyDescent="0.25">
      <c r="A1799" t="s">
        <v>449</v>
      </c>
    </row>
    <row r="1800" spans="1:1" hidden="1" x14ac:dyDescent="0.25">
      <c r="A1800" t="s">
        <v>1229</v>
      </c>
    </row>
    <row r="1801" spans="1:1" hidden="1" x14ac:dyDescent="0.25">
      <c r="A1801" t="s">
        <v>532</v>
      </c>
    </row>
    <row r="1802" spans="1:1" hidden="1" x14ac:dyDescent="0.25">
      <c r="A1802" t="s">
        <v>449</v>
      </c>
    </row>
    <row r="1803" spans="1:1" hidden="1" x14ac:dyDescent="0.25">
      <c r="A1803" t="s">
        <v>380</v>
      </c>
    </row>
    <row r="1804" spans="1:1" hidden="1" x14ac:dyDescent="0.25">
      <c r="A1804" t="s">
        <v>893</v>
      </c>
    </row>
    <row r="1805" spans="1:1" hidden="1" x14ac:dyDescent="0.25">
      <c r="A1805" t="s">
        <v>1552</v>
      </c>
    </row>
    <row r="1806" spans="1:1" hidden="1" x14ac:dyDescent="0.25">
      <c r="A1806" t="s">
        <v>1221</v>
      </c>
    </row>
    <row r="1807" spans="1:1" hidden="1" x14ac:dyDescent="0.25">
      <c r="A1807" t="s">
        <v>893</v>
      </c>
    </row>
    <row r="1808" spans="1:1" hidden="1" x14ac:dyDescent="0.25">
      <c r="A1808" t="s">
        <v>553</v>
      </c>
    </row>
    <row r="1809" spans="1:1" hidden="1" x14ac:dyDescent="0.25">
      <c r="A1809" t="s">
        <v>622</v>
      </c>
    </row>
    <row r="1810" spans="1:1" hidden="1" x14ac:dyDescent="0.25">
      <c r="A1810" t="s">
        <v>215</v>
      </c>
    </row>
    <row r="1811" spans="1:1" hidden="1" x14ac:dyDescent="0.25">
      <c r="A1811" t="s">
        <v>169</v>
      </c>
    </row>
    <row r="1812" spans="1:1" hidden="1" x14ac:dyDescent="0.25">
      <c r="A1812" t="s">
        <v>553</v>
      </c>
    </row>
    <row r="1813" spans="1:1" hidden="1" x14ac:dyDescent="0.25">
      <c r="A1813" t="s">
        <v>622</v>
      </c>
    </row>
    <row r="1814" spans="1:1" hidden="1" x14ac:dyDescent="0.25">
      <c r="A1814" t="s">
        <v>893</v>
      </c>
    </row>
    <row r="1815" spans="1:1" hidden="1" x14ac:dyDescent="0.25">
      <c r="A1815" t="s">
        <v>244</v>
      </c>
    </row>
    <row r="1816" spans="1:1" hidden="1" x14ac:dyDescent="0.25">
      <c r="A1816" t="s">
        <v>1155</v>
      </c>
    </row>
    <row r="1817" spans="1:1" hidden="1" x14ac:dyDescent="0.25">
      <c r="A1817" t="s">
        <v>1155</v>
      </c>
    </row>
    <row r="1818" spans="1:1" hidden="1" x14ac:dyDescent="0.25">
      <c r="A1818" t="s">
        <v>186</v>
      </c>
    </row>
    <row r="1819" spans="1:1" hidden="1" x14ac:dyDescent="0.25">
      <c r="A1819" t="s">
        <v>532</v>
      </c>
    </row>
    <row r="1820" spans="1:1" hidden="1" x14ac:dyDescent="0.25">
      <c r="A1820" t="s">
        <v>416</v>
      </c>
    </row>
    <row r="1821" spans="1:1" hidden="1" x14ac:dyDescent="0.25">
      <c r="A1821" t="s">
        <v>1469</v>
      </c>
    </row>
    <row r="1822" spans="1:1" hidden="1" x14ac:dyDescent="0.25">
      <c r="A1822" t="s">
        <v>1936</v>
      </c>
    </row>
    <row r="1823" spans="1:1" hidden="1" x14ac:dyDescent="0.25">
      <c r="A1823" t="s">
        <v>2128</v>
      </c>
    </row>
    <row r="1824" spans="1:1" hidden="1" x14ac:dyDescent="0.25">
      <c r="A1824" t="s">
        <v>667</v>
      </c>
    </row>
    <row r="1825" spans="1:1" hidden="1" x14ac:dyDescent="0.25">
      <c r="A1825" t="s">
        <v>2647</v>
      </c>
    </row>
    <row r="1826" spans="1:1" hidden="1" x14ac:dyDescent="0.25">
      <c r="A1826" t="s">
        <v>61</v>
      </c>
    </row>
    <row r="1827" spans="1:1" hidden="1" x14ac:dyDescent="0.25">
      <c r="A1827" t="s">
        <v>1443</v>
      </c>
    </row>
    <row r="1828" spans="1:1" hidden="1" x14ac:dyDescent="0.25">
      <c r="A1828" t="s">
        <v>1126</v>
      </c>
    </row>
    <row r="1829" spans="1:1" hidden="1" x14ac:dyDescent="0.25">
      <c r="A1829" t="s">
        <v>1552</v>
      </c>
    </row>
    <row r="1830" spans="1:1" hidden="1" x14ac:dyDescent="0.25">
      <c r="A1830" t="s">
        <v>253</v>
      </c>
    </row>
    <row r="1831" spans="1:1" hidden="1" x14ac:dyDescent="0.25">
      <c r="A1831" t="s">
        <v>2001</v>
      </c>
    </row>
    <row r="1832" spans="1:1" hidden="1" x14ac:dyDescent="0.25">
      <c r="A1832" t="s">
        <v>893</v>
      </c>
    </row>
    <row r="1833" spans="1:1" hidden="1" x14ac:dyDescent="0.25">
      <c r="A1833" t="s">
        <v>648</v>
      </c>
    </row>
    <row r="1834" spans="1:1" hidden="1" x14ac:dyDescent="0.25">
      <c r="A1834" t="s">
        <v>893</v>
      </c>
    </row>
    <row r="1835" spans="1:1" hidden="1" x14ac:dyDescent="0.25">
      <c r="A1835" t="s">
        <v>1469</v>
      </c>
    </row>
    <row r="1836" spans="1:1" hidden="1" x14ac:dyDescent="0.25">
      <c r="A1836" t="s">
        <v>2128</v>
      </c>
    </row>
    <row r="1837" spans="1:1" hidden="1" x14ac:dyDescent="0.25">
      <c r="A1837" t="s">
        <v>1936</v>
      </c>
    </row>
    <row r="1838" spans="1:1" hidden="1" x14ac:dyDescent="0.25">
      <c r="A1838" t="s">
        <v>380</v>
      </c>
    </row>
    <row r="1839" spans="1:1" hidden="1" x14ac:dyDescent="0.25">
      <c r="A1839" t="s">
        <v>406</v>
      </c>
    </row>
    <row r="1840" spans="1:1" hidden="1" x14ac:dyDescent="0.25">
      <c r="A1840" t="s">
        <v>2001</v>
      </c>
    </row>
    <row r="1841" spans="1:1" hidden="1" x14ac:dyDescent="0.25">
      <c r="A1841" t="s">
        <v>1229</v>
      </c>
    </row>
    <row r="1842" spans="1:1" hidden="1" x14ac:dyDescent="0.25">
      <c r="A1842" t="s">
        <v>553</v>
      </c>
    </row>
    <row r="1843" spans="1:1" hidden="1" x14ac:dyDescent="0.25">
      <c r="A1843" t="s">
        <v>244</v>
      </c>
    </row>
    <row r="1844" spans="1:1" hidden="1" x14ac:dyDescent="0.25">
      <c r="A1844" t="s">
        <v>2060</v>
      </c>
    </row>
    <row r="1845" spans="1:1" hidden="1" x14ac:dyDescent="0.25">
      <c r="A1845" t="s">
        <v>263</v>
      </c>
    </row>
    <row r="1846" spans="1:1" hidden="1" x14ac:dyDescent="0.25">
      <c r="A1846" t="s">
        <v>392</v>
      </c>
    </row>
    <row r="1847" spans="1:1" hidden="1" x14ac:dyDescent="0.25">
      <c r="A1847" t="s">
        <v>859</v>
      </c>
    </row>
    <row r="1848" spans="1:1" hidden="1" x14ac:dyDescent="0.25">
      <c r="A1848" t="s">
        <v>680</v>
      </c>
    </row>
    <row r="1849" spans="1:1" hidden="1" x14ac:dyDescent="0.25">
      <c r="A1849" t="s">
        <v>244</v>
      </c>
    </row>
    <row r="1850" spans="1:1" hidden="1" x14ac:dyDescent="0.25">
      <c r="A1850" t="s">
        <v>1126</v>
      </c>
    </row>
    <row r="1851" spans="1:1" hidden="1" x14ac:dyDescent="0.25">
      <c r="A1851" t="s">
        <v>1552</v>
      </c>
    </row>
    <row r="1852" spans="1:1" hidden="1" x14ac:dyDescent="0.25">
      <c r="A1852" t="s">
        <v>667</v>
      </c>
    </row>
    <row r="1853" spans="1:1" hidden="1" x14ac:dyDescent="0.25">
      <c r="A1853" t="s">
        <v>392</v>
      </c>
    </row>
    <row r="1854" spans="1:1" hidden="1" x14ac:dyDescent="0.25">
      <c r="A1854" t="s">
        <v>1552</v>
      </c>
    </row>
    <row r="1855" spans="1:1" hidden="1" x14ac:dyDescent="0.25">
      <c r="A1855" t="s">
        <v>380</v>
      </c>
    </row>
    <row r="1856" spans="1:1" hidden="1" x14ac:dyDescent="0.25">
      <c r="A1856" t="s">
        <v>893</v>
      </c>
    </row>
    <row r="1857" spans="1:1" hidden="1" x14ac:dyDescent="0.25">
      <c r="A1857" t="s">
        <v>215</v>
      </c>
    </row>
    <row r="1858" spans="1:1" hidden="1" x14ac:dyDescent="0.25">
      <c r="A1858" t="s">
        <v>667</v>
      </c>
    </row>
    <row r="1859" spans="1:1" hidden="1" x14ac:dyDescent="0.25">
      <c r="A1859" t="s">
        <v>380</v>
      </c>
    </row>
    <row r="1860" spans="1:1" hidden="1" x14ac:dyDescent="0.25">
      <c r="A1860" t="s">
        <v>392</v>
      </c>
    </row>
    <row r="1861" spans="1:1" hidden="1" x14ac:dyDescent="0.25">
      <c r="A1861" t="s">
        <v>648</v>
      </c>
    </row>
    <row r="1862" spans="1:1" hidden="1" x14ac:dyDescent="0.25">
      <c r="A1862" t="s">
        <v>648</v>
      </c>
    </row>
    <row r="1863" spans="1:1" hidden="1" x14ac:dyDescent="0.25">
      <c r="A1863" t="s">
        <v>648</v>
      </c>
    </row>
    <row r="1864" spans="1:1" hidden="1" x14ac:dyDescent="0.25">
      <c r="A1864" t="s">
        <v>680</v>
      </c>
    </row>
    <row r="1865" spans="1:1" hidden="1" x14ac:dyDescent="0.25">
      <c r="A1865" t="s">
        <v>1798</v>
      </c>
    </row>
    <row r="1866" spans="1:1" hidden="1" x14ac:dyDescent="0.25">
      <c r="A1866" t="s">
        <v>263</v>
      </c>
    </row>
    <row r="1867" spans="1:1" hidden="1" x14ac:dyDescent="0.25">
      <c r="A1867" t="s">
        <v>416</v>
      </c>
    </row>
    <row r="1868" spans="1:1" hidden="1" x14ac:dyDescent="0.25">
      <c r="A1868" t="s">
        <v>622</v>
      </c>
    </row>
    <row r="1869" spans="1:1" hidden="1" x14ac:dyDescent="0.25">
      <c r="A1869" t="s">
        <v>893</v>
      </c>
    </row>
    <row r="1870" spans="1:1" hidden="1" x14ac:dyDescent="0.25">
      <c r="A1870" t="s">
        <v>553</v>
      </c>
    </row>
    <row r="1871" spans="1:1" hidden="1" x14ac:dyDescent="0.25">
      <c r="A1871" t="s">
        <v>572</v>
      </c>
    </row>
    <row r="1872" spans="1:1" hidden="1" x14ac:dyDescent="0.25">
      <c r="A1872" t="s">
        <v>2309</v>
      </c>
    </row>
    <row r="1873" spans="1:1" hidden="1" x14ac:dyDescent="0.25">
      <c r="A1873" t="s">
        <v>380</v>
      </c>
    </row>
    <row r="1874" spans="1:1" hidden="1" x14ac:dyDescent="0.25">
      <c r="A1874" t="s">
        <v>2128</v>
      </c>
    </row>
    <row r="1875" spans="1:1" hidden="1" x14ac:dyDescent="0.25">
      <c r="A1875" t="s">
        <v>667</v>
      </c>
    </row>
    <row r="1876" spans="1:1" hidden="1" x14ac:dyDescent="0.25">
      <c r="A1876" t="s">
        <v>449</v>
      </c>
    </row>
    <row r="1877" spans="1:1" hidden="1" x14ac:dyDescent="0.25">
      <c r="A1877" t="s">
        <v>667</v>
      </c>
    </row>
    <row r="1878" spans="1:1" hidden="1" x14ac:dyDescent="0.25">
      <c r="A1878" t="s">
        <v>253</v>
      </c>
    </row>
    <row r="1879" spans="1:1" hidden="1" x14ac:dyDescent="0.25">
      <c r="A1879" t="s">
        <v>169</v>
      </c>
    </row>
    <row r="1880" spans="1:1" hidden="1" x14ac:dyDescent="0.25">
      <c r="A1880" t="s">
        <v>1443</v>
      </c>
    </row>
    <row r="1881" spans="1:1" hidden="1" x14ac:dyDescent="0.25">
      <c r="A1881" t="s">
        <v>1058</v>
      </c>
    </row>
    <row r="1882" spans="1:1" hidden="1" x14ac:dyDescent="0.25">
      <c r="A1882" t="s">
        <v>1155</v>
      </c>
    </row>
    <row r="1883" spans="1:1" hidden="1" x14ac:dyDescent="0.25">
      <c r="A1883" t="s">
        <v>859</v>
      </c>
    </row>
    <row r="1884" spans="1:1" hidden="1" x14ac:dyDescent="0.25">
      <c r="A1884" t="s">
        <v>1443</v>
      </c>
    </row>
    <row r="1885" spans="1:1" hidden="1" x14ac:dyDescent="0.25">
      <c r="A1885" t="s">
        <v>859</v>
      </c>
    </row>
    <row r="1886" spans="1:1" hidden="1" x14ac:dyDescent="0.25">
      <c r="A1886" t="s">
        <v>1229</v>
      </c>
    </row>
    <row r="1887" spans="1:1" hidden="1" x14ac:dyDescent="0.25">
      <c r="A1887" t="s">
        <v>2001</v>
      </c>
    </row>
    <row r="1888" spans="1:1" hidden="1" x14ac:dyDescent="0.25">
      <c r="A1888" t="s">
        <v>893</v>
      </c>
    </row>
    <row r="1889" spans="1:1" hidden="1" x14ac:dyDescent="0.25">
      <c r="A1889" t="s">
        <v>893</v>
      </c>
    </row>
    <row r="1890" spans="1:1" hidden="1" x14ac:dyDescent="0.25">
      <c r="A1890" t="s">
        <v>392</v>
      </c>
    </row>
    <row r="1891" spans="1:1" hidden="1" x14ac:dyDescent="0.25">
      <c r="A1891" t="s">
        <v>392</v>
      </c>
    </row>
    <row r="1892" spans="1:1" hidden="1" x14ac:dyDescent="0.25">
      <c r="A1892" t="s">
        <v>1552</v>
      </c>
    </row>
    <row r="1893" spans="1:1" hidden="1" x14ac:dyDescent="0.25">
      <c r="A1893" t="s">
        <v>859</v>
      </c>
    </row>
    <row r="1894" spans="1:1" hidden="1" x14ac:dyDescent="0.25">
      <c r="A1894" t="s">
        <v>1126</v>
      </c>
    </row>
    <row r="1895" spans="1:1" hidden="1" x14ac:dyDescent="0.25">
      <c r="A1895" t="s">
        <v>263</v>
      </c>
    </row>
    <row r="1896" spans="1:1" hidden="1" x14ac:dyDescent="0.25">
      <c r="A1896" t="s">
        <v>893</v>
      </c>
    </row>
    <row r="1897" spans="1:1" hidden="1" x14ac:dyDescent="0.25">
      <c r="A1897" t="s">
        <v>215</v>
      </c>
    </row>
    <row r="1898" spans="1:1" hidden="1" x14ac:dyDescent="0.25">
      <c r="A1898" t="s">
        <v>3277</v>
      </c>
    </row>
    <row r="1899" spans="1:1" hidden="1" x14ac:dyDescent="0.25">
      <c r="A1899" t="s">
        <v>253</v>
      </c>
    </row>
    <row r="1900" spans="1:1" hidden="1" x14ac:dyDescent="0.25">
      <c r="A1900" t="s">
        <v>680</v>
      </c>
    </row>
    <row r="1901" spans="1:1" hidden="1" x14ac:dyDescent="0.25">
      <c r="A1901" t="s">
        <v>648</v>
      </c>
    </row>
    <row r="1902" spans="1:1" hidden="1" x14ac:dyDescent="0.25">
      <c r="A1902" t="s">
        <v>380</v>
      </c>
    </row>
    <row r="1903" spans="1:1" hidden="1" x14ac:dyDescent="0.25">
      <c r="A1903" t="s">
        <v>1126</v>
      </c>
    </row>
    <row r="1904" spans="1:1" hidden="1" x14ac:dyDescent="0.25">
      <c r="A1904" t="s">
        <v>392</v>
      </c>
    </row>
    <row r="1905" spans="1:1" hidden="1" x14ac:dyDescent="0.25">
      <c r="A1905" t="s">
        <v>1443</v>
      </c>
    </row>
    <row r="1906" spans="1:1" hidden="1" x14ac:dyDescent="0.25">
      <c r="A1906" t="s">
        <v>667</v>
      </c>
    </row>
    <row r="1907" spans="1:1" hidden="1" x14ac:dyDescent="0.25">
      <c r="A1907" t="s">
        <v>1126</v>
      </c>
    </row>
    <row r="1908" spans="1:1" hidden="1" x14ac:dyDescent="0.25">
      <c r="A1908" t="s">
        <v>1126</v>
      </c>
    </row>
    <row r="1909" spans="1:1" hidden="1" x14ac:dyDescent="0.25">
      <c r="A1909" t="s">
        <v>1126</v>
      </c>
    </row>
    <row r="1910" spans="1:1" hidden="1" x14ac:dyDescent="0.25">
      <c r="A1910" t="s">
        <v>244</v>
      </c>
    </row>
    <row r="1911" spans="1:1" hidden="1" x14ac:dyDescent="0.25">
      <c r="A1911" t="s">
        <v>667</v>
      </c>
    </row>
    <row r="1912" spans="1:1" hidden="1" x14ac:dyDescent="0.25">
      <c r="A1912" t="s">
        <v>680</v>
      </c>
    </row>
    <row r="1913" spans="1:1" hidden="1" x14ac:dyDescent="0.25">
      <c r="A1913" t="s">
        <v>392</v>
      </c>
    </row>
    <row r="1914" spans="1:1" hidden="1" x14ac:dyDescent="0.25">
      <c r="A1914" t="s">
        <v>1058</v>
      </c>
    </row>
    <row r="1915" spans="1:1" hidden="1" x14ac:dyDescent="0.25">
      <c r="A1915" t="s">
        <v>553</v>
      </c>
    </row>
    <row r="1916" spans="1:1" hidden="1" x14ac:dyDescent="0.25">
      <c r="A1916" t="s">
        <v>150</v>
      </c>
    </row>
    <row r="1917" spans="1:1" hidden="1" x14ac:dyDescent="0.25">
      <c r="A1917" t="s">
        <v>2647</v>
      </c>
    </row>
    <row r="1918" spans="1:1" hidden="1" x14ac:dyDescent="0.25">
      <c r="A1918" t="s">
        <v>5499</v>
      </c>
    </row>
    <row r="1919" spans="1:1" hidden="1" x14ac:dyDescent="0.25">
      <c r="A1919" t="s">
        <v>2085</v>
      </c>
    </row>
    <row r="1920" spans="1:1" hidden="1" x14ac:dyDescent="0.25">
      <c r="A1920" t="s">
        <v>1874</v>
      </c>
    </row>
    <row r="1921" spans="1:1" hidden="1" x14ac:dyDescent="0.25">
      <c r="A1921" t="s">
        <v>449</v>
      </c>
    </row>
    <row r="1922" spans="1:1" hidden="1" x14ac:dyDescent="0.25">
      <c r="A1922" t="s">
        <v>263</v>
      </c>
    </row>
    <row r="1923" spans="1:1" hidden="1" x14ac:dyDescent="0.25">
      <c r="A1923" t="s">
        <v>169</v>
      </c>
    </row>
    <row r="1924" spans="1:1" hidden="1" x14ac:dyDescent="0.25">
      <c r="A1924" t="s">
        <v>244</v>
      </c>
    </row>
    <row r="1925" spans="1:1" hidden="1" x14ac:dyDescent="0.25">
      <c r="A1925" t="s">
        <v>3277</v>
      </c>
    </row>
    <row r="1926" spans="1:1" hidden="1" x14ac:dyDescent="0.25">
      <c r="A1926" t="s">
        <v>859</v>
      </c>
    </row>
    <row r="1927" spans="1:1" hidden="1" x14ac:dyDescent="0.25">
      <c r="A1927" t="s">
        <v>169</v>
      </c>
    </row>
    <row r="1928" spans="1:1" hidden="1" x14ac:dyDescent="0.25">
      <c r="A1928" t="s">
        <v>680</v>
      </c>
    </row>
    <row r="1929" spans="1:1" hidden="1" x14ac:dyDescent="0.25">
      <c r="A1929" t="s">
        <v>1936</v>
      </c>
    </row>
    <row r="1930" spans="1:1" hidden="1" x14ac:dyDescent="0.25">
      <c r="A1930" t="s">
        <v>2085</v>
      </c>
    </row>
    <row r="1931" spans="1:1" hidden="1" x14ac:dyDescent="0.25">
      <c r="A1931" t="s">
        <v>2060</v>
      </c>
    </row>
    <row r="1932" spans="1:1" hidden="1" x14ac:dyDescent="0.25">
      <c r="A1932" t="s">
        <v>1443</v>
      </c>
    </row>
    <row r="1933" spans="1:1" hidden="1" x14ac:dyDescent="0.25">
      <c r="A1933" t="s">
        <v>622</v>
      </c>
    </row>
    <row r="1934" spans="1:1" hidden="1" x14ac:dyDescent="0.25">
      <c r="A1934" t="s">
        <v>392</v>
      </c>
    </row>
    <row r="1935" spans="1:1" hidden="1" x14ac:dyDescent="0.25">
      <c r="A1935" t="s">
        <v>622</v>
      </c>
    </row>
    <row r="1936" spans="1:1" hidden="1" x14ac:dyDescent="0.25">
      <c r="A1936" t="s">
        <v>926</v>
      </c>
    </row>
    <row r="1937" spans="1:1" hidden="1" x14ac:dyDescent="0.25">
      <c r="A1937" t="s">
        <v>562</v>
      </c>
    </row>
    <row r="1938" spans="1:1" hidden="1" x14ac:dyDescent="0.25">
      <c r="A1938" t="s">
        <v>169</v>
      </c>
    </row>
    <row r="1939" spans="1:1" hidden="1" x14ac:dyDescent="0.25">
      <c r="A1939" t="s">
        <v>1552</v>
      </c>
    </row>
    <row r="1940" spans="1:1" hidden="1" x14ac:dyDescent="0.25">
      <c r="A1940" t="s">
        <v>482</v>
      </c>
    </row>
    <row r="1941" spans="1:1" hidden="1" x14ac:dyDescent="0.25">
      <c r="A1941" t="s">
        <v>186</v>
      </c>
    </row>
    <row r="1942" spans="1:1" hidden="1" x14ac:dyDescent="0.25">
      <c r="A1942" t="s">
        <v>680</v>
      </c>
    </row>
    <row r="1943" spans="1:1" hidden="1" x14ac:dyDescent="0.25">
      <c r="A1943" t="s">
        <v>380</v>
      </c>
    </row>
    <row r="1944" spans="1:1" hidden="1" x14ac:dyDescent="0.25">
      <c r="A1944" t="s">
        <v>244</v>
      </c>
    </row>
    <row r="1945" spans="1:1" hidden="1" x14ac:dyDescent="0.25">
      <c r="A1945" t="s">
        <v>406</v>
      </c>
    </row>
    <row r="1946" spans="1:1" hidden="1" x14ac:dyDescent="0.25">
      <c r="A1946" t="s">
        <v>648</v>
      </c>
    </row>
    <row r="1947" spans="1:1" hidden="1" x14ac:dyDescent="0.25">
      <c r="A1947" t="s">
        <v>648</v>
      </c>
    </row>
    <row r="1948" spans="1:1" hidden="1" x14ac:dyDescent="0.25">
      <c r="A1948" t="s">
        <v>1229</v>
      </c>
    </row>
    <row r="1949" spans="1:1" hidden="1" x14ac:dyDescent="0.25">
      <c r="A1949" t="s">
        <v>380</v>
      </c>
    </row>
    <row r="1950" spans="1:1" hidden="1" x14ac:dyDescent="0.25">
      <c r="A1950" t="s">
        <v>667</v>
      </c>
    </row>
    <row r="1951" spans="1:1" hidden="1" x14ac:dyDescent="0.25">
      <c r="A1951" t="s">
        <v>406</v>
      </c>
    </row>
    <row r="1952" spans="1:1" hidden="1" x14ac:dyDescent="0.25">
      <c r="A1952" t="s">
        <v>622</v>
      </c>
    </row>
    <row r="1953" spans="1:1" hidden="1" x14ac:dyDescent="0.25">
      <c r="A1953" t="s">
        <v>680</v>
      </c>
    </row>
    <row r="1954" spans="1:1" hidden="1" x14ac:dyDescent="0.25">
      <c r="A1954" t="s">
        <v>244</v>
      </c>
    </row>
    <row r="1955" spans="1:1" hidden="1" x14ac:dyDescent="0.25">
      <c r="A1955" t="s">
        <v>648</v>
      </c>
    </row>
    <row r="1956" spans="1:1" hidden="1" x14ac:dyDescent="0.25">
      <c r="A1956" t="s">
        <v>1155</v>
      </c>
    </row>
    <row r="1957" spans="1:1" hidden="1" x14ac:dyDescent="0.25">
      <c r="A1957" t="s">
        <v>807</v>
      </c>
    </row>
    <row r="1958" spans="1:1" hidden="1" x14ac:dyDescent="0.25">
      <c r="A1958" t="s">
        <v>562</v>
      </c>
    </row>
    <row r="1959" spans="1:1" hidden="1" x14ac:dyDescent="0.25">
      <c r="A1959" t="s">
        <v>1058</v>
      </c>
    </row>
    <row r="1960" spans="1:1" hidden="1" x14ac:dyDescent="0.25">
      <c r="A1960" t="s">
        <v>380</v>
      </c>
    </row>
    <row r="1961" spans="1:1" hidden="1" x14ac:dyDescent="0.25">
      <c r="A1961" t="s">
        <v>648</v>
      </c>
    </row>
    <row r="1962" spans="1:1" hidden="1" x14ac:dyDescent="0.25">
      <c r="A1962" t="s">
        <v>580</v>
      </c>
    </row>
    <row r="1963" spans="1:1" hidden="1" x14ac:dyDescent="0.25">
      <c r="A1963" t="s">
        <v>667</v>
      </c>
    </row>
    <row r="1964" spans="1:1" hidden="1" x14ac:dyDescent="0.25">
      <c r="A1964" t="s">
        <v>482</v>
      </c>
    </row>
    <row r="1965" spans="1:1" hidden="1" x14ac:dyDescent="0.25">
      <c r="A1965" t="s">
        <v>392</v>
      </c>
    </row>
    <row r="1966" spans="1:1" hidden="1" x14ac:dyDescent="0.25">
      <c r="A1966" t="s">
        <v>205</v>
      </c>
    </row>
    <row r="1967" spans="1:1" hidden="1" x14ac:dyDescent="0.25">
      <c r="A1967" t="s">
        <v>380</v>
      </c>
    </row>
    <row r="1968" spans="1:1" hidden="1" x14ac:dyDescent="0.25">
      <c r="A1968" t="s">
        <v>205</v>
      </c>
    </row>
    <row r="1969" spans="1:1" hidden="1" x14ac:dyDescent="0.25">
      <c r="A1969" t="s">
        <v>680</v>
      </c>
    </row>
    <row r="1970" spans="1:1" hidden="1" x14ac:dyDescent="0.25">
      <c r="A1970" t="s">
        <v>263</v>
      </c>
    </row>
    <row r="1971" spans="1:1" hidden="1" x14ac:dyDescent="0.25">
      <c r="A1971" t="s">
        <v>667</v>
      </c>
    </row>
    <row r="1972" spans="1:1" hidden="1" x14ac:dyDescent="0.25">
      <c r="A1972" t="s">
        <v>1443</v>
      </c>
    </row>
    <row r="1973" spans="1:1" hidden="1" x14ac:dyDescent="0.25">
      <c r="A1973" t="s">
        <v>1443</v>
      </c>
    </row>
    <row r="1974" spans="1:1" hidden="1" x14ac:dyDescent="0.25">
      <c r="A1974" t="s">
        <v>263</v>
      </c>
    </row>
    <row r="1975" spans="1:1" hidden="1" x14ac:dyDescent="0.25">
      <c r="A1975" t="s">
        <v>263</v>
      </c>
    </row>
    <row r="1976" spans="1:1" hidden="1" x14ac:dyDescent="0.25">
      <c r="A1976" t="s">
        <v>893</v>
      </c>
    </row>
    <row r="1977" spans="1:1" hidden="1" x14ac:dyDescent="0.25">
      <c r="A1977" t="s">
        <v>380</v>
      </c>
    </row>
    <row r="1978" spans="1:1" hidden="1" x14ac:dyDescent="0.25">
      <c r="A1978" t="s">
        <v>622</v>
      </c>
    </row>
    <row r="1979" spans="1:1" hidden="1" x14ac:dyDescent="0.25">
      <c r="A1979" t="s">
        <v>169</v>
      </c>
    </row>
    <row r="1980" spans="1:1" hidden="1" x14ac:dyDescent="0.25">
      <c r="A1980" t="s">
        <v>680</v>
      </c>
    </row>
    <row r="1981" spans="1:1" hidden="1" x14ac:dyDescent="0.25">
      <c r="A1981" t="s">
        <v>648</v>
      </c>
    </row>
    <row r="1982" spans="1:1" hidden="1" x14ac:dyDescent="0.25">
      <c r="A1982" t="s">
        <v>380</v>
      </c>
    </row>
    <row r="1983" spans="1:1" hidden="1" x14ac:dyDescent="0.25">
      <c r="A1983" t="s">
        <v>1936</v>
      </c>
    </row>
    <row r="1984" spans="1:1" hidden="1" x14ac:dyDescent="0.25">
      <c r="A1984" t="s">
        <v>667</v>
      </c>
    </row>
    <row r="1985" spans="1:1" hidden="1" x14ac:dyDescent="0.25">
      <c r="A1985" t="s">
        <v>648</v>
      </c>
    </row>
    <row r="1986" spans="1:1" hidden="1" x14ac:dyDescent="0.25">
      <c r="A1986" t="s">
        <v>2647</v>
      </c>
    </row>
    <row r="1987" spans="1:1" hidden="1" x14ac:dyDescent="0.25">
      <c r="A1987" t="s">
        <v>392</v>
      </c>
    </row>
    <row r="1988" spans="1:1" hidden="1" x14ac:dyDescent="0.25">
      <c r="A1988" t="s">
        <v>1443</v>
      </c>
    </row>
    <row r="1989" spans="1:1" hidden="1" x14ac:dyDescent="0.25">
      <c r="A1989" t="s">
        <v>392</v>
      </c>
    </row>
    <row r="1990" spans="1:1" hidden="1" x14ac:dyDescent="0.25">
      <c r="A1990" t="s">
        <v>380</v>
      </c>
    </row>
    <row r="1991" spans="1:1" hidden="1" x14ac:dyDescent="0.25">
      <c r="A1991" t="s">
        <v>244</v>
      </c>
    </row>
    <row r="1992" spans="1:1" hidden="1" x14ac:dyDescent="0.25">
      <c r="A1992" t="s">
        <v>532</v>
      </c>
    </row>
    <row r="1993" spans="1:1" hidden="1" x14ac:dyDescent="0.25">
      <c r="A1993" t="s">
        <v>2647</v>
      </c>
    </row>
    <row r="1994" spans="1:1" hidden="1" x14ac:dyDescent="0.25">
      <c r="A1994" t="s">
        <v>61</v>
      </c>
    </row>
    <row r="1995" spans="1:1" hidden="1" x14ac:dyDescent="0.25">
      <c r="A1995" t="s">
        <v>1126</v>
      </c>
    </row>
    <row r="1996" spans="1:1" hidden="1" x14ac:dyDescent="0.25">
      <c r="A1996" t="s">
        <v>807</v>
      </c>
    </row>
    <row r="1997" spans="1:1" hidden="1" x14ac:dyDescent="0.25">
      <c r="A1997" t="s">
        <v>648</v>
      </c>
    </row>
    <row r="1998" spans="1:1" hidden="1" x14ac:dyDescent="0.25">
      <c r="A1998" t="s">
        <v>648</v>
      </c>
    </row>
    <row r="1999" spans="1:1" hidden="1" x14ac:dyDescent="0.25">
      <c r="A1999" t="s">
        <v>553</v>
      </c>
    </row>
    <row r="2000" spans="1:1" hidden="1" x14ac:dyDescent="0.25">
      <c r="A2000" t="s">
        <v>1372</v>
      </c>
    </row>
    <row r="2001" spans="1:1" hidden="1" x14ac:dyDescent="0.25">
      <c r="A2001" t="s">
        <v>392</v>
      </c>
    </row>
    <row r="2002" spans="1:1" hidden="1" x14ac:dyDescent="0.25">
      <c r="A2002" t="s">
        <v>580</v>
      </c>
    </row>
    <row r="2003" spans="1:1" hidden="1" x14ac:dyDescent="0.25">
      <c r="A2003" t="s">
        <v>1469</v>
      </c>
    </row>
    <row r="2004" spans="1:1" hidden="1" x14ac:dyDescent="0.25">
      <c r="A2004" t="s">
        <v>807</v>
      </c>
    </row>
    <row r="2005" spans="1:1" hidden="1" x14ac:dyDescent="0.25">
      <c r="A2005" t="s">
        <v>123</v>
      </c>
    </row>
    <row r="2006" spans="1:1" hidden="1" x14ac:dyDescent="0.25">
      <c r="A2006" t="s">
        <v>893</v>
      </c>
    </row>
    <row r="2007" spans="1:1" hidden="1" x14ac:dyDescent="0.25">
      <c r="A2007" t="s">
        <v>449</v>
      </c>
    </row>
    <row r="2008" spans="1:1" hidden="1" x14ac:dyDescent="0.25">
      <c r="A2008" t="s">
        <v>1058</v>
      </c>
    </row>
    <row r="2009" spans="1:1" hidden="1" x14ac:dyDescent="0.25">
      <c r="A2009" t="s">
        <v>380</v>
      </c>
    </row>
    <row r="2010" spans="1:1" hidden="1" x14ac:dyDescent="0.25">
      <c r="A2010" t="s">
        <v>1798</v>
      </c>
    </row>
    <row r="2011" spans="1:1" hidden="1" x14ac:dyDescent="0.25">
      <c r="A2011" t="s">
        <v>859</v>
      </c>
    </row>
    <row r="2012" spans="1:1" hidden="1" x14ac:dyDescent="0.25">
      <c r="A2012" t="s">
        <v>274</v>
      </c>
    </row>
    <row r="2013" spans="1:1" hidden="1" x14ac:dyDescent="0.25">
      <c r="A2013" t="s">
        <v>274</v>
      </c>
    </row>
    <row r="2014" spans="1:1" hidden="1" x14ac:dyDescent="0.25">
      <c r="A2014" t="s">
        <v>532</v>
      </c>
    </row>
    <row r="2015" spans="1:1" hidden="1" x14ac:dyDescent="0.25">
      <c r="A2015" t="s">
        <v>553</v>
      </c>
    </row>
    <row r="2016" spans="1:1" hidden="1" x14ac:dyDescent="0.25">
      <c r="A2016" t="s">
        <v>263</v>
      </c>
    </row>
    <row r="2017" spans="1:1" hidden="1" x14ac:dyDescent="0.25">
      <c r="A2017" t="s">
        <v>406</v>
      </c>
    </row>
    <row r="2018" spans="1:1" hidden="1" x14ac:dyDescent="0.25">
      <c r="A2018" t="s">
        <v>1443</v>
      </c>
    </row>
    <row r="2019" spans="1:1" hidden="1" x14ac:dyDescent="0.25">
      <c r="A2019" t="s">
        <v>169</v>
      </c>
    </row>
    <row r="2020" spans="1:1" hidden="1" x14ac:dyDescent="0.25">
      <c r="A2020" t="s">
        <v>648</v>
      </c>
    </row>
    <row r="2021" spans="1:1" hidden="1" x14ac:dyDescent="0.25">
      <c r="A2021" t="s">
        <v>553</v>
      </c>
    </row>
    <row r="2022" spans="1:1" hidden="1" x14ac:dyDescent="0.25">
      <c r="A2022" t="s">
        <v>667</v>
      </c>
    </row>
    <row r="2023" spans="1:1" hidden="1" x14ac:dyDescent="0.25">
      <c r="A2023" t="s">
        <v>553</v>
      </c>
    </row>
    <row r="2024" spans="1:1" hidden="1" x14ac:dyDescent="0.25">
      <c r="A2024" t="s">
        <v>553</v>
      </c>
    </row>
    <row r="2025" spans="1:1" hidden="1" x14ac:dyDescent="0.25">
      <c r="A2025" t="s">
        <v>186</v>
      </c>
    </row>
    <row r="2026" spans="1:1" hidden="1" x14ac:dyDescent="0.25">
      <c r="A2026" t="s">
        <v>1126</v>
      </c>
    </row>
    <row r="2027" spans="1:1" hidden="1" x14ac:dyDescent="0.25">
      <c r="A2027" t="s">
        <v>648</v>
      </c>
    </row>
    <row r="2028" spans="1:1" hidden="1" x14ac:dyDescent="0.25">
      <c r="A2028" t="s">
        <v>380</v>
      </c>
    </row>
    <row r="2029" spans="1:1" hidden="1" x14ac:dyDescent="0.25">
      <c r="A2029" t="s">
        <v>263</v>
      </c>
    </row>
    <row r="2030" spans="1:1" hidden="1" x14ac:dyDescent="0.25">
      <c r="A2030" t="s">
        <v>440</v>
      </c>
    </row>
    <row r="2031" spans="1:1" hidden="1" x14ac:dyDescent="0.25">
      <c r="A2031" t="s">
        <v>667</v>
      </c>
    </row>
    <row r="2032" spans="1:1" hidden="1" x14ac:dyDescent="0.25">
      <c r="A2032" t="s">
        <v>380</v>
      </c>
    </row>
    <row r="2033" spans="1:1" hidden="1" x14ac:dyDescent="0.25">
      <c r="A2033" t="s">
        <v>562</v>
      </c>
    </row>
    <row r="2034" spans="1:1" hidden="1" x14ac:dyDescent="0.25">
      <c r="A2034" t="s">
        <v>2060</v>
      </c>
    </row>
    <row r="2035" spans="1:1" hidden="1" x14ac:dyDescent="0.25">
      <c r="A2035" t="s">
        <v>380</v>
      </c>
    </row>
    <row r="2036" spans="1:1" hidden="1" x14ac:dyDescent="0.25">
      <c r="A2036" t="s">
        <v>406</v>
      </c>
    </row>
    <row r="2037" spans="1:1" hidden="1" x14ac:dyDescent="0.25">
      <c r="A2037" t="s">
        <v>1443</v>
      </c>
    </row>
    <row r="2038" spans="1:1" hidden="1" x14ac:dyDescent="0.25">
      <c r="A2038" t="s">
        <v>667</v>
      </c>
    </row>
    <row r="2039" spans="1:1" hidden="1" x14ac:dyDescent="0.25">
      <c r="A2039" t="s">
        <v>553</v>
      </c>
    </row>
    <row r="2040" spans="1:1" hidden="1" x14ac:dyDescent="0.25">
      <c r="A2040" t="s">
        <v>648</v>
      </c>
    </row>
    <row r="2041" spans="1:1" hidden="1" x14ac:dyDescent="0.25">
      <c r="A2041" t="s">
        <v>667</v>
      </c>
    </row>
    <row r="2042" spans="1:1" hidden="1" x14ac:dyDescent="0.25">
      <c r="A2042" t="s">
        <v>622</v>
      </c>
    </row>
    <row r="2043" spans="1:1" hidden="1" x14ac:dyDescent="0.25">
      <c r="A2043" t="s">
        <v>380</v>
      </c>
    </row>
    <row r="2044" spans="1:1" hidden="1" x14ac:dyDescent="0.25">
      <c r="A2044" t="s">
        <v>169</v>
      </c>
    </row>
    <row r="2045" spans="1:1" hidden="1" x14ac:dyDescent="0.25">
      <c r="A2045" t="s">
        <v>392</v>
      </c>
    </row>
    <row r="2046" spans="1:1" hidden="1" x14ac:dyDescent="0.25">
      <c r="A2046" t="s">
        <v>2647</v>
      </c>
    </row>
    <row r="2047" spans="1:1" hidden="1" x14ac:dyDescent="0.25">
      <c r="A2047" t="s">
        <v>215</v>
      </c>
    </row>
    <row r="2048" spans="1:1" hidden="1" x14ac:dyDescent="0.25">
      <c r="A2048" t="s">
        <v>2085</v>
      </c>
    </row>
    <row r="2049" spans="1:1" hidden="1" x14ac:dyDescent="0.25">
      <c r="A2049" t="s">
        <v>532</v>
      </c>
    </row>
    <row r="2050" spans="1:1" hidden="1" x14ac:dyDescent="0.25">
      <c r="A2050" t="s">
        <v>1058</v>
      </c>
    </row>
    <row r="2051" spans="1:1" hidden="1" x14ac:dyDescent="0.25">
      <c r="A2051" t="s">
        <v>553</v>
      </c>
    </row>
    <row r="2052" spans="1:1" hidden="1" x14ac:dyDescent="0.25">
      <c r="A2052" t="s">
        <v>680</v>
      </c>
    </row>
    <row r="2053" spans="1:1" hidden="1" x14ac:dyDescent="0.25">
      <c r="A2053" t="s">
        <v>859</v>
      </c>
    </row>
    <row r="2054" spans="1:1" hidden="1" x14ac:dyDescent="0.25">
      <c r="A2054" t="s">
        <v>893</v>
      </c>
    </row>
    <row r="2055" spans="1:1" hidden="1" x14ac:dyDescent="0.25">
      <c r="A2055" t="s">
        <v>3873</v>
      </c>
    </row>
    <row r="2056" spans="1:1" hidden="1" x14ac:dyDescent="0.25">
      <c r="A2056" t="s">
        <v>392</v>
      </c>
    </row>
    <row r="2057" spans="1:1" hidden="1" x14ac:dyDescent="0.25">
      <c r="A2057" t="s">
        <v>667</v>
      </c>
    </row>
    <row r="2058" spans="1:1" hidden="1" x14ac:dyDescent="0.25">
      <c r="A2058" t="s">
        <v>648</v>
      </c>
    </row>
    <row r="2059" spans="1:1" hidden="1" x14ac:dyDescent="0.25">
      <c r="A2059" t="s">
        <v>449</v>
      </c>
    </row>
    <row r="2060" spans="1:1" hidden="1" x14ac:dyDescent="0.25">
      <c r="A2060" t="s">
        <v>416</v>
      </c>
    </row>
    <row r="2061" spans="1:1" hidden="1" x14ac:dyDescent="0.25">
      <c r="A2061" t="s">
        <v>392</v>
      </c>
    </row>
    <row r="2062" spans="1:1" hidden="1" x14ac:dyDescent="0.25">
      <c r="A2062" t="s">
        <v>1372</v>
      </c>
    </row>
    <row r="2063" spans="1:1" hidden="1" x14ac:dyDescent="0.25">
      <c r="A2063" t="s">
        <v>392</v>
      </c>
    </row>
    <row r="2064" spans="1:1" hidden="1" x14ac:dyDescent="0.25">
      <c r="A2064" t="s">
        <v>215</v>
      </c>
    </row>
    <row r="2065" spans="1:1" hidden="1" x14ac:dyDescent="0.25">
      <c r="A2065" t="s">
        <v>893</v>
      </c>
    </row>
    <row r="2066" spans="1:1" hidden="1" x14ac:dyDescent="0.25">
      <c r="A2066" t="s">
        <v>440</v>
      </c>
    </row>
    <row r="2067" spans="1:1" hidden="1" x14ac:dyDescent="0.25">
      <c r="A2067" t="s">
        <v>416</v>
      </c>
    </row>
    <row r="2068" spans="1:1" hidden="1" x14ac:dyDescent="0.25">
      <c r="A2068" t="s">
        <v>1348</v>
      </c>
    </row>
    <row r="2069" spans="1:1" hidden="1" x14ac:dyDescent="0.25">
      <c r="A2069" t="s">
        <v>667</v>
      </c>
    </row>
    <row r="2070" spans="1:1" hidden="1" x14ac:dyDescent="0.25">
      <c r="A2070" t="s">
        <v>1155</v>
      </c>
    </row>
    <row r="2071" spans="1:1" hidden="1" x14ac:dyDescent="0.25">
      <c r="A2071" t="s">
        <v>380</v>
      </c>
    </row>
    <row r="2072" spans="1:1" hidden="1" x14ac:dyDescent="0.25">
      <c r="A2072" t="s">
        <v>1126</v>
      </c>
    </row>
    <row r="2073" spans="1:1" hidden="1" x14ac:dyDescent="0.25">
      <c r="A2073" t="s">
        <v>244</v>
      </c>
    </row>
    <row r="2074" spans="1:1" hidden="1" x14ac:dyDescent="0.25">
      <c r="A2074" t="s">
        <v>169</v>
      </c>
    </row>
    <row r="2075" spans="1:1" hidden="1" x14ac:dyDescent="0.25">
      <c r="A2075" t="s">
        <v>392</v>
      </c>
    </row>
    <row r="2076" spans="1:1" hidden="1" x14ac:dyDescent="0.25">
      <c r="A2076" t="s">
        <v>2647</v>
      </c>
    </row>
    <row r="2077" spans="1:1" hidden="1" x14ac:dyDescent="0.25">
      <c r="A2077" t="s">
        <v>1552</v>
      </c>
    </row>
    <row r="2078" spans="1:1" hidden="1" x14ac:dyDescent="0.25">
      <c r="A2078" t="s">
        <v>859</v>
      </c>
    </row>
    <row r="2079" spans="1:1" hidden="1" x14ac:dyDescent="0.25">
      <c r="A2079" t="s">
        <v>169</v>
      </c>
    </row>
    <row r="2080" spans="1:1" hidden="1" x14ac:dyDescent="0.25">
      <c r="A2080" t="s">
        <v>244</v>
      </c>
    </row>
    <row r="2081" spans="1:1" hidden="1" x14ac:dyDescent="0.25">
      <c r="A2081" t="s">
        <v>1874</v>
      </c>
    </row>
    <row r="2082" spans="1:1" hidden="1" x14ac:dyDescent="0.25">
      <c r="A2082" t="s">
        <v>553</v>
      </c>
    </row>
    <row r="2083" spans="1:1" hidden="1" x14ac:dyDescent="0.25">
      <c r="A2083" t="s">
        <v>648</v>
      </c>
    </row>
    <row r="2084" spans="1:1" hidden="1" x14ac:dyDescent="0.25">
      <c r="A2084" t="s">
        <v>2085</v>
      </c>
    </row>
    <row r="2085" spans="1:1" hidden="1" x14ac:dyDescent="0.25">
      <c r="A2085" t="s">
        <v>205</v>
      </c>
    </row>
    <row r="2086" spans="1:1" hidden="1" x14ac:dyDescent="0.25">
      <c r="A2086" t="s">
        <v>61</v>
      </c>
    </row>
    <row r="2087" spans="1:1" hidden="1" x14ac:dyDescent="0.25">
      <c r="A2087" t="s">
        <v>440</v>
      </c>
    </row>
    <row r="2088" spans="1:1" hidden="1" x14ac:dyDescent="0.25">
      <c r="A2088" t="s">
        <v>667</v>
      </c>
    </row>
    <row r="2089" spans="1:1" hidden="1" x14ac:dyDescent="0.25">
      <c r="A2089" t="s">
        <v>1155</v>
      </c>
    </row>
    <row r="2090" spans="1:1" hidden="1" x14ac:dyDescent="0.25">
      <c r="A2090" t="s">
        <v>648</v>
      </c>
    </row>
    <row r="2091" spans="1:1" hidden="1" x14ac:dyDescent="0.25">
      <c r="A2091" t="s">
        <v>667</v>
      </c>
    </row>
    <row r="2092" spans="1:1" hidden="1" x14ac:dyDescent="0.25">
      <c r="A2092" t="s">
        <v>406</v>
      </c>
    </row>
    <row r="2093" spans="1:1" hidden="1" x14ac:dyDescent="0.25">
      <c r="A2093" t="s">
        <v>1221</v>
      </c>
    </row>
    <row r="2094" spans="1:1" hidden="1" x14ac:dyDescent="0.25">
      <c r="A2094" t="s">
        <v>951</v>
      </c>
    </row>
    <row r="2095" spans="1:1" hidden="1" x14ac:dyDescent="0.25">
      <c r="A2095" t="s">
        <v>406</v>
      </c>
    </row>
    <row r="2096" spans="1:1" hidden="1" x14ac:dyDescent="0.25">
      <c r="A2096" t="s">
        <v>562</v>
      </c>
    </row>
    <row r="2097" spans="1:1" hidden="1" x14ac:dyDescent="0.25">
      <c r="A2097" t="s">
        <v>1552</v>
      </c>
    </row>
    <row r="2098" spans="1:1" hidden="1" x14ac:dyDescent="0.25">
      <c r="A2098" t="s">
        <v>1552</v>
      </c>
    </row>
    <row r="2099" spans="1:1" hidden="1" x14ac:dyDescent="0.25">
      <c r="A2099" t="s">
        <v>648</v>
      </c>
    </row>
    <row r="2100" spans="1:1" hidden="1" x14ac:dyDescent="0.25">
      <c r="A2100" t="s">
        <v>186</v>
      </c>
    </row>
    <row r="2101" spans="1:1" hidden="1" x14ac:dyDescent="0.25">
      <c r="A2101" t="s">
        <v>648</v>
      </c>
    </row>
    <row r="2102" spans="1:1" hidden="1" x14ac:dyDescent="0.25">
      <c r="A2102" t="s">
        <v>553</v>
      </c>
    </row>
    <row r="2103" spans="1:1" hidden="1" x14ac:dyDescent="0.25">
      <c r="A2103" t="s">
        <v>2309</v>
      </c>
    </row>
    <row r="2104" spans="1:1" hidden="1" x14ac:dyDescent="0.25">
      <c r="A2104" t="s">
        <v>859</v>
      </c>
    </row>
    <row r="2105" spans="1:1" hidden="1" x14ac:dyDescent="0.25">
      <c r="A2105" t="s">
        <v>380</v>
      </c>
    </row>
    <row r="2106" spans="1:1" hidden="1" x14ac:dyDescent="0.25">
      <c r="A2106" t="s">
        <v>392</v>
      </c>
    </row>
    <row r="2107" spans="1:1" hidden="1" x14ac:dyDescent="0.25">
      <c r="A2107" t="s">
        <v>449</v>
      </c>
    </row>
    <row r="2108" spans="1:1" hidden="1" x14ac:dyDescent="0.25">
      <c r="A2108" t="s">
        <v>380</v>
      </c>
    </row>
    <row r="2109" spans="1:1" hidden="1" x14ac:dyDescent="0.25">
      <c r="A2109" t="s">
        <v>1443</v>
      </c>
    </row>
    <row r="2110" spans="1:1" hidden="1" x14ac:dyDescent="0.25">
      <c r="A2110" t="s">
        <v>2128</v>
      </c>
    </row>
    <row r="2111" spans="1:1" hidden="1" x14ac:dyDescent="0.25">
      <c r="A2111" t="s">
        <v>1126</v>
      </c>
    </row>
    <row r="2112" spans="1:1" hidden="1" x14ac:dyDescent="0.25">
      <c r="A2112" t="s">
        <v>648</v>
      </c>
    </row>
    <row r="2113" spans="1:1" hidden="1" x14ac:dyDescent="0.25">
      <c r="A2113" t="s">
        <v>951</v>
      </c>
    </row>
    <row r="2114" spans="1:1" hidden="1" x14ac:dyDescent="0.25">
      <c r="A2114" t="s">
        <v>680</v>
      </c>
    </row>
    <row r="2115" spans="1:1" hidden="1" x14ac:dyDescent="0.25">
      <c r="A2115" t="s">
        <v>169</v>
      </c>
    </row>
    <row r="2116" spans="1:1" hidden="1" x14ac:dyDescent="0.25">
      <c r="A2116" t="s">
        <v>667</v>
      </c>
    </row>
    <row r="2117" spans="1:1" hidden="1" x14ac:dyDescent="0.25">
      <c r="A2117" t="s">
        <v>274</v>
      </c>
    </row>
    <row r="2118" spans="1:1" hidden="1" x14ac:dyDescent="0.25">
      <c r="A2118" t="s">
        <v>553</v>
      </c>
    </row>
    <row r="2119" spans="1:1" hidden="1" x14ac:dyDescent="0.25">
      <c r="A2119" t="s">
        <v>263</v>
      </c>
    </row>
    <row r="2120" spans="1:1" hidden="1" x14ac:dyDescent="0.25">
      <c r="A2120" t="s">
        <v>123</v>
      </c>
    </row>
    <row r="2121" spans="1:1" hidden="1" x14ac:dyDescent="0.25">
      <c r="A2121" t="s">
        <v>667</v>
      </c>
    </row>
    <row r="2122" spans="1:1" hidden="1" x14ac:dyDescent="0.25">
      <c r="A2122" t="s">
        <v>169</v>
      </c>
    </row>
    <row r="2123" spans="1:1" hidden="1" x14ac:dyDescent="0.25">
      <c r="A2123" t="s">
        <v>893</v>
      </c>
    </row>
    <row r="2124" spans="1:1" hidden="1" x14ac:dyDescent="0.25">
      <c r="A2124" t="s">
        <v>580</v>
      </c>
    </row>
    <row r="2125" spans="1:1" hidden="1" x14ac:dyDescent="0.25">
      <c r="A2125" t="s">
        <v>263</v>
      </c>
    </row>
    <row r="2126" spans="1:1" hidden="1" x14ac:dyDescent="0.25">
      <c r="A2126" t="s">
        <v>169</v>
      </c>
    </row>
    <row r="2127" spans="1:1" hidden="1" x14ac:dyDescent="0.25">
      <c r="A2127" t="s">
        <v>2001</v>
      </c>
    </row>
    <row r="2128" spans="1:1" hidden="1" x14ac:dyDescent="0.25">
      <c r="A2128" t="s">
        <v>1552</v>
      </c>
    </row>
    <row r="2129" spans="1:1" hidden="1" x14ac:dyDescent="0.25">
      <c r="A2129" t="s">
        <v>274</v>
      </c>
    </row>
    <row r="2130" spans="1:1" hidden="1" x14ac:dyDescent="0.25">
      <c r="A2130" t="s">
        <v>186</v>
      </c>
    </row>
    <row r="2131" spans="1:1" hidden="1" x14ac:dyDescent="0.25">
      <c r="A2131" t="s">
        <v>667</v>
      </c>
    </row>
    <row r="2132" spans="1:1" hidden="1" x14ac:dyDescent="0.25">
      <c r="A2132" t="s">
        <v>1229</v>
      </c>
    </row>
    <row r="2133" spans="1:1" hidden="1" x14ac:dyDescent="0.25">
      <c r="A2133" t="s">
        <v>392</v>
      </c>
    </row>
    <row r="2134" spans="1:1" hidden="1" x14ac:dyDescent="0.25">
      <c r="A2134" t="s">
        <v>648</v>
      </c>
    </row>
    <row r="2135" spans="1:1" hidden="1" x14ac:dyDescent="0.25">
      <c r="A2135" t="s">
        <v>893</v>
      </c>
    </row>
    <row r="2136" spans="1:1" hidden="1" x14ac:dyDescent="0.25">
      <c r="A2136" t="s">
        <v>667</v>
      </c>
    </row>
    <row r="2137" spans="1:1" hidden="1" x14ac:dyDescent="0.25">
      <c r="A2137" t="s">
        <v>2647</v>
      </c>
    </row>
    <row r="2138" spans="1:1" hidden="1" x14ac:dyDescent="0.25">
      <c r="A2138" t="s">
        <v>1058</v>
      </c>
    </row>
    <row r="2139" spans="1:1" hidden="1" x14ac:dyDescent="0.25">
      <c r="A2139" t="s">
        <v>2060</v>
      </c>
    </row>
    <row r="2140" spans="1:1" hidden="1" x14ac:dyDescent="0.25">
      <c r="A2140" t="s">
        <v>1552</v>
      </c>
    </row>
    <row r="2141" spans="1:1" hidden="1" x14ac:dyDescent="0.25">
      <c r="A2141" t="s">
        <v>680</v>
      </c>
    </row>
    <row r="2142" spans="1:1" hidden="1" x14ac:dyDescent="0.25">
      <c r="A2142" t="s">
        <v>1469</v>
      </c>
    </row>
    <row r="2143" spans="1:1" hidden="1" x14ac:dyDescent="0.25">
      <c r="A2143" t="s">
        <v>2647</v>
      </c>
    </row>
    <row r="2144" spans="1:1" hidden="1" x14ac:dyDescent="0.25">
      <c r="A2144" t="s">
        <v>553</v>
      </c>
    </row>
    <row r="2145" spans="1:1" hidden="1" x14ac:dyDescent="0.25">
      <c r="A2145" t="s">
        <v>2309</v>
      </c>
    </row>
    <row r="2146" spans="1:1" hidden="1" x14ac:dyDescent="0.25">
      <c r="A2146" t="s">
        <v>150</v>
      </c>
    </row>
    <row r="2147" spans="1:1" hidden="1" x14ac:dyDescent="0.25">
      <c r="A2147" t="s">
        <v>2647</v>
      </c>
    </row>
    <row r="2148" spans="1:1" hidden="1" x14ac:dyDescent="0.25">
      <c r="A2148" t="s">
        <v>392</v>
      </c>
    </row>
    <row r="2149" spans="1:1" hidden="1" x14ac:dyDescent="0.25">
      <c r="A2149" t="s">
        <v>244</v>
      </c>
    </row>
    <row r="2150" spans="1:1" hidden="1" x14ac:dyDescent="0.25">
      <c r="A2150" t="s">
        <v>1126</v>
      </c>
    </row>
    <row r="2151" spans="1:1" hidden="1" x14ac:dyDescent="0.25">
      <c r="A2151" t="s">
        <v>859</v>
      </c>
    </row>
    <row r="2152" spans="1:1" hidden="1" x14ac:dyDescent="0.25">
      <c r="A2152" t="s">
        <v>648</v>
      </c>
    </row>
    <row r="2153" spans="1:1" hidden="1" x14ac:dyDescent="0.25">
      <c r="A2153" t="s">
        <v>648</v>
      </c>
    </row>
    <row r="2154" spans="1:1" hidden="1" x14ac:dyDescent="0.25">
      <c r="A2154" t="s">
        <v>859</v>
      </c>
    </row>
    <row r="2155" spans="1:1" hidden="1" x14ac:dyDescent="0.25">
      <c r="A2155" t="s">
        <v>648</v>
      </c>
    </row>
    <row r="2156" spans="1:1" hidden="1" x14ac:dyDescent="0.25">
      <c r="A2156" t="s">
        <v>186</v>
      </c>
    </row>
    <row r="2157" spans="1:1" hidden="1" x14ac:dyDescent="0.25">
      <c r="A2157" t="s">
        <v>244</v>
      </c>
    </row>
    <row r="2158" spans="1:1" hidden="1" x14ac:dyDescent="0.25">
      <c r="A2158" t="s">
        <v>667</v>
      </c>
    </row>
    <row r="2159" spans="1:1" hidden="1" x14ac:dyDescent="0.25">
      <c r="A2159" t="s">
        <v>1126</v>
      </c>
    </row>
    <row r="2160" spans="1:1" hidden="1" x14ac:dyDescent="0.25">
      <c r="A2160" t="s">
        <v>951</v>
      </c>
    </row>
    <row r="2161" spans="1:1" hidden="1" x14ac:dyDescent="0.25">
      <c r="A2161" t="s">
        <v>1798</v>
      </c>
    </row>
    <row r="2162" spans="1:1" hidden="1" x14ac:dyDescent="0.25">
      <c r="A2162" t="s">
        <v>648</v>
      </c>
    </row>
    <row r="2163" spans="1:1" hidden="1" x14ac:dyDescent="0.25">
      <c r="A2163" t="s">
        <v>532</v>
      </c>
    </row>
    <row r="2164" spans="1:1" hidden="1" x14ac:dyDescent="0.25">
      <c r="A2164" t="s">
        <v>1372</v>
      </c>
    </row>
    <row r="2165" spans="1:1" hidden="1" x14ac:dyDescent="0.25">
      <c r="A2165" t="s">
        <v>392</v>
      </c>
    </row>
    <row r="2166" spans="1:1" hidden="1" x14ac:dyDescent="0.25">
      <c r="A2166" t="s">
        <v>186</v>
      </c>
    </row>
    <row r="2167" spans="1:1" hidden="1" x14ac:dyDescent="0.25">
      <c r="A2167" t="s">
        <v>648</v>
      </c>
    </row>
    <row r="2168" spans="1:1" hidden="1" x14ac:dyDescent="0.25">
      <c r="A2168" t="s">
        <v>263</v>
      </c>
    </row>
    <row r="2169" spans="1:1" hidden="1" x14ac:dyDescent="0.25">
      <c r="A2169" t="s">
        <v>1798</v>
      </c>
    </row>
    <row r="2170" spans="1:1" hidden="1" x14ac:dyDescent="0.25">
      <c r="A2170" t="s">
        <v>648</v>
      </c>
    </row>
    <row r="2171" spans="1:1" hidden="1" x14ac:dyDescent="0.25">
      <c r="A2171" t="s">
        <v>1126</v>
      </c>
    </row>
    <row r="2172" spans="1:1" hidden="1" x14ac:dyDescent="0.25">
      <c r="A2172" t="s">
        <v>1443</v>
      </c>
    </row>
    <row r="2173" spans="1:1" hidden="1" x14ac:dyDescent="0.25">
      <c r="A2173" t="s">
        <v>580</v>
      </c>
    </row>
    <row r="2174" spans="1:1" hidden="1" x14ac:dyDescent="0.25">
      <c r="A2174" t="s">
        <v>893</v>
      </c>
    </row>
    <row r="2175" spans="1:1" hidden="1" x14ac:dyDescent="0.25">
      <c r="A2175" t="s">
        <v>1443</v>
      </c>
    </row>
    <row r="2176" spans="1:1" hidden="1" x14ac:dyDescent="0.25">
      <c r="A2176" t="s">
        <v>648</v>
      </c>
    </row>
    <row r="2177" spans="1:1" hidden="1" x14ac:dyDescent="0.25">
      <c r="A2177" t="s">
        <v>648</v>
      </c>
    </row>
    <row r="2178" spans="1:1" hidden="1" x14ac:dyDescent="0.25">
      <c r="A2178" t="s">
        <v>392</v>
      </c>
    </row>
    <row r="2179" spans="1:1" hidden="1" x14ac:dyDescent="0.25">
      <c r="A2179" t="s">
        <v>3873</v>
      </c>
    </row>
    <row r="2180" spans="1:1" hidden="1" x14ac:dyDescent="0.25">
      <c r="A2180" t="s">
        <v>859</v>
      </c>
    </row>
    <row r="2181" spans="1:1" hidden="1" x14ac:dyDescent="0.25">
      <c r="A2181" t="s">
        <v>1126</v>
      </c>
    </row>
    <row r="2182" spans="1:1" hidden="1" x14ac:dyDescent="0.25">
      <c r="A2182" t="s">
        <v>1798</v>
      </c>
    </row>
    <row r="2183" spans="1:1" hidden="1" x14ac:dyDescent="0.25">
      <c r="A2183" t="s">
        <v>680</v>
      </c>
    </row>
    <row r="2184" spans="1:1" hidden="1" x14ac:dyDescent="0.25">
      <c r="A2184" t="s">
        <v>1798</v>
      </c>
    </row>
    <row r="2185" spans="1:1" hidden="1" x14ac:dyDescent="0.25">
      <c r="A2185" t="s">
        <v>406</v>
      </c>
    </row>
    <row r="2186" spans="1:1" hidden="1" x14ac:dyDescent="0.25">
      <c r="A2186" t="s">
        <v>553</v>
      </c>
    </row>
    <row r="2187" spans="1:1" hidden="1" x14ac:dyDescent="0.25">
      <c r="A2187" t="s">
        <v>406</v>
      </c>
    </row>
    <row r="2188" spans="1:1" hidden="1" x14ac:dyDescent="0.25">
      <c r="A2188" t="s">
        <v>859</v>
      </c>
    </row>
    <row r="2189" spans="1:1" hidden="1" x14ac:dyDescent="0.25">
      <c r="A2189" t="s">
        <v>859</v>
      </c>
    </row>
    <row r="2190" spans="1:1" hidden="1" x14ac:dyDescent="0.25">
      <c r="A2190" t="s">
        <v>580</v>
      </c>
    </row>
    <row r="2191" spans="1:1" hidden="1" x14ac:dyDescent="0.25">
      <c r="A2191" t="s">
        <v>1443</v>
      </c>
    </row>
    <row r="2192" spans="1:1" hidden="1" x14ac:dyDescent="0.25">
      <c r="A2192" t="s">
        <v>680</v>
      </c>
    </row>
    <row r="2193" spans="1:1" hidden="1" x14ac:dyDescent="0.25">
      <c r="A2193" t="s">
        <v>244</v>
      </c>
    </row>
    <row r="2194" spans="1:1" hidden="1" x14ac:dyDescent="0.25">
      <c r="A2194" t="s">
        <v>1372</v>
      </c>
    </row>
    <row r="2195" spans="1:1" hidden="1" x14ac:dyDescent="0.25">
      <c r="A2195" t="s">
        <v>440</v>
      </c>
    </row>
    <row r="2196" spans="1:1" hidden="1" x14ac:dyDescent="0.25">
      <c r="A2196" t="s">
        <v>169</v>
      </c>
    </row>
    <row r="2197" spans="1:1" hidden="1" x14ac:dyDescent="0.25">
      <c r="A2197" t="s">
        <v>186</v>
      </c>
    </row>
    <row r="2198" spans="1:1" hidden="1" x14ac:dyDescent="0.25">
      <c r="A2198" t="s">
        <v>449</v>
      </c>
    </row>
    <row r="2199" spans="1:1" hidden="1" x14ac:dyDescent="0.25">
      <c r="A2199" t="s">
        <v>263</v>
      </c>
    </row>
    <row r="2200" spans="1:1" hidden="1" x14ac:dyDescent="0.25">
      <c r="A2200" t="s">
        <v>667</v>
      </c>
    </row>
    <row r="2201" spans="1:1" hidden="1" x14ac:dyDescent="0.25">
      <c r="A2201" t="s">
        <v>3277</v>
      </c>
    </row>
    <row r="2202" spans="1:1" hidden="1" x14ac:dyDescent="0.25">
      <c r="A2202" t="s">
        <v>553</v>
      </c>
    </row>
    <row r="2203" spans="1:1" hidden="1" x14ac:dyDescent="0.25">
      <c r="A2203" t="s">
        <v>553</v>
      </c>
    </row>
    <row r="2204" spans="1:1" hidden="1" x14ac:dyDescent="0.25">
      <c r="A2204" t="s">
        <v>1221</v>
      </c>
    </row>
    <row r="2205" spans="1:1" hidden="1" x14ac:dyDescent="0.25">
      <c r="A2205" t="s">
        <v>3277</v>
      </c>
    </row>
    <row r="2206" spans="1:1" hidden="1" x14ac:dyDescent="0.25">
      <c r="A2206" t="s">
        <v>392</v>
      </c>
    </row>
    <row r="2207" spans="1:1" hidden="1" x14ac:dyDescent="0.25">
      <c r="A2207" t="s">
        <v>61</v>
      </c>
    </row>
    <row r="2208" spans="1:1" hidden="1" x14ac:dyDescent="0.25">
      <c r="A2208" t="s">
        <v>667</v>
      </c>
    </row>
    <row r="2209" spans="1:1" hidden="1" x14ac:dyDescent="0.25">
      <c r="A2209" t="s">
        <v>2085</v>
      </c>
    </row>
    <row r="2210" spans="1:1" hidden="1" x14ac:dyDescent="0.25">
      <c r="A2210" t="s">
        <v>1443</v>
      </c>
    </row>
    <row r="2211" spans="1:1" hidden="1" x14ac:dyDescent="0.25">
      <c r="A2211" t="s">
        <v>553</v>
      </c>
    </row>
    <row r="2212" spans="1:1" hidden="1" x14ac:dyDescent="0.25">
      <c r="A2212" t="s">
        <v>859</v>
      </c>
    </row>
    <row r="2213" spans="1:1" hidden="1" x14ac:dyDescent="0.25">
      <c r="A2213" t="s">
        <v>635</v>
      </c>
    </row>
    <row r="2214" spans="1:1" hidden="1" x14ac:dyDescent="0.25">
      <c r="A2214" t="s">
        <v>380</v>
      </c>
    </row>
    <row r="2215" spans="1:1" hidden="1" x14ac:dyDescent="0.25">
      <c r="A2215" t="s">
        <v>580</v>
      </c>
    </row>
    <row r="2216" spans="1:1" hidden="1" x14ac:dyDescent="0.25">
      <c r="A2216" t="s">
        <v>553</v>
      </c>
    </row>
    <row r="2217" spans="1:1" hidden="1" x14ac:dyDescent="0.25">
      <c r="A2217" t="s">
        <v>680</v>
      </c>
    </row>
    <row r="2218" spans="1:1" hidden="1" x14ac:dyDescent="0.25">
      <c r="A2218" t="s">
        <v>1221</v>
      </c>
    </row>
    <row r="2219" spans="1:1" hidden="1" x14ac:dyDescent="0.25">
      <c r="A2219" t="s">
        <v>1443</v>
      </c>
    </row>
    <row r="2220" spans="1:1" hidden="1" x14ac:dyDescent="0.25">
      <c r="A2220" t="s">
        <v>440</v>
      </c>
    </row>
    <row r="2221" spans="1:1" hidden="1" x14ac:dyDescent="0.25">
      <c r="A2221" t="s">
        <v>1372</v>
      </c>
    </row>
    <row r="2222" spans="1:1" hidden="1" x14ac:dyDescent="0.25">
      <c r="A2222" t="s">
        <v>1221</v>
      </c>
    </row>
    <row r="2223" spans="1:1" hidden="1" x14ac:dyDescent="0.25">
      <c r="A2223" t="s">
        <v>1936</v>
      </c>
    </row>
    <row r="2224" spans="1:1" hidden="1" x14ac:dyDescent="0.25">
      <c r="A2224" t="s">
        <v>263</v>
      </c>
    </row>
    <row r="2225" spans="1:1" hidden="1" x14ac:dyDescent="0.25">
      <c r="A2225" t="s">
        <v>667</v>
      </c>
    </row>
    <row r="2226" spans="1:1" hidden="1" x14ac:dyDescent="0.25">
      <c r="A2226" t="s">
        <v>274</v>
      </c>
    </row>
    <row r="2227" spans="1:1" hidden="1" x14ac:dyDescent="0.25">
      <c r="A2227" t="s">
        <v>392</v>
      </c>
    </row>
    <row r="2228" spans="1:1" hidden="1" x14ac:dyDescent="0.25">
      <c r="A2228" t="s">
        <v>61</v>
      </c>
    </row>
    <row r="2229" spans="1:1" hidden="1" x14ac:dyDescent="0.25">
      <c r="A2229" t="s">
        <v>648</v>
      </c>
    </row>
    <row r="2230" spans="1:1" hidden="1" x14ac:dyDescent="0.25">
      <c r="A2230" t="s">
        <v>392</v>
      </c>
    </row>
    <row r="2231" spans="1:1" hidden="1" x14ac:dyDescent="0.25">
      <c r="A2231" t="s">
        <v>244</v>
      </c>
    </row>
    <row r="2232" spans="1:1" hidden="1" x14ac:dyDescent="0.25">
      <c r="A2232" t="s">
        <v>1874</v>
      </c>
    </row>
    <row r="2233" spans="1:1" hidden="1" x14ac:dyDescent="0.25">
      <c r="A2233" t="s">
        <v>392</v>
      </c>
    </row>
    <row r="2234" spans="1:1" hidden="1" x14ac:dyDescent="0.25">
      <c r="A2234" t="s">
        <v>274</v>
      </c>
    </row>
    <row r="2235" spans="1:1" hidden="1" x14ac:dyDescent="0.25">
      <c r="A2235" t="s">
        <v>926</v>
      </c>
    </row>
    <row r="2236" spans="1:1" hidden="1" x14ac:dyDescent="0.25">
      <c r="A2236" t="s">
        <v>648</v>
      </c>
    </row>
    <row r="2237" spans="1:1" hidden="1" x14ac:dyDescent="0.25">
      <c r="A2237" t="s">
        <v>169</v>
      </c>
    </row>
    <row r="2238" spans="1:1" hidden="1" x14ac:dyDescent="0.25">
      <c r="A2238" t="s">
        <v>274</v>
      </c>
    </row>
    <row r="2239" spans="1:1" hidden="1" x14ac:dyDescent="0.25">
      <c r="A2239" t="s">
        <v>580</v>
      </c>
    </row>
    <row r="2240" spans="1:1" hidden="1" x14ac:dyDescent="0.25">
      <c r="A2240" t="s">
        <v>951</v>
      </c>
    </row>
    <row r="2241" spans="1:1" hidden="1" x14ac:dyDescent="0.25">
      <c r="A2241" t="s">
        <v>680</v>
      </c>
    </row>
    <row r="2242" spans="1:1" hidden="1" x14ac:dyDescent="0.25">
      <c r="A2242" t="s">
        <v>449</v>
      </c>
    </row>
    <row r="2243" spans="1:1" hidden="1" x14ac:dyDescent="0.25">
      <c r="A2243" t="s">
        <v>2085</v>
      </c>
    </row>
    <row r="2244" spans="1:1" hidden="1" x14ac:dyDescent="0.25">
      <c r="A2244" t="s">
        <v>1936</v>
      </c>
    </row>
    <row r="2245" spans="1:1" hidden="1" x14ac:dyDescent="0.25">
      <c r="A2245" t="s">
        <v>186</v>
      </c>
    </row>
    <row r="2246" spans="1:1" hidden="1" x14ac:dyDescent="0.25">
      <c r="A2246" t="s">
        <v>562</v>
      </c>
    </row>
    <row r="2247" spans="1:1" hidden="1" x14ac:dyDescent="0.25">
      <c r="A2247" t="s">
        <v>562</v>
      </c>
    </row>
    <row r="2248" spans="1:1" hidden="1" x14ac:dyDescent="0.25">
      <c r="A2248" t="s">
        <v>580</v>
      </c>
    </row>
    <row r="2249" spans="1:1" hidden="1" x14ac:dyDescent="0.25">
      <c r="A2249" t="s">
        <v>274</v>
      </c>
    </row>
    <row r="2250" spans="1:1" hidden="1" x14ac:dyDescent="0.25">
      <c r="A2250" t="s">
        <v>380</v>
      </c>
    </row>
    <row r="2251" spans="1:1" hidden="1" x14ac:dyDescent="0.25">
      <c r="A2251" t="s">
        <v>392</v>
      </c>
    </row>
    <row r="2252" spans="1:1" hidden="1" x14ac:dyDescent="0.25">
      <c r="A2252" t="s">
        <v>244</v>
      </c>
    </row>
    <row r="2253" spans="1:1" hidden="1" x14ac:dyDescent="0.25">
      <c r="A2253" t="s">
        <v>648</v>
      </c>
    </row>
    <row r="2254" spans="1:1" hidden="1" x14ac:dyDescent="0.25">
      <c r="A2254" t="s">
        <v>648</v>
      </c>
    </row>
    <row r="2255" spans="1:1" hidden="1" x14ac:dyDescent="0.25">
      <c r="A2255" t="s">
        <v>380</v>
      </c>
    </row>
    <row r="2256" spans="1:1" hidden="1" x14ac:dyDescent="0.25">
      <c r="A2256" t="s">
        <v>622</v>
      </c>
    </row>
    <row r="2257" spans="1:1" hidden="1" x14ac:dyDescent="0.25">
      <c r="A2257" t="s">
        <v>1798</v>
      </c>
    </row>
    <row r="2258" spans="1:1" hidden="1" x14ac:dyDescent="0.25">
      <c r="A2258" t="s">
        <v>380</v>
      </c>
    </row>
    <row r="2259" spans="1:1" hidden="1" x14ac:dyDescent="0.25">
      <c r="A2259" t="s">
        <v>1552</v>
      </c>
    </row>
    <row r="2260" spans="1:1" hidden="1" x14ac:dyDescent="0.25">
      <c r="A2260" t="s">
        <v>1552</v>
      </c>
    </row>
    <row r="2261" spans="1:1" hidden="1" x14ac:dyDescent="0.25">
      <c r="A2261" t="s">
        <v>893</v>
      </c>
    </row>
    <row r="2262" spans="1:1" hidden="1" x14ac:dyDescent="0.25">
      <c r="A2262" t="s">
        <v>648</v>
      </c>
    </row>
    <row r="2263" spans="1:1" hidden="1" x14ac:dyDescent="0.25">
      <c r="A2263" t="s">
        <v>1348</v>
      </c>
    </row>
    <row r="2264" spans="1:1" hidden="1" x14ac:dyDescent="0.25">
      <c r="A2264" t="s">
        <v>667</v>
      </c>
    </row>
    <row r="2265" spans="1:1" hidden="1" x14ac:dyDescent="0.25">
      <c r="A2265" t="s">
        <v>580</v>
      </c>
    </row>
    <row r="2266" spans="1:1" hidden="1" x14ac:dyDescent="0.25">
      <c r="A2266" t="s">
        <v>622</v>
      </c>
    </row>
    <row r="2267" spans="1:1" hidden="1" x14ac:dyDescent="0.25">
      <c r="A2267" t="s">
        <v>893</v>
      </c>
    </row>
    <row r="2268" spans="1:1" hidden="1" x14ac:dyDescent="0.25">
      <c r="A2268" t="s">
        <v>807</v>
      </c>
    </row>
    <row r="2269" spans="1:1" hidden="1" x14ac:dyDescent="0.25">
      <c r="A2269" t="s">
        <v>2984</v>
      </c>
    </row>
    <row r="2270" spans="1:1" hidden="1" x14ac:dyDescent="0.25">
      <c r="A2270" t="s">
        <v>392</v>
      </c>
    </row>
    <row r="2271" spans="1:1" hidden="1" x14ac:dyDescent="0.25">
      <c r="A2271" t="s">
        <v>1469</v>
      </c>
    </row>
    <row r="2272" spans="1:1" hidden="1" x14ac:dyDescent="0.25">
      <c r="A2272" t="s">
        <v>648</v>
      </c>
    </row>
    <row r="2273" spans="1:1" hidden="1" x14ac:dyDescent="0.25">
      <c r="A2273" t="s">
        <v>380</v>
      </c>
    </row>
    <row r="2274" spans="1:1" hidden="1" x14ac:dyDescent="0.25">
      <c r="A2274" t="s">
        <v>263</v>
      </c>
    </row>
    <row r="2275" spans="1:1" hidden="1" x14ac:dyDescent="0.25">
      <c r="A2275" t="s">
        <v>893</v>
      </c>
    </row>
    <row r="2276" spans="1:1" hidden="1" x14ac:dyDescent="0.25">
      <c r="A2276" t="s">
        <v>667</v>
      </c>
    </row>
    <row r="2277" spans="1:1" hidden="1" x14ac:dyDescent="0.25">
      <c r="A2277" t="s">
        <v>380</v>
      </c>
    </row>
    <row r="2278" spans="1:1" hidden="1" x14ac:dyDescent="0.25">
      <c r="A2278" t="s">
        <v>622</v>
      </c>
    </row>
    <row r="2279" spans="1:1" hidden="1" x14ac:dyDescent="0.25">
      <c r="A2279" t="s">
        <v>580</v>
      </c>
    </row>
    <row r="2280" spans="1:1" hidden="1" x14ac:dyDescent="0.25">
      <c r="A2280" t="s">
        <v>859</v>
      </c>
    </row>
    <row r="2281" spans="1:1" hidden="1" x14ac:dyDescent="0.25">
      <c r="A2281" t="s">
        <v>1221</v>
      </c>
    </row>
    <row r="2282" spans="1:1" hidden="1" x14ac:dyDescent="0.25">
      <c r="A2282" t="s">
        <v>150</v>
      </c>
    </row>
    <row r="2283" spans="1:1" hidden="1" x14ac:dyDescent="0.25">
      <c r="A2283" t="s">
        <v>380</v>
      </c>
    </row>
    <row r="2284" spans="1:1" hidden="1" x14ac:dyDescent="0.25">
      <c r="A2284" t="s">
        <v>532</v>
      </c>
    </row>
    <row r="2285" spans="1:1" hidden="1" x14ac:dyDescent="0.25">
      <c r="A2285" t="s">
        <v>580</v>
      </c>
    </row>
    <row r="2286" spans="1:1" hidden="1" x14ac:dyDescent="0.25">
      <c r="A2286" t="s">
        <v>1155</v>
      </c>
    </row>
    <row r="2287" spans="1:1" hidden="1" x14ac:dyDescent="0.25">
      <c r="A2287" t="s">
        <v>392</v>
      </c>
    </row>
    <row r="2288" spans="1:1" hidden="1" x14ac:dyDescent="0.25">
      <c r="A2288" t="s">
        <v>667</v>
      </c>
    </row>
    <row r="2289" spans="1:1" hidden="1" x14ac:dyDescent="0.25">
      <c r="A2289" t="s">
        <v>449</v>
      </c>
    </row>
    <row r="2290" spans="1:1" hidden="1" x14ac:dyDescent="0.25">
      <c r="A2290" t="s">
        <v>553</v>
      </c>
    </row>
    <row r="2291" spans="1:1" hidden="1" x14ac:dyDescent="0.25">
      <c r="A2291" t="s">
        <v>893</v>
      </c>
    </row>
    <row r="2292" spans="1:1" hidden="1" x14ac:dyDescent="0.25">
      <c r="A2292" t="s">
        <v>392</v>
      </c>
    </row>
    <row r="2293" spans="1:1" hidden="1" x14ac:dyDescent="0.25">
      <c r="A2293" t="s">
        <v>1936</v>
      </c>
    </row>
    <row r="2294" spans="1:1" hidden="1" x14ac:dyDescent="0.25">
      <c r="A2294" t="s">
        <v>150</v>
      </c>
    </row>
    <row r="2295" spans="1:1" hidden="1" x14ac:dyDescent="0.25">
      <c r="A2295" t="s">
        <v>680</v>
      </c>
    </row>
    <row r="2296" spans="1:1" hidden="1" x14ac:dyDescent="0.25">
      <c r="A2296" t="s">
        <v>2647</v>
      </c>
    </row>
    <row r="2297" spans="1:1" hidden="1" x14ac:dyDescent="0.25">
      <c r="A2297" t="s">
        <v>2128</v>
      </c>
    </row>
    <row r="2298" spans="1:1" hidden="1" x14ac:dyDescent="0.25">
      <c r="A2298" t="s">
        <v>667</v>
      </c>
    </row>
    <row r="2299" spans="1:1" hidden="1" x14ac:dyDescent="0.25">
      <c r="A2299" t="s">
        <v>648</v>
      </c>
    </row>
    <row r="2300" spans="1:1" hidden="1" x14ac:dyDescent="0.25">
      <c r="A2300" t="s">
        <v>648</v>
      </c>
    </row>
    <row r="2301" spans="1:1" hidden="1" x14ac:dyDescent="0.25">
      <c r="A2301" t="s">
        <v>532</v>
      </c>
    </row>
    <row r="2302" spans="1:1" hidden="1" x14ac:dyDescent="0.25">
      <c r="A2302" t="s">
        <v>123</v>
      </c>
    </row>
    <row r="2303" spans="1:1" hidden="1" x14ac:dyDescent="0.25">
      <c r="A2303" t="s">
        <v>1372</v>
      </c>
    </row>
    <row r="2304" spans="1:1" hidden="1" x14ac:dyDescent="0.25">
      <c r="A2304" t="s">
        <v>859</v>
      </c>
    </row>
    <row r="2305" spans="1:1" hidden="1" x14ac:dyDescent="0.25">
      <c r="A2305" t="s">
        <v>2060</v>
      </c>
    </row>
    <row r="2306" spans="1:1" hidden="1" x14ac:dyDescent="0.25">
      <c r="A2306" t="s">
        <v>3873</v>
      </c>
    </row>
    <row r="2307" spans="1:1" hidden="1" x14ac:dyDescent="0.25">
      <c r="A2307" t="s">
        <v>580</v>
      </c>
    </row>
    <row r="2308" spans="1:1" hidden="1" x14ac:dyDescent="0.25">
      <c r="A2308" t="s">
        <v>263</v>
      </c>
    </row>
    <row r="2309" spans="1:1" hidden="1" x14ac:dyDescent="0.25">
      <c r="A2309" t="s">
        <v>1874</v>
      </c>
    </row>
    <row r="2310" spans="1:1" hidden="1" x14ac:dyDescent="0.25">
      <c r="A2310" t="s">
        <v>1874</v>
      </c>
    </row>
    <row r="2311" spans="1:1" hidden="1" x14ac:dyDescent="0.25">
      <c r="A2311" t="s">
        <v>580</v>
      </c>
    </row>
    <row r="2312" spans="1:1" hidden="1" x14ac:dyDescent="0.25">
      <c r="A2312" t="s">
        <v>186</v>
      </c>
    </row>
    <row r="2313" spans="1:1" hidden="1" x14ac:dyDescent="0.25">
      <c r="A2313" t="s">
        <v>406</v>
      </c>
    </row>
    <row r="2314" spans="1:1" hidden="1" x14ac:dyDescent="0.25">
      <c r="A2314" t="s">
        <v>1126</v>
      </c>
    </row>
    <row r="2315" spans="1:1" hidden="1" x14ac:dyDescent="0.25">
      <c r="A2315" t="s">
        <v>449</v>
      </c>
    </row>
    <row r="2316" spans="1:1" hidden="1" x14ac:dyDescent="0.25">
      <c r="A2316" t="s">
        <v>807</v>
      </c>
    </row>
    <row r="2317" spans="1:1" hidden="1" x14ac:dyDescent="0.25">
      <c r="A2317" t="s">
        <v>667</v>
      </c>
    </row>
    <row r="2318" spans="1:1" hidden="1" x14ac:dyDescent="0.25">
      <c r="A2318" t="s">
        <v>1469</v>
      </c>
    </row>
    <row r="2319" spans="1:1" hidden="1" x14ac:dyDescent="0.25">
      <c r="A2319" t="s">
        <v>1058</v>
      </c>
    </row>
    <row r="2320" spans="1:1" hidden="1" x14ac:dyDescent="0.25">
      <c r="A2320" t="s">
        <v>648</v>
      </c>
    </row>
    <row r="2321" spans="1:1" hidden="1" x14ac:dyDescent="0.25">
      <c r="A2321" t="s">
        <v>1058</v>
      </c>
    </row>
    <row r="2322" spans="1:1" hidden="1" x14ac:dyDescent="0.25">
      <c r="A2322" t="s">
        <v>1552</v>
      </c>
    </row>
    <row r="2323" spans="1:1" hidden="1" x14ac:dyDescent="0.25">
      <c r="A2323" t="s">
        <v>667</v>
      </c>
    </row>
    <row r="2324" spans="1:1" hidden="1" x14ac:dyDescent="0.25">
      <c r="A2324" t="s">
        <v>859</v>
      </c>
    </row>
    <row r="2325" spans="1:1" hidden="1" x14ac:dyDescent="0.25">
      <c r="A2325" t="s">
        <v>380</v>
      </c>
    </row>
    <row r="2326" spans="1:1" hidden="1" x14ac:dyDescent="0.25">
      <c r="A2326" t="s">
        <v>859</v>
      </c>
    </row>
    <row r="2327" spans="1:1" hidden="1" x14ac:dyDescent="0.25">
      <c r="A2327" t="s">
        <v>2001</v>
      </c>
    </row>
    <row r="2328" spans="1:1" hidden="1" x14ac:dyDescent="0.25">
      <c r="A2328" t="s">
        <v>562</v>
      </c>
    </row>
    <row r="2329" spans="1:1" hidden="1" x14ac:dyDescent="0.25">
      <c r="A2329" t="s">
        <v>406</v>
      </c>
    </row>
    <row r="2330" spans="1:1" hidden="1" x14ac:dyDescent="0.25">
      <c r="A2330" t="s">
        <v>680</v>
      </c>
    </row>
    <row r="2331" spans="1:1" hidden="1" x14ac:dyDescent="0.25">
      <c r="A2331" t="s">
        <v>648</v>
      </c>
    </row>
    <row r="2332" spans="1:1" hidden="1" x14ac:dyDescent="0.25">
      <c r="A2332" t="s">
        <v>553</v>
      </c>
    </row>
    <row r="2333" spans="1:1" hidden="1" x14ac:dyDescent="0.25">
      <c r="A2333" t="s">
        <v>893</v>
      </c>
    </row>
    <row r="2334" spans="1:1" hidden="1" x14ac:dyDescent="0.25">
      <c r="A2334" t="s">
        <v>667</v>
      </c>
    </row>
    <row r="2335" spans="1:1" hidden="1" x14ac:dyDescent="0.25">
      <c r="A2335" t="s">
        <v>648</v>
      </c>
    </row>
    <row r="2336" spans="1:1" hidden="1" x14ac:dyDescent="0.25">
      <c r="A2336" t="s">
        <v>1155</v>
      </c>
    </row>
    <row r="2337" spans="1:1" hidden="1" x14ac:dyDescent="0.25">
      <c r="A2337" t="s">
        <v>392</v>
      </c>
    </row>
    <row r="2338" spans="1:1" hidden="1" x14ac:dyDescent="0.25">
      <c r="A2338" t="s">
        <v>1469</v>
      </c>
    </row>
    <row r="2339" spans="1:1" hidden="1" x14ac:dyDescent="0.25">
      <c r="A2339" t="s">
        <v>667</v>
      </c>
    </row>
    <row r="2340" spans="1:1" hidden="1" x14ac:dyDescent="0.25">
      <c r="A2340" t="s">
        <v>562</v>
      </c>
    </row>
    <row r="2341" spans="1:1" hidden="1" x14ac:dyDescent="0.25">
      <c r="A2341" t="s">
        <v>553</v>
      </c>
    </row>
    <row r="2342" spans="1:1" hidden="1" x14ac:dyDescent="0.25">
      <c r="A2342" t="s">
        <v>244</v>
      </c>
    </row>
    <row r="2343" spans="1:1" hidden="1" x14ac:dyDescent="0.25">
      <c r="A2343" t="s">
        <v>667</v>
      </c>
    </row>
    <row r="2344" spans="1:1" hidden="1" x14ac:dyDescent="0.25">
      <c r="A2344" t="s">
        <v>1058</v>
      </c>
    </row>
    <row r="2345" spans="1:1" hidden="1" x14ac:dyDescent="0.25">
      <c r="A2345" t="s">
        <v>1229</v>
      </c>
    </row>
    <row r="2346" spans="1:1" hidden="1" x14ac:dyDescent="0.25">
      <c r="A2346" t="s">
        <v>648</v>
      </c>
    </row>
    <row r="2347" spans="1:1" hidden="1" x14ac:dyDescent="0.25">
      <c r="A2347" t="s">
        <v>807</v>
      </c>
    </row>
    <row r="2348" spans="1:1" hidden="1" x14ac:dyDescent="0.25">
      <c r="A2348" t="s">
        <v>406</v>
      </c>
    </row>
    <row r="2349" spans="1:1" hidden="1" x14ac:dyDescent="0.25">
      <c r="A2349" t="s">
        <v>532</v>
      </c>
    </row>
    <row r="2350" spans="1:1" hidden="1" x14ac:dyDescent="0.25">
      <c r="A2350" t="s">
        <v>169</v>
      </c>
    </row>
    <row r="2351" spans="1:1" hidden="1" x14ac:dyDescent="0.25">
      <c r="A2351" t="s">
        <v>392</v>
      </c>
    </row>
    <row r="2352" spans="1:1" hidden="1" x14ac:dyDescent="0.25">
      <c r="A2352" t="s">
        <v>1348</v>
      </c>
    </row>
    <row r="2353" spans="1:1" hidden="1" x14ac:dyDescent="0.25">
      <c r="A2353" t="s">
        <v>667</v>
      </c>
    </row>
    <row r="2354" spans="1:1" hidden="1" x14ac:dyDescent="0.25">
      <c r="A2354" t="s">
        <v>274</v>
      </c>
    </row>
    <row r="2355" spans="1:1" hidden="1" x14ac:dyDescent="0.25">
      <c r="A2355" t="s">
        <v>380</v>
      </c>
    </row>
    <row r="2356" spans="1:1" hidden="1" x14ac:dyDescent="0.25">
      <c r="A2356" t="s">
        <v>380</v>
      </c>
    </row>
    <row r="2357" spans="1:1" hidden="1" x14ac:dyDescent="0.25">
      <c r="A2357" t="s">
        <v>648</v>
      </c>
    </row>
    <row r="2358" spans="1:1" hidden="1" x14ac:dyDescent="0.25">
      <c r="A2358" t="s">
        <v>380</v>
      </c>
    </row>
    <row r="2359" spans="1:1" hidden="1" x14ac:dyDescent="0.25">
      <c r="A2359" t="s">
        <v>553</v>
      </c>
    </row>
    <row r="2360" spans="1:1" hidden="1" x14ac:dyDescent="0.25">
      <c r="A2360" t="s">
        <v>1443</v>
      </c>
    </row>
    <row r="2361" spans="1:1" hidden="1" x14ac:dyDescent="0.25">
      <c r="A2361" t="s">
        <v>169</v>
      </c>
    </row>
    <row r="2362" spans="1:1" hidden="1" x14ac:dyDescent="0.25">
      <c r="A2362" t="s">
        <v>532</v>
      </c>
    </row>
    <row r="2363" spans="1:1" hidden="1" x14ac:dyDescent="0.25">
      <c r="A2363" t="s">
        <v>3873</v>
      </c>
    </row>
    <row r="2364" spans="1:1" hidden="1" x14ac:dyDescent="0.25">
      <c r="A2364" t="s">
        <v>859</v>
      </c>
    </row>
    <row r="2365" spans="1:1" hidden="1" x14ac:dyDescent="0.25">
      <c r="A2365" t="s">
        <v>580</v>
      </c>
    </row>
    <row r="2366" spans="1:1" hidden="1" x14ac:dyDescent="0.25">
      <c r="A2366" t="s">
        <v>1469</v>
      </c>
    </row>
    <row r="2367" spans="1:1" hidden="1" x14ac:dyDescent="0.25">
      <c r="A2367" t="s">
        <v>1443</v>
      </c>
    </row>
    <row r="2368" spans="1:1" hidden="1" x14ac:dyDescent="0.25">
      <c r="A2368" t="s">
        <v>380</v>
      </c>
    </row>
    <row r="2369" spans="1:1" hidden="1" x14ac:dyDescent="0.25">
      <c r="A2369" t="s">
        <v>893</v>
      </c>
    </row>
    <row r="2370" spans="1:1" hidden="1" x14ac:dyDescent="0.25">
      <c r="A2370" t="s">
        <v>263</v>
      </c>
    </row>
    <row r="2371" spans="1:1" hidden="1" x14ac:dyDescent="0.25">
      <c r="A2371" t="s">
        <v>253</v>
      </c>
    </row>
    <row r="2372" spans="1:1" hidden="1" x14ac:dyDescent="0.25">
      <c r="A2372" t="s">
        <v>893</v>
      </c>
    </row>
    <row r="2373" spans="1:1" hidden="1" x14ac:dyDescent="0.25">
      <c r="A2373" t="s">
        <v>2128</v>
      </c>
    </row>
    <row r="2374" spans="1:1" hidden="1" x14ac:dyDescent="0.25">
      <c r="A2374" t="s">
        <v>2647</v>
      </c>
    </row>
    <row r="2375" spans="1:1" hidden="1" x14ac:dyDescent="0.25">
      <c r="A2375" t="s">
        <v>553</v>
      </c>
    </row>
    <row r="2376" spans="1:1" hidden="1" x14ac:dyDescent="0.25">
      <c r="A2376" t="s">
        <v>392</v>
      </c>
    </row>
    <row r="2377" spans="1:1" hidden="1" x14ac:dyDescent="0.25">
      <c r="A2377" t="s">
        <v>562</v>
      </c>
    </row>
    <row r="2378" spans="1:1" hidden="1" x14ac:dyDescent="0.25">
      <c r="A2378" t="s">
        <v>893</v>
      </c>
    </row>
    <row r="2379" spans="1:1" hidden="1" x14ac:dyDescent="0.25">
      <c r="A2379" t="s">
        <v>1443</v>
      </c>
    </row>
    <row r="2380" spans="1:1" hidden="1" x14ac:dyDescent="0.25">
      <c r="A2380" t="s">
        <v>648</v>
      </c>
    </row>
    <row r="2381" spans="1:1" hidden="1" x14ac:dyDescent="0.25">
      <c r="A2381" t="s">
        <v>274</v>
      </c>
    </row>
    <row r="2382" spans="1:1" hidden="1" x14ac:dyDescent="0.25">
      <c r="A2382" t="s">
        <v>392</v>
      </c>
    </row>
    <row r="2383" spans="1:1" hidden="1" x14ac:dyDescent="0.25">
      <c r="A2383" t="s">
        <v>648</v>
      </c>
    </row>
    <row r="2384" spans="1:1" hidden="1" x14ac:dyDescent="0.25">
      <c r="A2384" t="s">
        <v>951</v>
      </c>
    </row>
    <row r="2385" spans="1:1" hidden="1" x14ac:dyDescent="0.25">
      <c r="A2385" t="s">
        <v>2309</v>
      </c>
    </row>
    <row r="2386" spans="1:1" hidden="1" x14ac:dyDescent="0.25">
      <c r="A2386" t="s">
        <v>580</v>
      </c>
    </row>
    <row r="2387" spans="1:1" hidden="1" x14ac:dyDescent="0.25">
      <c r="A2387" t="s">
        <v>622</v>
      </c>
    </row>
    <row r="2388" spans="1:1" hidden="1" x14ac:dyDescent="0.25">
      <c r="A2388" t="s">
        <v>380</v>
      </c>
    </row>
    <row r="2389" spans="1:1" hidden="1" x14ac:dyDescent="0.25">
      <c r="A2389" t="s">
        <v>392</v>
      </c>
    </row>
    <row r="2390" spans="1:1" hidden="1" x14ac:dyDescent="0.25">
      <c r="A2390" t="s">
        <v>1443</v>
      </c>
    </row>
    <row r="2391" spans="1:1" hidden="1" x14ac:dyDescent="0.25">
      <c r="A2391" t="s">
        <v>667</v>
      </c>
    </row>
    <row r="2392" spans="1:1" hidden="1" x14ac:dyDescent="0.25">
      <c r="A2392" t="s">
        <v>263</v>
      </c>
    </row>
    <row r="2393" spans="1:1" hidden="1" x14ac:dyDescent="0.25">
      <c r="A2393" t="s">
        <v>2085</v>
      </c>
    </row>
    <row r="2394" spans="1:1" hidden="1" x14ac:dyDescent="0.25">
      <c r="A2394" t="s">
        <v>648</v>
      </c>
    </row>
    <row r="2395" spans="1:1" hidden="1" x14ac:dyDescent="0.25">
      <c r="A2395" t="s">
        <v>532</v>
      </c>
    </row>
    <row r="2396" spans="1:1" hidden="1" x14ac:dyDescent="0.25">
      <c r="A2396" t="s">
        <v>263</v>
      </c>
    </row>
    <row r="2397" spans="1:1" hidden="1" x14ac:dyDescent="0.25">
      <c r="A2397" t="s">
        <v>2309</v>
      </c>
    </row>
    <row r="2398" spans="1:1" hidden="1" x14ac:dyDescent="0.25">
      <c r="A2398" t="s">
        <v>406</v>
      </c>
    </row>
    <row r="2399" spans="1:1" hidden="1" x14ac:dyDescent="0.25">
      <c r="A2399" t="s">
        <v>263</v>
      </c>
    </row>
    <row r="2400" spans="1:1" hidden="1" x14ac:dyDescent="0.25">
      <c r="A2400" t="s">
        <v>648</v>
      </c>
    </row>
    <row r="2401" spans="1:1" hidden="1" x14ac:dyDescent="0.25">
      <c r="A2401" t="s">
        <v>1126</v>
      </c>
    </row>
    <row r="2402" spans="1:1" hidden="1" x14ac:dyDescent="0.25">
      <c r="A2402" t="s">
        <v>150</v>
      </c>
    </row>
    <row r="2403" spans="1:1" hidden="1" x14ac:dyDescent="0.25">
      <c r="A2403" t="s">
        <v>416</v>
      </c>
    </row>
    <row r="2404" spans="1:1" hidden="1" x14ac:dyDescent="0.25">
      <c r="A2404" t="s">
        <v>1443</v>
      </c>
    </row>
    <row r="2405" spans="1:1" hidden="1" x14ac:dyDescent="0.25">
      <c r="A2405" t="s">
        <v>2309</v>
      </c>
    </row>
    <row r="2406" spans="1:1" hidden="1" x14ac:dyDescent="0.25">
      <c r="A2406" t="s">
        <v>169</v>
      </c>
    </row>
    <row r="2407" spans="1:1" hidden="1" x14ac:dyDescent="0.25">
      <c r="A2407" t="s">
        <v>169</v>
      </c>
    </row>
    <row r="2408" spans="1:1" hidden="1" x14ac:dyDescent="0.25">
      <c r="A2408" t="s">
        <v>648</v>
      </c>
    </row>
    <row r="2409" spans="1:1" hidden="1" x14ac:dyDescent="0.25">
      <c r="A2409" t="s">
        <v>406</v>
      </c>
    </row>
    <row r="2410" spans="1:1" hidden="1" x14ac:dyDescent="0.25">
      <c r="A2410" t="s">
        <v>1443</v>
      </c>
    </row>
    <row r="2411" spans="1:1" hidden="1" x14ac:dyDescent="0.25">
      <c r="A2411" t="s">
        <v>3873</v>
      </c>
    </row>
    <row r="2412" spans="1:1" hidden="1" x14ac:dyDescent="0.25">
      <c r="A2412" t="s">
        <v>1372</v>
      </c>
    </row>
    <row r="2413" spans="1:1" hidden="1" x14ac:dyDescent="0.25">
      <c r="A2413" t="s">
        <v>648</v>
      </c>
    </row>
    <row r="2414" spans="1:1" hidden="1" x14ac:dyDescent="0.25">
      <c r="A2414" t="s">
        <v>2647</v>
      </c>
    </row>
    <row r="2415" spans="1:1" hidden="1" x14ac:dyDescent="0.25">
      <c r="A2415" t="s">
        <v>1443</v>
      </c>
    </row>
    <row r="2416" spans="1:1" hidden="1" x14ac:dyDescent="0.25">
      <c r="A2416" t="s">
        <v>553</v>
      </c>
    </row>
    <row r="2417" spans="1:1" hidden="1" x14ac:dyDescent="0.25">
      <c r="A2417" t="s">
        <v>622</v>
      </c>
    </row>
    <row r="2418" spans="1:1" hidden="1" x14ac:dyDescent="0.25">
      <c r="A2418" t="s">
        <v>680</v>
      </c>
    </row>
    <row r="2419" spans="1:1" hidden="1" x14ac:dyDescent="0.25">
      <c r="A2419" t="s">
        <v>680</v>
      </c>
    </row>
    <row r="2420" spans="1:1" hidden="1" x14ac:dyDescent="0.25">
      <c r="A2420" t="s">
        <v>553</v>
      </c>
    </row>
    <row r="2421" spans="1:1" hidden="1" x14ac:dyDescent="0.25">
      <c r="A2421" t="s">
        <v>244</v>
      </c>
    </row>
    <row r="2422" spans="1:1" hidden="1" x14ac:dyDescent="0.25">
      <c r="A2422" t="s">
        <v>1936</v>
      </c>
    </row>
    <row r="2423" spans="1:1" hidden="1" x14ac:dyDescent="0.25">
      <c r="A2423" t="s">
        <v>580</v>
      </c>
    </row>
    <row r="2424" spans="1:1" hidden="1" x14ac:dyDescent="0.25">
      <c r="A2424" t="s">
        <v>648</v>
      </c>
    </row>
    <row r="2425" spans="1:1" hidden="1" x14ac:dyDescent="0.25">
      <c r="A2425" t="s">
        <v>449</v>
      </c>
    </row>
    <row r="2426" spans="1:1" hidden="1" x14ac:dyDescent="0.25">
      <c r="A2426" t="s">
        <v>580</v>
      </c>
    </row>
    <row r="2427" spans="1:1" hidden="1" x14ac:dyDescent="0.25">
      <c r="A2427" t="s">
        <v>392</v>
      </c>
    </row>
    <row r="2428" spans="1:1" hidden="1" x14ac:dyDescent="0.25">
      <c r="A2428" t="s">
        <v>893</v>
      </c>
    </row>
    <row r="2429" spans="1:1" hidden="1" x14ac:dyDescent="0.25">
      <c r="A2429" t="s">
        <v>580</v>
      </c>
    </row>
    <row r="2430" spans="1:1" hidden="1" x14ac:dyDescent="0.25">
      <c r="A2430" t="s">
        <v>416</v>
      </c>
    </row>
    <row r="2431" spans="1:1" hidden="1" x14ac:dyDescent="0.25">
      <c r="A2431" t="s">
        <v>680</v>
      </c>
    </row>
    <row r="2432" spans="1:1" hidden="1" x14ac:dyDescent="0.25">
      <c r="A2432" t="s">
        <v>1126</v>
      </c>
    </row>
    <row r="2433" spans="1:1" hidden="1" x14ac:dyDescent="0.25">
      <c r="A2433" t="s">
        <v>553</v>
      </c>
    </row>
    <row r="2434" spans="1:1" hidden="1" x14ac:dyDescent="0.25">
      <c r="A2434" t="s">
        <v>648</v>
      </c>
    </row>
    <row r="2435" spans="1:1" hidden="1" x14ac:dyDescent="0.25">
      <c r="A2435" t="s">
        <v>648</v>
      </c>
    </row>
    <row r="2436" spans="1:1" hidden="1" x14ac:dyDescent="0.25">
      <c r="A2436" t="s">
        <v>553</v>
      </c>
    </row>
    <row r="2437" spans="1:1" hidden="1" x14ac:dyDescent="0.25">
      <c r="A2437" t="s">
        <v>1229</v>
      </c>
    </row>
    <row r="2438" spans="1:1" hidden="1" x14ac:dyDescent="0.25">
      <c r="A2438" t="s">
        <v>2647</v>
      </c>
    </row>
    <row r="2439" spans="1:1" hidden="1" x14ac:dyDescent="0.25">
      <c r="A2439" t="s">
        <v>274</v>
      </c>
    </row>
    <row r="2440" spans="1:1" hidden="1" x14ac:dyDescent="0.25">
      <c r="A2440" t="s">
        <v>580</v>
      </c>
    </row>
    <row r="2441" spans="1:1" hidden="1" x14ac:dyDescent="0.25">
      <c r="A2441" t="s">
        <v>1229</v>
      </c>
    </row>
    <row r="2442" spans="1:1" hidden="1" x14ac:dyDescent="0.25">
      <c r="A2442" t="s">
        <v>186</v>
      </c>
    </row>
    <row r="2443" spans="1:1" hidden="1" x14ac:dyDescent="0.25">
      <c r="A2443" t="s">
        <v>392</v>
      </c>
    </row>
    <row r="2444" spans="1:1" hidden="1" x14ac:dyDescent="0.25">
      <c r="A2444" t="s">
        <v>274</v>
      </c>
    </row>
    <row r="2445" spans="1:1" hidden="1" x14ac:dyDescent="0.25">
      <c r="A2445" t="s">
        <v>532</v>
      </c>
    </row>
    <row r="2446" spans="1:1" hidden="1" x14ac:dyDescent="0.25">
      <c r="A2446" t="s">
        <v>253</v>
      </c>
    </row>
    <row r="2447" spans="1:1" hidden="1" x14ac:dyDescent="0.25">
      <c r="A2447" t="s">
        <v>667</v>
      </c>
    </row>
    <row r="2448" spans="1:1" hidden="1" x14ac:dyDescent="0.25">
      <c r="A2448" t="s">
        <v>274</v>
      </c>
    </row>
    <row r="2449" spans="1:1" hidden="1" x14ac:dyDescent="0.25">
      <c r="A2449" t="s">
        <v>648</v>
      </c>
    </row>
    <row r="2450" spans="1:1" hidden="1" x14ac:dyDescent="0.25">
      <c r="A2450" t="s">
        <v>893</v>
      </c>
    </row>
    <row r="2451" spans="1:1" hidden="1" x14ac:dyDescent="0.25">
      <c r="A2451" t="s">
        <v>380</v>
      </c>
    </row>
    <row r="2452" spans="1:1" hidden="1" x14ac:dyDescent="0.25">
      <c r="A2452" t="s">
        <v>667</v>
      </c>
    </row>
    <row r="2453" spans="1:1" hidden="1" x14ac:dyDescent="0.25">
      <c r="A2453" t="s">
        <v>648</v>
      </c>
    </row>
    <row r="2454" spans="1:1" hidden="1" x14ac:dyDescent="0.25">
      <c r="A2454" t="s">
        <v>186</v>
      </c>
    </row>
    <row r="2455" spans="1:1" hidden="1" x14ac:dyDescent="0.25">
      <c r="A2455" t="s">
        <v>274</v>
      </c>
    </row>
    <row r="2456" spans="1:1" hidden="1" x14ac:dyDescent="0.25">
      <c r="A2456" t="s">
        <v>1874</v>
      </c>
    </row>
    <row r="2457" spans="1:1" hidden="1" x14ac:dyDescent="0.25">
      <c r="A2457" t="s">
        <v>2647</v>
      </c>
    </row>
    <row r="2458" spans="1:1" hidden="1" x14ac:dyDescent="0.25">
      <c r="A2458" t="s">
        <v>553</v>
      </c>
    </row>
    <row r="2459" spans="1:1" hidden="1" x14ac:dyDescent="0.25">
      <c r="A2459" t="s">
        <v>380</v>
      </c>
    </row>
    <row r="2460" spans="1:1" hidden="1" x14ac:dyDescent="0.25">
      <c r="A2460" t="s">
        <v>2647</v>
      </c>
    </row>
    <row r="2461" spans="1:1" hidden="1" x14ac:dyDescent="0.25">
      <c r="A2461" t="s">
        <v>532</v>
      </c>
    </row>
    <row r="2462" spans="1:1" hidden="1" x14ac:dyDescent="0.25">
      <c r="A2462" t="s">
        <v>648</v>
      </c>
    </row>
    <row r="2463" spans="1:1" hidden="1" x14ac:dyDescent="0.25">
      <c r="A2463" t="s">
        <v>1443</v>
      </c>
    </row>
    <row r="2464" spans="1:1" hidden="1" x14ac:dyDescent="0.25">
      <c r="A2464" t="s">
        <v>244</v>
      </c>
    </row>
    <row r="2465" spans="1:1" hidden="1" x14ac:dyDescent="0.25">
      <c r="A2465" t="s">
        <v>893</v>
      </c>
    </row>
    <row r="2466" spans="1:1" hidden="1" x14ac:dyDescent="0.25">
      <c r="A2466" t="s">
        <v>553</v>
      </c>
    </row>
    <row r="2467" spans="1:1" hidden="1" x14ac:dyDescent="0.25">
      <c r="A2467" t="s">
        <v>648</v>
      </c>
    </row>
    <row r="2468" spans="1:1" hidden="1" x14ac:dyDescent="0.25">
      <c r="A2468" t="s">
        <v>1155</v>
      </c>
    </row>
    <row r="2469" spans="1:1" hidden="1" x14ac:dyDescent="0.25">
      <c r="A2469" t="s">
        <v>482</v>
      </c>
    </row>
    <row r="2470" spans="1:1" hidden="1" x14ac:dyDescent="0.25">
      <c r="A2470" t="s">
        <v>2128</v>
      </c>
    </row>
    <row r="2471" spans="1:1" hidden="1" x14ac:dyDescent="0.25">
      <c r="A2471" t="s">
        <v>244</v>
      </c>
    </row>
    <row r="2472" spans="1:1" hidden="1" x14ac:dyDescent="0.25">
      <c r="A2472" t="s">
        <v>893</v>
      </c>
    </row>
    <row r="2473" spans="1:1" hidden="1" x14ac:dyDescent="0.25">
      <c r="A2473" t="s">
        <v>553</v>
      </c>
    </row>
    <row r="2474" spans="1:1" hidden="1" x14ac:dyDescent="0.25">
      <c r="A2474" t="s">
        <v>667</v>
      </c>
    </row>
    <row r="2475" spans="1:1" hidden="1" x14ac:dyDescent="0.25">
      <c r="A2475" t="s">
        <v>380</v>
      </c>
    </row>
    <row r="2476" spans="1:1" hidden="1" x14ac:dyDescent="0.25">
      <c r="A2476" t="s">
        <v>1372</v>
      </c>
    </row>
    <row r="2477" spans="1:1" hidden="1" x14ac:dyDescent="0.25">
      <c r="A2477" t="s">
        <v>893</v>
      </c>
    </row>
    <row r="2478" spans="1:1" hidden="1" x14ac:dyDescent="0.25">
      <c r="A2478" t="s">
        <v>532</v>
      </c>
    </row>
    <row r="2479" spans="1:1" hidden="1" x14ac:dyDescent="0.25">
      <c r="A2479" t="s">
        <v>580</v>
      </c>
    </row>
    <row r="2480" spans="1:1" hidden="1" x14ac:dyDescent="0.25">
      <c r="A2480" t="s">
        <v>406</v>
      </c>
    </row>
    <row r="2481" spans="1:1" hidden="1" x14ac:dyDescent="0.25">
      <c r="A2481" t="s">
        <v>667</v>
      </c>
    </row>
    <row r="2482" spans="1:1" hidden="1" x14ac:dyDescent="0.25">
      <c r="A2482" t="s">
        <v>648</v>
      </c>
    </row>
    <row r="2483" spans="1:1" hidden="1" x14ac:dyDescent="0.25">
      <c r="A2483" t="s">
        <v>1155</v>
      </c>
    </row>
    <row r="2484" spans="1:1" hidden="1" x14ac:dyDescent="0.25">
      <c r="A2484" t="s">
        <v>1058</v>
      </c>
    </row>
    <row r="2485" spans="1:1" hidden="1" x14ac:dyDescent="0.25">
      <c r="A2485" t="s">
        <v>416</v>
      </c>
    </row>
    <row r="2486" spans="1:1" hidden="1" x14ac:dyDescent="0.25">
      <c r="A2486" t="s">
        <v>392</v>
      </c>
    </row>
    <row r="2487" spans="1:1" hidden="1" x14ac:dyDescent="0.25">
      <c r="A2487" t="s">
        <v>893</v>
      </c>
    </row>
    <row r="2488" spans="1:1" hidden="1" x14ac:dyDescent="0.25">
      <c r="A2488" t="s">
        <v>169</v>
      </c>
    </row>
    <row r="2489" spans="1:1" hidden="1" x14ac:dyDescent="0.25">
      <c r="A2489" t="s">
        <v>807</v>
      </c>
    </row>
    <row r="2490" spans="1:1" hidden="1" x14ac:dyDescent="0.25">
      <c r="A2490" t="s">
        <v>2647</v>
      </c>
    </row>
    <row r="2491" spans="1:1" hidden="1" x14ac:dyDescent="0.25">
      <c r="A2491" t="s">
        <v>61</v>
      </c>
    </row>
    <row r="2492" spans="1:1" hidden="1" x14ac:dyDescent="0.25">
      <c r="A2492" t="s">
        <v>622</v>
      </c>
    </row>
    <row r="2493" spans="1:1" hidden="1" x14ac:dyDescent="0.25">
      <c r="A2493" t="s">
        <v>1443</v>
      </c>
    </row>
    <row r="2494" spans="1:1" hidden="1" x14ac:dyDescent="0.25">
      <c r="A2494" t="s">
        <v>1348</v>
      </c>
    </row>
    <row r="2495" spans="1:1" hidden="1" x14ac:dyDescent="0.25">
      <c r="A2495" t="s">
        <v>648</v>
      </c>
    </row>
    <row r="2496" spans="1:1" hidden="1" x14ac:dyDescent="0.25">
      <c r="A2496" t="s">
        <v>244</v>
      </c>
    </row>
    <row r="2497" spans="1:1" hidden="1" x14ac:dyDescent="0.25">
      <c r="A2497" t="s">
        <v>648</v>
      </c>
    </row>
    <row r="2498" spans="1:1" hidden="1" x14ac:dyDescent="0.25">
      <c r="A2498" t="s">
        <v>622</v>
      </c>
    </row>
    <row r="2499" spans="1:1" hidden="1" x14ac:dyDescent="0.25">
      <c r="A2499" t="s">
        <v>169</v>
      </c>
    </row>
    <row r="2500" spans="1:1" hidden="1" x14ac:dyDescent="0.25">
      <c r="A2500" t="s">
        <v>2984</v>
      </c>
    </row>
    <row r="2501" spans="1:1" hidden="1" x14ac:dyDescent="0.25">
      <c r="A2501" t="s">
        <v>648</v>
      </c>
    </row>
    <row r="2502" spans="1:1" hidden="1" x14ac:dyDescent="0.25">
      <c r="A2502" t="s">
        <v>440</v>
      </c>
    </row>
    <row r="2503" spans="1:1" hidden="1" x14ac:dyDescent="0.25">
      <c r="A2503" t="s">
        <v>667</v>
      </c>
    </row>
    <row r="2504" spans="1:1" hidden="1" x14ac:dyDescent="0.25">
      <c r="A2504" t="s">
        <v>3277</v>
      </c>
    </row>
    <row r="2505" spans="1:1" hidden="1" x14ac:dyDescent="0.25">
      <c r="A2505" t="s">
        <v>680</v>
      </c>
    </row>
    <row r="2506" spans="1:1" hidden="1" x14ac:dyDescent="0.25">
      <c r="A2506" t="s">
        <v>667</v>
      </c>
    </row>
    <row r="2507" spans="1:1" hidden="1" x14ac:dyDescent="0.25">
      <c r="A2507" t="s">
        <v>380</v>
      </c>
    </row>
    <row r="2508" spans="1:1" hidden="1" x14ac:dyDescent="0.25">
      <c r="A2508" t="s">
        <v>1372</v>
      </c>
    </row>
    <row r="2509" spans="1:1" hidden="1" x14ac:dyDescent="0.25">
      <c r="A2509" t="s">
        <v>244</v>
      </c>
    </row>
    <row r="2510" spans="1:1" hidden="1" x14ac:dyDescent="0.25">
      <c r="A2510" t="s">
        <v>244</v>
      </c>
    </row>
    <row r="2511" spans="1:1" hidden="1" x14ac:dyDescent="0.25">
      <c r="A2511" t="s">
        <v>380</v>
      </c>
    </row>
    <row r="2512" spans="1:1" hidden="1" x14ac:dyDescent="0.25">
      <c r="A2512" t="s">
        <v>61</v>
      </c>
    </row>
    <row r="2513" spans="1:1" hidden="1" x14ac:dyDescent="0.25">
      <c r="A2513" t="s">
        <v>1372</v>
      </c>
    </row>
    <row r="2514" spans="1:1" hidden="1" x14ac:dyDescent="0.25">
      <c r="A2514" t="s">
        <v>2085</v>
      </c>
    </row>
    <row r="2515" spans="1:1" hidden="1" x14ac:dyDescent="0.25">
      <c r="A2515" t="s">
        <v>680</v>
      </c>
    </row>
    <row r="2516" spans="1:1" hidden="1" x14ac:dyDescent="0.25">
      <c r="A2516" t="s">
        <v>648</v>
      </c>
    </row>
    <row r="2517" spans="1:1" hidden="1" x14ac:dyDescent="0.25">
      <c r="A2517" t="s">
        <v>1221</v>
      </c>
    </row>
    <row r="2518" spans="1:1" hidden="1" x14ac:dyDescent="0.25">
      <c r="A2518" t="s">
        <v>392</v>
      </c>
    </row>
    <row r="2519" spans="1:1" hidden="1" x14ac:dyDescent="0.25">
      <c r="A2519" t="s">
        <v>2647</v>
      </c>
    </row>
    <row r="2520" spans="1:1" hidden="1" x14ac:dyDescent="0.25">
      <c r="A2520" t="s">
        <v>449</v>
      </c>
    </row>
    <row r="2521" spans="1:1" hidden="1" x14ac:dyDescent="0.25">
      <c r="A2521" t="s">
        <v>648</v>
      </c>
    </row>
    <row r="2522" spans="1:1" hidden="1" x14ac:dyDescent="0.25">
      <c r="A2522" t="s">
        <v>169</v>
      </c>
    </row>
    <row r="2523" spans="1:1" hidden="1" x14ac:dyDescent="0.25">
      <c r="A2523" t="s">
        <v>380</v>
      </c>
    </row>
    <row r="2524" spans="1:1" hidden="1" x14ac:dyDescent="0.25">
      <c r="A2524" t="s">
        <v>893</v>
      </c>
    </row>
    <row r="2525" spans="1:1" hidden="1" x14ac:dyDescent="0.25">
      <c r="A2525" t="s">
        <v>532</v>
      </c>
    </row>
    <row r="2526" spans="1:1" hidden="1" x14ac:dyDescent="0.25">
      <c r="A2526" t="s">
        <v>215</v>
      </c>
    </row>
    <row r="2527" spans="1:1" hidden="1" x14ac:dyDescent="0.25">
      <c r="A2527" t="s">
        <v>392</v>
      </c>
    </row>
    <row r="2528" spans="1:1" hidden="1" x14ac:dyDescent="0.25">
      <c r="A2528" t="s">
        <v>406</v>
      </c>
    </row>
    <row r="2529" spans="1:1" hidden="1" x14ac:dyDescent="0.25">
      <c r="A2529" t="s">
        <v>244</v>
      </c>
    </row>
    <row r="2530" spans="1:1" hidden="1" x14ac:dyDescent="0.25">
      <c r="A2530" t="s">
        <v>2647</v>
      </c>
    </row>
    <row r="2531" spans="1:1" hidden="1" x14ac:dyDescent="0.25">
      <c r="A2531" t="s">
        <v>667</v>
      </c>
    </row>
    <row r="2532" spans="1:1" hidden="1" x14ac:dyDescent="0.25">
      <c r="A2532" t="s">
        <v>1229</v>
      </c>
    </row>
    <row r="2533" spans="1:1" hidden="1" x14ac:dyDescent="0.25">
      <c r="A2533" t="s">
        <v>244</v>
      </c>
    </row>
    <row r="2534" spans="1:1" hidden="1" x14ac:dyDescent="0.25">
      <c r="A2534" t="s">
        <v>532</v>
      </c>
    </row>
    <row r="2535" spans="1:1" hidden="1" x14ac:dyDescent="0.25">
      <c r="A2535" t="s">
        <v>169</v>
      </c>
    </row>
    <row r="2536" spans="1:1" hidden="1" x14ac:dyDescent="0.25">
      <c r="A2536" t="s">
        <v>1798</v>
      </c>
    </row>
    <row r="2537" spans="1:1" hidden="1" x14ac:dyDescent="0.25">
      <c r="A2537" t="s">
        <v>1443</v>
      </c>
    </row>
    <row r="2538" spans="1:1" hidden="1" x14ac:dyDescent="0.25">
      <c r="A2538" t="s">
        <v>392</v>
      </c>
    </row>
    <row r="2539" spans="1:1" hidden="1" x14ac:dyDescent="0.25">
      <c r="A2539" t="s">
        <v>532</v>
      </c>
    </row>
    <row r="2540" spans="1:1" hidden="1" x14ac:dyDescent="0.25">
      <c r="A2540" t="s">
        <v>1443</v>
      </c>
    </row>
    <row r="2541" spans="1:1" hidden="1" x14ac:dyDescent="0.25">
      <c r="A2541" t="s">
        <v>532</v>
      </c>
    </row>
    <row r="2542" spans="1:1" hidden="1" x14ac:dyDescent="0.25">
      <c r="A2542" t="s">
        <v>562</v>
      </c>
    </row>
    <row r="2543" spans="1:1" hidden="1" x14ac:dyDescent="0.25">
      <c r="A2543" t="s">
        <v>680</v>
      </c>
    </row>
    <row r="2544" spans="1:1" hidden="1" x14ac:dyDescent="0.25">
      <c r="A2544" t="s">
        <v>667</v>
      </c>
    </row>
    <row r="2545" spans="1:1" hidden="1" x14ac:dyDescent="0.25">
      <c r="A2545" t="s">
        <v>3873</v>
      </c>
    </row>
    <row r="2546" spans="1:1" hidden="1" x14ac:dyDescent="0.25">
      <c r="A2546" t="s">
        <v>2001</v>
      </c>
    </row>
    <row r="2547" spans="1:1" hidden="1" x14ac:dyDescent="0.25">
      <c r="A2547" t="s">
        <v>3873</v>
      </c>
    </row>
    <row r="2548" spans="1:1" hidden="1" x14ac:dyDescent="0.25">
      <c r="A2548" t="s">
        <v>648</v>
      </c>
    </row>
    <row r="2549" spans="1:1" hidden="1" x14ac:dyDescent="0.25">
      <c r="A2549" t="s">
        <v>406</v>
      </c>
    </row>
    <row r="2550" spans="1:1" hidden="1" x14ac:dyDescent="0.25">
      <c r="A2550" t="s">
        <v>186</v>
      </c>
    </row>
    <row r="2551" spans="1:1" hidden="1" x14ac:dyDescent="0.25">
      <c r="A2551" t="s">
        <v>667</v>
      </c>
    </row>
    <row r="2552" spans="1:1" hidden="1" x14ac:dyDescent="0.25">
      <c r="A2552" t="s">
        <v>380</v>
      </c>
    </row>
    <row r="2553" spans="1:1" hidden="1" x14ac:dyDescent="0.25">
      <c r="A2553" t="s">
        <v>553</v>
      </c>
    </row>
    <row r="2554" spans="1:1" hidden="1" x14ac:dyDescent="0.25">
      <c r="A2554" t="s">
        <v>1155</v>
      </c>
    </row>
    <row r="2555" spans="1:1" hidden="1" x14ac:dyDescent="0.25">
      <c r="A2555" t="s">
        <v>680</v>
      </c>
    </row>
    <row r="2556" spans="1:1" hidden="1" x14ac:dyDescent="0.25">
      <c r="A2556" t="s">
        <v>392</v>
      </c>
    </row>
    <row r="2557" spans="1:1" hidden="1" x14ac:dyDescent="0.25">
      <c r="A2557" t="s">
        <v>1552</v>
      </c>
    </row>
    <row r="2558" spans="1:1" hidden="1" x14ac:dyDescent="0.25">
      <c r="A2558" t="s">
        <v>622</v>
      </c>
    </row>
    <row r="2559" spans="1:1" hidden="1" x14ac:dyDescent="0.25">
      <c r="A2559" t="s">
        <v>1058</v>
      </c>
    </row>
    <row r="2560" spans="1:1" hidden="1" x14ac:dyDescent="0.25">
      <c r="A2560" t="s">
        <v>580</v>
      </c>
    </row>
    <row r="2561" spans="1:1" hidden="1" x14ac:dyDescent="0.25">
      <c r="A2561" t="s">
        <v>859</v>
      </c>
    </row>
    <row r="2562" spans="1:1" hidden="1" x14ac:dyDescent="0.25">
      <c r="A2562" t="s">
        <v>1552</v>
      </c>
    </row>
    <row r="2563" spans="1:1" hidden="1" x14ac:dyDescent="0.25">
      <c r="A2563" t="s">
        <v>406</v>
      </c>
    </row>
    <row r="2564" spans="1:1" hidden="1" x14ac:dyDescent="0.25">
      <c r="A2564" t="s">
        <v>2647</v>
      </c>
    </row>
    <row r="2565" spans="1:1" hidden="1" x14ac:dyDescent="0.25">
      <c r="A2565" t="s">
        <v>667</v>
      </c>
    </row>
    <row r="2566" spans="1:1" hidden="1" x14ac:dyDescent="0.25">
      <c r="A2566" t="s">
        <v>1469</v>
      </c>
    </row>
    <row r="2567" spans="1:1" hidden="1" x14ac:dyDescent="0.25">
      <c r="A2567" t="s">
        <v>893</v>
      </c>
    </row>
    <row r="2568" spans="1:1" hidden="1" x14ac:dyDescent="0.25">
      <c r="A2568" t="s">
        <v>123</v>
      </c>
    </row>
    <row r="2569" spans="1:1" hidden="1" x14ac:dyDescent="0.25">
      <c r="A2569" t="s">
        <v>61</v>
      </c>
    </row>
    <row r="2570" spans="1:1" hidden="1" x14ac:dyDescent="0.25">
      <c r="A2570" t="s">
        <v>680</v>
      </c>
    </row>
    <row r="2571" spans="1:1" hidden="1" x14ac:dyDescent="0.25">
      <c r="A2571" t="s">
        <v>893</v>
      </c>
    </row>
    <row r="2572" spans="1:1" hidden="1" x14ac:dyDescent="0.25">
      <c r="A2572" t="s">
        <v>380</v>
      </c>
    </row>
    <row r="2573" spans="1:1" hidden="1" x14ac:dyDescent="0.25">
      <c r="A2573" t="s">
        <v>648</v>
      </c>
    </row>
    <row r="2574" spans="1:1" hidden="1" x14ac:dyDescent="0.25">
      <c r="A2574" t="s">
        <v>648</v>
      </c>
    </row>
    <row r="2575" spans="1:1" hidden="1" x14ac:dyDescent="0.25">
      <c r="A2575" t="s">
        <v>215</v>
      </c>
    </row>
    <row r="2576" spans="1:1" hidden="1" x14ac:dyDescent="0.25">
      <c r="A2576" t="s">
        <v>893</v>
      </c>
    </row>
    <row r="2577" spans="1:1" hidden="1" x14ac:dyDescent="0.25">
      <c r="A2577" t="s">
        <v>2060</v>
      </c>
    </row>
    <row r="2578" spans="1:1" hidden="1" x14ac:dyDescent="0.25">
      <c r="A2578" t="s">
        <v>893</v>
      </c>
    </row>
    <row r="2579" spans="1:1" hidden="1" x14ac:dyDescent="0.25">
      <c r="A2579" t="s">
        <v>680</v>
      </c>
    </row>
    <row r="2580" spans="1:1" hidden="1" x14ac:dyDescent="0.25">
      <c r="A2580" t="s">
        <v>449</v>
      </c>
    </row>
    <row r="2581" spans="1:1" hidden="1" x14ac:dyDescent="0.25">
      <c r="A2581" t="s">
        <v>680</v>
      </c>
    </row>
    <row r="2582" spans="1:1" hidden="1" x14ac:dyDescent="0.25">
      <c r="A2582" t="s">
        <v>648</v>
      </c>
    </row>
    <row r="2583" spans="1:1" hidden="1" x14ac:dyDescent="0.25">
      <c r="A2583" t="s">
        <v>1126</v>
      </c>
    </row>
    <row r="2584" spans="1:1" hidden="1" x14ac:dyDescent="0.25">
      <c r="A2584" t="s">
        <v>169</v>
      </c>
    </row>
    <row r="2585" spans="1:1" hidden="1" x14ac:dyDescent="0.25">
      <c r="A2585" t="s">
        <v>1874</v>
      </c>
    </row>
    <row r="2586" spans="1:1" hidden="1" x14ac:dyDescent="0.25">
      <c r="A2586" t="s">
        <v>859</v>
      </c>
    </row>
    <row r="2587" spans="1:1" hidden="1" x14ac:dyDescent="0.25">
      <c r="A2587" t="s">
        <v>667</v>
      </c>
    </row>
    <row r="2588" spans="1:1" hidden="1" x14ac:dyDescent="0.25">
      <c r="A2588" t="s">
        <v>648</v>
      </c>
    </row>
    <row r="2589" spans="1:1" hidden="1" x14ac:dyDescent="0.25">
      <c r="A2589" t="s">
        <v>392</v>
      </c>
    </row>
    <row r="2590" spans="1:1" hidden="1" x14ac:dyDescent="0.25">
      <c r="A2590" t="s">
        <v>244</v>
      </c>
    </row>
    <row r="2591" spans="1:1" hidden="1" x14ac:dyDescent="0.25">
      <c r="A2591" t="s">
        <v>406</v>
      </c>
    </row>
    <row r="2592" spans="1:1" hidden="1" x14ac:dyDescent="0.25">
      <c r="A2592" t="s">
        <v>5499</v>
      </c>
    </row>
    <row r="2593" spans="1:1" hidden="1" x14ac:dyDescent="0.25">
      <c r="A2593" t="s">
        <v>380</v>
      </c>
    </row>
    <row r="2594" spans="1:1" hidden="1" x14ac:dyDescent="0.25">
      <c r="A2594" t="s">
        <v>532</v>
      </c>
    </row>
    <row r="2595" spans="1:1" hidden="1" x14ac:dyDescent="0.25">
      <c r="A2595" t="s">
        <v>580</v>
      </c>
    </row>
    <row r="2596" spans="1:1" hidden="1" x14ac:dyDescent="0.25">
      <c r="A2596" t="s">
        <v>3873</v>
      </c>
    </row>
    <row r="2597" spans="1:1" hidden="1" x14ac:dyDescent="0.25">
      <c r="A2597" t="s">
        <v>648</v>
      </c>
    </row>
    <row r="2598" spans="1:1" hidden="1" x14ac:dyDescent="0.25">
      <c r="A2598" t="s">
        <v>648</v>
      </c>
    </row>
    <row r="2599" spans="1:1" hidden="1" x14ac:dyDescent="0.25">
      <c r="A2599" t="s">
        <v>2309</v>
      </c>
    </row>
    <row r="2600" spans="1:1" hidden="1" x14ac:dyDescent="0.25">
      <c r="A2600" t="s">
        <v>1443</v>
      </c>
    </row>
    <row r="2601" spans="1:1" hidden="1" x14ac:dyDescent="0.25">
      <c r="A2601" t="s">
        <v>622</v>
      </c>
    </row>
    <row r="2602" spans="1:1" hidden="1" x14ac:dyDescent="0.25">
      <c r="A2602" t="s">
        <v>169</v>
      </c>
    </row>
    <row r="2603" spans="1:1" hidden="1" x14ac:dyDescent="0.25">
      <c r="A2603" t="s">
        <v>580</v>
      </c>
    </row>
    <row r="2604" spans="1:1" hidden="1" x14ac:dyDescent="0.25">
      <c r="A2604" t="s">
        <v>1229</v>
      </c>
    </row>
    <row r="2605" spans="1:1" hidden="1" x14ac:dyDescent="0.25">
      <c r="A2605" t="s">
        <v>2647</v>
      </c>
    </row>
    <row r="2606" spans="1:1" hidden="1" x14ac:dyDescent="0.25">
      <c r="A2606" t="s">
        <v>667</v>
      </c>
    </row>
    <row r="2607" spans="1:1" hidden="1" x14ac:dyDescent="0.25">
      <c r="A2607" t="s">
        <v>3873</v>
      </c>
    </row>
    <row r="2608" spans="1:1" hidden="1" x14ac:dyDescent="0.25">
      <c r="A2608" t="s">
        <v>648</v>
      </c>
    </row>
    <row r="2609" spans="1:1" hidden="1" x14ac:dyDescent="0.25">
      <c r="A2609" t="s">
        <v>449</v>
      </c>
    </row>
    <row r="2610" spans="1:1" hidden="1" x14ac:dyDescent="0.25">
      <c r="A2610" t="s">
        <v>392</v>
      </c>
    </row>
    <row r="2611" spans="1:1" hidden="1" x14ac:dyDescent="0.25">
      <c r="A2611" t="s">
        <v>680</v>
      </c>
    </row>
    <row r="2612" spans="1:1" hidden="1" x14ac:dyDescent="0.25">
      <c r="A2612" t="s">
        <v>2647</v>
      </c>
    </row>
    <row r="2613" spans="1:1" hidden="1" x14ac:dyDescent="0.25">
      <c r="A2613" t="s">
        <v>263</v>
      </c>
    </row>
    <row r="2614" spans="1:1" hidden="1" x14ac:dyDescent="0.25">
      <c r="A2614" t="s">
        <v>205</v>
      </c>
    </row>
    <row r="2615" spans="1:1" hidden="1" x14ac:dyDescent="0.25">
      <c r="A2615" t="s">
        <v>1552</v>
      </c>
    </row>
    <row r="2616" spans="1:1" hidden="1" x14ac:dyDescent="0.25">
      <c r="A2616" t="s">
        <v>807</v>
      </c>
    </row>
    <row r="2617" spans="1:1" hidden="1" x14ac:dyDescent="0.25">
      <c r="A2617" t="s">
        <v>274</v>
      </c>
    </row>
    <row r="2618" spans="1:1" hidden="1" x14ac:dyDescent="0.25">
      <c r="A2618" t="s">
        <v>635</v>
      </c>
    </row>
    <row r="2619" spans="1:1" hidden="1" x14ac:dyDescent="0.25">
      <c r="A2619" t="s">
        <v>648</v>
      </c>
    </row>
    <row r="2620" spans="1:1" hidden="1" x14ac:dyDescent="0.25">
      <c r="A2620" t="s">
        <v>1443</v>
      </c>
    </row>
    <row r="2621" spans="1:1" hidden="1" x14ac:dyDescent="0.25">
      <c r="A2621" t="s">
        <v>622</v>
      </c>
    </row>
    <row r="2622" spans="1:1" hidden="1" x14ac:dyDescent="0.25">
      <c r="A2622" t="s">
        <v>406</v>
      </c>
    </row>
    <row r="2623" spans="1:1" hidden="1" x14ac:dyDescent="0.25">
      <c r="A2623" t="s">
        <v>1443</v>
      </c>
    </row>
    <row r="2624" spans="1:1" hidden="1" x14ac:dyDescent="0.25">
      <c r="A2624" t="s">
        <v>667</v>
      </c>
    </row>
    <row r="2625" spans="1:1" hidden="1" x14ac:dyDescent="0.25">
      <c r="A2625" t="s">
        <v>553</v>
      </c>
    </row>
    <row r="2626" spans="1:1" hidden="1" x14ac:dyDescent="0.25">
      <c r="A2626" t="s">
        <v>622</v>
      </c>
    </row>
    <row r="2627" spans="1:1" hidden="1" x14ac:dyDescent="0.25">
      <c r="A2627" t="s">
        <v>392</v>
      </c>
    </row>
    <row r="2628" spans="1:1" hidden="1" x14ac:dyDescent="0.25">
      <c r="A2628" t="s">
        <v>244</v>
      </c>
    </row>
    <row r="2629" spans="1:1" hidden="1" x14ac:dyDescent="0.25">
      <c r="A2629" t="s">
        <v>406</v>
      </c>
    </row>
    <row r="2630" spans="1:1" hidden="1" x14ac:dyDescent="0.25">
      <c r="A2630" t="s">
        <v>169</v>
      </c>
    </row>
    <row r="2631" spans="1:1" hidden="1" x14ac:dyDescent="0.25">
      <c r="A2631" t="s">
        <v>3277</v>
      </c>
    </row>
    <row r="2632" spans="1:1" hidden="1" x14ac:dyDescent="0.25">
      <c r="A2632" t="s">
        <v>380</v>
      </c>
    </row>
    <row r="2633" spans="1:1" hidden="1" x14ac:dyDescent="0.25">
      <c r="A2633" t="s">
        <v>3873</v>
      </c>
    </row>
    <row r="2634" spans="1:1" hidden="1" x14ac:dyDescent="0.25">
      <c r="A2634" t="s">
        <v>648</v>
      </c>
    </row>
    <row r="2635" spans="1:1" hidden="1" x14ac:dyDescent="0.25">
      <c r="A2635" t="s">
        <v>553</v>
      </c>
    </row>
    <row r="2636" spans="1:1" hidden="1" x14ac:dyDescent="0.25">
      <c r="A2636" t="s">
        <v>648</v>
      </c>
    </row>
    <row r="2637" spans="1:1" hidden="1" x14ac:dyDescent="0.25">
      <c r="A2637" t="s">
        <v>150</v>
      </c>
    </row>
    <row r="2638" spans="1:1" hidden="1" x14ac:dyDescent="0.25">
      <c r="A2638" t="s">
        <v>1372</v>
      </c>
    </row>
    <row r="2639" spans="1:1" hidden="1" x14ac:dyDescent="0.25">
      <c r="A2639" t="s">
        <v>951</v>
      </c>
    </row>
    <row r="2640" spans="1:1" hidden="1" x14ac:dyDescent="0.25">
      <c r="A2640" t="s">
        <v>1155</v>
      </c>
    </row>
    <row r="2641" spans="1:1" hidden="1" x14ac:dyDescent="0.25">
      <c r="A2641" t="s">
        <v>622</v>
      </c>
    </row>
    <row r="2642" spans="1:1" hidden="1" x14ac:dyDescent="0.25">
      <c r="A2642" t="s">
        <v>648</v>
      </c>
    </row>
    <row r="2643" spans="1:1" hidden="1" x14ac:dyDescent="0.25">
      <c r="A2643" t="s">
        <v>406</v>
      </c>
    </row>
    <row r="2644" spans="1:1" hidden="1" x14ac:dyDescent="0.25">
      <c r="A2644" t="s">
        <v>169</v>
      </c>
    </row>
    <row r="2645" spans="1:1" hidden="1" x14ac:dyDescent="0.25">
      <c r="A2645" t="s">
        <v>893</v>
      </c>
    </row>
    <row r="2646" spans="1:1" hidden="1" x14ac:dyDescent="0.25">
      <c r="A2646" t="s">
        <v>169</v>
      </c>
    </row>
    <row r="2647" spans="1:1" hidden="1" x14ac:dyDescent="0.25">
      <c r="A2647" t="s">
        <v>553</v>
      </c>
    </row>
    <row r="2648" spans="1:1" hidden="1" x14ac:dyDescent="0.25">
      <c r="A2648" t="s">
        <v>274</v>
      </c>
    </row>
    <row r="2649" spans="1:1" hidden="1" x14ac:dyDescent="0.25">
      <c r="A2649" t="s">
        <v>2085</v>
      </c>
    </row>
    <row r="2650" spans="1:1" hidden="1" x14ac:dyDescent="0.25">
      <c r="A2650" t="s">
        <v>680</v>
      </c>
    </row>
    <row r="2651" spans="1:1" hidden="1" x14ac:dyDescent="0.25">
      <c r="A2651" t="s">
        <v>807</v>
      </c>
    </row>
    <row r="2652" spans="1:1" hidden="1" x14ac:dyDescent="0.25">
      <c r="A2652" t="s">
        <v>553</v>
      </c>
    </row>
    <row r="2653" spans="1:1" hidden="1" x14ac:dyDescent="0.25">
      <c r="A2653" t="s">
        <v>680</v>
      </c>
    </row>
    <row r="2654" spans="1:1" hidden="1" x14ac:dyDescent="0.25">
      <c r="A2654" t="s">
        <v>622</v>
      </c>
    </row>
    <row r="2655" spans="1:1" hidden="1" x14ac:dyDescent="0.25">
      <c r="A2655" t="s">
        <v>562</v>
      </c>
    </row>
    <row r="2656" spans="1:1" hidden="1" x14ac:dyDescent="0.25">
      <c r="A2656" t="s">
        <v>553</v>
      </c>
    </row>
    <row r="2657" spans="1:1" hidden="1" x14ac:dyDescent="0.25">
      <c r="A2657" t="s">
        <v>380</v>
      </c>
    </row>
    <row r="2658" spans="1:1" hidden="1" x14ac:dyDescent="0.25">
      <c r="A2658" t="s">
        <v>392</v>
      </c>
    </row>
    <row r="2659" spans="1:1" hidden="1" x14ac:dyDescent="0.25">
      <c r="A2659" t="s">
        <v>893</v>
      </c>
    </row>
    <row r="2660" spans="1:1" hidden="1" x14ac:dyDescent="0.25">
      <c r="A2660" t="s">
        <v>2309</v>
      </c>
    </row>
    <row r="2661" spans="1:1" hidden="1" x14ac:dyDescent="0.25">
      <c r="A2661" t="s">
        <v>61</v>
      </c>
    </row>
    <row r="2662" spans="1:1" hidden="1" x14ac:dyDescent="0.25">
      <c r="A2662" t="s">
        <v>648</v>
      </c>
    </row>
    <row r="2663" spans="1:1" hidden="1" x14ac:dyDescent="0.25">
      <c r="A2663" t="s">
        <v>253</v>
      </c>
    </row>
    <row r="2664" spans="1:1" hidden="1" x14ac:dyDescent="0.25">
      <c r="A2664" t="s">
        <v>482</v>
      </c>
    </row>
    <row r="2665" spans="1:1" hidden="1" x14ac:dyDescent="0.25">
      <c r="A2665" t="s">
        <v>380</v>
      </c>
    </row>
    <row r="2666" spans="1:1" hidden="1" x14ac:dyDescent="0.25">
      <c r="A2666" t="s">
        <v>169</v>
      </c>
    </row>
    <row r="2667" spans="1:1" hidden="1" x14ac:dyDescent="0.25">
      <c r="A2667" t="s">
        <v>951</v>
      </c>
    </row>
    <row r="2668" spans="1:1" hidden="1" x14ac:dyDescent="0.25">
      <c r="A2668" t="s">
        <v>244</v>
      </c>
    </row>
    <row r="2669" spans="1:1" hidden="1" x14ac:dyDescent="0.25">
      <c r="A2669" t="s">
        <v>406</v>
      </c>
    </row>
    <row r="2670" spans="1:1" hidden="1" x14ac:dyDescent="0.25">
      <c r="A2670" t="s">
        <v>392</v>
      </c>
    </row>
    <row r="2671" spans="1:1" hidden="1" x14ac:dyDescent="0.25">
      <c r="A2671" t="s">
        <v>244</v>
      </c>
    </row>
    <row r="2672" spans="1:1" hidden="1" x14ac:dyDescent="0.25">
      <c r="A2672" t="s">
        <v>169</v>
      </c>
    </row>
    <row r="2673" spans="1:1" hidden="1" x14ac:dyDescent="0.25">
      <c r="A2673" t="s">
        <v>380</v>
      </c>
    </row>
    <row r="2674" spans="1:1" hidden="1" x14ac:dyDescent="0.25">
      <c r="A2674" t="s">
        <v>680</v>
      </c>
    </row>
    <row r="2675" spans="1:1" hidden="1" x14ac:dyDescent="0.25">
      <c r="A2675" t="s">
        <v>648</v>
      </c>
    </row>
    <row r="2676" spans="1:1" hidden="1" x14ac:dyDescent="0.25">
      <c r="A2676" t="s">
        <v>169</v>
      </c>
    </row>
    <row r="2677" spans="1:1" hidden="1" x14ac:dyDescent="0.25">
      <c r="A2677" t="s">
        <v>1372</v>
      </c>
    </row>
    <row r="2678" spans="1:1" hidden="1" x14ac:dyDescent="0.25">
      <c r="A2678" t="s">
        <v>667</v>
      </c>
    </row>
    <row r="2679" spans="1:1" hidden="1" x14ac:dyDescent="0.25">
      <c r="A2679" t="s">
        <v>215</v>
      </c>
    </row>
    <row r="2680" spans="1:1" hidden="1" x14ac:dyDescent="0.25">
      <c r="A2680" t="s">
        <v>244</v>
      </c>
    </row>
    <row r="2681" spans="1:1" hidden="1" x14ac:dyDescent="0.25">
      <c r="A2681" t="s">
        <v>2647</v>
      </c>
    </row>
    <row r="2682" spans="1:1" hidden="1" x14ac:dyDescent="0.25">
      <c r="A2682" t="s">
        <v>449</v>
      </c>
    </row>
    <row r="2683" spans="1:1" hidden="1" x14ac:dyDescent="0.25">
      <c r="A2683" t="s">
        <v>1552</v>
      </c>
    </row>
    <row r="2684" spans="1:1" hidden="1" x14ac:dyDescent="0.25">
      <c r="A2684" t="s">
        <v>406</v>
      </c>
    </row>
    <row r="2685" spans="1:1" hidden="1" x14ac:dyDescent="0.25">
      <c r="A2685" t="s">
        <v>893</v>
      </c>
    </row>
    <row r="2686" spans="1:1" hidden="1" x14ac:dyDescent="0.25">
      <c r="A2686" t="s">
        <v>2128</v>
      </c>
    </row>
    <row r="2687" spans="1:1" hidden="1" x14ac:dyDescent="0.25">
      <c r="A2687" t="s">
        <v>1372</v>
      </c>
    </row>
    <row r="2688" spans="1:1" hidden="1" x14ac:dyDescent="0.25">
      <c r="A2688" t="s">
        <v>2128</v>
      </c>
    </row>
    <row r="2689" spans="1:1" hidden="1" x14ac:dyDescent="0.25">
      <c r="A2689" t="s">
        <v>667</v>
      </c>
    </row>
    <row r="2690" spans="1:1" hidden="1" x14ac:dyDescent="0.25">
      <c r="A2690" t="s">
        <v>648</v>
      </c>
    </row>
    <row r="2691" spans="1:1" hidden="1" x14ac:dyDescent="0.25">
      <c r="A2691" t="s">
        <v>2085</v>
      </c>
    </row>
    <row r="2692" spans="1:1" hidden="1" x14ac:dyDescent="0.25">
      <c r="A2692" t="s">
        <v>392</v>
      </c>
    </row>
    <row r="2693" spans="1:1" hidden="1" x14ac:dyDescent="0.25">
      <c r="A2693" t="s">
        <v>1058</v>
      </c>
    </row>
    <row r="2694" spans="1:1" hidden="1" x14ac:dyDescent="0.25">
      <c r="A2694" t="s">
        <v>893</v>
      </c>
    </row>
    <row r="2695" spans="1:1" hidden="1" x14ac:dyDescent="0.25">
      <c r="A2695" t="s">
        <v>893</v>
      </c>
    </row>
    <row r="2696" spans="1:1" hidden="1" x14ac:dyDescent="0.25">
      <c r="A2696" t="s">
        <v>893</v>
      </c>
    </row>
    <row r="2697" spans="1:1" hidden="1" x14ac:dyDescent="0.25">
      <c r="A2697" t="s">
        <v>1229</v>
      </c>
    </row>
    <row r="2698" spans="1:1" hidden="1" x14ac:dyDescent="0.25">
      <c r="A2698" t="s">
        <v>244</v>
      </c>
    </row>
    <row r="2699" spans="1:1" hidden="1" x14ac:dyDescent="0.25">
      <c r="A2699" t="s">
        <v>1126</v>
      </c>
    </row>
    <row r="2700" spans="1:1" hidden="1" x14ac:dyDescent="0.25">
      <c r="A2700" t="s">
        <v>1552</v>
      </c>
    </row>
    <row r="2701" spans="1:1" hidden="1" x14ac:dyDescent="0.25">
      <c r="A2701" t="s">
        <v>244</v>
      </c>
    </row>
    <row r="2702" spans="1:1" hidden="1" x14ac:dyDescent="0.25">
      <c r="A2702" t="s">
        <v>406</v>
      </c>
    </row>
    <row r="2703" spans="1:1" hidden="1" x14ac:dyDescent="0.25">
      <c r="A2703" t="s">
        <v>244</v>
      </c>
    </row>
    <row r="2704" spans="1:1" hidden="1" x14ac:dyDescent="0.25">
      <c r="A2704" t="s">
        <v>622</v>
      </c>
    </row>
    <row r="2705" spans="1:1" hidden="1" x14ac:dyDescent="0.25">
      <c r="A2705" t="s">
        <v>392</v>
      </c>
    </row>
    <row r="2706" spans="1:1" hidden="1" x14ac:dyDescent="0.25">
      <c r="A2706" t="s">
        <v>169</v>
      </c>
    </row>
    <row r="2707" spans="1:1" hidden="1" x14ac:dyDescent="0.25">
      <c r="A2707" t="s">
        <v>648</v>
      </c>
    </row>
    <row r="2708" spans="1:1" hidden="1" x14ac:dyDescent="0.25">
      <c r="A2708" t="s">
        <v>926</v>
      </c>
    </row>
    <row r="2709" spans="1:1" hidden="1" x14ac:dyDescent="0.25">
      <c r="A2709" t="s">
        <v>562</v>
      </c>
    </row>
    <row r="2710" spans="1:1" hidden="1" x14ac:dyDescent="0.25">
      <c r="A2710" t="s">
        <v>1229</v>
      </c>
    </row>
    <row r="2711" spans="1:1" hidden="1" x14ac:dyDescent="0.25">
      <c r="A2711" t="s">
        <v>1221</v>
      </c>
    </row>
    <row r="2712" spans="1:1" hidden="1" x14ac:dyDescent="0.25">
      <c r="A2712" t="s">
        <v>667</v>
      </c>
    </row>
    <row r="2713" spans="1:1" hidden="1" x14ac:dyDescent="0.25">
      <c r="A2713" t="s">
        <v>380</v>
      </c>
    </row>
    <row r="2714" spans="1:1" hidden="1" x14ac:dyDescent="0.25">
      <c r="A2714" t="s">
        <v>622</v>
      </c>
    </row>
    <row r="2715" spans="1:1" hidden="1" x14ac:dyDescent="0.25">
      <c r="A2715" t="s">
        <v>648</v>
      </c>
    </row>
    <row r="2716" spans="1:1" hidden="1" x14ac:dyDescent="0.25">
      <c r="A2716" t="s">
        <v>553</v>
      </c>
    </row>
    <row r="2717" spans="1:1" hidden="1" x14ac:dyDescent="0.25">
      <c r="A2717" t="s">
        <v>667</v>
      </c>
    </row>
    <row r="2718" spans="1:1" hidden="1" x14ac:dyDescent="0.25">
      <c r="A2718" t="s">
        <v>3873</v>
      </c>
    </row>
    <row r="2719" spans="1:1" hidden="1" x14ac:dyDescent="0.25">
      <c r="A2719" t="s">
        <v>648</v>
      </c>
    </row>
    <row r="2720" spans="1:1" hidden="1" x14ac:dyDescent="0.25">
      <c r="A2720" t="s">
        <v>169</v>
      </c>
    </row>
    <row r="2721" spans="1:1" hidden="1" x14ac:dyDescent="0.25">
      <c r="A2721" t="s">
        <v>123</v>
      </c>
    </row>
    <row r="2722" spans="1:1" hidden="1" x14ac:dyDescent="0.25">
      <c r="A2722" t="s">
        <v>482</v>
      </c>
    </row>
    <row r="2723" spans="1:1" hidden="1" x14ac:dyDescent="0.25">
      <c r="A2723" t="s">
        <v>648</v>
      </c>
    </row>
    <row r="2724" spans="1:1" hidden="1" x14ac:dyDescent="0.25">
      <c r="A2724" t="s">
        <v>205</v>
      </c>
    </row>
    <row r="2725" spans="1:1" hidden="1" x14ac:dyDescent="0.25">
      <c r="A2725" t="s">
        <v>580</v>
      </c>
    </row>
    <row r="2726" spans="1:1" hidden="1" x14ac:dyDescent="0.25">
      <c r="A2726" t="s">
        <v>380</v>
      </c>
    </row>
    <row r="2727" spans="1:1" hidden="1" x14ac:dyDescent="0.25">
      <c r="A2727" t="s">
        <v>2060</v>
      </c>
    </row>
    <row r="2728" spans="1:1" hidden="1" x14ac:dyDescent="0.25">
      <c r="A2728" t="s">
        <v>2647</v>
      </c>
    </row>
    <row r="2729" spans="1:1" hidden="1" x14ac:dyDescent="0.25">
      <c r="A2729" t="s">
        <v>1469</v>
      </c>
    </row>
    <row r="2730" spans="1:1" hidden="1" x14ac:dyDescent="0.25">
      <c r="A2730" t="s">
        <v>1936</v>
      </c>
    </row>
    <row r="2731" spans="1:1" hidden="1" x14ac:dyDescent="0.25">
      <c r="A2731" t="s">
        <v>859</v>
      </c>
    </row>
    <row r="2732" spans="1:1" hidden="1" x14ac:dyDescent="0.25">
      <c r="A2732" t="s">
        <v>893</v>
      </c>
    </row>
    <row r="2733" spans="1:1" hidden="1" x14ac:dyDescent="0.25">
      <c r="A2733" t="s">
        <v>667</v>
      </c>
    </row>
    <row r="2734" spans="1:1" hidden="1" x14ac:dyDescent="0.25">
      <c r="A2734" t="s">
        <v>1229</v>
      </c>
    </row>
    <row r="2735" spans="1:1" hidden="1" x14ac:dyDescent="0.25">
      <c r="A2735" t="s">
        <v>1155</v>
      </c>
    </row>
    <row r="2736" spans="1:1" hidden="1" x14ac:dyDescent="0.25">
      <c r="A2736" t="s">
        <v>392</v>
      </c>
    </row>
    <row r="2737" spans="1:1" hidden="1" x14ac:dyDescent="0.25">
      <c r="A2737" t="s">
        <v>1469</v>
      </c>
    </row>
    <row r="2738" spans="1:1" hidden="1" x14ac:dyDescent="0.25">
      <c r="A2738" t="s">
        <v>1443</v>
      </c>
    </row>
    <row r="2739" spans="1:1" hidden="1" x14ac:dyDescent="0.25">
      <c r="A2739" t="s">
        <v>667</v>
      </c>
    </row>
    <row r="2740" spans="1:1" hidden="1" x14ac:dyDescent="0.25">
      <c r="A2740" t="s">
        <v>680</v>
      </c>
    </row>
    <row r="2741" spans="1:1" hidden="1" x14ac:dyDescent="0.25">
      <c r="A2741" t="s">
        <v>532</v>
      </c>
    </row>
    <row r="2742" spans="1:1" hidden="1" x14ac:dyDescent="0.25">
      <c r="A2742" t="s">
        <v>648</v>
      </c>
    </row>
    <row r="2743" spans="1:1" hidden="1" x14ac:dyDescent="0.25">
      <c r="A2743" t="s">
        <v>186</v>
      </c>
    </row>
    <row r="2744" spans="1:1" hidden="1" x14ac:dyDescent="0.25">
      <c r="A2744" t="s">
        <v>553</v>
      </c>
    </row>
    <row r="2745" spans="1:1" hidden="1" x14ac:dyDescent="0.25">
      <c r="A2745" t="s">
        <v>648</v>
      </c>
    </row>
    <row r="2746" spans="1:1" hidden="1" x14ac:dyDescent="0.25">
      <c r="A2746" t="s">
        <v>951</v>
      </c>
    </row>
    <row r="2747" spans="1:1" hidden="1" x14ac:dyDescent="0.25">
      <c r="A2747" t="s">
        <v>380</v>
      </c>
    </row>
    <row r="2748" spans="1:1" hidden="1" x14ac:dyDescent="0.25">
      <c r="A2748" t="s">
        <v>553</v>
      </c>
    </row>
    <row r="2749" spans="1:1" hidden="1" x14ac:dyDescent="0.25">
      <c r="A2749" t="s">
        <v>1058</v>
      </c>
    </row>
    <row r="2750" spans="1:1" hidden="1" x14ac:dyDescent="0.25">
      <c r="A2750" t="s">
        <v>392</v>
      </c>
    </row>
    <row r="2751" spans="1:1" hidden="1" x14ac:dyDescent="0.25">
      <c r="A2751" t="s">
        <v>2085</v>
      </c>
    </row>
    <row r="2752" spans="1:1" hidden="1" x14ac:dyDescent="0.25">
      <c r="A2752" t="s">
        <v>186</v>
      </c>
    </row>
    <row r="2753" spans="1:1" hidden="1" x14ac:dyDescent="0.25">
      <c r="A2753" t="s">
        <v>532</v>
      </c>
    </row>
    <row r="2754" spans="1:1" hidden="1" x14ac:dyDescent="0.25">
      <c r="A2754" t="s">
        <v>1936</v>
      </c>
    </row>
    <row r="2755" spans="1:1" hidden="1" x14ac:dyDescent="0.25">
      <c r="A2755" t="s">
        <v>253</v>
      </c>
    </row>
    <row r="2756" spans="1:1" hidden="1" x14ac:dyDescent="0.25">
      <c r="A2756" t="s">
        <v>648</v>
      </c>
    </row>
    <row r="2757" spans="1:1" hidden="1" x14ac:dyDescent="0.25">
      <c r="A2757" t="s">
        <v>667</v>
      </c>
    </row>
    <row r="2758" spans="1:1" hidden="1" x14ac:dyDescent="0.25">
      <c r="A2758" t="s">
        <v>648</v>
      </c>
    </row>
    <row r="2759" spans="1:1" hidden="1" x14ac:dyDescent="0.25">
      <c r="A2759" t="s">
        <v>1552</v>
      </c>
    </row>
    <row r="2760" spans="1:1" hidden="1" x14ac:dyDescent="0.25">
      <c r="A2760" t="s">
        <v>380</v>
      </c>
    </row>
    <row r="2761" spans="1:1" hidden="1" x14ac:dyDescent="0.25">
      <c r="A2761" t="s">
        <v>2085</v>
      </c>
    </row>
    <row r="2762" spans="1:1" hidden="1" x14ac:dyDescent="0.25">
      <c r="A2762" t="s">
        <v>2309</v>
      </c>
    </row>
    <row r="2763" spans="1:1" hidden="1" x14ac:dyDescent="0.25">
      <c r="A2763" t="s">
        <v>667</v>
      </c>
    </row>
    <row r="2764" spans="1:1" hidden="1" x14ac:dyDescent="0.25">
      <c r="A2764" t="s">
        <v>169</v>
      </c>
    </row>
    <row r="2765" spans="1:1" hidden="1" x14ac:dyDescent="0.25">
      <c r="A2765" t="s">
        <v>680</v>
      </c>
    </row>
    <row r="2766" spans="1:1" hidden="1" x14ac:dyDescent="0.25">
      <c r="A2766" t="s">
        <v>263</v>
      </c>
    </row>
    <row r="2767" spans="1:1" hidden="1" x14ac:dyDescent="0.25">
      <c r="A2767" t="s">
        <v>893</v>
      </c>
    </row>
    <row r="2768" spans="1:1" hidden="1" x14ac:dyDescent="0.25">
      <c r="A2768" t="s">
        <v>648</v>
      </c>
    </row>
    <row r="2769" spans="1:1" hidden="1" x14ac:dyDescent="0.25">
      <c r="A2769" t="s">
        <v>667</v>
      </c>
    </row>
    <row r="2770" spans="1:1" hidden="1" x14ac:dyDescent="0.25">
      <c r="A2770" t="s">
        <v>893</v>
      </c>
    </row>
    <row r="2771" spans="1:1" hidden="1" x14ac:dyDescent="0.25">
      <c r="A2771" t="s">
        <v>169</v>
      </c>
    </row>
    <row r="2772" spans="1:1" hidden="1" x14ac:dyDescent="0.25">
      <c r="A2772" t="s">
        <v>1443</v>
      </c>
    </row>
    <row r="2773" spans="1:1" hidden="1" x14ac:dyDescent="0.25">
      <c r="A2773" t="s">
        <v>580</v>
      </c>
    </row>
    <row r="2774" spans="1:1" hidden="1" x14ac:dyDescent="0.25">
      <c r="A2774" t="s">
        <v>648</v>
      </c>
    </row>
    <row r="2775" spans="1:1" hidden="1" x14ac:dyDescent="0.25">
      <c r="A2775" t="s">
        <v>1798</v>
      </c>
    </row>
    <row r="2776" spans="1:1" hidden="1" x14ac:dyDescent="0.25">
      <c r="A2776" t="s">
        <v>680</v>
      </c>
    </row>
    <row r="2777" spans="1:1" hidden="1" x14ac:dyDescent="0.25">
      <c r="A2777" t="s">
        <v>244</v>
      </c>
    </row>
    <row r="2778" spans="1:1" hidden="1" x14ac:dyDescent="0.25">
      <c r="A2778" t="s">
        <v>648</v>
      </c>
    </row>
    <row r="2779" spans="1:1" hidden="1" x14ac:dyDescent="0.25">
      <c r="A2779" t="s">
        <v>2647</v>
      </c>
    </row>
    <row r="2780" spans="1:1" hidden="1" x14ac:dyDescent="0.25">
      <c r="A2780" t="s">
        <v>622</v>
      </c>
    </row>
    <row r="2781" spans="1:1" hidden="1" x14ac:dyDescent="0.25">
      <c r="A2781" t="s">
        <v>150</v>
      </c>
    </row>
    <row r="2782" spans="1:1" hidden="1" x14ac:dyDescent="0.25">
      <c r="A2782" t="s">
        <v>2647</v>
      </c>
    </row>
    <row r="2783" spans="1:1" hidden="1" x14ac:dyDescent="0.25">
      <c r="A2783" t="s">
        <v>205</v>
      </c>
    </row>
    <row r="2784" spans="1:1" hidden="1" x14ac:dyDescent="0.25">
      <c r="A2784" t="s">
        <v>2647</v>
      </c>
    </row>
    <row r="2785" spans="1:1" hidden="1" x14ac:dyDescent="0.25">
      <c r="A2785" t="s">
        <v>2309</v>
      </c>
    </row>
    <row r="2786" spans="1:1" hidden="1" x14ac:dyDescent="0.25">
      <c r="A2786" t="s">
        <v>580</v>
      </c>
    </row>
    <row r="2787" spans="1:1" hidden="1" x14ac:dyDescent="0.25">
      <c r="A2787" t="s">
        <v>667</v>
      </c>
    </row>
    <row r="2788" spans="1:1" hidden="1" x14ac:dyDescent="0.25">
      <c r="A2788" t="s">
        <v>532</v>
      </c>
    </row>
    <row r="2789" spans="1:1" hidden="1" x14ac:dyDescent="0.25">
      <c r="A2789" t="s">
        <v>648</v>
      </c>
    </row>
    <row r="2790" spans="1:1" hidden="1" x14ac:dyDescent="0.25">
      <c r="A2790" t="s">
        <v>680</v>
      </c>
    </row>
    <row r="2791" spans="1:1" hidden="1" x14ac:dyDescent="0.25">
      <c r="A2791" t="s">
        <v>667</v>
      </c>
    </row>
    <row r="2792" spans="1:1" hidden="1" x14ac:dyDescent="0.25">
      <c r="A2792" t="s">
        <v>169</v>
      </c>
    </row>
    <row r="2793" spans="1:1" hidden="1" x14ac:dyDescent="0.25">
      <c r="A2793" t="s">
        <v>380</v>
      </c>
    </row>
    <row r="2794" spans="1:1" hidden="1" x14ac:dyDescent="0.25">
      <c r="A2794" t="s">
        <v>648</v>
      </c>
    </row>
    <row r="2795" spans="1:1" hidden="1" x14ac:dyDescent="0.25">
      <c r="A2795" t="s">
        <v>406</v>
      </c>
    </row>
    <row r="2796" spans="1:1" hidden="1" x14ac:dyDescent="0.25">
      <c r="A2796" t="s">
        <v>859</v>
      </c>
    </row>
    <row r="2797" spans="1:1" hidden="1" x14ac:dyDescent="0.25">
      <c r="A2797" t="s">
        <v>215</v>
      </c>
    </row>
    <row r="2798" spans="1:1" hidden="1" x14ac:dyDescent="0.25">
      <c r="A2798" t="s">
        <v>1348</v>
      </c>
    </row>
    <row r="2799" spans="1:1" hidden="1" x14ac:dyDescent="0.25">
      <c r="A2799" t="s">
        <v>648</v>
      </c>
    </row>
    <row r="2800" spans="1:1" hidden="1" x14ac:dyDescent="0.25">
      <c r="A2800" t="s">
        <v>186</v>
      </c>
    </row>
    <row r="2801" spans="1:1" hidden="1" x14ac:dyDescent="0.25">
      <c r="A2801" t="s">
        <v>667</v>
      </c>
    </row>
    <row r="2802" spans="1:1" hidden="1" x14ac:dyDescent="0.25">
      <c r="A2802" t="s">
        <v>215</v>
      </c>
    </row>
    <row r="2803" spans="1:1" hidden="1" x14ac:dyDescent="0.25">
      <c r="A2803" t="s">
        <v>648</v>
      </c>
    </row>
    <row r="2804" spans="1:1" hidden="1" x14ac:dyDescent="0.25">
      <c r="A2804" t="s">
        <v>680</v>
      </c>
    </row>
    <row r="2805" spans="1:1" hidden="1" x14ac:dyDescent="0.25">
      <c r="A2805" t="s">
        <v>2647</v>
      </c>
    </row>
    <row r="2806" spans="1:1" hidden="1" x14ac:dyDescent="0.25">
      <c r="A2806" t="s">
        <v>380</v>
      </c>
    </row>
    <row r="2807" spans="1:1" hidden="1" x14ac:dyDescent="0.25">
      <c r="A2807" t="s">
        <v>859</v>
      </c>
    </row>
    <row r="2808" spans="1:1" hidden="1" x14ac:dyDescent="0.25">
      <c r="A2808" t="s">
        <v>648</v>
      </c>
    </row>
    <row r="2809" spans="1:1" hidden="1" x14ac:dyDescent="0.25">
      <c r="A2809" t="s">
        <v>680</v>
      </c>
    </row>
    <row r="2810" spans="1:1" hidden="1" x14ac:dyDescent="0.25">
      <c r="A2810" t="s">
        <v>532</v>
      </c>
    </row>
    <row r="2811" spans="1:1" hidden="1" x14ac:dyDescent="0.25">
      <c r="A2811" t="s">
        <v>1229</v>
      </c>
    </row>
    <row r="2812" spans="1:1" hidden="1" x14ac:dyDescent="0.25">
      <c r="A2812" t="s">
        <v>553</v>
      </c>
    </row>
    <row r="2813" spans="1:1" hidden="1" x14ac:dyDescent="0.25">
      <c r="A2813" t="s">
        <v>680</v>
      </c>
    </row>
    <row r="2814" spans="1:1" hidden="1" x14ac:dyDescent="0.25">
      <c r="A2814" t="s">
        <v>244</v>
      </c>
    </row>
    <row r="2815" spans="1:1" hidden="1" x14ac:dyDescent="0.25">
      <c r="A2815" t="s">
        <v>2128</v>
      </c>
    </row>
    <row r="2816" spans="1:1" hidden="1" x14ac:dyDescent="0.25">
      <c r="A2816" t="s">
        <v>2001</v>
      </c>
    </row>
    <row r="2817" spans="1:1" hidden="1" x14ac:dyDescent="0.25">
      <c r="A2817" t="s">
        <v>3873</v>
      </c>
    </row>
    <row r="2818" spans="1:1" hidden="1" x14ac:dyDescent="0.25">
      <c r="A2818" t="s">
        <v>667</v>
      </c>
    </row>
    <row r="2819" spans="1:1" hidden="1" x14ac:dyDescent="0.25">
      <c r="A2819" t="s">
        <v>380</v>
      </c>
    </row>
    <row r="2820" spans="1:1" hidden="1" x14ac:dyDescent="0.25">
      <c r="A2820" t="s">
        <v>648</v>
      </c>
    </row>
    <row r="2821" spans="1:1" hidden="1" x14ac:dyDescent="0.25">
      <c r="A2821" t="s">
        <v>380</v>
      </c>
    </row>
    <row r="2822" spans="1:1" hidden="1" x14ac:dyDescent="0.25">
      <c r="A2822" t="s">
        <v>680</v>
      </c>
    </row>
    <row r="2823" spans="1:1" hidden="1" x14ac:dyDescent="0.25">
      <c r="A2823" t="s">
        <v>553</v>
      </c>
    </row>
    <row r="2824" spans="1:1" hidden="1" x14ac:dyDescent="0.25">
      <c r="A2824" t="s">
        <v>648</v>
      </c>
    </row>
    <row r="2825" spans="1:1" hidden="1" x14ac:dyDescent="0.25">
      <c r="A2825" t="s">
        <v>380</v>
      </c>
    </row>
    <row r="2826" spans="1:1" hidden="1" x14ac:dyDescent="0.25">
      <c r="A2826" t="s">
        <v>406</v>
      </c>
    </row>
    <row r="2827" spans="1:1" hidden="1" x14ac:dyDescent="0.25">
      <c r="A2827" t="s">
        <v>648</v>
      </c>
    </row>
    <row r="2828" spans="1:1" hidden="1" x14ac:dyDescent="0.25">
      <c r="A2828" t="s">
        <v>244</v>
      </c>
    </row>
    <row r="2829" spans="1:1" hidden="1" x14ac:dyDescent="0.25">
      <c r="A2829" t="s">
        <v>169</v>
      </c>
    </row>
    <row r="2830" spans="1:1" hidden="1" x14ac:dyDescent="0.25">
      <c r="A2830" t="s">
        <v>1443</v>
      </c>
    </row>
    <row r="2831" spans="1:1" hidden="1" x14ac:dyDescent="0.25">
      <c r="A2831" t="s">
        <v>893</v>
      </c>
    </row>
    <row r="2832" spans="1:1" hidden="1" x14ac:dyDescent="0.25">
      <c r="A2832" t="s">
        <v>416</v>
      </c>
    </row>
    <row r="2833" spans="1:1" hidden="1" x14ac:dyDescent="0.25">
      <c r="A2833" t="s">
        <v>244</v>
      </c>
    </row>
    <row r="2834" spans="1:1" hidden="1" x14ac:dyDescent="0.25">
      <c r="A2834" t="s">
        <v>2085</v>
      </c>
    </row>
    <row r="2835" spans="1:1" hidden="1" x14ac:dyDescent="0.25">
      <c r="A2835" t="s">
        <v>667</v>
      </c>
    </row>
    <row r="2836" spans="1:1" hidden="1" x14ac:dyDescent="0.25">
      <c r="A2836" t="s">
        <v>2128</v>
      </c>
    </row>
    <row r="2837" spans="1:1" hidden="1" x14ac:dyDescent="0.25">
      <c r="A2837" t="s">
        <v>667</v>
      </c>
    </row>
    <row r="2838" spans="1:1" hidden="1" x14ac:dyDescent="0.25">
      <c r="A2838" t="s">
        <v>788</v>
      </c>
    </row>
    <row r="2839" spans="1:1" hidden="1" x14ac:dyDescent="0.25">
      <c r="A2839" t="s">
        <v>951</v>
      </c>
    </row>
    <row r="2840" spans="1:1" hidden="1" x14ac:dyDescent="0.25">
      <c r="A2840" t="s">
        <v>2647</v>
      </c>
    </row>
    <row r="2841" spans="1:1" hidden="1" x14ac:dyDescent="0.25">
      <c r="A2841" t="s">
        <v>392</v>
      </c>
    </row>
    <row r="2842" spans="1:1" hidden="1" x14ac:dyDescent="0.25">
      <c r="A2842" t="s">
        <v>667</v>
      </c>
    </row>
    <row r="2843" spans="1:1" hidden="1" x14ac:dyDescent="0.25">
      <c r="A2843" t="s">
        <v>263</v>
      </c>
    </row>
    <row r="2844" spans="1:1" hidden="1" x14ac:dyDescent="0.25">
      <c r="A2844" t="s">
        <v>1058</v>
      </c>
    </row>
    <row r="2845" spans="1:1" hidden="1" x14ac:dyDescent="0.25">
      <c r="A2845" t="s">
        <v>667</v>
      </c>
    </row>
    <row r="2846" spans="1:1" hidden="1" x14ac:dyDescent="0.25">
      <c r="A2846" t="s">
        <v>951</v>
      </c>
    </row>
    <row r="2847" spans="1:1" hidden="1" x14ac:dyDescent="0.25">
      <c r="A2847" t="s">
        <v>169</v>
      </c>
    </row>
    <row r="2848" spans="1:1" hidden="1" x14ac:dyDescent="0.25">
      <c r="A2848" t="s">
        <v>580</v>
      </c>
    </row>
    <row r="2849" spans="1:1" hidden="1" x14ac:dyDescent="0.25">
      <c r="A2849" t="s">
        <v>1443</v>
      </c>
    </row>
    <row r="2850" spans="1:1" hidden="1" x14ac:dyDescent="0.25">
      <c r="A2850" t="s">
        <v>893</v>
      </c>
    </row>
    <row r="2851" spans="1:1" hidden="1" x14ac:dyDescent="0.25">
      <c r="A2851" t="s">
        <v>205</v>
      </c>
    </row>
    <row r="2852" spans="1:1" hidden="1" x14ac:dyDescent="0.25">
      <c r="A2852" t="s">
        <v>680</v>
      </c>
    </row>
    <row r="2853" spans="1:1" hidden="1" x14ac:dyDescent="0.25">
      <c r="A2853" t="s">
        <v>648</v>
      </c>
    </row>
    <row r="2854" spans="1:1" hidden="1" x14ac:dyDescent="0.25">
      <c r="A2854" t="s">
        <v>406</v>
      </c>
    </row>
    <row r="2855" spans="1:1" hidden="1" x14ac:dyDescent="0.25">
      <c r="A2855" t="s">
        <v>648</v>
      </c>
    </row>
    <row r="2856" spans="1:1" hidden="1" x14ac:dyDescent="0.25">
      <c r="A2856" t="s">
        <v>380</v>
      </c>
    </row>
    <row r="2857" spans="1:1" hidden="1" x14ac:dyDescent="0.25">
      <c r="A2857" t="s">
        <v>169</v>
      </c>
    </row>
    <row r="2858" spans="1:1" hidden="1" x14ac:dyDescent="0.25">
      <c r="A2858" t="s">
        <v>186</v>
      </c>
    </row>
    <row r="2859" spans="1:1" hidden="1" x14ac:dyDescent="0.25">
      <c r="A2859" t="s">
        <v>392</v>
      </c>
    </row>
    <row r="2860" spans="1:1" hidden="1" x14ac:dyDescent="0.25">
      <c r="A2860" t="s">
        <v>532</v>
      </c>
    </row>
    <row r="2861" spans="1:1" hidden="1" x14ac:dyDescent="0.25">
      <c r="A2861" t="s">
        <v>648</v>
      </c>
    </row>
    <row r="2862" spans="1:1" hidden="1" x14ac:dyDescent="0.25">
      <c r="A2862" t="s">
        <v>1372</v>
      </c>
    </row>
    <row r="2863" spans="1:1" hidden="1" x14ac:dyDescent="0.25">
      <c r="A2863" t="s">
        <v>274</v>
      </c>
    </row>
    <row r="2864" spans="1:1" hidden="1" x14ac:dyDescent="0.25">
      <c r="A2864" t="s">
        <v>532</v>
      </c>
    </row>
    <row r="2865" spans="1:1" hidden="1" x14ac:dyDescent="0.25">
      <c r="A2865" t="s">
        <v>648</v>
      </c>
    </row>
    <row r="2866" spans="1:1" hidden="1" x14ac:dyDescent="0.25">
      <c r="A2866" t="s">
        <v>580</v>
      </c>
    </row>
    <row r="2867" spans="1:1" hidden="1" x14ac:dyDescent="0.25">
      <c r="A2867" t="s">
        <v>580</v>
      </c>
    </row>
    <row r="2868" spans="1:1" hidden="1" x14ac:dyDescent="0.25">
      <c r="A2868" t="s">
        <v>622</v>
      </c>
    </row>
    <row r="2869" spans="1:1" hidden="1" x14ac:dyDescent="0.25">
      <c r="A2869" t="s">
        <v>1372</v>
      </c>
    </row>
    <row r="2870" spans="1:1" hidden="1" x14ac:dyDescent="0.25">
      <c r="A2870" t="s">
        <v>3277</v>
      </c>
    </row>
    <row r="2871" spans="1:1" hidden="1" x14ac:dyDescent="0.25">
      <c r="A2871" t="s">
        <v>2128</v>
      </c>
    </row>
    <row r="2872" spans="1:1" hidden="1" x14ac:dyDescent="0.25">
      <c r="A2872" t="s">
        <v>1443</v>
      </c>
    </row>
    <row r="2873" spans="1:1" hidden="1" x14ac:dyDescent="0.25">
      <c r="A2873" t="s">
        <v>648</v>
      </c>
    </row>
    <row r="2874" spans="1:1" hidden="1" x14ac:dyDescent="0.25">
      <c r="A2874" t="s">
        <v>648</v>
      </c>
    </row>
    <row r="2875" spans="1:1" hidden="1" x14ac:dyDescent="0.25">
      <c r="A2875" t="s">
        <v>3873</v>
      </c>
    </row>
    <row r="2876" spans="1:1" hidden="1" x14ac:dyDescent="0.25">
      <c r="A2876" t="s">
        <v>406</v>
      </c>
    </row>
    <row r="2877" spans="1:1" hidden="1" x14ac:dyDescent="0.25">
      <c r="A2877" t="s">
        <v>169</v>
      </c>
    </row>
    <row r="2878" spans="1:1" hidden="1" x14ac:dyDescent="0.25">
      <c r="A2878" t="s">
        <v>123</v>
      </c>
    </row>
    <row r="2879" spans="1:1" hidden="1" x14ac:dyDescent="0.25">
      <c r="A2879" t="s">
        <v>667</v>
      </c>
    </row>
    <row r="2880" spans="1:1" hidden="1" x14ac:dyDescent="0.25">
      <c r="A2880" t="s">
        <v>263</v>
      </c>
    </row>
    <row r="2881" spans="1:1" hidden="1" x14ac:dyDescent="0.25">
      <c r="A2881" t="s">
        <v>392</v>
      </c>
    </row>
    <row r="2882" spans="1:1" hidden="1" x14ac:dyDescent="0.25">
      <c r="A2882" t="s">
        <v>449</v>
      </c>
    </row>
    <row r="2883" spans="1:1" hidden="1" x14ac:dyDescent="0.25">
      <c r="A2883" t="s">
        <v>1229</v>
      </c>
    </row>
    <row r="2884" spans="1:1" hidden="1" x14ac:dyDescent="0.25">
      <c r="A2884" t="s">
        <v>580</v>
      </c>
    </row>
    <row r="2885" spans="1:1" hidden="1" x14ac:dyDescent="0.25">
      <c r="A2885" t="s">
        <v>2128</v>
      </c>
    </row>
    <row r="2886" spans="1:1" hidden="1" x14ac:dyDescent="0.25">
      <c r="A2886" t="s">
        <v>580</v>
      </c>
    </row>
    <row r="2887" spans="1:1" hidden="1" x14ac:dyDescent="0.25">
      <c r="A2887" t="s">
        <v>1552</v>
      </c>
    </row>
    <row r="2888" spans="1:1" hidden="1" x14ac:dyDescent="0.25">
      <c r="A2888" t="s">
        <v>667</v>
      </c>
    </row>
    <row r="2889" spans="1:1" hidden="1" x14ac:dyDescent="0.25">
      <c r="A2889" t="s">
        <v>2647</v>
      </c>
    </row>
    <row r="2890" spans="1:1" hidden="1" x14ac:dyDescent="0.25">
      <c r="A2890" t="s">
        <v>680</v>
      </c>
    </row>
    <row r="2891" spans="1:1" hidden="1" x14ac:dyDescent="0.25">
      <c r="A2891" t="s">
        <v>416</v>
      </c>
    </row>
    <row r="2892" spans="1:1" hidden="1" x14ac:dyDescent="0.25">
      <c r="A2892" t="s">
        <v>3277</v>
      </c>
    </row>
    <row r="2893" spans="1:1" hidden="1" x14ac:dyDescent="0.25">
      <c r="A2893" t="s">
        <v>667</v>
      </c>
    </row>
    <row r="2894" spans="1:1" hidden="1" x14ac:dyDescent="0.25">
      <c r="A2894" t="s">
        <v>1372</v>
      </c>
    </row>
    <row r="2895" spans="1:1" hidden="1" x14ac:dyDescent="0.25">
      <c r="A2895" t="s">
        <v>680</v>
      </c>
    </row>
    <row r="2896" spans="1:1" hidden="1" x14ac:dyDescent="0.25">
      <c r="A2896" t="s">
        <v>392</v>
      </c>
    </row>
    <row r="2897" spans="1:1" hidden="1" x14ac:dyDescent="0.25">
      <c r="A2897" t="s">
        <v>648</v>
      </c>
    </row>
    <row r="2898" spans="1:1" hidden="1" x14ac:dyDescent="0.25">
      <c r="A2898" t="s">
        <v>482</v>
      </c>
    </row>
    <row r="2899" spans="1:1" hidden="1" x14ac:dyDescent="0.25">
      <c r="A2899" t="s">
        <v>667</v>
      </c>
    </row>
    <row r="2900" spans="1:1" hidden="1" x14ac:dyDescent="0.25">
      <c r="A2900" t="s">
        <v>532</v>
      </c>
    </row>
    <row r="2901" spans="1:1" hidden="1" x14ac:dyDescent="0.25">
      <c r="A2901" t="s">
        <v>186</v>
      </c>
    </row>
    <row r="2902" spans="1:1" hidden="1" x14ac:dyDescent="0.25">
      <c r="A2902" t="s">
        <v>648</v>
      </c>
    </row>
    <row r="2903" spans="1:1" hidden="1" x14ac:dyDescent="0.25">
      <c r="A2903" t="s">
        <v>123</v>
      </c>
    </row>
    <row r="2904" spans="1:1" hidden="1" x14ac:dyDescent="0.25">
      <c r="A2904" t="s">
        <v>553</v>
      </c>
    </row>
    <row r="2905" spans="1:1" hidden="1" x14ac:dyDescent="0.25">
      <c r="A2905" t="s">
        <v>2647</v>
      </c>
    </row>
    <row r="2906" spans="1:1" hidden="1" x14ac:dyDescent="0.25">
      <c r="A2906" t="s">
        <v>263</v>
      </c>
    </row>
    <row r="2907" spans="1:1" hidden="1" x14ac:dyDescent="0.25">
      <c r="A2907" t="s">
        <v>380</v>
      </c>
    </row>
    <row r="2908" spans="1:1" hidden="1" x14ac:dyDescent="0.25">
      <c r="A2908" t="s">
        <v>667</v>
      </c>
    </row>
    <row r="2909" spans="1:1" hidden="1" x14ac:dyDescent="0.25">
      <c r="A2909" t="s">
        <v>2128</v>
      </c>
    </row>
    <row r="2910" spans="1:1" hidden="1" x14ac:dyDescent="0.25">
      <c r="A2910" t="s">
        <v>680</v>
      </c>
    </row>
    <row r="2911" spans="1:1" hidden="1" x14ac:dyDescent="0.25">
      <c r="A2911" t="s">
        <v>951</v>
      </c>
    </row>
    <row r="2912" spans="1:1" hidden="1" x14ac:dyDescent="0.25">
      <c r="A2912" t="s">
        <v>648</v>
      </c>
    </row>
    <row r="2913" spans="1:1" hidden="1" x14ac:dyDescent="0.25">
      <c r="A2913" t="s">
        <v>951</v>
      </c>
    </row>
    <row r="2914" spans="1:1" hidden="1" x14ac:dyDescent="0.25">
      <c r="A2914" t="s">
        <v>406</v>
      </c>
    </row>
    <row r="2915" spans="1:1" hidden="1" x14ac:dyDescent="0.25">
      <c r="A2915" t="s">
        <v>1126</v>
      </c>
    </row>
    <row r="2916" spans="1:1" hidden="1" x14ac:dyDescent="0.25">
      <c r="A2916" t="s">
        <v>244</v>
      </c>
    </row>
    <row r="2917" spans="1:1" hidden="1" x14ac:dyDescent="0.25">
      <c r="A2917" t="s">
        <v>1552</v>
      </c>
    </row>
    <row r="2918" spans="1:1" hidden="1" x14ac:dyDescent="0.25">
      <c r="A2918" t="s">
        <v>648</v>
      </c>
    </row>
    <row r="2919" spans="1:1" hidden="1" x14ac:dyDescent="0.25">
      <c r="A2919" t="s">
        <v>1798</v>
      </c>
    </row>
    <row r="2920" spans="1:1" hidden="1" x14ac:dyDescent="0.25">
      <c r="A2920" t="s">
        <v>580</v>
      </c>
    </row>
    <row r="2921" spans="1:1" hidden="1" x14ac:dyDescent="0.25">
      <c r="A2921" t="s">
        <v>392</v>
      </c>
    </row>
    <row r="2922" spans="1:1" hidden="1" x14ac:dyDescent="0.25">
      <c r="A2922" t="s">
        <v>392</v>
      </c>
    </row>
    <row r="2923" spans="1:1" hidden="1" x14ac:dyDescent="0.25">
      <c r="A2923" t="s">
        <v>648</v>
      </c>
    </row>
    <row r="2924" spans="1:1" hidden="1" x14ac:dyDescent="0.25">
      <c r="A2924" t="s">
        <v>2309</v>
      </c>
    </row>
    <row r="2925" spans="1:1" hidden="1" x14ac:dyDescent="0.25">
      <c r="A2925" t="s">
        <v>274</v>
      </c>
    </row>
    <row r="2926" spans="1:1" hidden="1" x14ac:dyDescent="0.25">
      <c r="A2926" t="s">
        <v>1443</v>
      </c>
    </row>
    <row r="2927" spans="1:1" hidden="1" x14ac:dyDescent="0.25">
      <c r="A2927" t="s">
        <v>169</v>
      </c>
    </row>
    <row r="2928" spans="1:1" hidden="1" x14ac:dyDescent="0.25">
      <c r="A2928" t="s">
        <v>893</v>
      </c>
    </row>
    <row r="2929" spans="1:1" hidden="1" x14ac:dyDescent="0.25">
      <c r="A2929" t="s">
        <v>893</v>
      </c>
    </row>
    <row r="2930" spans="1:1" hidden="1" x14ac:dyDescent="0.25">
      <c r="A2930" t="s">
        <v>680</v>
      </c>
    </row>
    <row r="2931" spans="1:1" hidden="1" x14ac:dyDescent="0.25">
      <c r="A2931" t="s">
        <v>680</v>
      </c>
    </row>
    <row r="2932" spans="1:1" hidden="1" x14ac:dyDescent="0.25">
      <c r="A2932" t="s">
        <v>667</v>
      </c>
    </row>
    <row r="2933" spans="1:1" hidden="1" x14ac:dyDescent="0.25">
      <c r="A2933" t="s">
        <v>667</v>
      </c>
    </row>
    <row r="2934" spans="1:1" hidden="1" x14ac:dyDescent="0.25">
      <c r="A2934" t="s">
        <v>2647</v>
      </c>
    </row>
    <row r="2935" spans="1:1" hidden="1" x14ac:dyDescent="0.25">
      <c r="A2935" t="s">
        <v>169</v>
      </c>
    </row>
    <row r="2936" spans="1:1" hidden="1" x14ac:dyDescent="0.25">
      <c r="A2936" t="s">
        <v>622</v>
      </c>
    </row>
    <row r="2937" spans="1:1" hidden="1" x14ac:dyDescent="0.25">
      <c r="A2937" t="s">
        <v>562</v>
      </c>
    </row>
    <row r="2938" spans="1:1" hidden="1" x14ac:dyDescent="0.25">
      <c r="A2938" t="s">
        <v>648</v>
      </c>
    </row>
    <row r="2939" spans="1:1" hidden="1" x14ac:dyDescent="0.25">
      <c r="A2939" t="s">
        <v>648</v>
      </c>
    </row>
    <row r="2940" spans="1:1" hidden="1" x14ac:dyDescent="0.25">
      <c r="A2940" t="s">
        <v>186</v>
      </c>
    </row>
    <row r="2941" spans="1:1" hidden="1" x14ac:dyDescent="0.25">
      <c r="A2941" t="s">
        <v>893</v>
      </c>
    </row>
    <row r="2942" spans="1:1" hidden="1" x14ac:dyDescent="0.25">
      <c r="A2942" t="s">
        <v>893</v>
      </c>
    </row>
    <row r="2943" spans="1:1" hidden="1" x14ac:dyDescent="0.25">
      <c r="A2943" t="s">
        <v>553</v>
      </c>
    </row>
    <row r="2944" spans="1:1" hidden="1" x14ac:dyDescent="0.25">
      <c r="A2944" t="s">
        <v>648</v>
      </c>
    </row>
    <row r="2945" spans="1:1" hidden="1" x14ac:dyDescent="0.25">
      <c r="A2945" t="s">
        <v>1229</v>
      </c>
    </row>
    <row r="2946" spans="1:1" hidden="1" x14ac:dyDescent="0.25">
      <c r="A2946" t="s">
        <v>893</v>
      </c>
    </row>
    <row r="2947" spans="1:1" hidden="1" x14ac:dyDescent="0.25">
      <c r="A2947" t="s">
        <v>1229</v>
      </c>
    </row>
    <row r="2948" spans="1:1" hidden="1" x14ac:dyDescent="0.25">
      <c r="A2948" t="s">
        <v>553</v>
      </c>
    </row>
    <row r="2949" spans="1:1" hidden="1" x14ac:dyDescent="0.25">
      <c r="A2949" t="s">
        <v>807</v>
      </c>
    </row>
    <row r="2950" spans="1:1" hidden="1" x14ac:dyDescent="0.25">
      <c r="A2950" t="s">
        <v>1155</v>
      </c>
    </row>
    <row r="2951" spans="1:1" hidden="1" x14ac:dyDescent="0.25">
      <c r="A2951" t="s">
        <v>380</v>
      </c>
    </row>
    <row r="2952" spans="1:1" hidden="1" x14ac:dyDescent="0.25">
      <c r="A2952" t="s">
        <v>680</v>
      </c>
    </row>
    <row r="2953" spans="1:1" hidden="1" x14ac:dyDescent="0.25">
      <c r="A2953" t="s">
        <v>2128</v>
      </c>
    </row>
    <row r="2954" spans="1:1" hidden="1" x14ac:dyDescent="0.25">
      <c r="A2954" t="s">
        <v>1443</v>
      </c>
    </row>
    <row r="2955" spans="1:1" hidden="1" x14ac:dyDescent="0.25">
      <c r="A2955" t="s">
        <v>580</v>
      </c>
    </row>
    <row r="2956" spans="1:1" hidden="1" x14ac:dyDescent="0.25">
      <c r="A2956" t="s">
        <v>1936</v>
      </c>
    </row>
    <row r="2957" spans="1:1" hidden="1" x14ac:dyDescent="0.25">
      <c r="A2957" t="s">
        <v>2085</v>
      </c>
    </row>
    <row r="2958" spans="1:1" hidden="1" x14ac:dyDescent="0.25">
      <c r="A2958" t="s">
        <v>215</v>
      </c>
    </row>
    <row r="2959" spans="1:1" hidden="1" x14ac:dyDescent="0.25">
      <c r="A2959" t="s">
        <v>380</v>
      </c>
    </row>
    <row r="2960" spans="1:1" hidden="1" x14ac:dyDescent="0.25">
      <c r="A2960" t="s">
        <v>244</v>
      </c>
    </row>
    <row r="2961" spans="1:1" hidden="1" x14ac:dyDescent="0.25">
      <c r="A2961" t="s">
        <v>392</v>
      </c>
    </row>
    <row r="2962" spans="1:1" hidden="1" x14ac:dyDescent="0.25">
      <c r="A2962" t="s">
        <v>580</v>
      </c>
    </row>
    <row r="2963" spans="1:1" hidden="1" x14ac:dyDescent="0.25">
      <c r="A2963" t="s">
        <v>951</v>
      </c>
    </row>
    <row r="2964" spans="1:1" hidden="1" x14ac:dyDescent="0.25">
      <c r="A2964" t="s">
        <v>893</v>
      </c>
    </row>
    <row r="2965" spans="1:1" hidden="1" x14ac:dyDescent="0.25">
      <c r="A2965" t="s">
        <v>667</v>
      </c>
    </row>
    <row r="2966" spans="1:1" hidden="1" x14ac:dyDescent="0.25">
      <c r="A2966" t="s">
        <v>1058</v>
      </c>
    </row>
    <row r="2967" spans="1:1" hidden="1" x14ac:dyDescent="0.25">
      <c r="A2967" t="s">
        <v>951</v>
      </c>
    </row>
    <row r="2968" spans="1:1" hidden="1" x14ac:dyDescent="0.25">
      <c r="A2968" t="s">
        <v>648</v>
      </c>
    </row>
    <row r="2969" spans="1:1" hidden="1" x14ac:dyDescent="0.25">
      <c r="A2969" t="s">
        <v>1469</v>
      </c>
    </row>
    <row r="2970" spans="1:1" hidden="1" x14ac:dyDescent="0.25">
      <c r="A2970" t="s">
        <v>1221</v>
      </c>
    </row>
    <row r="2971" spans="1:1" hidden="1" x14ac:dyDescent="0.25">
      <c r="A2971" t="s">
        <v>951</v>
      </c>
    </row>
    <row r="2972" spans="1:1" hidden="1" x14ac:dyDescent="0.25">
      <c r="A2972" t="s">
        <v>667</v>
      </c>
    </row>
    <row r="2973" spans="1:1" hidden="1" x14ac:dyDescent="0.25">
      <c r="A2973" t="s">
        <v>215</v>
      </c>
    </row>
    <row r="2974" spans="1:1" hidden="1" x14ac:dyDescent="0.25">
      <c r="A2974" t="s">
        <v>859</v>
      </c>
    </row>
    <row r="2975" spans="1:1" hidden="1" x14ac:dyDescent="0.25">
      <c r="A2975" t="s">
        <v>1372</v>
      </c>
    </row>
    <row r="2976" spans="1:1" hidden="1" x14ac:dyDescent="0.25">
      <c r="A2976" t="s">
        <v>622</v>
      </c>
    </row>
    <row r="2977" spans="1:1" hidden="1" x14ac:dyDescent="0.25">
      <c r="A2977" t="s">
        <v>2647</v>
      </c>
    </row>
    <row r="2978" spans="1:1" hidden="1" x14ac:dyDescent="0.25">
      <c r="A2978" t="s">
        <v>648</v>
      </c>
    </row>
    <row r="2979" spans="1:1" hidden="1" x14ac:dyDescent="0.25">
      <c r="A2979" t="s">
        <v>859</v>
      </c>
    </row>
    <row r="2980" spans="1:1" hidden="1" x14ac:dyDescent="0.25">
      <c r="A2980" t="s">
        <v>61</v>
      </c>
    </row>
    <row r="2981" spans="1:1" hidden="1" x14ac:dyDescent="0.25">
      <c r="A2981" t="s">
        <v>1798</v>
      </c>
    </row>
    <row r="2982" spans="1:1" hidden="1" x14ac:dyDescent="0.25">
      <c r="A2982" t="s">
        <v>392</v>
      </c>
    </row>
    <row r="2983" spans="1:1" hidden="1" x14ac:dyDescent="0.25">
      <c r="A2983" t="s">
        <v>1221</v>
      </c>
    </row>
    <row r="2984" spans="1:1" hidden="1" x14ac:dyDescent="0.25">
      <c r="A2984" t="s">
        <v>1443</v>
      </c>
    </row>
    <row r="2985" spans="1:1" hidden="1" x14ac:dyDescent="0.25">
      <c r="A2985" t="s">
        <v>253</v>
      </c>
    </row>
    <row r="2986" spans="1:1" hidden="1" x14ac:dyDescent="0.25">
      <c r="A2986" t="s">
        <v>859</v>
      </c>
    </row>
    <row r="2987" spans="1:1" hidden="1" x14ac:dyDescent="0.25">
      <c r="A2987" t="s">
        <v>553</v>
      </c>
    </row>
    <row r="2988" spans="1:1" hidden="1" x14ac:dyDescent="0.25">
      <c r="A2988" t="s">
        <v>392</v>
      </c>
    </row>
    <row r="2989" spans="1:1" hidden="1" x14ac:dyDescent="0.25">
      <c r="A2989" t="s">
        <v>2647</v>
      </c>
    </row>
    <row r="2990" spans="1:1" hidden="1" x14ac:dyDescent="0.25">
      <c r="A2990" t="s">
        <v>553</v>
      </c>
    </row>
    <row r="2991" spans="1:1" hidden="1" x14ac:dyDescent="0.25">
      <c r="A2991" t="s">
        <v>648</v>
      </c>
    </row>
    <row r="2992" spans="1:1" hidden="1" x14ac:dyDescent="0.25">
      <c r="A2992" t="s">
        <v>635</v>
      </c>
    </row>
    <row r="2993" spans="1:1" hidden="1" x14ac:dyDescent="0.25">
      <c r="A2993" t="s">
        <v>859</v>
      </c>
    </row>
    <row r="2994" spans="1:1" hidden="1" x14ac:dyDescent="0.25">
      <c r="A2994" t="s">
        <v>380</v>
      </c>
    </row>
    <row r="2995" spans="1:1" hidden="1" x14ac:dyDescent="0.25">
      <c r="A2995" t="s">
        <v>169</v>
      </c>
    </row>
    <row r="2996" spans="1:1" hidden="1" x14ac:dyDescent="0.25">
      <c r="A2996" t="s">
        <v>648</v>
      </c>
    </row>
    <row r="2997" spans="1:1" hidden="1" x14ac:dyDescent="0.25">
      <c r="A2997" t="s">
        <v>263</v>
      </c>
    </row>
    <row r="2998" spans="1:1" hidden="1" x14ac:dyDescent="0.25">
      <c r="A2998" t="s">
        <v>380</v>
      </c>
    </row>
    <row r="2999" spans="1:1" hidden="1" x14ac:dyDescent="0.25">
      <c r="A2999" t="s">
        <v>392</v>
      </c>
    </row>
    <row r="3000" spans="1:1" hidden="1" x14ac:dyDescent="0.25">
      <c r="A3000" t="s">
        <v>532</v>
      </c>
    </row>
    <row r="3001" spans="1:1" hidden="1" x14ac:dyDescent="0.25">
      <c r="A3001" t="s">
        <v>667</v>
      </c>
    </row>
    <row r="3002" spans="1:1" hidden="1" x14ac:dyDescent="0.25">
      <c r="A3002" t="s">
        <v>859</v>
      </c>
    </row>
    <row r="3003" spans="1:1" hidden="1" x14ac:dyDescent="0.25">
      <c r="A3003" t="s">
        <v>380</v>
      </c>
    </row>
    <row r="3004" spans="1:1" hidden="1" x14ac:dyDescent="0.25">
      <c r="A3004" t="s">
        <v>380</v>
      </c>
    </row>
    <row r="3005" spans="1:1" hidden="1" x14ac:dyDescent="0.25">
      <c r="A3005" t="s">
        <v>1552</v>
      </c>
    </row>
    <row r="3006" spans="1:1" hidden="1" x14ac:dyDescent="0.25">
      <c r="A3006" t="s">
        <v>406</v>
      </c>
    </row>
    <row r="3007" spans="1:1" hidden="1" x14ac:dyDescent="0.25">
      <c r="A3007" t="s">
        <v>622</v>
      </c>
    </row>
    <row r="3008" spans="1:1" hidden="1" x14ac:dyDescent="0.25">
      <c r="A3008" t="s">
        <v>1372</v>
      </c>
    </row>
    <row r="3009" spans="1:1" hidden="1" x14ac:dyDescent="0.25">
      <c r="A3009" t="s">
        <v>667</v>
      </c>
    </row>
    <row r="3010" spans="1:1" hidden="1" x14ac:dyDescent="0.25">
      <c r="A3010" t="s">
        <v>406</v>
      </c>
    </row>
    <row r="3011" spans="1:1" hidden="1" x14ac:dyDescent="0.25">
      <c r="A3011" t="s">
        <v>622</v>
      </c>
    </row>
    <row r="3012" spans="1:1" hidden="1" x14ac:dyDescent="0.25">
      <c r="A3012" t="s">
        <v>1469</v>
      </c>
    </row>
    <row r="3013" spans="1:1" hidden="1" x14ac:dyDescent="0.25">
      <c r="A3013" t="s">
        <v>392</v>
      </c>
    </row>
    <row r="3014" spans="1:1" hidden="1" x14ac:dyDescent="0.25">
      <c r="A3014" t="s">
        <v>392</v>
      </c>
    </row>
    <row r="3015" spans="1:1" hidden="1" x14ac:dyDescent="0.25">
      <c r="A3015" t="s">
        <v>667</v>
      </c>
    </row>
    <row r="3016" spans="1:1" hidden="1" x14ac:dyDescent="0.25">
      <c r="A3016" t="s">
        <v>449</v>
      </c>
    </row>
    <row r="3017" spans="1:1" hidden="1" x14ac:dyDescent="0.25">
      <c r="A3017" t="s">
        <v>1372</v>
      </c>
    </row>
    <row r="3018" spans="1:1" hidden="1" x14ac:dyDescent="0.25">
      <c r="A3018" t="s">
        <v>893</v>
      </c>
    </row>
    <row r="3019" spans="1:1" hidden="1" x14ac:dyDescent="0.25">
      <c r="A3019" t="s">
        <v>1443</v>
      </c>
    </row>
    <row r="3020" spans="1:1" hidden="1" x14ac:dyDescent="0.25">
      <c r="A3020" t="s">
        <v>951</v>
      </c>
    </row>
    <row r="3021" spans="1:1" hidden="1" x14ac:dyDescent="0.25">
      <c r="A3021" t="s">
        <v>263</v>
      </c>
    </row>
    <row r="3022" spans="1:1" hidden="1" x14ac:dyDescent="0.25">
      <c r="A3022" t="s">
        <v>893</v>
      </c>
    </row>
    <row r="3023" spans="1:1" hidden="1" x14ac:dyDescent="0.25">
      <c r="A3023" t="s">
        <v>807</v>
      </c>
    </row>
    <row r="3024" spans="1:1" hidden="1" x14ac:dyDescent="0.25">
      <c r="A3024" t="s">
        <v>532</v>
      </c>
    </row>
    <row r="3025" spans="1:1" hidden="1" x14ac:dyDescent="0.25">
      <c r="A3025" t="s">
        <v>380</v>
      </c>
    </row>
    <row r="3026" spans="1:1" hidden="1" x14ac:dyDescent="0.25">
      <c r="A3026" t="s">
        <v>562</v>
      </c>
    </row>
    <row r="3027" spans="1:1" hidden="1" x14ac:dyDescent="0.25">
      <c r="A3027" t="s">
        <v>1443</v>
      </c>
    </row>
    <row r="3028" spans="1:1" hidden="1" x14ac:dyDescent="0.25">
      <c r="A3028" t="s">
        <v>667</v>
      </c>
    </row>
    <row r="3029" spans="1:1" hidden="1" x14ac:dyDescent="0.25">
      <c r="A3029" t="s">
        <v>215</v>
      </c>
    </row>
    <row r="3030" spans="1:1" hidden="1" x14ac:dyDescent="0.25">
      <c r="A3030" t="s">
        <v>893</v>
      </c>
    </row>
    <row r="3031" spans="1:1" hidden="1" x14ac:dyDescent="0.25">
      <c r="A3031" t="s">
        <v>1443</v>
      </c>
    </row>
    <row r="3032" spans="1:1" hidden="1" x14ac:dyDescent="0.25">
      <c r="A3032" t="s">
        <v>169</v>
      </c>
    </row>
    <row r="3033" spans="1:1" hidden="1" x14ac:dyDescent="0.25">
      <c r="A3033" t="s">
        <v>2984</v>
      </c>
    </row>
    <row r="3034" spans="1:1" hidden="1" x14ac:dyDescent="0.25">
      <c r="A3034" t="s">
        <v>648</v>
      </c>
    </row>
    <row r="3035" spans="1:1" hidden="1" x14ac:dyDescent="0.25">
      <c r="A3035" t="s">
        <v>380</v>
      </c>
    </row>
    <row r="3036" spans="1:1" hidden="1" x14ac:dyDescent="0.25">
      <c r="A3036" t="s">
        <v>244</v>
      </c>
    </row>
    <row r="3037" spans="1:1" hidden="1" x14ac:dyDescent="0.25">
      <c r="A3037" t="s">
        <v>648</v>
      </c>
    </row>
    <row r="3038" spans="1:1" hidden="1" x14ac:dyDescent="0.25">
      <c r="A3038" t="s">
        <v>61</v>
      </c>
    </row>
    <row r="3039" spans="1:1" hidden="1" x14ac:dyDescent="0.25">
      <c r="A3039" t="s">
        <v>253</v>
      </c>
    </row>
    <row r="3040" spans="1:1" hidden="1" x14ac:dyDescent="0.25">
      <c r="A3040" t="s">
        <v>1155</v>
      </c>
    </row>
    <row r="3041" spans="1:1" hidden="1" x14ac:dyDescent="0.25">
      <c r="A3041" t="s">
        <v>1229</v>
      </c>
    </row>
    <row r="3042" spans="1:1" hidden="1" x14ac:dyDescent="0.25">
      <c r="A3042" t="s">
        <v>1874</v>
      </c>
    </row>
    <row r="3043" spans="1:1" hidden="1" x14ac:dyDescent="0.25">
      <c r="A3043" t="s">
        <v>859</v>
      </c>
    </row>
    <row r="3044" spans="1:1" hidden="1" x14ac:dyDescent="0.25">
      <c r="A3044" t="s">
        <v>392</v>
      </c>
    </row>
    <row r="3045" spans="1:1" hidden="1" x14ac:dyDescent="0.25">
      <c r="A3045" t="s">
        <v>680</v>
      </c>
    </row>
    <row r="3046" spans="1:1" hidden="1" x14ac:dyDescent="0.25">
      <c r="A3046" t="s">
        <v>1372</v>
      </c>
    </row>
    <row r="3047" spans="1:1" hidden="1" x14ac:dyDescent="0.25">
      <c r="A3047" t="s">
        <v>1552</v>
      </c>
    </row>
    <row r="3048" spans="1:1" hidden="1" x14ac:dyDescent="0.25">
      <c r="A3048" t="s">
        <v>667</v>
      </c>
    </row>
    <row r="3049" spans="1:1" hidden="1" x14ac:dyDescent="0.25">
      <c r="A3049" t="s">
        <v>951</v>
      </c>
    </row>
    <row r="3050" spans="1:1" hidden="1" x14ac:dyDescent="0.25">
      <c r="A3050" t="s">
        <v>893</v>
      </c>
    </row>
    <row r="3051" spans="1:1" hidden="1" x14ac:dyDescent="0.25">
      <c r="A3051" t="s">
        <v>244</v>
      </c>
    </row>
    <row r="3052" spans="1:1" hidden="1" x14ac:dyDescent="0.25">
      <c r="A3052" t="s">
        <v>1229</v>
      </c>
    </row>
    <row r="3053" spans="1:1" hidden="1" x14ac:dyDescent="0.25">
      <c r="A3053" t="s">
        <v>2060</v>
      </c>
    </row>
    <row r="3054" spans="1:1" hidden="1" x14ac:dyDescent="0.25">
      <c r="A3054" t="s">
        <v>648</v>
      </c>
    </row>
    <row r="3055" spans="1:1" hidden="1" x14ac:dyDescent="0.25">
      <c r="A3055" t="s">
        <v>169</v>
      </c>
    </row>
    <row r="3056" spans="1:1" hidden="1" x14ac:dyDescent="0.25">
      <c r="A3056" t="s">
        <v>169</v>
      </c>
    </row>
    <row r="3057" spans="1:1" hidden="1" x14ac:dyDescent="0.25">
      <c r="A3057" t="s">
        <v>169</v>
      </c>
    </row>
    <row r="3058" spans="1:1" hidden="1" x14ac:dyDescent="0.25">
      <c r="A3058" t="s">
        <v>859</v>
      </c>
    </row>
    <row r="3059" spans="1:1" hidden="1" x14ac:dyDescent="0.25">
      <c r="A3059" t="s">
        <v>648</v>
      </c>
    </row>
    <row r="3060" spans="1:1" hidden="1" x14ac:dyDescent="0.25">
      <c r="A3060" t="s">
        <v>667</v>
      </c>
    </row>
    <row r="3061" spans="1:1" hidden="1" x14ac:dyDescent="0.25">
      <c r="A3061" t="s">
        <v>667</v>
      </c>
    </row>
    <row r="3062" spans="1:1" hidden="1" x14ac:dyDescent="0.25">
      <c r="A3062" t="s">
        <v>635</v>
      </c>
    </row>
    <row r="3063" spans="1:1" hidden="1" x14ac:dyDescent="0.25">
      <c r="A3063" t="s">
        <v>169</v>
      </c>
    </row>
    <row r="3064" spans="1:1" hidden="1" x14ac:dyDescent="0.25">
      <c r="A3064" t="s">
        <v>274</v>
      </c>
    </row>
    <row r="3065" spans="1:1" hidden="1" x14ac:dyDescent="0.25">
      <c r="A3065" t="s">
        <v>186</v>
      </c>
    </row>
    <row r="3066" spans="1:1" hidden="1" x14ac:dyDescent="0.25">
      <c r="A3066" t="s">
        <v>2309</v>
      </c>
    </row>
    <row r="3067" spans="1:1" hidden="1" x14ac:dyDescent="0.25">
      <c r="A3067" t="s">
        <v>380</v>
      </c>
    </row>
    <row r="3068" spans="1:1" hidden="1" x14ac:dyDescent="0.25">
      <c r="A3068" t="s">
        <v>169</v>
      </c>
    </row>
    <row r="3069" spans="1:1" hidden="1" x14ac:dyDescent="0.25">
      <c r="A3069" t="s">
        <v>648</v>
      </c>
    </row>
    <row r="3070" spans="1:1" hidden="1" x14ac:dyDescent="0.25">
      <c r="A3070" t="s">
        <v>553</v>
      </c>
    </row>
    <row r="3071" spans="1:1" hidden="1" x14ac:dyDescent="0.25">
      <c r="A3071" t="s">
        <v>205</v>
      </c>
    </row>
    <row r="3072" spans="1:1" hidden="1" x14ac:dyDescent="0.25">
      <c r="A3072" t="s">
        <v>61</v>
      </c>
    </row>
    <row r="3073" spans="1:1" hidden="1" x14ac:dyDescent="0.25">
      <c r="A3073" t="s">
        <v>1372</v>
      </c>
    </row>
    <row r="3074" spans="1:1" hidden="1" x14ac:dyDescent="0.25">
      <c r="A3074" t="s">
        <v>2647</v>
      </c>
    </row>
    <row r="3075" spans="1:1" hidden="1" x14ac:dyDescent="0.25">
      <c r="A3075" t="s">
        <v>562</v>
      </c>
    </row>
    <row r="3076" spans="1:1" hidden="1" x14ac:dyDescent="0.25">
      <c r="A3076" t="s">
        <v>1936</v>
      </c>
    </row>
    <row r="3077" spans="1:1" hidden="1" x14ac:dyDescent="0.25">
      <c r="A3077" t="s">
        <v>1443</v>
      </c>
    </row>
    <row r="3078" spans="1:1" hidden="1" x14ac:dyDescent="0.25">
      <c r="A3078" t="s">
        <v>244</v>
      </c>
    </row>
    <row r="3079" spans="1:1" hidden="1" x14ac:dyDescent="0.25">
      <c r="A3079" t="s">
        <v>1443</v>
      </c>
    </row>
    <row r="3080" spans="1:1" hidden="1" x14ac:dyDescent="0.25">
      <c r="A3080" t="s">
        <v>2647</v>
      </c>
    </row>
    <row r="3081" spans="1:1" hidden="1" x14ac:dyDescent="0.25">
      <c r="A3081" t="s">
        <v>123</v>
      </c>
    </row>
    <row r="3082" spans="1:1" hidden="1" x14ac:dyDescent="0.25">
      <c r="A3082" t="s">
        <v>562</v>
      </c>
    </row>
    <row r="3083" spans="1:1" hidden="1" x14ac:dyDescent="0.25">
      <c r="A3083" t="s">
        <v>893</v>
      </c>
    </row>
    <row r="3084" spans="1:1" hidden="1" x14ac:dyDescent="0.25">
      <c r="A3084" t="s">
        <v>580</v>
      </c>
    </row>
    <row r="3085" spans="1:1" hidden="1" x14ac:dyDescent="0.25">
      <c r="A3085" t="s">
        <v>1443</v>
      </c>
    </row>
    <row r="3086" spans="1:1" hidden="1" x14ac:dyDescent="0.25">
      <c r="A3086" t="s">
        <v>263</v>
      </c>
    </row>
    <row r="3087" spans="1:1" hidden="1" x14ac:dyDescent="0.25">
      <c r="A3087" t="s">
        <v>1155</v>
      </c>
    </row>
    <row r="3088" spans="1:1" hidden="1" x14ac:dyDescent="0.25">
      <c r="A3088" t="s">
        <v>2647</v>
      </c>
    </row>
    <row r="3089" spans="1:1" hidden="1" x14ac:dyDescent="0.25">
      <c r="A3089" t="s">
        <v>2647</v>
      </c>
    </row>
    <row r="3090" spans="1:1" hidden="1" x14ac:dyDescent="0.25">
      <c r="A3090" t="s">
        <v>3277</v>
      </c>
    </row>
    <row r="3091" spans="1:1" hidden="1" x14ac:dyDescent="0.25">
      <c r="A3091" t="s">
        <v>1058</v>
      </c>
    </row>
    <row r="3092" spans="1:1" hidden="1" x14ac:dyDescent="0.25">
      <c r="A3092" t="s">
        <v>406</v>
      </c>
    </row>
    <row r="3093" spans="1:1" hidden="1" x14ac:dyDescent="0.25">
      <c r="A3093" t="s">
        <v>893</v>
      </c>
    </row>
    <row r="3094" spans="1:1" hidden="1" x14ac:dyDescent="0.25">
      <c r="A3094" t="s">
        <v>1443</v>
      </c>
    </row>
    <row r="3095" spans="1:1" hidden="1" x14ac:dyDescent="0.25">
      <c r="A3095" t="s">
        <v>667</v>
      </c>
    </row>
    <row r="3096" spans="1:1" hidden="1" x14ac:dyDescent="0.25">
      <c r="A3096" t="s">
        <v>61</v>
      </c>
    </row>
    <row r="3097" spans="1:1" hidden="1" x14ac:dyDescent="0.25">
      <c r="A3097" t="s">
        <v>893</v>
      </c>
    </row>
    <row r="3098" spans="1:1" hidden="1" x14ac:dyDescent="0.25">
      <c r="A3098" t="s">
        <v>61</v>
      </c>
    </row>
    <row r="3099" spans="1:1" hidden="1" x14ac:dyDescent="0.25">
      <c r="A3099" t="s">
        <v>1058</v>
      </c>
    </row>
    <row r="3100" spans="1:1" hidden="1" x14ac:dyDescent="0.25">
      <c r="A3100" t="s">
        <v>893</v>
      </c>
    </row>
    <row r="3101" spans="1:1" hidden="1" x14ac:dyDescent="0.25">
      <c r="A3101" t="s">
        <v>2647</v>
      </c>
    </row>
    <row r="3102" spans="1:1" hidden="1" x14ac:dyDescent="0.25">
      <c r="A3102" t="s">
        <v>2060</v>
      </c>
    </row>
    <row r="3103" spans="1:1" hidden="1" x14ac:dyDescent="0.25">
      <c r="A3103" t="s">
        <v>951</v>
      </c>
    </row>
    <row r="3104" spans="1:1" hidden="1" x14ac:dyDescent="0.25">
      <c r="A3104" t="s">
        <v>580</v>
      </c>
    </row>
    <row r="3105" spans="1:1" hidden="1" x14ac:dyDescent="0.25">
      <c r="A3105" t="s">
        <v>648</v>
      </c>
    </row>
    <row r="3106" spans="1:1" hidden="1" x14ac:dyDescent="0.25">
      <c r="A3106" t="s">
        <v>532</v>
      </c>
    </row>
    <row r="3107" spans="1:1" hidden="1" x14ac:dyDescent="0.25">
      <c r="A3107" t="s">
        <v>667</v>
      </c>
    </row>
    <row r="3108" spans="1:1" hidden="1" x14ac:dyDescent="0.25">
      <c r="A3108" t="s">
        <v>1126</v>
      </c>
    </row>
    <row r="3109" spans="1:1" hidden="1" x14ac:dyDescent="0.25">
      <c r="A3109" t="s">
        <v>1229</v>
      </c>
    </row>
    <row r="3110" spans="1:1" hidden="1" x14ac:dyDescent="0.25">
      <c r="A3110" t="s">
        <v>893</v>
      </c>
    </row>
    <row r="3111" spans="1:1" hidden="1" x14ac:dyDescent="0.25">
      <c r="A3111" t="s">
        <v>680</v>
      </c>
    </row>
    <row r="3112" spans="1:1" hidden="1" x14ac:dyDescent="0.25">
      <c r="A3112" t="s">
        <v>2647</v>
      </c>
    </row>
    <row r="3113" spans="1:1" hidden="1" x14ac:dyDescent="0.25">
      <c r="A3113" t="s">
        <v>215</v>
      </c>
    </row>
    <row r="3114" spans="1:1" hidden="1" x14ac:dyDescent="0.25">
      <c r="A3114" t="s">
        <v>61</v>
      </c>
    </row>
    <row r="3115" spans="1:1" hidden="1" x14ac:dyDescent="0.25">
      <c r="A3115" t="s">
        <v>680</v>
      </c>
    </row>
    <row r="3116" spans="1:1" hidden="1" x14ac:dyDescent="0.25">
      <c r="A3116" t="s">
        <v>2085</v>
      </c>
    </row>
    <row r="3117" spans="1:1" hidden="1" x14ac:dyDescent="0.25">
      <c r="A3117" t="s">
        <v>2128</v>
      </c>
    </row>
    <row r="3118" spans="1:1" hidden="1" x14ac:dyDescent="0.25">
      <c r="A3118" t="s">
        <v>1469</v>
      </c>
    </row>
    <row r="3119" spans="1:1" hidden="1" x14ac:dyDescent="0.25">
      <c r="A3119" t="s">
        <v>680</v>
      </c>
    </row>
    <row r="3120" spans="1:1" hidden="1" x14ac:dyDescent="0.25">
      <c r="A3120" t="s">
        <v>1229</v>
      </c>
    </row>
    <row r="3121" spans="1:1" hidden="1" x14ac:dyDescent="0.25">
      <c r="A3121" t="s">
        <v>3873</v>
      </c>
    </row>
    <row r="3122" spans="1:1" hidden="1" x14ac:dyDescent="0.25">
      <c r="A3122" t="s">
        <v>61</v>
      </c>
    </row>
    <row r="3123" spans="1:1" hidden="1" x14ac:dyDescent="0.25">
      <c r="A3123" t="s">
        <v>3873</v>
      </c>
    </row>
    <row r="3124" spans="1:1" hidden="1" x14ac:dyDescent="0.25">
      <c r="A3124" t="s">
        <v>380</v>
      </c>
    </row>
    <row r="3125" spans="1:1" hidden="1" x14ac:dyDescent="0.25">
      <c r="A3125" t="s">
        <v>667</v>
      </c>
    </row>
    <row r="3126" spans="1:1" hidden="1" x14ac:dyDescent="0.25">
      <c r="A3126" t="s">
        <v>667</v>
      </c>
    </row>
    <row r="3127" spans="1:1" hidden="1" x14ac:dyDescent="0.25">
      <c r="A3127" t="s">
        <v>392</v>
      </c>
    </row>
    <row r="3128" spans="1:1" hidden="1" x14ac:dyDescent="0.25">
      <c r="A3128" t="s">
        <v>532</v>
      </c>
    </row>
    <row r="3129" spans="1:1" hidden="1" x14ac:dyDescent="0.25">
      <c r="A3129" t="s">
        <v>667</v>
      </c>
    </row>
    <row r="3130" spans="1:1" hidden="1" x14ac:dyDescent="0.25">
      <c r="A3130" t="s">
        <v>3277</v>
      </c>
    </row>
    <row r="3131" spans="1:1" hidden="1" x14ac:dyDescent="0.25">
      <c r="A3131" t="s">
        <v>2647</v>
      </c>
    </row>
    <row r="3132" spans="1:1" hidden="1" x14ac:dyDescent="0.25">
      <c r="A3132" t="s">
        <v>205</v>
      </c>
    </row>
    <row r="3133" spans="1:1" hidden="1" x14ac:dyDescent="0.25">
      <c r="A3133" t="s">
        <v>2984</v>
      </c>
    </row>
    <row r="3134" spans="1:1" hidden="1" x14ac:dyDescent="0.25">
      <c r="A3134" t="s">
        <v>2309</v>
      </c>
    </row>
    <row r="3135" spans="1:1" hidden="1" x14ac:dyDescent="0.25">
      <c r="A3135" t="s">
        <v>667</v>
      </c>
    </row>
    <row r="3136" spans="1:1" hidden="1" x14ac:dyDescent="0.25">
      <c r="A3136" t="s">
        <v>667</v>
      </c>
    </row>
    <row r="3137" spans="1:1" hidden="1" x14ac:dyDescent="0.25">
      <c r="A3137" t="s">
        <v>449</v>
      </c>
    </row>
    <row r="3138" spans="1:1" hidden="1" x14ac:dyDescent="0.25">
      <c r="A3138" t="s">
        <v>392</v>
      </c>
    </row>
    <row r="3139" spans="1:1" hidden="1" x14ac:dyDescent="0.25">
      <c r="A3139" t="s">
        <v>380</v>
      </c>
    </row>
    <row r="3140" spans="1:1" hidden="1" x14ac:dyDescent="0.25">
      <c r="A3140" t="s">
        <v>3277</v>
      </c>
    </row>
    <row r="3141" spans="1:1" hidden="1" x14ac:dyDescent="0.25">
      <c r="A3141" t="s">
        <v>1469</v>
      </c>
    </row>
    <row r="3142" spans="1:1" hidden="1" x14ac:dyDescent="0.25">
      <c r="A3142" t="s">
        <v>1798</v>
      </c>
    </row>
    <row r="3143" spans="1:1" hidden="1" x14ac:dyDescent="0.25">
      <c r="A3143" t="s">
        <v>1372</v>
      </c>
    </row>
    <row r="3144" spans="1:1" hidden="1" x14ac:dyDescent="0.25">
      <c r="A3144" t="s">
        <v>648</v>
      </c>
    </row>
    <row r="3145" spans="1:1" hidden="1" x14ac:dyDescent="0.25">
      <c r="A3145" t="s">
        <v>380</v>
      </c>
    </row>
    <row r="3146" spans="1:1" hidden="1" x14ac:dyDescent="0.25">
      <c r="A3146" t="s">
        <v>859</v>
      </c>
    </row>
    <row r="3147" spans="1:1" hidden="1" x14ac:dyDescent="0.25">
      <c r="A3147" t="s">
        <v>893</v>
      </c>
    </row>
    <row r="3148" spans="1:1" hidden="1" x14ac:dyDescent="0.25">
      <c r="A3148" t="s">
        <v>263</v>
      </c>
    </row>
    <row r="3149" spans="1:1" hidden="1" x14ac:dyDescent="0.25">
      <c r="A3149" t="s">
        <v>680</v>
      </c>
    </row>
    <row r="3150" spans="1:1" hidden="1" x14ac:dyDescent="0.25">
      <c r="A3150" t="s">
        <v>1874</v>
      </c>
    </row>
    <row r="3151" spans="1:1" hidden="1" x14ac:dyDescent="0.25">
      <c r="A3151" t="s">
        <v>392</v>
      </c>
    </row>
    <row r="3152" spans="1:1" hidden="1" x14ac:dyDescent="0.25">
      <c r="A3152" t="s">
        <v>3277</v>
      </c>
    </row>
    <row r="3153" spans="1:1" hidden="1" x14ac:dyDescent="0.25">
      <c r="A3153" t="s">
        <v>263</v>
      </c>
    </row>
    <row r="3154" spans="1:1" hidden="1" x14ac:dyDescent="0.25">
      <c r="A3154" t="s">
        <v>169</v>
      </c>
    </row>
    <row r="3155" spans="1:1" hidden="1" x14ac:dyDescent="0.25">
      <c r="A3155" t="s">
        <v>274</v>
      </c>
    </row>
    <row r="3156" spans="1:1" hidden="1" x14ac:dyDescent="0.25">
      <c r="A3156" t="s">
        <v>380</v>
      </c>
    </row>
    <row r="3157" spans="1:1" hidden="1" x14ac:dyDescent="0.25">
      <c r="A3157" t="s">
        <v>2128</v>
      </c>
    </row>
    <row r="3158" spans="1:1" hidden="1" x14ac:dyDescent="0.25">
      <c r="A3158" t="s">
        <v>2647</v>
      </c>
    </row>
    <row r="3159" spans="1:1" hidden="1" x14ac:dyDescent="0.25">
      <c r="A3159" t="s">
        <v>580</v>
      </c>
    </row>
    <row r="3160" spans="1:1" hidden="1" x14ac:dyDescent="0.25">
      <c r="A3160" t="s">
        <v>1443</v>
      </c>
    </row>
    <row r="3161" spans="1:1" hidden="1" x14ac:dyDescent="0.25">
      <c r="A3161" t="s">
        <v>648</v>
      </c>
    </row>
    <row r="3162" spans="1:1" hidden="1" x14ac:dyDescent="0.25">
      <c r="A3162" t="s">
        <v>635</v>
      </c>
    </row>
    <row r="3163" spans="1:1" hidden="1" x14ac:dyDescent="0.25">
      <c r="A3163" t="s">
        <v>244</v>
      </c>
    </row>
    <row r="3164" spans="1:1" hidden="1" x14ac:dyDescent="0.25">
      <c r="A3164" t="s">
        <v>263</v>
      </c>
    </row>
    <row r="3165" spans="1:1" hidden="1" x14ac:dyDescent="0.25">
      <c r="A3165" t="s">
        <v>1229</v>
      </c>
    </row>
    <row r="3166" spans="1:1" hidden="1" x14ac:dyDescent="0.25">
      <c r="A3166" t="s">
        <v>380</v>
      </c>
    </row>
    <row r="3167" spans="1:1" hidden="1" x14ac:dyDescent="0.25">
      <c r="A3167" t="s">
        <v>263</v>
      </c>
    </row>
    <row r="3168" spans="1:1" hidden="1" x14ac:dyDescent="0.25">
      <c r="A3168" t="s">
        <v>648</v>
      </c>
    </row>
    <row r="3169" spans="1:1" hidden="1" x14ac:dyDescent="0.25">
      <c r="A3169" t="s">
        <v>951</v>
      </c>
    </row>
    <row r="3170" spans="1:1" hidden="1" x14ac:dyDescent="0.25">
      <c r="A3170" t="s">
        <v>1372</v>
      </c>
    </row>
    <row r="3171" spans="1:1" hidden="1" x14ac:dyDescent="0.25">
      <c r="A3171" t="s">
        <v>244</v>
      </c>
    </row>
    <row r="3172" spans="1:1" hidden="1" x14ac:dyDescent="0.25">
      <c r="A3172" t="s">
        <v>1221</v>
      </c>
    </row>
    <row r="3173" spans="1:1" hidden="1" x14ac:dyDescent="0.25">
      <c r="A3173" t="s">
        <v>2128</v>
      </c>
    </row>
    <row r="3174" spans="1:1" hidden="1" x14ac:dyDescent="0.25">
      <c r="A3174" t="s">
        <v>380</v>
      </c>
    </row>
    <row r="3175" spans="1:1" hidden="1" x14ac:dyDescent="0.25">
      <c r="A3175" t="s">
        <v>2647</v>
      </c>
    </row>
    <row r="3176" spans="1:1" hidden="1" x14ac:dyDescent="0.25">
      <c r="A3176" t="s">
        <v>392</v>
      </c>
    </row>
    <row r="3177" spans="1:1" hidden="1" x14ac:dyDescent="0.25">
      <c r="A3177" t="s">
        <v>186</v>
      </c>
    </row>
    <row r="3178" spans="1:1" hidden="1" x14ac:dyDescent="0.25">
      <c r="A3178" t="s">
        <v>667</v>
      </c>
    </row>
    <row r="3179" spans="1:1" hidden="1" x14ac:dyDescent="0.25">
      <c r="A3179" t="s">
        <v>1126</v>
      </c>
    </row>
    <row r="3180" spans="1:1" hidden="1" x14ac:dyDescent="0.25">
      <c r="A3180" t="s">
        <v>807</v>
      </c>
    </row>
    <row r="3181" spans="1:1" hidden="1" x14ac:dyDescent="0.25">
      <c r="A3181" t="s">
        <v>274</v>
      </c>
    </row>
    <row r="3182" spans="1:1" hidden="1" x14ac:dyDescent="0.25">
      <c r="A3182" t="s">
        <v>893</v>
      </c>
    </row>
    <row r="3183" spans="1:1" hidden="1" x14ac:dyDescent="0.25">
      <c r="A3183" t="s">
        <v>169</v>
      </c>
    </row>
    <row r="3184" spans="1:1" hidden="1" x14ac:dyDescent="0.25">
      <c r="A3184" t="s">
        <v>2309</v>
      </c>
    </row>
    <row r="3185" spans="1:1" hidden="1" x14ac:dyDescent="0.25">
      <c r="A3185" t="s">
        <v>648</v>
      </c>
    </row>
    <row r="3186" spans="1:1" hidden="1" x14ac:dyDescent="0.25">
      <c r="A3186" t="s">
        <v>380</v>
      </c>
    </row>
    <row r="3187" spans="1:1" hidden="1" x14ac:dyDescent="0.25">
      <c r="A3187" t="s">
        <v>215</v>
      </c>
    </row>
    <row r="3188" spans="1:1" hidden="1" x14ac:dyDescent="0.25">
      <c r="A3188" t="s">
        <v>532</v>
      </c>
    </row>
    <row r="3189" spans="1:1" hidden="1" x14ac:dyDescent="0.25">
      <c r="A3189" t="s">
        <v>648</v>
      </c>
    </row>
    <row r="3190" spans="1:1" hidden="1" x14ac:dyDescent="0.25">
      <c r="A3190" t="s">
        <v>2128</v>
      </c>
    </row>
    <row r="3191" spans="1:1" hidden="1" x14ac:dyDescent="0.25">
      <c r="A3191" t="s">
        <v>392</v>
      </c>
    </row>
    <row r="3192" spans="1:1" hidden="1" x14ac:dyDescent="0.25">
      <c r="A3192" t="s">
        <v>392</v>
      </c>
    </row>
    <row r="3193" spans="1:1" hidden="1" x14ac:dyDescent="0.25">
      <c r="A3193" t="s">
        <v>3873</v>
      </c>
    </row>
    <row r="3194" spans="1:1" hidden="1" x14ac:dyDescent="0.25">
      <c r="A3194" t="s">
        <v>667</v>
      </c>
    </row>
    <row r="3195" spans="1:1" hidden="1" x14ac:dyDescent="0.25">
      <c r="A3195" t="s">
        <v>1372</v>
      </c>
    </row>
    <row r="3196" spans="1:1" hidden="1" x14ac:dyDescent="0.25">
      <c r="A3196" t="s">
        <v>392</v>
      </c>
    </row>
    <row r="3197" spans="1:1" hidden="1" x14ac:dyDescent="0.25">
      <c r="A3197" t="s">
        <v>893</v>
      </c>
    </row>
    <row r="3198" spans="1:1" hidden="1" x14ac:dyDescent="0.25">
      <c r="A3198" t="s">
        <v>1443</v>
      </c>
    </row>
    <row r="3199" spans="1:1" hidden="1" x14ac:dyDescent="0.25">
      <c r="A3199" t="s">
        <v>622</v>
      </c>
    </row>
    <row r="3200" spans="1:1" hidden="1" x14ac:dyDescent="0.25">
      <c r="A3200" t="s">
        <v>392</v>
      </c>
    </row>
    <row r="3201" spans="1:1" hidden="1" x14ac:dyDescent="0.25">
      <c r="A3201" t="s">
        <v>680</v>
      </c>
    </row>
    <row r="3202" spans="1:1" hidden="1" x14ac:dyDescent="0.25">
      <c r="A3202" t="s">
        <v>380</v>
      </c>
    </row>
    <row r="3203" spans="1:1" hidden="1" x14ac:dyDescent="0.25">
      <c r="A3203" t="s">
        <v>532</v>
      </c>
    </row>
    <row r="3204" spans="1:1" hidden="1" x14ac:dyDescent="0.25">
      <c r="A3204" t="s">
        <v>667</v>
      </c>
    </row>
    <row r="3205" spans="1:1" hidden="1" x14ac:dyDescent="0.25">
      <c r="A3205" t="s">
        <v>622</v>
      </c>
    </row>
    <row r="3206" spans="1:1" hidden="1" x14ac:dyDescent="0.25">
      <c r="A3206" t="s">
        <v>169</v>
      </c>
    </row>
    <row r="3207" spans="1:1" hidden="1" x14ac:dyDescent="0.25">
      <c r="A3207" t="s">
        <v>392</v>
      </c>
    </row>
    <row r="3208" spans="1:1" hidden="1" x14ac:dyDescent="0.25">
      <c r="A3208" t="s">
        <v>1126</v>
      </c>
    </row>
    <row r="3209" spans="1:1" hidden="1" x14ac:dyDescent="0.25">
      <c r="A3209" t="s">
        <v>1229</v>
      </c>
    </row>
    <row r="3210" spans="1:1" hidden="1" x14ac:dyDescent="0.25">
      <c r="A3210" t="s">
        <v>1874</v>
      </c>
    </row>
    <row r="3211" spans="1:1" hidden="1" x14ac:dyDescent="0.25">
      <c r="A3211" t="s">
        <v>380</v>
      </c>
    </row>
    <row r="3212" spans="1:1" hidden="1" x14ac:dyDescent="0.25">
      <c r="A3212" t="s">
        <v>2060</v>
      </c>
    </row>
    <row r="3213" spans="1:1" hidden="1" x14ac:dyDescent="0.25">
      <c r="A3213" t="s">
        <v>2128</v>
      </c>
    </row>
    <row r="3214" spans="1:1" hidden="1" x14ac:dyDescent="0.25">
      <c r="A3214" t="s">
        <v>1229</v>
      </c>
    </row>
    <row r="3215" spans="1:1" hidden="1" x14ac:dyDescent="0.25">
      <c r="A3215" t="s">
        <v>1443</v>
      </c>
    </row>
    <row r="3216" spans="1:1" hidden="1" x14ac:dyDescent="0.25">
      <c r="A3216" t="s">
        <v>648</v>
      </c>
    </row>
    <row r="3217" spans="1:1" hidden="1" x14ac:dyDescent="0.25">
      <c r="A3217" t="s">
        <v>893</v>
      </c>
    </row>
    <row r="3218" spans="1:1" hidden="1" x14ac:dyDescent="0.25">
      <c r="A3218" t="s">
        <v>1874</v>
      </c>
    </row>
    <row r="3219" spans="1:1" hidden="1" x14ac:dyDescent="0.25">
      <c r="A3219" t="s">
        <v>186</v>
      </c>
    </row>
    <row r="3220" spans="1:1" hidden="1" x14ac:dyDescent="0.25">
      <c r="A3220" t="s">
        <v>1372</v>
      </c>
    </row>
    <row r="3221" spans="1:1" hidden="1" x14ac:dyDescent="0.25">
      <c r="A3221" t="s">
        <v>1443</v>
      </c>
    </row>
    <row r="3222" spans="1:1" hidden="1" x14ac:dyDescent="0.25">
      <c r="A3222" t="s">
        <v>859</v>
      </c>
    </row>
    <row r="3223" spans="1:1" hidden="1" x14ac:dyDescent="0.25">
      <c r="A3223" t="s">
        <v>392</v>
      </c>
    </row>
    <row r="3224" spans="1:1" hidden="1" x14ac:dyDescent="0.25">
      <c r="A3224" t="s">
        <v>1229</v>
      </c>
    </row>
    <row r="3225" spans="1:1" hidden="1" x14ac:dyDescent="0.25">
      <c r="A3225" t="s">
        <v>380</v>
      </c>
    </row>
    <row r="3226" spans="1:1" hidden="1" x14ac:dyDescent="0.25">
      <c r="A3226" t="s">
        <v>392</v>
      </c>
    </row>
    <row r="3227" spans="1:1" hidden="1" x14ac:dyDescent="0.25">
      <c r="A3227" t="s">
        <v>1229</v>
      </c>
    </row>
    <row r="3228" spans="1:1" hidden="1" x14ac:dyDescent="0.25">
      <c r="A3228" t="s">
        <v>1229</v>
      </c>
    </row>
    <row r="3229" spans="1:1" hidden="1" x14ac:dyDescent="0.25">
      <c r="A3229" t="s">
        <v>244</v>
      </c>
    </row>
    <row r="3230" spans="1:1" hidden="1" x14ac:dyDescent="0.25">
      <c r="A3230" t="s">
        <v>1443</v>
      </c>
    </row>
    <row r="3231" spans="1:1" hidden="1" x14ac:dyDescent="0.25">
      <c r="A3231" t="s">
        <v>532</v>
      </c>
    </row>
    <row r="3232" spans="1:1" hidden="1" x14ac:dyDescent="0.25">
      <c r="A3232" t="s">
        <v>2128</v>
      </c>
    </row>
    <row r="3233" spans="1:1" hidden="1" x14ac:dyDescent="0.25">
      <c r="A3233" t="s">
        <v>392</v>
      </c>
    </row>
    <row r="3234" spans="1:1" hidden="1" x14ac:dyDescent="0.25">
      <c r="A3234" t="s">
        <v>648</v>
      </c>
    </row>
    <row r="3235" spans="1:1" hidden="1" x14ac:dyDescent="0.25">
      <c r="A3235" t="s">
        <v>680</v>
      </c>
    </row>
    <row r="3236" spans="1:1" hidden="1" x14ac:dyDescent="0.25">
      <c r="A3236" t="s">
        <v>263</v>
      </c>
    </row>
    <row r="3237" spans="1:1" hidden="1" x14ac:dyDescent="0.25">
      <c r="A3237" t="s">
        <v>392</v>
      </c>
    </row>
    <row r="3238" spans="1:1" hidden="1" x14ac:dyDescent="0.25">
      <c r="A3238" t="s">
        <v>648</v>
      </c>
    </row>
    <row r="3239" spans="1:1" hidden="1" x14ac:dyDescent="0.25">
      <c r="A3239" t="s">
        <v>859</v>
      </c>
    </row>
    <row r="3240" spans="1:1" hidden="1" x14ac:dyDescent="0.25">
      <c r="A3240" t="s">
        <v>2647</v>
      </c>
    </row>
    <row r="3241" spans="1:1" hidden="1" x14ac:dyDescent="0.25">
      <c r="A3241" t="s">
        <v>1372</v>
      </c>
    </row>
    <row r="3242" spans="1:1" hidden="1" x14ac:dyDescent="0.25">
      <c r="A3242" t="s">
        <v>1443</v>
      </c>
    </row>
    <row r="3243" spans="1:1" hidden="1" x14ac:dyDescent="0.25">
      <c r="A3243" t="s">
        <v>169</v>
      </c>
    </row>
    <row r="3244" spans="1:1" hidden="1" x14ac:dyDescent="0.25">
      <c r="A3244" t="s">
        <v>2309</v>
      </c>
    </row>
    <row r="3245" spans="1:1" hidden="1" x14ac:dyDescent="0.25">
      <c r="A3245" t="s">
        <v>1936</v>
      </c>
    </row>
    <row r="3246" spans="1:1" hidden="1" x14ac:dyDescent="0.25">
      <c r="A3246" t="s">
        <v>667</v>
      </c>
    </row>
    <row r="3247" spans="1:1" hidden="1" x14ac:dyDescent="0.25">
      <c r="A3247" t="s">
        <v>648</v>
      </c>
    </row>
    <row r="3248" spans="1:1" hidden="1" x14ac:dyDescent="0.25">
      <c r="A3248" t="s">
        <v>562</v>
      </c>
    </row>
    <row r="3249" spans="1:1" hidden="1" x14ac:dyDescent="0.25">
      <c r="A3249" t="s">
        <v>380</v>
      </c>
    </row>
    <row r="3250" spans="1:1" hidden="1" x14ac:dyDescent="0.25">
      <c r="A3250" t="s">
        <v>648</v>
      </c>
    </row>
    <row r="3251" spans="1:1" hidden="1" x14ac:dyDescent="0.25">
      <c r="A3251" t="s">
        <v>648</v>
      </c>
    </row>
    <row r="3252" spans="1:1" hidden="1" x14ac:dyDescent="0.25">
      <c r="A3252" t="s">
        <v>562</v>
      </c>
    </row>
    <row r="3253" spans="1:1" hidden="1" x14ac:dyDescent="0.25">
      <c r="A3253" t="s">
        <v>667</v>
      </c>
    </row>
    <row r="3254" spans="1:1" hidden="1" x14ac:dyDescent="0.25">
      <c r="A3254" t="s">
        <v>169</v>
      </c>
    </row>
    <row r="3255" spans="1:1" hidden="1" x14ac:dyDescent="0.25">
      <c r="A3255" t="s">
        <v>807</v>
      </c>
    </row>
    <row r="3256" spans="1:1" hidden="1" x14ac:dyDescent="0.25">
      <c r="A3256" t="s">
        <v>169</v>
      </c>
    </row>
    <row r="3257" spans="1:1" hidden="1" x14ac:dyDescent="0.25">
      <c r="A3257" t="s">
        <v>1372</v>
      </c>
    </row>
    <row r="3258" spans="1:1" hidden="1" x14ac:dyDescent="0.25">
      <c r="A3258" t="s">
        <v>532</v>
      </c>
    </row>
    <row r="3259" spans="1:1" hidden="1" x14ac:dyDescent="0.25">
      <c r="A3259" t="s">
        <v>667</v>
      </c>
    </row>
    <row r="3260" spans="1:1" hidden="1" x14ac:dyDescent="0.25">
      <c r="A3260" t="s">
        <v>1443</v>
      </c>
    </row>
    <row r="3261" spans="1:1" hidden="1" x14ac:dyDescent="0.25">
      <c r="A3261" t="s">
        <v>622</v>
      </c>
    </row>
    <row r="3262" spans="1:1" hidden="1" x14ac:dyDescent="0.25">
      <c r="A3262" t="s">
        <v>263</v>
      </c>
    </row>
    <row r="3263" spans="1:1" hidden="1" x14ac:dyDescent="0.25">
      <c r="A3263" t="s">
        <v>553</v>
      </c>
    </row>
    <row r="3264" spans="1:1" hidden="1" x14ac:dyDescent="0.25">
      <c r="A3264" t="s">
        <v>2128</v>
      </c>
    </row>
    <row r="3265" spans="1:1" hidden="1" x14ac:dyDescent="0.25">
      <c r="A3265" t="s">
        <v>667</v>
      </c>
    </row>
    <row r="3266" spans="1:1" hidden="1" x14ac:dyDescent="0.25">
      <c r="A3266" t="s">
        <v>2128</v>
      </c>
    </row>
    <row r="3267" spans="1:1" hidden="1" x14ac:dyDescent="0.25">
      <c r="A3267" t="s">
        <v>667</v>
      </c>
    </row>
    <row r="3268" spans="1:1" hidden="1" x14ac:dyDescent="0.25">
      <c r="A3268" t="s">
        <v>807</v>
      </c>
    </row>
    <row r="3269" spans="1:1" hidden="1" x14ac:dyDescent="0.25">
      <c r="A3269" t="s">
        <v>2001</v>
      </c>
    </row>
    <row r="3270" spans="1:1" hidden="1" x14ac:dyDescent="0.25">
      <c r="A3270" t="s">
        <v>667</v>
      </c>
    </row>
    <row r="3271" spans="1:1" hidden="1" x14ac:dyDescent="0.25">
      <c r="A3271" t="s">
        <v>1469</v>
      </c>
    </row>
    <row r="3272" spans="1:1" hidden="1" x14ac:dyDescent="0.25">
      <c r="A3272" t="s">
        <v>2128</v>
      </c>
    </row>
    <row r="3273" spans="1:1" hidden="1" x14ac:dyDescent="0.25">
      <c r="A3273" t="s">
        <v>1443</v>
      </c>
    </row>
    <row r="3274" spans="1:1" hidden="1" x14ac:dyDescent="0.25">
      <c r="A3274" t="s">
        <v>648</v>
      </c>
    </row>
    <row r="3275" spans="1:1" hidden="1" x14ac:dyDescent="0.25">
      <c r="A3275" t="s">
        <v>532</v>
      </c>
    </row>
    <row r="3276" spans="1:1" hidden="1" x14ac:dyDescent="0.25">
      <c r="A3276" t="s">
        <v>648</v>
      </c>
    </row>
    <row r="3277" spans="1:1" hidden="1" x14ac:dyDescent="0.25">
      <c r="A3277" t="s">
        <v>2647</v>
      </c>
    </row>
    <row r="3278" spans="1:1" hidden="1" x14ac:dyDescent="0.25">
      <c r="A3278" t="s">
        <v>2001</v>
      </c>
    </row>
    <row r="3279" spans="1:1" hidden="1" x14ac:dyDescent="0.25">
      <c r="A3279" t="s">
        <v>1058</v>
      </c>
    </row>
    <row r="3280" spans="1:1" hidden="1" x14ac:dyDescent="0.25">
      <c r="A3280" t="s">
        <v>1229</v>
      </c>
    </row>
    <row r="3281" spans="1:1" hidden="1" x14ac:dyDescent="0.25">
      <c r="A3281" t="s">
        <v>648</v>
      </c>
    </row>
    <row r="3282" spans="1:1" hidden="1" x14ac:dyDescent="0.25">
      <c r="A3282" t="s">
        <v>648</v>
      </c>
    </row>
    <row r="3283" spans="1:1" hidden="1" x14ac:dyDescent="0.25">
      <c r="A3283" t="s">
        <v>1372</v>
      </c>
    </row>
    <row r="3284" spans="1:1" hidden="1" x14ac:dyDescent="0.25">
      <c r="A3284" t="s">
        <v>553</v>
      </c>
    </row>
    <row r="3285" spans="1:1" hidden="1" x14ac:dyDescent="0.25">
      <c r="A3285" t="s">
        <v>392</v>
      </c>
    </row>
    <row r="3286" spans="1:1" hidden="1" x14ac:dyDescent="0.25">
      <c r="A3286" t="s">
        <v>532</v>
      </c>
    </row>
    <row r="3287" spans="1:1" hidden="1" x14ac:dyDescent="0.25">
      <c r="A3287" t="s">
        <v>406</v>
      </c>
    </row>
    <row r="3288" spans="1:1" hidden="1" x14ac:dyDescent="0.25">
      <c r="A3288" t="s">
        <v>1469</v>
      </c>
    </row>
    <row r="3289" spans="1:1" hidden="1" x14ac:dyDescent="0.25">
      <c r="A3289" t="s">
        <v>2060</v>
      </c>
    </row>
    <row r="3290" spans="1:1" hidden="1" x14ac:dyDescent="0.25">
      <c r="A3290" t="s">
        <v>380</v>
      </c>
    </row>
    <row r="3291" spans="1:1" hidden="1" x14ac:dyDescent="0.25">
      <c r="A3291" t="s">
        <v>648</v>
      </c>
    </row>
    <row r="3292" spans="1:1" hidden="1" x14ac:dyDescent="0.25">
      <c r="A3292" t="s">
        <v>2128</v>
      </c>
    </row>
    <row r="3293" spans="1:1" hidden="1" x14ac:dyDescent="0.25">
      <c r="A3293" t="s">
        <v>1058</v>
      </c>
    </row>
    <row r="3294" spans="1:1" hidden="1" x14ac:dyDescent="0.25">
      <c r="A3294" t="s">
        <v>1443</v>
      </c>
    </row>
    <row r="3295" spans="1:1" hidden="1" x14ac:dyDescent="0.25">
      <c r="A3295" t="s">
        <v>622</v>
      </c>
    </row>
    <row r="3296" spans="1:1" hidden="1" x14ac:dyDescent="0.25">
      <c r="A3296" t="s">
        <v>2060</v>
      </c>
    </row>
    <row r="3297" spans="1:1" hidden="1" x14ac:dyDescent="0.25">
      <c r="A3297" t="s">
        <v>859</v>
      </c>
    </row>
    <row r="3298" spans="1:1" hidden="1" x14ac:dyDescent="0.25">
      <c r="A3298" t="s">
        <v>253</v>
      </c>
    </row>
    <row r="3299" spans="1:1" hidden="1" x14ac:dyDescent="0.25">
      <c r="A3299" t="s">
        <v>2647</v>
      </c>
    </row>
    <row r="3300" spans="1:1" hidden="1" x14ac:dyDescent="0.25">
      <c r="A3300" t="s">
        <v>1443</v>
      </c>
    </row>
    <row r="3301" spans="1:1" hidden="1" x14ac:dyDescent="0.25">
      <c r="A3301" t="s">
        <v>61</v>
      </c>
    </row>
    <row r="3302" spans="1:1" hidden="1" x14ac:dyDescent="0.25">
      <c r="A3302" t="s">
        <v>893</v>
      </c>
    </row>
    <row r="3303" spans="1:1" hidden="1" x14ac:dyDescent="0.25">
      <c r="A3303" t="s">
        <v>648</v>
      </c>
    </row>
    <row r="3304" spans="1:1" hidden="1" x14ac:dyDescent="0.25">
      <c r="A3304" t="s">
        <v>788</v>
      </c>
    </row>
    <row r="3305" spans="1:1" hidden="1" x14ac:dyDescent="0.25">
      <c r="A3305" t="s">
        <v>1443</v>
      </c>
    </row>
    <row r="3306" spans="1:1" hidden="1" x14ac:dyDescent="0.25">
      <c r="A3306" t="s">
        <v>807</v>
      </c>
    </row>
    <row r="3307" spans="1:1" hidden="1" x14ac:dyDescent="0.25">
      <c r="A3307" t="s">
        <v>622</v>
      </c>
    </row>
    <row r="3308" spans="1:1" hidden="1" x14ac:dyDescent="0.25">
      <c r="A3308" t="s">
        <v>380</v>
      </c>
    </row>
    <row r="3309" spans="1:1" hidden="1" x14ac:dyDescent="0.25">
      <c r="A3309" t="s">
        <v>1229</v>
      </c>
    </row>
    <row r="3310" spans="1:1" hidden="1" x14ac:dyDescent="0.25">
      <c r="A3310" t="s">
        <v>263</v>
      </c>
    </row>
    <row r="3311" spans="1:1" hidden="1" x14ac:dyDescent="0.25">
      <c r="A3311" t="s">
        <v>648</v>
      </c>
    </row>
    <row r="3312" spans="1:1" hidden="1" x14ac:dyDescent="0.25">
      <c r="A3312" t="s">
        <v>1372</v>
      </c>
    </row>
    <row r="3313" spans="1:1" hidden="1" x14ac:dyDescent="0.25">
      <c r="A3313" t="s">
        <v>392</v>
      </c>
    </row>
    <row r="3314" spans="1:1" hidden="1" x14ac:dyDescent="0.25">
      <c r="A3314" t="s">
        <v>580</v>
      </c>
    </row>
    <row r="3315" spans="1:1" hidden="1" x14ac:dyDescent="0.25">
      <c r="A3315" t="s">
        <v>123</v>
      </c>
    </row>
    <row r="3316" spans="1:1" hidden="1" x14ac:dyDescent="0.25">
      <c r="A3316" t="s">
        <v>648</v>
      </c>
    </row>
    <row r="3317" spans="1:1" hidden="1" x14ac:dyDescent="0.25">
      <c r="A3317" t="s">
        <v>667</v>
      </c>
    </row>
    <row r="3318" spans="1:1" hidden="1" x14ac:dyDescent="0.25">
      <c r="A3318" t="s">
        <v>859</v>
      </c>
    </row>
    <row r="3319" spans="1:1" hidden="1" x14ac:dyDescent="0.25">
      <c r="A3319" t="s">
        <v>553</v>
      </c>
    </row>
    <row r="3320" spans="1:1" hidden="1" x14ac:dyDescent="0.25">
      <c r="A3320" t="s">
        <v>253</v>
      </c>
    </row>
    <row r="3321" spans="1:1" hidden="1" x14ac:dyDescent="0.25">
      <c r="A3321" t="s">
        <v>2647</v>
      </c>
    </row>
    <row r="3322" spans="1:1" hidden="1" x14ac:dyDescent="0.25">
      <c r="A3322" t="s">
        <v>2647</v>
      </c>
    </row>
    <row r="3323" spans="1:1" hidden="1" x14ac:dyDescent="0.25">
      <c r="A3323" t="s">
        <v>380</v>
      </c>
    </row>
    <row r="3324" spans="1:1" hidden="1" x14ac:dyDescent="0.25">
      <c r="A3324" t="s">
        <v>274</v>
      </c>
    </row>
    <row r="3325" spans="1:1" hidden="1" x14ac:dyDescent="0.25">
      <c r="A3325" t="s">
        <v>1126</v>
      </c>
    </row>
    <row r="3326" spans="1:1" hidden="1" x14ac:dyDescent="0.25">
      <c r="A3326" t="s">
        <v>648</v>
      </c>
    </row>
    <row r="3327" spans="1:1" hidden="1" x14ac:dyDescent="0.25">
      <c r="A3327" t="s">
        <v>186</v>
      </c>
    </row>
    <row r="3328" spans="1:1" hidden="1" x14ac:dyDescent="0.25">
      <c r="A3328" t="s">
        <v>622</v>
      </c>
    </row>
    <row r="3329" spans="1:1" hidden="1" x14ac:dyDescent="0.25">
      <c r="A3329" t="s">
        <v>648</v>
      </c>
    </row>
    <row r="3330" spans="1:1" hidden="1" x14ac:dyDescent="0.25">
      <c r="A3330" t="s">
        <v>2128</v>
      </c>
    </row>
    <row r="3331" spans="1:1" hidden="1" x14ac:dyDescent="0.25">
      <c r="A3331" t="s">
        <v>215</v>
      </c>
    </row>
    <row r="3332" spans="1:1" hidden="1" x14ac:dyDescent="0.25">
      <c r="A3332" t="s">
        <v>380</v>
      </c>
    </row>
    <row r="3333" spans="1:1" hidden="1" x14ac:dyDescent="0.25">
      <c r="A3333" t="s">
        <v>2128</v>
      </c>
    </row>
    <row r="3334" spans="1:1" hidden="1" x14ac:dyDescent="0.25">
      <c r="A3334" t="s">
        <v>1372</v>
      </c>
    </row>
    <row r="3335" spans="1:1" hidden="1" x14ac:dyDescent="0.25">
      <c r="A3335" t="s">
        <v>648</v>
      </c>
    </row>
    <row r="3336" spans="1:1" hidden="1" x14ac:dyDescent="0.25">
      <c r="A3336" t="s">
        <v>380</v>
      </c>
    </row>
    <row r="3337" spans="1:1" hidden="1" x14ac:dyDescent="0.25">
      <c r="A3337" t="s">
        <v>5499</v>
      </c>
    </row>
    <row r="3338" spans="1:1" hidden="1" x14ac:dyDescent="0.25">
      <c r="A3338" t="s">
        <v>648</v>
      </c>
    </row>
    <row r="3339" spans="1:1" hidden="1" x14ac:dyDescent="0.25">
      <c r="A3339" t="s">
        <v>667</v>
      </c>
    </row>
    <row r="3340" spans="1:1" hidden="1" x14ac:dyDescent="0.25">
      <c r="A3340" t="s">
        <v>667</v>
      </c>
    </row>
    <row r="3341" spans="1:1" hidden="1" x14ac:dyDescent="0.25">
      <c r="A3341" t="s">
        <v>2647</v>
      </c>
    </row>
    <row r="3342" spans="1:1" hidden="1" x14ac:dyDescent="0.25">
      <c r="A3342" t="s">
        <v>169</v>
      </c>
    </row>
    <row r="3343" spans="1:1" hidden="1" x14ac:dyDescent="0.25">
      <c r="A3343" t="s">
        <v>667</v>
      </c>
    </row>
    <row r="3344" spans="1:1" hidden="1" x14ac:dyDescent="0.25">
      <c r="A3344" t="s">
        <v>123</v>
      </c>
    </row>
    <row r="3345" spans="1:1" hidden="1" x14ac:dyDescent="0.25">
      <c r="A3345" t="s">
        <v>244</v>
      </c>
    </row>
    <row r="3346" spans="1:1" hidden="1" x14ac:dyDescent="0.25">
      <c r="A3346" t="s">
        <v>2128</v>
      </c>
    </row>
    <row r="3347" spans="1:1" hidden="1" x14ac:dyDescent="0.25">
      <c r="A3347" t="s">
        <v>667</v>
      </c>
    </row>
    <row r="3348" spans="1:1" hidden="1" x14ac:dyDescent="0.25">
      <c r="A3348" t="s">
        <v>622</v>
      </c>
    </row>
    <row r="3349" spans="1:1" hidden="1" x14ac:dyDescent="0.25">
      <c r="A3349" t="s">
        <v>169</v>
      </c>
    </row>
    <row r="3350" spans="1:1" hidden="1" x14ac:dyDescent="0.25">
      <c r="A3350" t="s">
        <v>667</v>
      </c>
    </row>
    <row r="3351" spans="1:1" hidden="1" x14ac:dyDescent="0.25">
      <c r="A3351" t="s">
        <v>532</v>
      </c>
    </row>
    <row r="3352" spans="1:1" hidden="1" x14ac:dyDescent="0.25">
      <c r="A3352" t="s">
        <v>1229</v>
      </c>
    </row>
    <row r="3353" spans="1:1" hidden="1" x14ac:dyDescent="0.25">
      <c r="A3353" t="s">
        <v>648</v>
      </c>
    </row>
    <row r="3354" spans="1:1" hidden="1" x14ac:dyDescent="0.25">
      <c r="A3354" t="s">
        <v>123</v>
      </c>
    </row>
    <row r="3355" spans="1:1" hidden="1" x14ac:dyDescent="0.25">
      <c r="A3355" t="s">
        <v>667</v>
      </c>
    </row>
    <row r="3356" spans="1:1" hidden="1" x14ac:dyDescent="0.25">
      <c r="A3356" t="s">
        <v>244</v>
      </c>
    </row>
    <row r="3357" spans="1:1" hidden="1" x14ac:dyDescent="0.25">
      <c r="A3357" t="s">
        <v>61</v>
      </c>
    </row>
    <row r="3358" spans="1:1" hidden="1" x14ac:dyDescent="0.25">
      <c r="A3358" t="s">
        <v>859</v>
      </c>
    </row>
    <row r="3359" spans="1:1" hidden="1" x14ac:dyDescent="0.25">
      <c r="A3359" t="s">
        <v>648</v>
      </c>
    </row>
    <row r="3360" spans="1:1" hidden="1" x14ac:dyDescent="0.25">
      <c r="A3360" t="s">
        <v>622</v>
      </c>
    </row>
    <row r="3361" spans="1:1" hidden="1" x14ac:dyDescent="0.25">
      <c r="A3361" t="s">
        <v>532</v>
      </c>
    </row>
    <row r="3362" spans="1:1" hidden="1" x14ac:dyDescent="0.25">
      <c r="A3362" t="s">
        <v>893</v>
      </c>
    </row>
    <row r="3363" spans="1:1" hidden="1" x14ac:dyDescent="0.25">
      <c r="A3363" t="s">
        <v>244</v>
      </c>
    </row>
    <row r="3364" spans="1:1" hidden="1" x14ac:dyDescent="0.25">
      <c r="A3364" t="s">
        <v>859</v>
      </c>
    </row>
    <row r="3365" spans="1:1" hidden="1" x14ac:dyDescent="0.25">
      <c r="A3365" t="s">
        <v>532</v>
      </c>
    </row>
    <row r="3366" spans="1:1" hidden="1" x14ac:dyDescent="0.25">
      <c r="A3366" t="s">
        <v>392</v>
      </c>
    </row>
    <row r="3367" spans="1:1" hidden="1" x14ac:dyDescent="0.25">
      <c r="A3367" t="s">
        <v>951</v>
      </c>
    </row>
    <row r="3368" spans="1:1" hidden="1" x14ac:dyDescent="0.25">
      <c r="A3368" t="s">
        <v>274</v>
      </c>
    </row>
    <row r="3369" spans="1:1" hidden="1" x14ac:dyDescent="0.25">
      <c r="A3369" t="s">
        <v>482</v>
      </c>
    </row>
    <row r="3370" spans="1:1" hidden="1" x14ac:dyDescent="0.25">
      <c r="A3370" t="s">
        <v>1372</v>
      </c>
    </row>
    <row r="3371" spans="1:1" hidden="1" x14ac:dyDescent="0.25">
      <c r="A3371" t="s">
        <v>1229</v>
      </c>
    </row>
    <row r="3372" spans="1:1" hidden="1" x14ac:dyDescent="0.25">
      <c r="A3372" t="s">
        <v>169</v>
      </c>
    </row>
    <row r="3373" spans="1:1" hidden="1" x14ac:dyDescent="0.25">
      <c r="A3373" t="s">
        <v>61</v>
      </c>
    </row>
    <row r="3374" spans="1:1" hidden="1" x14ac:dyDescent="0.25">
      <c r="A3374" t="s">
        <v>622</v>
      </c>
    </row>
    <row r="3375" spans="1:1" hidden="1" x14ac:dyDescent="0.25">
      <c r="A3375" t="s">
        <v>553</v>
      </c>
    </row>
    <row r="3376" spans="1:1" hidden="1" x14ac:dyDescent="0.25">
      <c r="A3376" t="s">
        <v>807</v>
      </c>
    </row>
    <row r="3377" spans="1:1" hidden="1" x14ac:dyDescent="0.25">
      <c r="A3377" t="s">
        <v>788</v>
      </c>
    </row>
    <row r="3378" spans="1:1" hidden="1" x14ac:dyDescent="0.25">
      <c r="A3378" t="s">
        <v>244</v>
      </c>
    </row>
    <row r="3379" spans="1:1" hidden="1" x14ac:dyDescent="0.25">
      <c r="A3379" t="s">
        <v>1936</v>
      </c>
    </row>
    <row r="3380" spans="1:1" hidden="1" x14ac:dyDescent="0.25">
      <c r="A3380" t="s">
        <v>667</v>
      </c>
    </row>
    <row r="3381" spans="1:1" hidden="1" x14ac:dyDescent="0.25">
      <c r="A3381" t="s">
        <v>648</v>
      </c>
    </row>
    <row r="3382" spans="1:1" hidden="1" x14ac:dyDescent="0.25">
      <c r="A3382" t="s">
        <v>449</v>
      </c>
    </row>
    <row r="3383" spans="1:1" hidden="1" x14ac:dyDescent="0.25">
      <c r="A3383" t="s">
        <v>1372</v>
      </c>
    </row>
    <row r="3384" spans="1:1" hidden="1" x14ac:dyDescent="0.25">
      <c r="A3384" t="s">
        <v>392</v>
      </c>
    </row>
    <row r="3385" spans="1:1" hidden="1" x14ac:dyDescent="0.25">
      <c r="A3385" t="s">
        <v>2128</v>
      </c>
    </row>
    <row r="3386" spans="1:1" hidden="1" x14ac:dyDescent="0.25">
      <c r="A3386" t="s">
        <v>648</v>
      </c>
    </row>
    <row r="3387" spans="1:1" hidden="1" x14ac:dyDescent="0.25">
      <c r="A3387" t="s">
        <v>1469</v>
      </c>
    </row>
    <row r="3388" spans="1:1" hidden="1" x14ac:dyDescent="0.25">
      <c r="A3388" t="s">
        <v>667</v>
      </c>
    </row>
    <row r="3389" spans="1:1" hidden="1" x14ac:dyDescent="0.25">
      <c r="A3389" t="s">
        <v>274</v>
      </c>
    </row>
    <row r="3390" spans="1:1" hidden="1" x14ac:dyDescent="0.25">
      <c r="A3390" t="s">
        <v>380</v>
      </c>
    </row>
    <row r="3391" spans="1:1" hidden="1" x14ac:dyDescent="0.25">
      <c r="A3391" t="s">
        <v>648</v>
      </c>
    </row>
    <row r="3392" spans="1:1" hidden="1" x14ac:dyDescent="0.25">
      <c r="A3392" t="s">
        <v>951</v>
      </c>
    </row>
    <row r="3393" spans="1:1" hidden="1" x14ac:dyDescent="0.25">
      <c r="A3393" t="s">
        <v>667</v>
      </c>
    </row>
    <row r="3394" spans="1:1" hidden="1" x14ac:dyDescent="0.25">
      <c r="A3394" t="s">
        <v>680</v>
      </c>
    </row>
    <row r="3395" spans="1:1" hidden="1" x14ac:dyDescent="0.25">
      <c r="A3395" t="s">
        <v>1229</v>
      </c>
    </row>
    <row r="3396" spans="1:1" hidden="1" x14ac:dyDescent="0.25">
      <c r="A3396" t="s">
        <v>169</v>
      </c>
    </row>
    <row r="3397" spans="1:1" hidden="1" x14ac:dyDescent="0.25">
      <c r="A3397" t="s">
        <v>2647</v>
      </c>
    </row>
    <row r="3398" spans="1:1" hidden="1" x14ac:dyDescent="0.25">
      <c r="A3398" t="s">
        <v>680</v>
      </c>
    </row>
    <row r="3399" spans="1:1" hidden="1" x14ac:dyDescent="0.25">
      <c r="A3399" t="s">
        <v>667</v>
      </c>
    </row>
    <row r="3400" spans="1:1" hidden="1" x14ac:dyDescent="0.25">
      <c r="A3400" t="s">
        <v>667</v>
      </c>
    </row>
    <row r="3401" spans="1:1" hidden="1" x14ac:dyDescent="0.25">
      <c r="A3401" t="s">
        <v>253</v>
      </c>
    </row>
    <row r="3402" spans="1:1" hidden="1" x14ac:dyDescent="0.25">
      <c r="A3402" t="s">
        <v>61</v>
      </c>
    </row>
    <row r="3403" spans="1:1" hidden="1" x14ac:dyDescent="0.25">
      <c r="A3403" t="s">
        <v>1874</v>
      </c>
    </row>
    <row r="3404" spans="1:1" hidden="1" x14ac:dyDescent="0.25">
      <c r="A3404" t="s">
        <v>1443</v>
      </c>
    </row>
    <row r="3405" spans="1:1" hidden="1" x14ac:dyDescent="0.25">
      <c r="A3405" t="s">
        <v>1874</v>
      </c>
    </row>
    <row r="3406" spans="1:1" hidden="1" x14ac:dyDescent="0.25">
      <c r="A3406" t="s">
        <v>2309</v>
      </c>
    </row>
    <row r="3407" spans="1:1" hidden="1" x14ac:dyDescent="0.25">
      <c r="A3407" t="s">
        <v>2647</v>
      </c>
    </row>
    <row r="3408" spans="1:1" hidden="1" x14ac:dyDescent="0.25">
      <c r="A3408" t="s">
        <v>2647</v>
      </c>
    </row>
    <row r="3409" spans="1:1" hidden="1" x14ac:dyDescent="0.25">
      <c r="A3409" t="s">
        <v>859</v>
      </c>
    </row>
    <row r="3410" spans="1:1" hidden="1" x14ac:dyDescent="0.25">
      <c r="A3410" t="s">
        <v>253</v>
      </c>
    </row>
    <row r="3411" spans="1:1" hidden="1" x14ac:dyDescent="0.25">
      <c r="A3411" t="s">
        <v>648</v>
      </c>
    </row>
    <row r="3412" spans="1:1" hidden="1" x14ac:dyDescent="0.25">
      <c r="A3412" t="s">
        <v>1552</v>
      </c>
    </row>
    <row r="3413" spans="1:1" hidden="1" x14ac:dyDescent="0.25">
      <c r="A3413" t="s">
        <v>306</v>
      </c>
    </row>
    <row r="3414" spans="1:1" hidden="1" x14ac:dyDescent="0.25">
      <c r="A3414" t="s">
        <v>169</v>
      </c>
    </row>
    <row r="3415" spans="1:1" hidden="1" x14ac:dyDescent="0.25">
      <c r="A3415" t="s">
        <v>951</v>
      </c>
    </row>
    <row r="3416" spans="1:1" hidden="1" x14ac:dyDescent="0.25">
      <c r="A3416" t="s">
        <v>3277</v>
      </c>
    </row>
    <row r="3417" spans="1:1" hidden="1" x14ac:dyDescent="0.25">
      <c r="A3417" t="s">
        <v>532</v>
      </c>
    </row>
    <row r="3418" spans="1:1" hidden="1" x14ac:dyDescent="0.25">
      <c r="A3418" t="s">
        <v>392</v>
      </c>
    </row>
    <row r="3419" spans="1:1" hidden="1" x14ac:dyDescent="0.25">
      <c r="A3419" t="s">
        <v>572</v>
      </c>
    </row>
    <row r="3420" spans="1:1" hidden="1" x14ac:dyDescent="0.25">
      <c r="A3420" t="s">
        <v>562</v>
      </c>
    </row>
    <row r="3421" spans="1:1" hidden="1" x14ac:dyDescent="0.25">
      <c r="A3421" t="s">
        <v>263</v>
      </c>
    </row>
    <row r="3422" spans="1:1" hidden="1" x14ac:dyDescent="0.25">
      <c r="A3422" t="s">
        <v>392</v>
      </c>
    </row>
    <row r="3423" spans="1:1" hidden="1" x14ac:dyDescent="0.25">
      <c r="A3423" t="s">
        <v>416</v>
      </c>
    </row>
    <row r="3424" spans="1:1" hidden="1" x14ac:dyDescent="0.25">
      <c r="A3424" t="s">
        <v>440</v>
      </c>
    </row>
    <row r="3425" spans="1:1" hidden="1" x14ac:dyDescent="0.25">
      <c r="A3425" t="s">
        <v>416</v>
      </c>
    </row>
    <row r="3426" spans="1:1" hidden="1" x14ac:dyDescent="0.25">
      <c r="A3426" t="s">
        <v>1348</v>
      </c>
    </row>
    <row r="3427" spans="1:1" hidden="1" x14ac:dyDescent="0.25">
      <c r="A3427" t="s">
        <v>562</v>
      </c>
    </row>
    <row r="3428" spans="1:1" hidden="1" x14ac:dyDescent="0.25">
      <c r="A3428" t="s">
        <v>680</v>
      </c>
    </row>
    <row r="3429" spans="1:1" hidden="1" x14ac:dyDescent="0.25">
      <c r="A3429" t="s">
        <v>263</v>
      </c>
    </row>
    <row r="3430" spans="1:1" hidden="1" x14ac:dyDescent="0.25">
      <c r="A3430" t="s">
        <v>580</v>
      </c>
    </row>
    <row r="3431" spans="1:1" hidden="1" x14ac:dyDescent="0.25">
      <c r="A3431" t="s">
        <v>580</v>
      </c>
    </row>
    <row r="3432" spans="1:1" hidden="1" x14ac:dyDescent="0.25">
      <c r="A3432" t="s">
        <v>380</v>
      </c>
    </row>
    <row r="3433" spans="1:1" hidden="1" x14ac:dyDescent="0.25">
      <c r="A3433" t="s">
        <v>380</v>
      </c>
    </row>
    <row r="3434" spans="1:1" hidden="1" x14ac:dyDescent="0.25">
      <c r="A3434" t="s">
        <v>667</v>
      </c>
    </row>
    <row r="3435" spans="1:1" hidden="1" x14ac:dyDescent="0.25">
      <c r="A3435" t="s">
        <v>392</v>
      </c>
    </row>
    <row r="3436" spans="1:1" hidden="1" x14ac:dyDescent="0.25">
      <c r="A3436" t="s">
        <v>406</v>
      </c>
    </row>
    <row r="3437" spans="1:1" hidden="1" x14ac:dyDescent="0.25">
      <c r="A3437" t="s">
        <v>553</v>
      </c>
    </row>
    <row r="3438" spans="1:1" hidden="1" x14ac:dyDescent="0.25">
      <c r="A3438" t="s">
        <v>392</v>
      </c>
    </row>
    <row r="3439" spans="1:1" hidden="1" x14ac:dyDescent="0.25">
      <c r="A3439" t="s">
        <v>1126</v>
      </c>
    </row>
    <row r="3440" spans="1:1" hidden="1" x14ac:dyDescent="0.25">
      <c r="A3440" t="s">
        <v>1443</v>
      </c>
    </row>
    <row r="3441" spans="1:1" hidden="1" x14ac:dyDescent="0.25">
      <c r="A3441" t="s">
        <v>392</v>
      </c>
    </row>
    <row r="3442" spans="1:1" hidden="1" x14ac:dyDescent="0.25">
      <c r="A3442" t="s">
        <v>406</v>
      </c>
    </row>
    <row r="3443" spans="1:1" hidden="1" x14ac:dyDescent="0.25">
      <c r="A3443" t="s">
        <v>449</v>
      </c>
    </row>
    <row r="3444" spans="1:1" hidden="1" x14ac:dyDescent="0.25">
      <c r="A3444" t="s">
        <v>667</v>
      </c>
    </row>
    <row r="3445" spans="1:1" hidden="1" x14ac:dyDescent="0.25">
      <c r="A3445" t="s">
        <v>1229</v>
      </c>
    </row>
    <row r="3446" spans="1:1" hidden="1" x14ac:dyDescent="0.25">
      <c r="A3446" t="s">
        <v>306</v>
      </c>
    </row>
    <row r="3447" spans="1:1" hidden="1" x14ac:dyDescent="0.25">
      <c r="A3447" t="s">
        <v>274</v>
      </c>
    </row>
    <row r="3448" spans="1:1" hidden="1" x14ac:dyDescent="0.25">
      <c r="A3448" t="s">
        <v>215</v>
      </c>
    </row>
    <row r="3449" spans="1:1" hidden="1" x14ac:dyDescent="0.25">
      <c r="A3449" t="s">
        <v>392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1" workbookViewId="0">
      <selection activeCell="B63" sqref="B63"/>
    </sheetView>
  </sheetViews>
  <sheetFormatPr defaultRowHeight="14" x14ac:dyDescent="0.25"/>
  <sheetData>
    <row r="1" spans="1:11" x14ac:dyDescent="0.25">
      <c r="A1" s="2" t="s">
        <v>9595</v>
      </c>
      <c r="B1" s="2" t="s">
        <v>9595</v>
      </c>
      <c r="C1" s="2" t="str">
        <f>VLOOKUP(B1,F:G,2,0)</f>
        <v>银</v>
      </c>
      <c r="D1">
        <f>MATCH(B1,$F$1:$F$58,0)</f>
        <v>2</v>
      </c>
      <c r="F1" t="s">
        <v>9563</v>
      </c>
      <c r="G1" t="s">
        <v>9565</v>
      </c>
      <c r="H1">
        <f>MATCH(F1,$B:$B,0)</f>
        <v>63</v>
      </c>
      <c r="J1" t="s">
        <v>9563</v>
      </c>
      <c r="K1" t="s">
        <v>9565</v>
      </c>
    </row>
    <row r="2" spans="1:11" x14ac:dyDescent="0.25">
      <c r="A2" s="2" t="s">
        <v>11700</v>
      </c>
      <c r="B2" s="2" t="s">
        <v>9599</v>
      </c>
      <c r="C2" s="2" t="str">
        <f t="shared" ref="C2:C61" si="0">VLOOKUP(B2,F:G,2,0)</f>
        <v>油</v>
      </c>
      <c r="D2">
        <f t="shared" ref="D2:D63" si="1">MATCH(B2,$F$1:$F$58,0)</f>
        <v>3</v>
      </c>
      <c r="F2" t="s">
        <v>9595</v>
      </c>
      <c r="G2" t="s">
        <v>9597</v>
      </c>
      <c r="H2">
        <f t="shared" ref="H2:H58" si="2">MATCH(F2,$B:$B,0)</f>
        <v>1</v>
      </c>
      <c r="J2" t="s">
        <v>9595</v>
      </c>
      <c r="K2" t="s">
        <v>9597</v>
      </c>
    </row>
    <row r="3" spans="1:11" x14ac:dyDescent="0.25">
      <c r="A3" s="2" t="s">
        <v>9609</v>
      </c>
      <c r="B3" s="2" t="s">
        <v>9609</v>
      </c>
      <c r="C3" s="2" t="str">
        <f t="shared" si="0"/>
        <v>险</v>
      </c>
      <c r="D3">
        <f t="shared" si="1"/>
        <v>4</v>
      </c>
      <c r="F3" t="s">
        <v>9599</v>
      </c>
      <c r="G3" t="s">
        <v>9601</v>
      </c>
      <c r="H3">
        <f t="shared" si="2"/>
        <v>2</v>
      </c>
      <c r="J3" t="s">
        <v>9599</v>
      </c>
      <c r="K3" t="s">
        <v>9601</v>
      </c>
    </row>
    <row r="4" spans="1:11" x14ac:dyDescent="0.25">
      <c r="A4" s="2" t="s">
        <v>11701</v>
      </c>
      <c r="B4" s="2" t="s">
        <v>9621</v>
      </c>
      <c r="C4" s="2" t="str">
        <f t="shared" si="0"/>
        <v>酒</v>
      </c>
      <c r="D4">
        <f t="shared" si="1"/>
        <v>5</v>
      </c>
      <c r="F4" t="s">
        <v>9609</v>
      </c>
      <c r="G4" t="s">
        <v>9611</v>
      </c>
      <c r="H4">
        <f t="shared" si="2"/>
        <v>3</v>
      </c>
      <c r="J4" t="s">
        <v>9609</v>
      </c>
      <c r="K4" t="s">
        <v>9611</v>
      </c>
    </row>
    <row r="5" spans="1:11" x14ac:dyDescent="0.25">
      <c r="A5" s="2" t="s">
        <v>11702</v>
      </c>
      <c r="B5" s="2" t="s">
        <v>9629</v>
      </c>
      <c r="C5" s="2" t="str">
        <f t="shared" si="0"/>
        <v>煤</v>
      </c>
      <c r="D5">
        <f t="shared" si="1"/>
        <v>6</v>
      </c>
      <c r="F5" t="s">
        <v>9621</v>
      </c>
      <c r="G5" t="s">
        <v>9623</v>
      </c>
      <c r="H5">
        <f t="shared" si="2"/>
        <v>4</v>
      </c>
      <c r="J5" t="s">
        <v>9621</v>
      </c>
      <c r="K5" t="s">
        <v>9623</v>
      </c>
    </row>
    <row r="6" spans="1:11" x14ac:dyDescent="0.25">
      <c r="A6" s="2" t="s">
        <v>11703</v>
      </c>
      <c r="B6" s="2" t="s">
        <v>9646</v>
      </c>
      <c r="C6" s="2" t="str">
        <f t="shared" si="0"/>
        <v>车</v>
      </c>
      <c r="D6">
        <f t="shared" si="1"/>
        <v>9</v>
      </c>
      <c r="F6" t="s">
        <v>9629</v>
      </c>
      <c r="G6" t="s">
        <v>9631</v>
      </c>
      <c r="H6">
        <f t="shared" si="2"/>
        <v>5</v>
      </c>
      <c r="J6" t="s">
        <v>9629</v>
      </c>
      <c r="K6" t="s">
        <v>9631</v>
      </c>
    </row>
    <row r="7" spans="1:11" x14ac:dyDescent="0.25">
      <c r="A7" s="2" t="s">
        <v>11704</v>
      </c>
      <c r="B7" s="2" t="s">
        <v>9637</v>
      </c>
      <c r="C7" s="2" t="str">
        <f t="shared" si="0"/>
        <v>电力</v>
      </c>
      <c r="D7">
        <f t="shared" si="1"/>
        <v>7</v>
      </c>
      <c r="F7" t="s">
        <v>9637</v>
      </c>
      <c r="G7" t="s">
        <v>9637</v>
      </c>
      <c r="H7">
        <f t="shared" si="2"/>
        <v>7</v>
      </c>
      <c r="J7" t="s">
        <v>9637</v>
      </c>
      <c r="K7" t="s">
        <v>9637</v>
      </c>
    </row>
    <row r="8" spans="1:11" x14ac:dyDescent="0.25">
      <c r="A8" s="2" t="s">
        <v>11705</v>
      </c>
      <c r="B8" s="2" t="s">
        <v>9681</v>
      </c>
      <c r="C8" s="2" t="str">
        <f t="shared" si="0"/>
        <v>防</v>
      </c>
      <c r="D8">
        <f t="shared" si="1"/>
        <v>15</v>
      </c>
      <c r="F8" t="s">
        <v>9640</v>
      </c>
      <c r="G8" t="s">
        <v>9642</v>
      </c>
      <c r="H8">
        <f t="shared" si="2"/>
        <v>10</v>
      </c>
      <c r="J8" t="s">
        <v>9640</v>
      </c>
      <c r="K8" t="s">
        <v>9642</v>
      </c>
    </row>
    <row r="9" spans="1:11" x14ac:dyDescent="0.25">
      <c r="A9" s="2" t="s">
        <v>11706</v>
      </c>
      <c r="B9" s="2" t="s">
        <v>9669</v>
      </c>
      <c r="C9" s="2" t="str">
        <f t="shared" si="0"/>
        <v>家</v>
      </c>
      <c r="D9">
        <f t="shared" si="1"/>
        <v>13</v>
      </c>
      <c r="F9" t="s">
        <v>9646</v>
      </c>
      <c r="G9" t="s">
        <v>9648</v>
      </c>
      <c r="H9">
        <f t="shared" si="2"/>
        <v>6</v>
      </c>
      <c r="J9" t="s">
        <v>9646</v>
      </c>
      <c r="K9" t="s">
        <v>9648</v>
      </c>
    </row>
    <row r="10" spans="1:11" x14ac:dyDescent="0.25">
      <c r="A10" s="2" t="s">
        <v>11707</v>
      </c>
      <c r="B10" s="2" t="s">
        <v>9640</v>
      </c>
      <c r="C10" s="2" t="str">
        <f t="shared" si="0"/>
        <v>产</v>
      </c>
      <c r="D10">
        <f t="shared" si="1"/>
        <v>8</v>
      </c>
      <c r="F10" t="s">
        <v>9650</v>
      </c>
      <c r="G10" t="s">
        <v>9652</v>
      </c>
      <c r="H10">
        <f t="shared" si="2"/>
        <v>11</v>
      </c>
      <c r="J10" t="s">
        <v>9650</v>
      </c>
      <c r="K10" t="s">
        <v>9652</v>
      </c>
    </row>
    <row r="11" spans="1:11" x14ac:dyDescent="0.25">
      <c r="A11" s="2" t="s">
        <v>11708</v>
      </c>
      <c r="B11" s="2" t="s">
        <v>9650</v>
      </c>
      <c r="C11" s="2" t="str">
        <f t="shared" si="0"/>
        <v>运</v>
      </c>
      <c r="D11">
        <f t="shared" si="1"/>
        <v>10</v>
      </c>
      <c r="F11" t="s">
        <v>9654</v>
      </c>
      <c r="G11" t="s">
        <v>9656</v>
      </c>
      <c r="H11">
        <f t="shared" si="2"/>
        <v>12</v>
      </c>
      <c r="J11" t="s">
        <v>9654</v>
      </c>
      <c r="K11" t="s">
        <v>9656</v>
      </c>
    </row>
    <row r="12" spans="1:11" x14ac:dyDescent="0.25">
      <c r="A12" s="2" t="s">
        <v>11709</v>
      </c>
      <c r="B12" s="2" t="s">
        <v>9654</v>
      </c>
      <c r="C12" s="2" t="str">
        <f t="shared" si="0"/>
        <v>建</v>
      </c>
      <c r="D12">
        <f t="shared" si="1"/>
        <v>11</v>
      </c>
      <c r="F12" t="s">
        <v>9660</v>
      </c>
      <c r="G12" t="s">
        <v>9661</v>
      </c>
      <c r="H12">
        <f t="shared" si="2"/>
        <v>14</v>
      </c>
      <c r="J12" t="s">
        <v>9660</v>
      </c>
      <c r="K12" t="s">
        <v>9661</v>
      </c>
    </row>
    <row r="13" spans="1:11" x14ac:dyDescent="0.25">
      <c r="A13" s="2" t="s">
        <v>11710</v>
      </c>
      <c r="B13" s="2" t="s">
        <v>11780</v>
      </c>
      <c r="C13" s="2" t="s">
        <v>11781</v>
      </c>
      <c r="D13">
        <f t="shared" si="1"/>
        <v>25</v>
      </c>
      <c r="F13" t="s">
        <v>9669</v>
      </c>
      <c r="G13" t="s">
        <v>9671</v>
      </c>
      <c r="H13">
        <f t="shared" si="2"/>
        <v>9</v>
      </c>
      <c r="J13" t="s">
        <v>9669</v>
      </c>
      <c r="K13" t="s">
        <v>9671</v>
      </c>
    </row>
    <row r="14" spans="1:11" x14ac:dyDescent="0.25">
      <c r="A14" s="2" t="s">
        <v>11711</v>
      </c>
      <c r="B14" s="2" t="s">
        <v>9660</v>
      </c>
      <c r="C14" s="2" t="str">
        <f t="shared" si="0"/>
        <v>券</v>
      </c>
      <c r="D14">
        <f t="shared" si="1"/>
        <v>12</v>
      </c>
      <c r="F14" t="s">
        <v>9675</v>
      </c>
      <c r="G14" t="s">
        <v>9677</v>
      </c>
      <c r="H14">
        <f t="shared" si="2"/>
        <v>28</v>
      </c>
      <c r="J14" t="s">
        <v>9675</v>
      </c>
      <c r="K14" t="s">
        <v>9677</v>
      </c>
    </row>
    <row r="15" spans="1:11" x14ac:dyDescent="0.25">
      <c r="A15" s="2" t="s">
        <v>11712</v>
      </c>
      <c r="B15" s="2" t="s">
        <v>9792</v>
      </c>
      <c r="C15" s="2" t="str">
        <f t="shared" si="0"/>
        <v>元件</v>
      </c>
      <c r="D15">
        <f t="shared" si="1"/>
        <v>30</v>
      </c>
      <c r="F15" t="s">
        <v>9681</v>
      </c>
      <c r="G15" t="s">
        <v>9683</v>
      </c>
      <c r="H15">
        <f t="shared" si="2"/>
        <v>8</v>
      </c>
      <c r="J15" t="s">
        <v>9681</v>
      </c>
      <c r="K15" t="s">
        <v>9683</v>
      </c>
    </row>
    <row r="16" spans="1:11" x14ac:dyDescent="0.25">
      <c r="A16" s="2" t="s">
        <v>11713</v>
      </c>
      <c r="B16" s="2" t="s">
        <v>9738</v>
      </c>
      <c r="C16" s="2" t="str">
        <f t="shared" si="0"/>
        <v>药</v>
      </c>
      <c r="D16">
        <f t="shared" si="1"/>
        <v>21</v>
      </c>
      <c r="F16" t="s">
        <v>9691</v>
      </c>
      <c r="G16" t="s">
        <v>9693</v>
      </c>
      <c r="H16">
        <f t="shared" si="2"/>
        <v>24</v>
      </c>
      <c r="J16" t="s">
        <v>9691</v>
      </c>
      <c r="K16" t="s">
        <v>9693</v>
      </c>
    </row>
    <row r="17" spans="1:11" x14ac:dyDescent="0.25">
      <c r="A17" s="2" t="s">
        <v>11714</v>
      </c>
      <c r="B17" s="2" t="s">
        <v>9744</v>
      </c>
      <c r="C17" s="2" t="str">
        <f t="shared" si="0"/>
        <v>食</v>
      </c>
      <c r="D17">
        <f t="shared" si="1"/>
        <v>22</v>
      </c>
      <c r="F17" t="s">
        <v>9713</v>
      </c>
      <c r="G17" t="s">
        <v>9715</v>
      </c>
      <c r="H17">
        <f t="shared" si="2"/>
        <v>29</v>
      </c>
      <c r="J17" t="s">
        <v>9713</v>
      </c>
      <c r="K17" t="s">
        <v>9715</v>
      </c>
    </row>
    <row r="18" spans="1:11" x14ac:dyDescent="0.25">
      <c r="A18" s="2" t="s">
        <v>11715</v>
      </c>
      <c r="B18" s="2" t="s">
        <v>9774</v>
      </c>
      <c r="C18" s="2" t="str">
        <f t="shared" si="0"/>
        <v>钢</v>
      </c>
      <c r="D18">
        <f t="shared" si="1"/>
        <v>27</v>
      </c>
      <c r="F18" t="s">
        <v>9717</v>
      </c>
      <c r="G18" t="s">
        <v>9719</v>
      </c>
      <c r="H18">
        <f t="shared" si="2"/>
        <v>19</v>
      </c>
      <c r="J18" t="s">
        <v>9717</v>
      </c>
      <c r="K18" t="s">
        <v>9719</v>
      </c>
    </row>
    <row r="19" spans="1:11" x14ac:dyDescent="0.25">
      <c r="A19" s="2" t="s">
        <v>11716</v>
      </c>
      <c r="B19" s="2" t="s">
        <v>9717</v>
      </c>
      <c r="C19" s="2" t="str">
        <f t="shared" si="0"/>
        <v>港</v>
      </c>
      <c r="D19">
        <f t="shared" si="1"/>
        <v>18</v>
      </c>
      <c r="F19" t="s">
        <v>9723</v>
      </c>
      <c r="G19" t="s">
        <v>9725</v>
      </c>
      <c r="H19">
        <f t="shared" si="2"/>
        <v>32</v>
      </c>
      <c r="J19" t="s">
        <v>9723</v>
      </c>
      <c r="K19" t="s">
        <v>9725</v>
      </c>
    </row>
    <row r="20" spans="1:11" x14ac:dyDescent="0.25">
      <c r="A20" s="2" t="s">
        <v>11717</v>
      </c>
      <c r="B20" s="2" t="s">
        <v>9852</v>
      </c>
      <c r="C20" s="2" t="str">
        <f t="shared" si="0"/>
        <v>色</v>
      </c>
      <c r="D20">
        <f t="shared" si="1"/>
        <v>35</v>
      </c>
      <c r="F20" t="s">
        <v>9735</v>
      </c>
      <c r="G20" t="s">
        <v>9735</v>
      </c>
      <c r="H20">
        <f t="shared" si="2"/>
        <v>21</v>
      </c>
      <c r="J20" t="s">
        <v>9735</v>
      </c>
      <c r="K20" t="s">
        <v>9735</v>
      </c>
    </row>
    <row r="21" spans="1:11" x14ac:dyDescent="0.25">
      <c r="A21" s="2" t="s">
        <v>11718</v>
      </c>
      <c r="B21" s="2" t="s">
        <v>9735</v>
      </c>
      <c r="C21" s="2" t="str">
        <f t="shared" si="0"/>
        <v>电信</v>
      </c>
      <c r="D21">
        <f t="shared" si="1"/>
        <v>20</v>
      </c>
      <c r="F21" t="s">
        <v>9738</v>
      </c>
      <c r="G21" t="s">
        <v>9740</v>
      </c>
      <c r="H21">
        <f t="shared" si="2"/>
        <v>16</v>
      </c>
      <c r="J21" t="s">
        <v>9738</v>
      </c>
      <c r="K21" t="s">
        <v>9740</v>
      </c>
    </row>
    <row r="22" spans="1:11" x14ac:dyDescent="0.25">
      <c r="A22" s="2" t="s">
        <v>11719</v>
      </c>
      <c r="B22" s="2" t="s">
        <v>11759</v>
      </c>
      <c r="C22" s="2" t="str">
        <f t="shared" si="0"/>
        <v>融</v>
      </c>
      <c r="D22">
        <f t="shared" si="1"/>
        <v>38</v>
      </c>
      <c r="F22" t="s">
        <v>9744</v>
      </c>
      <c r="G22" t="s">
        <v>9746</v>
      </c>
      <c r="H22">
        <f t="shared" si="2"/>
        <v>17</v>
      </c>
      <c r="J22" t="s">
        <v>9744</v>
      </c>
      <c r="K22" t="s">
        <v>9746</v>
      </c>
    </row>
    <row r="23" spans="1:11" x14ac:dyDescent="0.25">
      <c r="A23" s="2" t="s">
        <v>11720</v>
      </c>
      <c r="B23" s="2" t="s">
        <v>9754</v>
      </c>
      <c r="C23" s="2" t="str">
        <f t="shared" si="0"/>
        <v>商</v>
      </c>
      <c r="D23">
        <f t="shared" si="1"/>
        <v>24</v>
      </c>
      <c r="F23" t="s">
        <v>9748</v>
      </c>
      <c r="G23" t="s">
        <v>9750</v>
      </c>
      <c r="H23">
        <f t="shared" si="2"/>
        <v>30</v>
      </c>
      <c r="J23" t="s">
        <v>9748</v>
      </c>
      <c r="K23" t="s">
        <v>9750</v>
      </c>
    </row>
    <row r="24" spans="1:11" x14ac:dyDescent="0.25">
      <c r="A24" s="2" t="s">
        <v>11721</v>
      </c>
      <c r="B24" s="2" t="s">
        <v>9691</v>
      </c>
      <c r="C24" s="2" t="str">
        <f t="shared" si="0"/>
        <v>咨</v>
      </c>
      <c r="D24">
        <f t="shared" si="1"/>
        <v>16</v>
      </c>
      <c r="F24" t="s">
        <v>9754</v>
      </c>
      <c r="G24" t="s">
        <v>9756</v>
      </c>
      <c r="H24">
        <f t="shared" si="2"/>
        <v>23</v>
      </c>
      <c r="J24" t="s">
        <v>9754</v>
      </c>
      <c r="K24" t="s">
        <v>9756</v>
      </c>
    </row>
    <row r="25" spans="1:11" x14ac:dyDescent="0.25">
      <c r="A25" s="2" t="s">
        <v>11722</v>
      </c>
      <c r="B25" s="2" t="s">
        <v>9782</v>
      </c>
      <c r="C25" s="2" t="str">
        <f t="shared" si="0"/>
        <v>泥</v>
      </c>
      <c r="D25">
        <f t="shared" si="1"/>
        <v>28</v>
      </c>
      <c r="F25" t="s">
        <v>9758</v>
      </c>
      <c r="G25" t="s">
        <v>9760</v>
      </c>
      <c r="H25">
        <f t="shared" si="2"/>
        <v>13</v>
      </c>
      <c r="J25" t="s">
        <v>9758</v>
      </c>
      <c r="K25" t="s">
        <v>9760</v>
      </c>
    </row>
    <row r="26" spans="1:11" x14ac:dyDescent="0.25">
      <c r="A26" s="2" t="s">
        <v>11723</v>
      </c>
      <c r="B26" s="2" t="s">
        <v>9764</v>
      </c>
      <c r="C26" s="2" t="str">
        <f t="shared" si="0"/>
        <v>飞</v>
      </c>
      <c r="D26">
        <f t="shared" si="1"/>
        <v>26</v>
      </c>
      <c r="F26" t="s">
        <v>9764</v>
      </c>
      <c r="G26" t="s">
        <v>9766</v>
      </c>
      <c r="H26">
        <f t="shared" si="2"/>
        <v>26</v>
      </c>
      <c r="J26" t="s">
        <v>9764</v>
      </c>
      <c r="K26" t="s">
        <v>9766</v>
      </c>
    </row>
    <row r="27" spans="1:11" x14ac:dyDescent="0.25">
      <c r="A27" s="2" t="s">
        <v>11724</v>
      </c>
      <c r="B27" s="2" t="s">
        <v>9856</v>
      </c>
      <c r="C27" s="2" t="str">
        <f t="shared" si="0"/>
        <v>讯</v>
      </c>
      <c r="D27">
        <f t="shared" si="1"/>
        <v>36</v>
      </c>
      <c r="F27" t="s">
        <v>9774</v>
      </c>
      <c r="G27" t="s">
        <v>9776</v>
      </c>
      <c r="H27">
        <f t="shared" si="2"/>
        <v>18</v>
      </c>
      <c r="J27" t="s">
        <v>9774</v>
      </c>
      <c r="K27" t="s">
        <v>9776</v>
      </c>
    </row>
    <row r="28" spans="1:11" x14ac:dyDescent="0.25">
      <c r="A28" s="2" t="s">
        <v>11725</v>
      </c>
      <c r="B28" s="2" t="s">
        <v>9675</v>
      </c>
      <c r="C28" s="2" t="str">
        <f t="shared" si="0"/>
        <v>渔</v>
      </c>
      <c r="D28">
        <f t="shared" si="1"/>
        <v>14</v>
      </c>
      <c r="F28" t="s">
        <v>9782</v>
      </c>
      <c r="G28" t="s">
        <v>9784</v>
      </c>
      <c r="H28">
        <f t="shared" si="2"/>
        <v>25</v>
      </c>
      <c r="J28" t="s">
        <v>9782</v>
      </c>
      <c r="K28" t="s">
        <v>9784</v>
      </c>
    </row>
    <row r="29" spans="1:11" x14ac:dyDescent="0.25">
      <c r="A29" s="2" t="s">
        <v>11726</v>
      </c>
      <c r="B29" s="2" t="s">
        <v>9713</v>
      </c>
      <c r="C29" s="2" t="str">
        <f t="shared" si="0"/>
        <v>船</v>
      </c>
      <c r="D29">
        <f t="shared" si="1"/>
        <v>17</v>
      </c>
      <c r="F29" t="s">
        <v>9788</v>
      </c>
      <c r="G29" t="s">
        <v>9790</v>
      </c>
      <c r="H29">
        <f t="shared" si="2"/>
        <v>40</v>
      </c>
      <c r="J29" t="s">
        <v>9788</v>
      </c>
      <c r="K29" t="s">
        <v>9790</v>
      </c>
    </row>
    <row r="30" spans="1:11" x14ac:dyDescent="0.25">
      <c r="A30" s="2" t="s">
        <v>11727</v>
      </c>
      <c r="B30" s="2" t="s">
        <v>9748</v>
      </c>
      <c r="C30" s="2" t="str">
        <f t="shared" si="0"/>
        <v>械</v>
      </c>
      <c r="D30">
        <f t="shared" si="1"/>
        <v>23</v>
      </c>
      <c r="F30" t="s">
        <v>9792</v>
      </c>
      <c r="G30" t="s">
        <v>9794</v>
      </c>
      <c r="H30">
        <f t="shared" si="2"/>
        <v>15</v>
      </c>
      <c r="J30" t="s">
        <v>9792</v>
      </c>
      <c r="K30" t="s">
        <v>9794</v>
      </c>
    </row>
    <row r="31" spans="1:11" x14ac:dyDescent="0.25">
      <c r="A31" s="2" t="s">
        <v>11728</v>
      </c>
      <c r="B31" s="2" t="s">
        <v>9848</v>
      </c>
      <c r="C31" s="2" t="str">
        <f t="shared" si="0"/>
        <v>化</v>
      </c>
      <c r="D31">
        <f t="shared" si="1"/>
        <v>34</v>
      </c>
      <c r="F31" t="s">
        <v>9800</v>
      </c>
      <c r="G31" t="s">
        <v>9802</v>
      </c>
      <c r="H31">
        <f t="shared" si="2"/>
        <v>36</v>
      </c>
      <c r="J31" t="s">
        <v>9800</v>
      </c>
      <c r="K31" t="s">
        <v>9802</v>
      </c>
    </row>
    <row r="32" spans="1:11" x14ac:dyDescent="0.25">
      <c r="A32" s="2" t="s">
        <v>11729</v>
      </c>
      <c r="B32" s="2" t="s">
        <v>9723</v>
      </c>
      <c r="C32" s="2" t="str">
        <f t="shared" si="0"/>
        <v>输电</v>
      </c>
      <c r="D32">
        <f t="shared" si="1"/>
        <v>19</v>
      </c>
      <c r="F32" t="s">
        <v>9820</v>
      </c>
      <c r="G32" t="s">
        <v>9822</v>
      </c>
      <c r="H32">
        <f t="shared" si="2"/>
        <v>33</v>
      </c>
      <c r="J32" t="s">
        <v>9820</v>
      </c>
      <c r="K32" t="s">
        <v>9822</v>
      </c>
    </row>
    <row r="33" spans="1:11" x14ac:dyDescent="0.25">
      <c r="A33" s="2" t="s">
        <v>11730</v>
      </c>
      <c r="B33" s="2" t="s">
        <v>9820</v>
      </c>
      <c r="C33" s="2" t="str">
        <f t="shared" si="0"/>
        <v>贵</v>
      </c>
      <c r="D33">
        <f t="shared" si="1"/>
        <v>32</v>
      </c>
      <c r="F33" t="s">
        <v>9836</v>
      </c>
      <c r="G33" t="s">
        <v>9838</v>
      </c>
      <c r="H33">
        <f t="shared" si="2"/>
        <v>37</v>
      </c>
      <c r="J33" t="s">
        <v>9836</v>
      </c>
      <c r="K33" t="s">
        <v>9838</v>
      </c>
    </row>
    <row r="34" spans="1:11" x14ac:dyDescent="0.25">
      <c r="A34" s="2" t="s">
        <v>11731</v>
      </c>
      <c r="B34" s="2" t="s">
        <v>11783</v>
      </c>
      <c r="C34" s="2" t="s">
        <v>11784</v>
      </c>
      <c r="D34" t="e">
        <f t="shared" si="1"/>
        <v>#N/A</v>
      </c>
      <c r="F34" t="s">
        <v>9848</v>
      </c>
      <c r="G34" t="s">
        <v>9850</v>
      </c>
      <c r="H34">
        <f t="shared" si="2"/>
        <v>31</v>
      </c>
      <c r="J34" t="s">
        <v>9848</v>
      </c>
      <c r="K34" t="s">
        <v>9850</v>
      </c>
    </row>
    <row r="35" spans="1:11" x14ac:dyDescent="0.25">
      <c r="A35" s="2" t="s">
        <v>11732</v>
      </c>
      <c r="B35" s="2" t="s">
        <v>9872</v>
      </c>
      <c r="C35" s="2" t="str">
        <f t="shared" si="0"/>
        <v>材</v>
      </c>
      <c r="D35">
        <f t="shared" si="1"/>
        <v>37</v>
      </c>
      <c r="F35" t="s">
        <v>9852</v>
      </c>
      <c r="G35" t="s">
        <v>9854</v>
      </c>
      <c r="H35">
        <f t="shared" si="2"/>
        <v>20</v>
      </c>
      <c r="J35" t="s">
        <v>9852</v>
      </c>
      <c r="K35" t="s">
        <v>9854</v>
      </c>
    </row>
    <row r="36" spans="1:11" x14ac:dyDescent="0.25">
      <c r="A36" s="2" t="s">
        <v>11733</v>
      </c>
      <c r="B36" s="2" t="s">
        <v>9800</v>
      </c>
      <c r="C36" s="2" t="str">
        <f t="shared" si="0"/>
        <v>软</v>
      </c>
      <c r="D36">
        <f t="shared" si="1"/>
        <v>31</v>
      </c>
      <c r="F36" t="s">
        <v>9856</v>
      </c>
      <c r="G36" t="s">
        <v>9858</v>
      </c>
      <c r="H36">
        <f t="shared" si="2"/>
        <v>27</v>
      </c>
      <c r="J36" t="s">
        <v>9856</v>
      </c>
      <c r="K36" t="s">
        <v>9858</v>
      </c>
    </row>
    <row r="37" spans="1:11" x14ac:dyDescent="0.25">
      <c r="A37" s="2" t="s">
        <v>11734</v>
      </c>
      <c r="B37" s="2" t="s">
        <v>9836</v>
      </c>
      <c r="C37" s="2" t="str">
        <f t="shared" si="0"/>
        <v>航</v>
      </c>
      <c r="D37">
        <f t="shared" si="1"/>
        <v>33</v>
      </c>
      <c r="F37" t="s">
        <v>9872</v>
      </c>
      <c r="G37" t="s">
        <v>9874</v>
      </c>
      <c r="H37">
        <f t="shared" si="2"/>
        <v>35</v>
      </c>
      <c r="J37" t="s">
        <v>9872</v>
      </c>
      <c r="K37" t="s">
        <v>9874</v>
      </c>
    </row>
    <row r="38" spans="1:11" x14ac:dyDescent="0.25">
      <c r="A38" s="2" t="s">
        <v>11735</v>
      </c>
      <c r="B38" s="2" t="s">
        <v>9996</v>
      </c>
      <c r="C38" s="2" t="str">
        <f t="shared" si="0"/>
        <v>旅</v>
      </c>
      <c r="D38">
        <f t="shared" si="1"/>
        <v>43</v>
      </c>
      <c r="F38" t="s">
        <v>9884</v>
      </c>
      <c r="G38" t="s">
        <v>9886</v>
      </c>
      <c r="H38">
        <f t="shared" si="2"/>
        <v>22</v>
      </c>
      <c r="J38" t="s">
        <v>9884</v>
      </c>
      <c r="K38" t="s">
        <v>9886</v>
      </c>
    </row>
    <row r="39" spans="1:11" x14ac:dyDescent="0.25">
      <c r="A39" s="2" t="s">
        <v>11736</v>
      </c>
      <c r="B39" s="2" t="s">
        <v>11786</v>
      </c>
      <c r="C39" s="2" t="s">
        <v>11785</v>
      </c>
      <c r="D39">
        <f t="shared" si="1"/>
        <v>42</v>
      </c>
      <c r="F39" t="s">
        <v>9898</v>
      </c>
      <c r="G39" t="s">
        <v>9900</v>
      </c>
      <c r="H39">
        <f t="shared" si="2"/>
        <v>41</v>
      </c>
      <c r="J39" t="s">
        <v>9898</v>
      </c>
      <c r="K39" t="s">
        <v>9900</v>
      </c>
    </row>
    <row r="40" spans="1:11" x14ac:dyDescent="0.25">
      <c r="A40" s="2" t="s">
        <v>11737</v>
      </c>
      <c r="B40" s="2" t="s">
        <v>9788</v>
      </c>
      <c r="C40" s="2" t="str">
        <f t="shared" si="0"/>
        <v>传</v>
      </c>
      <c r="D40">
        <f t="shared" si="1"/>
        <v>29</v>
      </c>
      <c r="F40" t="s">
        <v>9948</v>
      </c>
      <c r="G40" t="s">
        <v>9950</v>
      </c>
      <c r="H40">
        <f t="shared" si="2"/>
        <v>46</v>
      </c>
      <c r="J40" t="s">
        <v>9948</v>
      </c>
      <c r="K40" t="s">
        <v>9950</v>
      </c>
    </row>
    <row r="41" spans="1:11" x14ac:dyDescent="0.25">
      <c r="A41" s="2" t="s">
        <v>11738</v>
      </c>
      <c r="B41" s="2" t="s">
        <v>9898</v>
      </c>
      <c r="C41" s="2" t="str">
        <f t="shared" si="0"/>
        <v>环</v>
      </c>
      <c r="D41">
        <f t="shared" si="1"/>
        <v>39</v>
      </c>
      <c r="F41" t="s">
        <v>9972</v>
      </c>
      <c r="G41" t="s">
        <v>9974</v>
      </c>
      <c r="H41">
        <f t="shared" si="2"/>
        <v>44</v>
      </c>
      <c r="J41" t="s">
        <v>9972</v>
      </c>
      <c r="K41" t="s">
        <v>9974</v>
      </c>
    </row>
    <row r="42" spans="1:11" x14ac:dyDescent="0.25">
      <c r="A42" s="2" t="s">
        <v>11739</v>
      </c>
      <c r="B42" s="2" t="s">
        <v>10080</v>
      </c>
      <c r="C42" s="2" t="str">
        <f t="shared" si="0"/>
        <v>园</v>
      </c>
      <c r="D42">
        <f t="shared" si="1"/>
        <v>45</v>
      </c>
      <c r="F42" t="s">
        <v>9992</v>
      </c>
      <c r="G42" t="s">
        <v>9994</v>
      </c>
      <c r="H42">
        <f t="shared" si="2"/>
        <v>39</v>
      </c>
      <c r="J42" t="s">
        <v>9992</v>
      </c>
      <c r="K42" t="s">
        <v>9994</v>
      </c>
    </row>
    <row r="43" spans="1:11" x14ac:dyDescent="0.25">
      <c r="A43" s="2" t="s">
        <v>11740</v>
      </c>
      <c r="B43" s="2" t="s">
        <v>10024</v>
      </c>
      <c r="C43" s="2" t="str">
        <f t="shared" si="0"/>
        <v>金</v>
      </c>
      <c r="D43">
        <f t="shared" si="1"/>
        <v>44</v>
      </c>
      <c r="F43" t="s">
        <v>9996</v>
      </c>
      <c r="G43" t="s">
        <v>9998</v>
      </c>
      <c r="H43">
        <f t="shared" si="2"/>
        <v>38</v>
      </c>
      <c r="J43" t="s">
        <v>9996</v>
      </c>
      <c r="K43" t="s">
        <v>9998</v>
      </c>
    </row>
    <row r="44" spans="1:11" x14ac:dyDescent="0.25">
      <c r="A44" s="2" t="s">
        <v>11741</v>
      </c>
      <c r="B44" s="2" t="s">
        <v>9972</v>
      </c>
      <c r="C44" s="2" t="str">
        <f t="shared" si="0"/>
        <v>速</v>
      </c>
      <c r="D44">
        <f t="shared" si="1"/>
        <v>41</v>
      </c>
      <c r="F44" t="s">
        <v>10024</v>
      </c>
      <c r="G44" t="s">
        <v>10026</v>
      </c>
      <c r="H44">
        <f t="shared" si="2"/>
        <v>43</v>
      </c>
      <c r="J44" t="s">
        <v>10024</v>
      </c>
      <c r="K44" t="s">
        <v>10026</v>
      </c>
    </row>
    <row r="45" spans="1:11" x14ac:dyDescent="0.25">
      <c r="A45" s="2" t="s">
        <v>11742</v>
      </c>
      <c r="B45" s="2" t="s">
        <v>10182</v>
      </c>
      <c r="C45" s="2" t="str">
        <f t="shared" si="0"/>
        <v>表</v>
      </c>
      <c r="D45">
        <f t="shared" si="1"/>
        <v>51</v>
      </c>
      <c r="F45" t="s">
        <v>10080</v>
      </c>
      <c r="G45" t="s">
        <v>10082</v>
      </c>
      <c r="H45">
        <f t="shared" si="2"/>
        <v>42</v>
      </c>
      <c r="J45" t="s">
        <v>10080</v>
      </c>
      <c r="K45" t="s">
        <v>10082</v>
      </c>
    </row>
    <row r="46" spans="1:11" x14ac:dyDescent="0.25">
      <c r="A46" s="2" t="s">
        <v>11743</v>
      </c>
      <c r="B46" s="2" t="s">
        <v>9948</v>
      </c>
      <c r="C46" s="2" t="str">
        <f t="shared" si="0"/>
        <v>纺</v>
      </c>
      <c r="D46">
        <f t="shared" si="1"/>
        <v>40</v>
      </c>
      <c r="F46" t="s">
        <v>10090</v>
      </c>
      <c r="G46" t="s">
        <v>10092</v>
      </c>
      <c r="H46">
        <f t="shared" si="2"/>
        <v>49</v>
      </c>
      <c r="J46" t="s">
        <v>10090</v>
      </c>
      <c r="K46" t="s">
        <v>10092</v>
      </c>
    </row>
    <row r="47" spans="1:11" x14ac:dyDescent="0.25">
      <c r="A47" s="2" t="s">
        <v>11744</v>
      </c>
      <c r="B47" s="2" t="s">
        <v>11760</v>
      </c>
      <c r="C47" s="2" t="str">
        <f t="shared" si="0"/>
        <v>木</v>
      </c>
      <c r="D47">
        <f t="shared" si="1"/>
        <v>55</v>
      </c>
      <c r="F47" t="s">
        <v>10098</v>
      </c>
      <c r="G47" t="s">
        <v>10100</v>
      </c>
      <c r="H47">
        <f t="shared" si="2"/>
        <v>53</v>
      </c>
      <c r="J47" t="s">
        <v>10098</v>
      </c>
      <c r="K47" t="s">
        <v>10100</v>
      </c>
    </row>
    <row r="48" spans="1:11" x14ac:dyDescent="0.25">
      <c r="A48" s="2" t="s">
        <v>11745</v>
      </c>
      <c r="B48" s="2" t="s">
        <v>10172</v>
      </c>
      <c r="C48" s="2" t="str">
        <f t="shared" si="0"/>
        <v>疗</v>
      </c>
      <c r="D48">
        <f t="shared" si="1"/>
        <v>50</v>
      </c>
      <c r="F48" t="s">
        <v>10102</v>
      </c>
      <c r="G48" t="s">
        <v>10104</v>
      </c>
      <c r="H48">
        <f t="shared" si="2"/>
        <v>54</v>
      </c>
      <c r="J48" t="s">
        <v>10102</v>
      </c>
      <c r="K48" t="s">
        <v>10104</v>
      </c>
    </row>
    <row r="49" spans="1:11" x14ac:dyDescent="0.25">
      <c r="A49" s="2" t="s">
        <v>11746</v>
      </c>
      <c r="B49" s="2" t="s">
        <v>10090</v>
      </c>
      <c r="C49" s="2" t="str">
        <f t="shared" si="0"/>
        <v>纤</v>
      </c>
      <c r="D49">
        <f t="shared" si="1"/>
        <v>46</v>
      </c>
      <c r="F49" t="s">
        <v>10134</v>
      </c>
      <c r="G49" t="s">
        <v>10136</v>
      </c>
      <c r="H49">
        <f t="shared" si="2"/>
        <v>51</v>
      </c>
      <c r="J49" t="s">
        <v>10134</v>
      </c>
      <c r="K49" t="s">
        <v>10136</v>
      </c>
    </row>
    <row r="50" spans="1:11" x14ac:dyDescent="0.25">
      <c r="A50" s="2" t="s">
        <v>11747</v>
      </c>
      <c r="B50" s="2" t="s">
        <v>11762</v>
      </c>
      <c r="C50" s="2" t="s">
        <v>11775</v>
      </c>
      <c r="D50" t="e">
        <f t="shared" si="1"/>
        <v>#N/A</v>
      </c>
      <c r="F50" t="s">
        <v>10172</v>
      </c>
      <c r="G50" t="s">
        <v>10174</v>
      </c>
      <c r="H50">
        <f t="shared" si="2"/>
        <v>48</v>
      </c>
      <c r="J50" t="s">
        <v>10172</v>
      </c>
      <c r="K50" t="s">
        <v>10174</v>
      </c>
    </row>
    <row r="51" spans="1:11" x14ac:dyDescent="0.25">
      <c r="A51" s="2" t="s">
        <v>11748</v>
      </c>
      <c r="B51" s="2" t="s">
        <v>10134</v>
      </c>
      <c r="C51" s="2" t="str">
        <f t="shared" si="0"/>
        <v>肥</v>
      </c>
      <c r="D51">
        <f t="shared" si="1"/>
        <v>49</v>
      </c>
      <c r="F51" t="s">
        <v>10182</v>
      </c>
      <c r="G51" t="s">
        <v>10184</v>
      </c>
      <c r="H51">
        <f t="shared" si="2"/>
        <v>45</v>
      </c>
      <c r="J51" t="s">
        <v>10182</v>
      </c>
      <c r="K51" t="s">
        <v>10184</v>
      </c>
    </row>
    <row r="52" spans="1:11" x14ac:dyDescent="0.25">
      <c r="A52" s="2" t="s">
        <v>11749</v>
      </c>
      <c r="B52" s="2" t="s">
        <v>10257</v>
      </c>
      <c r="C52" s="2" t="str">
        <f t="shared" si="0"/>
        <v>贸</v>
      </c>
      <c r="D52">
        <f t="shared" si="1"/>
        <v>54</v>
      </c>
      <c r="F52" t="s">
        <v>10190</v>
      </c>
      <c r="G52" t="s">
        <v>10192</v>
      </c>
      <c r="H52">
        <f t="shared" si="2"/>
        <v>55</v>
      </c>
      <c r="J52" t="s">
        <v>10190</v>
      </c>
      <c r="K52" t="s">
        <v>10192</v>
      </c>
    </row>
    <row r="53" spans="1:11" x14ac:dyDescent="0.25">
      <c r="A53" s="2" t="s">
        <v>11750</v>
      </c>
      <c r="B53" s="2" t="s">
        <v>11763</v>
      </c>
      <c r="C53" s="2" t="str">
        <f t="shared" si="0"/>
        <v>兽</v>
      </c>
      <c r="D53">
        <f t="shared" si="1"/>
        <v>47</v>
      </c>
      <c r="F53" t="s">
        <v>10245</v>
      </c>
      <c r="G53" t="s">
        <v>10247</v>
      </c>
      <c r="H53">
        <f t="shared" si="2"/>
        <v>56</v>
      </c>
      <c r="J53" t="s">
        <v>10245</v>
      </c>
      <c r="K53" t="s">
        <v>10247</v>
      </c>
    </row>
    <row r="54" spans="1:11" x14ac:dyDescent="0.25">
      <c r="A54" s="2" t="s">
        <v>11751</v>
      </c>
      <c r="B54" s="2" t="s">
        <v>10102</v>
      </c>
      <c r="C54" s="2" t="str">
        <f t="shared" si="0"/>
        <v>公</v>
      </c>
      <c r="D54">
        <f t="shared" si="1"/>
        <v>48</v>
      </c>
      <c r="F54" t="s">
        <v>10257</v>
      </c>
      <c r="G54" t="s">
        <v>10259</v>
      </c>
      <c r="H54">
        <f t="shared" si="2"/>
        <v>52</v>
      </c>
      <c r="J54" t="s">
        <v>10257</v>
      </c>
      <c r="K54" t="s">
        <v>10259</v>
      </c>
    </row>
    <row r="55" spans="1:11" x14ac:dyDescent="0.25">
      <c r="A55" s="2" t="s">
        <v>11752</v>
      </c>
      <c r="B55" s="2" t="s">
        <v>10190</v>
      </c>
      <c r="C55" s="2" t="str">
        <f t="shared" si="0"/>
        <v>塑</v>
      </c>
      <c r="D55">
        <f t="shared" si="1"/>
        <v>52</v>
      </c>
      <c r="F55" t="s">
        <v>10323</v>
      </c>
      <c r="G55" t="s">
        <v>10325</v>
      </c>
      <c r="H55">
        <f t="shared" si="2"/>
        <v>47</v>
      </c>
      <c r="J55" t="s">
        <v>10323</v>
      </c>
      <c r="K55" t="s">
        <v>10325</v>
      </c>
    </row>
    <row r="56" spans="1:11" x14ac:dyDescent="0.25">
      <c r="A56" s="2" t="s">
        <v>11753</v>
      </c>
      <c r="B56" s="2" t="s">
        <v>10245</v>
      </c>
      <c r="C56" s="2" t="str">
        <f t="shared" si="0"/>
        <v>饰</v>
      </c>
      <c r="D56">
        <f t="shared" si="1"/>
        <v>53</v>
      </c>
      <c r="F56" t="s">
        <v>10613</v>
      </c>
      <c r="G56" t="s">
        <v>10615</v>
      </c>
      <c r="H56">
        <f t="shared" si="2"/>
        <v>58</v>
      </c>
      <c r="J56" t="s">
        <v>10613</v>
      </c>
      <c r="K56" t="s">
        <v>10615</v>
      </c>
    </row>
    <row r="57" spans="1:11" x14ac:dyDescent="0.25">
      <c r="A57" s="2" t="s">
        <v>11754</v>
      </c>
      <c r="B57" s="2" t="s">
        <v>11765</v>
      </c>
      <c r="C57" s="2" t="s">
        <v>11773</v>
      </c>
      <c r="D57" t="e">
        <f t="shared" si="1"/>
        <v>#N/A</v>
      </c>
      <c r="F57" t="s">
        <v>10685</v>
      </c>
      <c r="G57" t="s">
        <v>10687</v>
      </c>
      <c r="H57">
        <f t="shared" si="2"/>
        <v>59</v>
      </c>
      <c r="J57" t="s">
        <v>10685</v>
      </c>
      <c r="K57" t="s">
        <v>10687</v>
      </c>
    </row>
    <row r="58" spans="1:11" x14ac:dyDescent="0.25">
      <c r="A58" s="2" t="s">
        <v>11755</v>
      </c>
      <c r="B58" s="2" t="s">
        <v>10613</v>
      </c>
      <c r="C58" s="2" t="str">
        <f t="shared" si="0"/>
        <v>珠</v>
      </c>
      <c r="D58">
        <f t="shared" si="1"/>
        <v>56</v>
      </c>
      <c r="F58" t="s">
        <v>9583</v>
      </c>
      <c r="G58" t="s">
        <v>9585</v>
      </c>
      <c r="H58">
        <f t="shared" si="2"/>
        <v>62</v>
      </c>
      <c r="J58" t="s">
        <v>9583</v>
      </c>
      <c r="K58" t="s">
        <v>9585</v>
      </c>
    </row>
    <row r="59" spans="1:11" x14ac:dyDescent="0.25">
      <c r="A59" s="2" t="s">
        <v>11756</v>
      </c>
      <c r="B59" s="2" t="s">
        <v>10685</v>
      </c>
      <c r="C59" s="2" t="str">
        <f t="shared" si="0"/>
        <v>综</v>
      </c>
      <c r="D59">
        <f t="shared" si="1"/>
        <v>57</v>
      </c>
    </row>
    <row r="60" spans="1:11" x14ac:dyDescent="0.25">
      <c r="A60" s="2" t="s">
        <v>11757</v>
      </c>
      <c r="B60" s="2" t="s">
        <v>11767</v>
      </c>
      <c r="C60" s="2" t="s">
        <v>11769</v>
      </c>
      <c r="D60" t="e">
        <f t="shared" si="1"/>
        <v>#N/A</v>
      </c>
    </row>
    <row r="61" spans="1:11" x14ac:dyDescent="0.25">
      <c r="A61" s="2" t="s">
        <v>11758</v>
      </c>
      <c r="B61" s="2" t="s">
        <v>11770</v>
      </c>
      <c r="C61" s="2" t="s">
        <v>11771</v>
      </c>
      <c r="D61" t="e">
        <f t="shared" si="1"/>
        <v>#N/A</v>
      </c>
    </row>
    <row r="62" spans="1:11" x14ac:dyDescent="0.25">
      <c r="A62" s="2" t="s">
        <v>11776</v>
      </c>
      <c r="B62" s="2" t="s">
        <v>11776</v>
      </c>
      <c r="C62" s="2" t="s">
        <v>11777</v>
      </c>
      <c r="D62">
        <f t="shared" si="1"/>
        <v>58</v>
      </c>
    </row>
    <row r="63" spans="1:11" x14ac:dyDescent="0.25">
      <c r="A63" s="2" t="s">
        <v>11778</v>
      </c>
      <c r="B63" s="2" t="s">
        <v>11778</v>
      </c>
      <c r="C63" s="2" t="s">
        <v>11779</v>
      </c>
      <c r="D63">
        <f t="shared" si="1"/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982"/>
  <sheetViews>
    <sheetView workbookViewId="0">
      <selection activeCell="C2" sqref="C2"/>
    </sheetView>
  </sheetViews>
  <sheetFormatPr defaultRowHeight="14" x14ac:dyDescent="0.25"/>
  <cols>
    <col min="4" max="4" width="0" hidden="1" customWidth="1"/>
  </cols>
  <sheetData>
    <row r="2" spans="1:13" x14ac:dyDescent="0.25">
      <c r="A2" t="s">
        <v>9561</v>
      </c>
      <c r="B2" t="s">
        <v>9562</v>
      </c>
      <c r="C2" t="s">
        <v>9563</v>
      </c>
      <c r="D2" t="s">
        <v>9564</v>
      </c>
      <c r="E2" t="s">
        <v>9565</v>
      </c>
      <c r="M2" s="1"/>
    </row>
    <row r="3" spans="1:13" x14ac:dyDescent="0.25">
      <c r="A3" t="s">
        <v>9566</v>
      </c>
      <c r="B3" t="s">
        <v>9567</v>
      </c>
      <c r="C3" t="s">
        <v>9563</v>
      </c>
      <c r="D3" t="s">
        <v>9568</v>
      </c>
      <c r="E3" t="s">
        <v>9565</v>
      </c>
    </row>
    <row r="4" spans="1:13" x14ac:dyDescent="0.25">
      <c r="A4" t="s">
        <v>9569</v>
      </c>
      <c r="B4" t="s">
        <v>9570</v>
      </c>
      <c r="C4" t="s">
        <v>9563</v>
      </c>
      <c r="D4" t="s">
        <v>9571</v>
      </c>
      <c r="E4" t="s">
        <v>9565</v>
      </c>
    </row>
    <row r="5" spans="1:13" x14ac:dyDescent="0.25">
      <c r="A5" t="s">
        <v>9572</v>
      </c>
      <c r="B5" t="s">
        <v>9573</v>
      </c>
      <c r="C5" t="s">
        <v>9563</v>
      </c>
      <c r="D5" t="s">
        <v>9574</v>
      </c>
      <c r="E5" t="s">
        <v>9565</v>
      </c>
    </row>
    <row r="6" spans="1:13" x14ac:dyDescent="0.25">
      <c r="A6" t="s">
        <v>9575</v>
      </c>
      <c r="B6" t="s">
        <v>9576</v>
      </c>
      <c r="C6" t="s">
        <v>9563</v>
      </c>
      <c r="D6" t="s">
        <v>9577</v>
      </c>
      <c r="E6" t="s">
        <v>9565</v>
      </c>
    </row>
    <row r="7" spans="1:13" x14ac:dyDescent="0.25">
      <c r="A7" t="s">
        <v>9578</v>
      </c>
      <c r="B7" t="s">
        <v>9579</v>
      </c>
      <c r="C7" t="s">
        <v>9563</v>
      </c>
      <c r="D7" t="s">
        <v>9580</v>
      </c>
      <c r="E7" t="s">
        <v>9565</v>
      </c>
    </row>
    <row r="8" spans="1:13" x14ac:dyDescent="0.25">
      <c r="A8" t="s">
        <v>11787</v>
      </c>
      <c r="B8" t="s">
        <v>11788</v>
      </c>
      <c r="C8" t="s">
        <v>11789</v>
      </c>
      <c r="D8" t="s">
        <v>11790</v>
      </c>
      <c r="E8" t="s">
        <v>11791</v>
      </c>
    </row>
    <row r="9" spans="1:13" x14ac:dyDescent="0.25">
      <c r="A9" t="s">
        <v>9581</v>
      </c>
      <c r="B9" t="s">
        <v>9582</v>
      </c>
      <c r="C9" t="s">
        <v>9583</v>
      </c>
      <c r="D9" t="s">
        <v>9584</v>
      </c>
      <c r="E9" t="s">
        <v>9585</v>
      </c>
    </row>
    <row r="10" spans="1:13" x14ac:dyDescent="0.25">
      <c r="A10" t="s">
        <v>9586</v>
      </c>
      <c r="B10" t="s">
        <v>9587</v>
      </c>
      <c r="C10" t="s">
        <v>9583</v>
      </c>
      <c r="D10" t="s">
        <v>9588</v>
      </c>
      <c r="E10" t="s">
        <v>9585</v>
      </c>
    </row>
    <row r="11" spans="1:13" x14ac:dyDescent="0.25">
      <c r="A11" t="s">
        <v>9589</v>
      </c>
      <c r="B11" t="s">
        <v>9590</v>
      </c>
      <c r="C11" t="s">
        <v>9591</v>
      </c>
      <c r="D11" t="s">
        <v>9592</v>
      </c>
      <c r="E11" t="s">
        <v>9593</v>
      </c>
    </row>
    <row r="12" spans="1:13" hidden="1" x14ac:dyDescent="0.25">
      <c r="A12" t="s">
        <v>9594</v>
      </c>
      <c r="B12" t="s">
        <v>38</v>
      </c>
      <c r="C12" t="s">
        <v>9595</v>
      </c>
      <c r="D12" t="s">
        <v>9596</v>
      </c>
      <c r="E12" t="s">
        <v>9597</v>
      </c>
    </row>
    <row r="13" spans="1:13" hidden="1" x14ac:dyDescent="0.25">
      <c r="A13" t="s">
        <v>9598</v>
      </c>
      <c r="B13" t="s">
        <v>58</v>
      </c>
      <c r="C13" t="s">
        <v>9599</v>
      </c>
      <c r="D13" t="s">
        <v>9600</v>
      </c>
      <c r="E13" t="s">
        <v>9601</v>
      </c>
    </row>
    <row r="14" spans="1:13" hidden="1" x14ac:dyDescent="0.25">
      <c r="A14" t="s">
        <v>9602</v>
      </c>
      <c r="B14" t="s">
        <v>49</v>
      </c>
      <c r="C14" t="s">
        <v>9595</v>
      </c>
      <c r="D14" t="s">
        <v>9603</v>
      </c>
      <c r="E14" t="s">
        <v>9597</v>
      </c>
    </row>
    <row r="15" spans="1:13" hidden="1" x14ac:dyDescent="0.25">
      <c r="A15" t="s">
        <v>9604</v>
      </c>
      <c r="B15" t="s">
        <v>69</v>
      </c>
      <c r="C15" t="s">
        <v>9595</v>
      </c>
      <c r="D15" t="s">
        <v>9605</v>
      </c>
      <c r="E15" t="s">
        <v>9597</v>
      </c>
    </row>
    <row r="16" spans="1:13" hidden="1" x14ac:dyDescent="0.25">
      <c r="A16" t="s">
        <v>9606</v>
      </c>
      <c r="B16" t="s">
        <v>80</v>
      </c>
      <c r="C16" t="s">
        <v>9595</v>
      </c>
      <c r="D16" t="s">
        <v>9607</v>
      </c>
      <c r="E16" t="s">
        <v>9597</v>
      </c>
    </row>
    <row r="17" spans="1:5" hidden="1" x14ac:dyDescent="0.25">
      <c r="A17" t="s">
        <v>9608</v>
      </c>
      <c r="B17" t="s">
        <v>91</v>
      </c>
      <c r="C17" t="s">
        <v>9609</v>
      </c>
      <c r="D17" t="s">
        <v>9610</v>
      </c>
      <c r="E17" t="s">
        <v>9611</v>
      </c>
    </row>
    <row r="18" spans="1:5" hidden="1" x14ac:dyDescent="0.25">
      <c r="A18" t="s">
        <v>9612</v>
      </c>
      <c r="B18" t="s">
        <v>101</v>
      </c>
      <c r="C18" t="s">
        <v>9609</v>
      </c>
      <c r="D18" t="s">
        <v>9613</v>
      </c>
      <c r="E18" t="s">
        <v>9611</v>
      </c>
    </row>
    <row r="19" spans="1:5" hidden="1" x14ac:dyDescent="0.25">
      <c r="A19" t="s">
        <v>9614</v>
      </c>
      <c r="B19" t="s">
        <v>110</v>
      </c>
      <c r="C19" t="s">
        <v>9599</v>
      </c>
      <c r="D19" t="s">
        <v>9615</v>
      </c>
      <c r="E19" t="s">
        <v>9601</v>
      </c>
    </row>
    <row r="20" spans="1:5" hidden="1" x14ac:dyDescent="0.25">
      <c r="A20" t="s">
        <v>9616</v>
      </c>
      <c r="B20" t="s">
        <v>128</v>
      </c>
      <c r="C20" t="s">
        <v>9595</v>
      </c>
      <c r="D20" t="s">
        <v>9617</v>
      </c>
      <c r="E20" t="s">
        <v>9597</v>
      </c>
    </row>
    <row r="21" spans="1:5" hidden="1" x14ac:dyDescent="0.25">
      <c r="A21" t="s">
        <v>9618</v>
      </c>
      <c r="B21" t="s">
        <v>137</v>
      </c>
      <c r="C21" t="s">
        <v>9595</v>
      </c>
      <c r="D21" t="s">
        <v>9619</v>
      </c>
      <c r="E21" t="s">
        <v>9597</v>
      </c>
    </row>
    <row r="22" spans="1:5" hidden="1" x14ac:dyDescent="0.25">
      <c r="A22" t="s">
        <v>9620</v>
      </c>
      <c r="B22" t="s">
        <v>120</v>
      </c>
      <c r="C22" t="s">
        <v>9621</v>
      </c>
      <c r="D22" t="s">
        <v>9622</v>
      </c>
      <c r="E22" t="s">
        <v>9623</v>
      </c>
    </row>
    <row r="23" spans="1:5" hidden="1" x14ac:dyDescent="0.25">
      <c r="A23" t="s">
        <v>9624</v>
      </c>
      <c r="B23" t="s">
        <v>157</v>
      </c>
      <c r="C23" t="s">
        <v>9595</v>
      </c>
      <c r="D23" t="s">
        <v>9625</v>
      </c>
      <c r="E23" t="s">
        <v>9597</v>
      </c>
    </row>
    <row r="24" spans="1:5" hidden="1" x14ac:dyDescent="0.25">
      <c r="A24" t="s">
        <v>9626</v>
      </c>
      <c r="B24" t="s">
        <v>231</v>
      </c>
      <c r="C24" t="s">
        <v>9595</v>
      </c>
      <c r="D24" t="s">
        <v>9627</v>
      </c>
      <c r="E24" t="s">
        <v>9597</v>
      </c>
    </row>
    <row r="25" spans="1:5" hidden="1" x14ac:dyDescent="0.25">
      <c r="A25" t="s">
        <v>9628</v>
      </c>
      <c r="B25" t="s">
        <v>147</v>
      </c>
      <c r="C25" t="s">
        <v>9629</v>
      </c>
      <c r="D25" t="s">
        <v>9630</v>
      </c>
      <c r="E25" t="s">
        <v>9631</v>
      </c>
    </row>
    <row r="26" spans="1:5" hidden="1" x14ac:dyDescent="0.25">
      <c r="A26" t="s">
        <v>9632</v>
      </c>
      <c r="B26" t="s">
        <v>175</v>
      </c>
      <c r="C26" t="s">
        <v>9595</v>
      </c>
      <c r="D26" t="s">
        <v>9633</v>
      </c>
      <c r="E26" t="s">
        <v>9597</v>
      </c>
    </row>
    <row r="27" spans="1:5" hidden="1" x14ac:dyDescent="0.25">
      <c r="A27" t="s">
        <v>9634</v>
      </c>
      <c r="B27" t="s">
        <v>221</v>
      </c>
      <c r="C27" t="s">
        <v>9595</v>
      </c>
      <c r="D27" t="s">
        <v>9635</v>
      </c>
      <c r="E27" t="s">
        <v>9597</v>
      </c>
    </row>
    <row r="28" spans="1:5" hidden="1" x14ac:dyDescent="0.25">
      <c r="A28" t="s">
        <v>9636</v>
      </c>
      <c r="B28" t="s">
        <v>183</v>
      </c>
      <c r="C28" t="s">
        <v>9637</v>
      </c>
      <c r="D28" t="s">
        <v>9638</v>
      </c>
      <c r="E28" t="s">
        <v>9637</v>
      </c>
    </row>
    <row r="29" spans="1:5" hidden="1" x14ac:dyDescent="0.25">
      <c r="A29" t="s">
        <v>9639</v>
      </c>
      <c r="B29" t="s">
        <v>241</v>
      </c>
      <c r="C29" t="s">
        <v>9640</v>
      </c>
      <c r="D29" t="s">
        <v>9641</v>
      </c>
      <c r="E29" t="s">
        <v>9642</v>
      </c>
    </row>
    <row r="30" spans="1:5" hidden="1" x14ac:dyDescent="0.25">
      <c r="A30" t="s">
        <v>9643</v>
      </c>
      <c r="B30" t="s">
        <v>193</v>
      </c>
      <c r="C30" t="s">
        <v>9609</v>
      </c>
      <c r="D30" t="s">
        <v>9644</v>
      </c>
      <c r="E30" t="s">
        <v>9611</v>
      </c>
    </row>
    <row r="31" spans="1:5" hidden="1" x14ac:dyDescent="0.25">
      <c r="A31" t="s">
        <v>9645</v>
      </c>
      <c r="B31" t="s">
        <v>166</v>
      </c>
      <c r="C31" t="s">
        <v>9646</v>
      </c>
      <c r="D31" t="s">
        <v>9647</v>
      </c>
      <c r="E31" t="s">
        <v>9648</v>
      </c>
    </row>
    <row r="32" spans="1:5" hidden="1" x14ac:dyDescent="0.25">
      <c r="A32" t="s">
        <v>9649</v>
      </c>
      <c r="B32" t="s">
        <v>250</v>
      </c>
      <c r="C32" t="s">
        <v>9650</v>
      </c>
      <c r="D32" t="s">
        <v>9651</v>
      </c>
      <c r="E32" t="s">
        <v>9652</v>
      </c>
    </row>
    <row r="33" spans="1:5" hidden="1" x14ac:dyDescent="0.25">
      <c r="A33" t="s">
        <v>9653</v>
      </c>
      <c r="B33" t="s">
        <v>260</v>
      </c>
      <c r="C33" t="s">
        <v>9654</v>
      </c>
      <c r="D33" t="s">
        <v>9655</v>
      </c>
      <c r="E33" t="s">
        <v>9656</v>
      </c>
    </row>
    <row r="34" spans="1:5" hidden="1" x14ac:dyDescent="0.25">
      <c r="A34" t="s">
        <v>9657</v>
      </c>
      <c r="B34" t="s">
        <v>279</v>
      </c>
      <c r="C34" t="s">
        <v>9654</v>
      </c>
      <c r="D34" t="s">
        <v>9658</v>
      </c>
      <c r="E34" t="s">
        <v>9656</v>
      </c>
    </row>
    <row r="35" spans="1:5" hidden="1" x14ac:dyDescent="0.25">
      <c r="A35" t="s">
        <v>9659</v>
      </c>
      <c r="B35" t="s">
        <v>303</v>
      </c>
      <c r="C35" t="s">
        <v>9660</v>
      </c>
      <c r="D35" t="s">
        <v>11792</v>
      </c>
      <c r="E35" t="s">
        <v>9661</v>
      </c>
    </row>
    <row r="36" spans="1:5" hidden="1" x14ac:dyDescent="0.25">
      <c r="A36" t="s">
        <v>9662</v>
      </c>
      <c r="B36" t="s">
        <v>313</v>
      </c>
      <c r="C36" t="s">
        <v>9654</v>
      </c>
      <c r="D36" t="s">
        <v>9663</v>
      </c>
      <c r="E36" t="s">
        <v>9656</v>
      </c>
    </row>
    <row r="37" spans="1:5" hidden="1" x14ac:dyDescent="0.25">
      <c r="A37" t="s">
        <v>9664</v>
      </c>
      <c r="B37" t="s">
        <v>397</v>
      </c>
      <c r="C37" t="s">
        <v>9660</v>
      </c>
      <c r="D37" t="s">
        <v>9665</v>
      </c>
      <c r="E37" t="s">
        <v>9661</v>
      </c>
    </row>
    <row r="38" spans="1:5" hidden="1" x14ac:dyDescent="0.25">
      <c r="A38" t="s">
        <v>9666</v>
      </c>
      <c r="B38" t="s">
        <v>331</v>
      </c>
      <c r="C38" t="s">
        <v>9595</v>
      </c>
      <c r="D38" t="s">
        <v>9667</v>
      </c>
      <c r="E38" t="s">
        <v>9597</v>
      </c>
    </row>
    <row r="39" spans="1:5" hidden="1" x14ac:dyDescent="0.25">
      <c r="A39" t="s">
        <v>9668</v>
      </c>
      <c r="B39" t="s">
        <v>212</v>
      </c>
      <c r="C39" t="s">
        <v>9669</v>
      </c>
      <c r="D39" t="s">
        <v>9670</v>
      </c>
      <c r="E39" t="s">
        <v>9671</v>
      </c>
    </row>
    <row r="40" spans="1:5" hidden="1" x14ac:dyDescent="0.25">
      <c r="A40" t="s">
        <v>9672</v>
      </c>
      <c r="B40" t="s">
        <v>322</v>
      </c>
      <c r="C40" t="s">
        <v>9595</v>
      </c>
      <c r="D40" t="s">
        <v>9673</v>
      </c>
      <c r="E40" t="s">
        <v>9597</v>
      </c>
    </row>
    <row r="41" spans="1:5" hidden="1" x14ac:dyDescent="0.25">
      <c r="A41" t="s">
        <v>9674</v>
      </c>
      <c r="B41" t="s">
        <v>619</v>
      </c>
      <c r="C41" t="s">
        <v>9675</v>
      </c>
      <c r="D41" t="s">
        <v>9676</v>
      </c>
      <c r="E41" t="s">
        <v>9677</v>
      </c>
    </row>
    <row r="42" spans="1:5" hidden="1" x14ac:dyDescent="0.25">
      <c r="A42" t="s">
        <v>9678</v>
      </c>
      <c r="B42" t="s">
        <v>350</v>
      </c>
      <c r="C42" t="s">
        <v>9646</v>
      </c>
      <c r="D42" t="s">
        <v>9679</v>
      </c>
      <c r="E42" t="s">
        <v>9648</v>
      </c>
    </row>
    <row r="43" spans="1:5" hidden="1" x14ac:dyDescent="0.25">
      <c r="A43" t="s">
        <v>9680</v>
      </c>
      <c r="B43" t="s">
        <v>202</v>
      </c>
      <c r="C43" t="s">
        <v>9681</v>
      </c>
      <c r="D43" t="s">
        <v>9682</v>
      </c>
      <c r="E43" t="s">
        <v>9683</v>
      </c>
    </row>
    <row r="44" spans="1:5" hidden="1" x14ac:dyDescent="0.25">
      <c r="A44" t="s">
        <v>9684</v>
      </c>
      <c r="B44" t="s">
        <v>368</v>
      </c>
      <c r="C44" t="s">
        <v>9646</v>
      </c>
      <c r="D44" t="s">
        <v>9685</v>
      </c>
      <c r="E44" t="s">
        <v>9648</v>
      </c>
    </row>
    <row r="45" spans="1:5" hidden="1" x14ac:dyDescent="0.25">
      <c r="A45" t="s">
        <v>9686</v>
      </c>
      <c r="B45" t="s">
        <v>456</v>
      </c>
      <c r="C45" t="s">
        <v>9660</v>
      </c>
      <c r="D45" t="s">
        <v>9687</v>
      </c>
      <c r="E45" t="s">
        <v>9661</v>
      </c>
    </row>
    <row r="46" spans="1:5" hidden="1" x14ac:dyDescent="0.25">
      <c r="A46" t="s">
        <v>9688</v>
      </c>
      <c r="B46" t="s">
        <v>512</v>
      </c>
      <c r="C46" t="s">
        <v>9595</v>
      </c>
      <c r="D46" t="s">
        <v>9689</v>
      </c>
      <c r="E46" t="s">
        <v>9597</v>
      </c>
    </row>
    <row r="47" spans="1:5" hidden="1" x14ac:dyDescent="0.25">
      <c r="A47" t="s">
        <v>9690</v>
      </c>
      <c r="B47" t="s">
        <v>550</v>
      </c>
      <c r="C47" t="s">
        <v>9691</v>
      </c>
      <c r="D47" t="s">
        <v>9692</v>
      </c>
      <c r="E47" t="s">
        <v>9693</v>
      </c>
    </row>
    <row r="48" spans="1:5" hidden="1" x14ac:dyDescent="0.25">
      <c r="A48" t="s">
        <v>9694</v>
      </c>
      <c r="B48" t="s">
        <v>422</v>
      </c>
      <c r="C48" t="s">
        <v>9654</v>
      </c>
      <c r="D48" t="s">
        <v>9695</v>
      </c>
      <c r="E48" t="s">
        <v>9656</v>
      </c>
    </row>
    <row r="49" spans="1:5" hidden="1" x14ac:dyDescent="0.25">
      <c r="A49" t="s">
        <v>9696</v>
      </c>
      <c r="B49" t="s">
        <v>655</v>
      </c>
      <c r="C49" t="s">
        <v>9660</v>
      </c>
      <c r="D49" t="s">
        <v>9697</v>
      </c>
      <c r="E49" t="s">
        <v>9661</v>
      </c>
    </row>
    <row r="50" spans="1:5" hidden="1" x14ac:dyDescent="0.25">
      <c r="A50" t="s">
        <v>9698</v>
      </c>
      <c r="B50" t="s">
        <v>342</v>
      </c>
      <c r="C50" t="s">
        <v>9660</v>
      </c>
      <c r="D50" t="s">
        <v>11793</v>
      </c>
      <c r="E50" t="s">
        <v>9661</v>
      </c>
    </row>
    <row r="51" spans="1:5" hidden="1" x14ac:dyDescent="0.25">
      <c r="A51" t="s">
        <v>9699</v>
      </c>
      <c r="B51" t="s">
        <v>287</v>
      </c>
      <c r="C51" t="s">
        <v>9669</v>
      </c>
      <c r="D51" t="s">
        <v>9700</v>
      </c>
      <c r="E51" t="s">
        <v>9671</v>
      </c>
    </row>
    <row r="52" spans="1:5" hidden="1" x14ac:dyDescent="0.25">
      <c r="A52" t="s">
        <v>9701</v>
      </c>
      <c r="B52" t="s">
        <v>296</v>
      </c>
      <c r="C52" t="s">
        <v>9621</v>
      </c>
      <c r="D52" t="s">
        <v>9702</v>
      </c>
      <c r="E52" t="s">
        <v>9623</v>
      </c>
    </row>
    <row r="53" spans="1:5" hidden="1" x14ac:dyDescent="0.25">
      <c r="A53" t="s">
        <v>9703</v>
      </c>
      <c r="B53" t="s">
        <v>487</v>
      </c>
      <c r="C53" t="s">
        <v>9640</v>
      </c>
      <c r="D53" t="s">
        <v>9704</v>
      </c>
      <c r="E53" t="s">
        <v>9642</v>
      </c>
    </row>
    <row r="54" spans="1:5" hidden="1" x14ac:dyDescent="0.25">
      <c r="A54" t="s">
        <v>9705</v>
      </c>
      <c r="B54" t="s">
        <v>495</v>
      </c>
      <c r="C54" t="s">
        <v>9660</v>
      </c>
      <c r="D54" t="s">
        <v>11794</v>
      </c>
      <c r="E54" t="s">
        <v>9661</v>
      </c>
    </row>
    <row r="55" spans="1:5" hidden="1" x14ac:dyDescent="0.25">
      <c r="A55" t="s">
        <v>9706</v>
      </c>
      <c r="B55" t="s">
        <v>359</v>
      </c>
      <c r="C55" t="s">
        <v>9609</v>
      </c>
      <c r="D55" t="s">
        <v>9707</v>
      </c>
      <c r="E55" t="s">
        <v>9611</v>
      </c>
    </row>
    <row r="56" spans="1:5" hidden="1" x14ac:dyDescent="0.25">
      <c r="A56" t="s">
        <v>9708</v>
      </c>
      <c r="B56" t="s">
        <v>639</v>
      </c>
      <c r="C56" t="s">
        <v>9660</v>
      </c>
      <c r="D56" t="s">
        <v>9709</v>
      </c>
      <c r="E56" t="s">
        <v>9661</v>
      </c>
    </row>
    <row r="57" spans="1:5" hidden="1" x14ac:dyDescent="0.25">
      <c r="A57" t="s">
        <v>9710</v>
      </c>
      <c r="B57" t="s">
        <v>520</v>
      </c>
      <c r="C57" t="s">
        <v>9660</v>
      </c>
      <c r="D57" t="s">
        <v>9711</v>
      </c>
      <c r="E57" t="s">
        <v>9661</v>
      </c>
    </row>
    <row r="58" spans="1:5" hidden="1" x14ac:dyDescent="0.25">
      <c r="A58" t="s">
        <v>9712</v>
      </c>
      <c r="B58" t="s">
        <v>634</v>
      </c>
      <c r="C58" t="s">
        <v>9713</v>
      </c>
      <c r="D58" t="s">
        <v>9714</v>
      </c>
      <c r="E58" t="s">
        <v>9715</v>
      </c>
    </row>
    <row r="59" spans="1:5" hidden="1" x14ac:dyDescent="0.25">
      <c r="A59" t="s">
        <v>9716</v>
      </c>
      <c r="B59" t="s">
        <v>437</v>
      </c>
      <c r="C59" t="s">
        <v>9717</v>
      </c>
      <c r="D59" t="s">
        <v>9718</v>
      </c>
      <c r="E59" t="s">
        <v>9719</v>
      </c>
    </row>
    <row r="60" spans="1:5" hidden="1" x14ac:dyDescent="0.25">
      <c r="A60" t="s">
        <v>9720</v>
      </c>
      <c r="B60" t="s">
        <v>745</v>
      </c>
      <c r="C60" t="s">
        <v>9595</v>
      </c>
      <c r="D60" t="s">
        <v>9721</v>
      </c>
      <c r="E60" t="s">
        <v>9597</v>
      </c>
    </row>
    <row r="61" spans="1:5" hidden="1" x14ac:dyDescent="0.25">
      <c r="A61" t="s">
        <v>9722</v>
      </c>
      <c r="B61" t="s">
        <v>677</v>
      </c>
      <c r="C61" t="s">
        <v>9723</v>
      </c>
      <c r="D61" t="s">
        <v>9724</v>
      </c>
      <c r="E61" t="s">
        <v>9725</v>
      </c>
    </row>
    <row r="62" spans="1:5" hidden="1" x14ac:dyDescent="0.25">
      <c r="A62" t="s">
        <v>9726</v>
      </c>
      <c r="B62" t="s">
        <v>628</v>
      </c>
      <c r="C62" t="s">
        <v>9595</v>
      </c>
      <c r="D62" t="s">
        <v>9727</v>
      </c>
      <c r="E62" t="s">
        <v>9597</v>
      </c>
    </row>
    <row r="63" spans="1:5" hidden="1" x14ac:dyDescent="0.25">
      <c r="A63" t="s">
        <v>9728</v>
      </c>
      <c r="B63" t="s">
        <v>762</v>
      </c>
      <c r="C63" t="s">
        <v>9640</v>
      </c>
      <c r="D63" t="s">
        <v>9729</v>
      </c>
      <c r="E63" t="s">
        <v>9642</v>
      </c>
    </row>
    <row r="64" spans="1:5" hidden="1" x14ac:dyDescent="0.25">
      <c r="A64" t="s">
        <v>9730</v>
      </c>
      <c r="B64" t="s">
        <v>695</v>
      </c>
      <c r="C64" t="s">
        <v>9637</v>
      </c>
      <c r="D64" t="s">
        <v>9731</v>
      </c>
      <c r="E64" t="s">
        <v>9637</v>
      </c>
    </row>
    <row r="65" spans="1:5" hidden="1" x14ac:dyDescent="0.25">
      <c r="A65" t="s">
        <v>9732</v>
      </c>
      <c r="B65" t="s">
        <v>587</v>
      </c>
      <c r="C65" t="s">
        <v>9640</v>
      </c>
      <c r="D65" t="s">
        <v>9733</v>
      </c>
      <c r="E65" t="s">
        <v>9642</v>
      </c>
    </row>
    <row r="66" spans="1:5" hidden="1" x14ac:dyDescent="0.25">
      <c r="A66" t="s">
        <v>9734</v>
      </c>
      <c r="B66" t="s">
        <v>465</v>
      </c>
      <c r="C66" t="s">
        <v>9735</v>
      </c>
      <c r="D66" t="s">
        <v>9736</v>
      </c>
      <c r="E66" t="s">
        <v>9735</v>
      </c>
    </row>
    <row r="67" spans="1:5" hidden="1" x14ac:dyDescent="0.25">
      <c r="A67" t="s">
        <v>9737</v>
      </c>
      <c r="B67" t="s">
        <v>389</v>
      </c>
      <c r="C67" t="s">
        <v>9738</v>
      </c>
      <c r="D67" t="s">
        <v>9739</v>
      </c>
      <c r="E67" t="s">
        <v>9740</v>
      </c>
    </row>
    <row r="68" spans="1:5" hidden="1" x14ac:dyDescent="0.25">
      <c r="A68" t="s">
        <v>9741</v>
      </c>
      <c r="B68" t="s">
        <v>709</v>
      </c>
      <c r="C68" t="s">
        <v>9738</v>
      </c>
      <c r="D68" t="s">
        <v>9742</v>
      </c>
      <c r="E68" t="s">
        <v>9740</v>
      </c>
    </row>
    <row r="69" spans="1:5" hidden="1" x14ac:dyDescent="0.25">
      <c r="A69" t="s">
        <v>9743</v>
      </c>
      <c r="B69" t="s">
        <v>404</v>
      </c>
      <c r="C69" t="s">
        <v>9744</v>
      </c>
      <c r="D69" t="s">
        <v>9745</v>
      </c>
      <c r="E69" t="s">
        <v>9746</v>
      </c>
    </row>
    <row r="70" spans="1:5" hidden="1" x14ac:dyDescent="0.25">
      <c r="A70" t="s">
        <v>9747</v>
      </c>
      <c r="B70" t="s">
        <v>646</v>
      </c>
      <c r="C70" t="s">
        <v>9748</v>
      </c>
      <c r="D70" t="s">
        <v>9749</v>
      </c>
      <c r="E70" t="s">
        <v>9750</v>
      </c>
    </row>
    <row r="71" spans="1:5" hidden="1" x14ac:dyDescent="0.25">
      <c r="A71" t="s">
        <v>9751</v>
      </c>
      <c r="B71" t="s">
        <v>429</v>
      </c>
      <c r="C71" t="s">
        <v>9621</v>
      </c>
      <c r="D71" t="s">
        <v>9752</v>
      </c>
      <c r="E71" t="s">
        <v>9623</v>
      </c>
    </row>
    <row r="72" spans="1:5" hidden="1" x14ac:dyDescent="0.25">
      <c r="A72" t="s">
        <v>9753</v>
      </c>
      <c r="B72" t="s">
        <v>528</v>
      </c>
      <c r="C72" t="s">
        <v>9754</v>
      </c>
      <c r="D72" t="s">
        <v>9755</v>
      </c>
      <c r="E72" t="s">
        <v>9756</v>
      </c>
    </row>
    <row r="73" spans="1:5" hidden="1" x14ac:dyDescent="0.25">
      <c r="A73" t="s">
        <v>9757</v>
      </c>
      <c r="B73" t="s">
        <v>539</v>
      </c>
      <c r="C73" t="s">
        <v>9758</v>
      </c>
      <c r="D73" t="s">
        <v>9759</v>
      </c>
      <c r="E73" t="s">
        <v>9760</v>
      </c>
    </row>
    <row r="74" spans="1:5" hidden="1" x14ac:dyDescent="0.25">
      <c r="A74" t="s">
        <v>9761</v>
      </c>
      <c r="B74" t="s">
        <v>725</v>
      </c>
      <c r="C74" t="s">
        <v>9660</v>
      </c>
      <c r="D74" t="s">
        <v>9762</v>
      </c>
      <c r="E74" t="s">
        <v>9661</v>
      </c>
    </row>
    <row r="75" spans="1:5" hidden="1" x14ac:dyDescent="0.25">
      <c r="A75" t="s">
        <v>9763</v>
      </c>
      <c r="B75" t="s">
        <v>569</v>
      </c>
      <c r="C75" t="s">
        <v>9764</v>
      </c>
      <c r="D75" t="s">
        <v>9765</v>
      </c>
      <c r="E75" t="s">
        <v>9766</v>
      </c>
    </row>
    <row r="76" spans="1:5" hidden="1" x14ac:dyDescent="0.25">
      <c r="A76" t="s">
        <v>9767</v>
      </c>
      <c r="B76" t="s">
        <v>673</v>
      </c>
      <c r="C76" t="s">
        <v>9646</v>
      </c>
      <c r="D76" t="s">
        <v>9768</v>
      </c>
      <c r="E76" t="s">
        <v>9648</v>
      </c>
    </row>
    <row r="77" spans="1:5" hidden="1" x14ac:dyDescent="0.25">
      <c r="A77" t="s">
        <v>9769</v>
      </c>
      <c r="B77" t="s">
        <v>607</v>
      </c>
      <c r="C77" t="s">
        <v>9654</v>
      </c>
      <c r="D77" t="s">
        <v>9770</v>
      </c>
      <c r="E77" t="s">
        <v>9656</v>
      </c>
    </row>
    <row r="78" spans="1:5" hidden="1" x14ac:dyDescent="0.25">
      <c r="A78" t="s">
        <v>9771</v>
      </c>
      <c r="B78" t="s">
        <v>1087</v>
      </c>
      <c r="C78" t="s">
        <v>9758</v>
      </c>
      <c r="D78" t="s">
        <v>9772</v>
      </c>
      <c r="E78" t="s">
        <v>9760</v>
      </c>
    </row>
    <row r="79" spans="1:5" hidden="1" x14ac:dyDescent="0.25">
      <c r="A79" t="s">
        <v>9773</v>
      </c>
      <c r="B79" t="s">
        <v>413</v>
      </c>
      <c r="C79" t="s">
        <v>9774</v>
      </c>
      <c r="D79" t="s">
        <v>9775</v>
      </c>
      <c r="E79" t="s">
        <v>9776</v>
      </c>
    </row>
    <row r="80" spans="1:5" hidden="1" x14ac:dyDescent="0.25">
      <c r="A80" t="s">
        <v>9777</v>
      </c>
      <c r="B80" t="s">
        <v>596</v>
      </c>
      <c r="C80" t="s">
        <v>9774</v>
      </c>
      <c r="D80" t="s">
        <v>9778</v>
      </c>
      <c r="E80" t="s">
        <v>9776</v>
      </c>
    </row>
    <row r="81" spans="1:5" hidden="1" x14ac:dyDescent="0.25">
      <c r="A81" t="s">
        <v>9779</v>
      </c>
      <c r="B81" t="s">
        <v>733</v>
      </c>
      <c r="C81" t="s">
        <v>9764</v>
      </c>
      <c r="D81" t="s">
        <v>9780</v>
      </c>
      <c r="E81" t="s">
        <v>9766</v>
      </c>
    </row>
    <row r="82" spans="1:5" hidden="1" x14ac:dyDescent="0.25">
      <c r="A82" t="s">
        <v>9781</v>
      </c>
      <c r="B82" t="s">
        <v>559</v>
      </c>
      <c r="C82" t="s">
        <v>9782</v>
      </c>
      <c r="D82" t="s">
        <v>9783</v>
      </c>
      <c r="E82" t="s">
        <v>9784</v>
      </c>
    </row>
    <row r="83" spans="1:5" hidden="1" x14ac:dyDescent="0.25">
      <c r="A83" t="s">
        <v>9785</v>
      </c>
      <c r="B83" t="s">
        <v>829</v>
      </c>
      <c r="C83" t="s">
        <v>9629</v>
      </c>
      <c r="D83" t="s">
        <v>9786</v>
      </c>
      <c r="E83" t="s">
        <v>9631</v>
      </c>
    </row>
    <row r="84" spans="1:5" hidden="1" x14ac:dyDescent="0.25">
      <c r="A84" t="s">
        <v>9787</v>
      </c>
      <c r="B84" t="s">
        <v>1125</v>
      </c>
      <c r="C84" t="s">
        <v>9788</v>
      </c>
      <c r="D84" t="s">
        <v>9789</v>
      </c>
      <c r="E84" t="s">
        <v>9790</v>
      </c>
    </row>
    <row r="85" spans="1:5" hidden="1" x14ac:dyDescent="0.25">
      <c r="A85" t="s">
        <v>9791</v>
      </c>
      <c r="B85" t="s">
        <v>376</v>
      </c>
      <c r="C85" t="s">
        <v>9792</v>
      </c>
      <c r="D85" t="s">
        <v>9793</v>
      </c>
      <c r="E85" t="s">
        <v>9794</v>
      </c>
    </row>
    <row r="86" spans="1:5" hidden="1" x14ac:dyDescent="0.25">
      <c r="A86" t="s">
        <v>9795</v>
      </c>
      <c r="B86" t="s">
        <v>718</v>
      </c>
      <c r="C86" t="s">
        <v>9738</v>
      </c>
      <c r="D86" t="s">
        <v>9796</v>
      </c>
      <c r="E86" t="s">
        <v>9740</v>
      </c>
    </row>
    <row r="87" spans="1:5" hidden="1" x14ac:dyDescent="0.25">
      <c r="A87" t="s">
        <v>9797</v>
      </c>
      <c r="B87" t="s">
        <v>544</v>
      </c>
      <c r="C87" t="s">
        <v>9744</v>
      </c>
      <c r="D87" t="s">
        <v>9798</v>
      </c>
      <c r="E87" t="s">
        <v>9746</v>
      </c>
    </row>
    <row r="88" spans="1:5" hidden="1" x14ac:dyDescent="0.25">
      <c r="A88" t="s">
        <v>9799</v>
      </c>
      <c r="B88" t="s">
        <v>805</v>
      </c>
      <c r="C88" t="s">
        <v>9800</v>
      </c>
      <c r="D88" t="s">
        <v>9801</v>
      </c>
      <c r="E88" t="s">
        <v>9802</v>
      </c>
    </row>
    <row r="89" spans="1:5" hidden="1" x14ac:dyDescent="0.25">
      <c r="A89" t="s">
        <v>9803</v>
      </c>
      <c r="B89" t="s">
        <v>1498</v>
      </c>
      <c r="C89" t="s">
        <v>9660</v>
      </c>
      <c r="D89" t="s">
        <v>9804</v>
      </c>
      <c r="E89" t="s">
        <v>9661</v>
      </c>
    </row>
    <row r="90" spans="1:5" hidden="1" x14ac:dyDescent="0.25">
      <c r="A90" t="s">
        <v>9805</v>
      </c>
      <c r="B90" t="s">
        <v>771</v>
      </c>
      <c r="C90" t="s">
        <v>9640</v>
      </c>
      <c r="D90" t="s">
        <v>9806</v>
      </c>
      <c r="E90" t="s">
        <v>9642</v>
      </c>
    </row>
    <row r="91" spans="1:5" hidden="1" x14ac:dyDescent="0.25">
      <c r="A91" t="s">
        <v>9807</v>
      </c>
      <c r="B91" t="s">
        <v>687</v>
      </c>
      <c r="C91" t="s">
        <v>9654</v>
      </c>
      <c r="D91" t="s">
        <v>9808</v>
      </c>
      <c r="E91" t="s">
        <v>9656</v>
      </c>
    </row>
    <row r="92" spans="1:5" hidden="1" x14ac:dyDescent="0.25">
      <c r="A92" t="s">
        <v>9809</v>
      </c>
      <c r="B92" t="s">
        <v>898</v>
      </c>
      <c r="C92" t="s">
        <v>9640</v>
      </c>
      <c r="D92" t="s">
        <v>9810</v>
      </c>
      <c r="E92" t="s">
        <v>9642</v>
      </c>
    </row>
    <row r="93" spans="1:5" hidden="1" x14ac:dyDescent="0.25">
      <c r="A93" t="s">
        <v>9811</v>
      </c>
      <c r="B93" t="s">
        <v>1131</v>
      </c>
      <c r="C93" t="s">
        <v>9788</v>
      </c>
      <c r="D93" t="s">
        <v>9812</v>
      </c>
      <c r="E93" t="s">
        <v>9790</v>
      </c>
    </row>
    <row r="94" spans="1:5" hidden="1" x14ac:dyDescent="0.25">
      <c r="A94" t="s">
        <v>9813</v>
      </c>
      <c r="B94" t="s">
        <v>941</v>
      </c>
      <c r="C94" t="s">
        <v>9660</v>
      </c>
      <c r="D94" t="s">
        <v>9814</v>
      </c>
      <c r="E94" t="s">
        <v>9661</v>
      </c>
    </row>
    <row r="95" spans="1:5" hidden="1" x14ac:dyDescent="0.25">
      <c r="A95" t="s">
        <v>9815</v>
      </c>
      <c r="B95" t="s">
        <v>979</v>
      </c>
      <c r="C95" t="s">
        <v>9646</v>
      </c>
      <c r="D95" t="s">
        <v>9816</v>
      </c>
      <c r="E95" t="s">
        <v>9648</v>
      </c>
    </row>
    <row r="96" spans="1:5" hidden="1" x14ac:dyDescent="0.25">
      <c r="A96" t="s">
        <v>9817</v>
      </c>
      <c r="B96" t="s">
        <v>851</v>
      </c>
      <c r="C96" t="s">
        <v>9744</v>
      </c>
      <c r="D96" t="s">
        <v>9818</v>
      </c>
      <c r="E96" t="s">
        <v>9746</v>
      </c>
    </row>
    <row r="97" spans="1:5" hidden="1" x14ac:dyDescent="0.25">
      <c r="A97" t="s">
        <v>9819</v>
      </c>
      <c r="B97" t="s">
        <v>1195</v>
      </c>
      <c r="C97" t="s">
        <v>9820</v>
      </c>
      <c r="D97" t="s">
        <v>9821</v>
      </c>
      <c r="E97" t="s">
        <v>9822</v>
      </c>
    </row>
    <row r="98" spans="1:5" hidden="1" x14ac:dyDescent="0.25">
      <c r="A98" t="s">
        <v>9823</v>
      </c>
      <c r="B98" t="s">
        <v>911</v>
      </c>
      <c r="C98" t="s">
        <v>9637</v>
      </c>
      <c r="D98" t="s">
        <v>9824</v>
      </c>
      <c r="E98" t="s">
        <v>9637</v>
      </c>
    </row>
    <row r="99" spans="1:5" hidden="1" x14ac:dyDescent="0.25">
      <c r="A99" t="s">
        <v>9825</v>
      </c>
      <c r="B99" t="s">
        <v>752</v>
      </c>
      <c r="C99" t="s">
        <v>9738</v>
      </c>
      <c r="D99" t="s">
        <v>9826</v>
      </c>
      <c r="E99" t="s">
        <v>9740</v>
      </c>
    </row>
    <row r="100" spans="1:5" hidden="1" x14ac:dyDescent="0.25">
      <c r="A100" t="s">
        <v>9827</v>
      </c>
      <c r="B100" t="s">
        <v>1166</v>
      </c>
      <c r="C100" t="s">
        <v>9691</v>
      </c>
      <c r="D100" t="s">
        <v>9828</v>
      </c>
      <c r="E100" t="s">
        <v>9693</v>
      </c>
    </row>
    <row r="101" spans="1:5" hidden="1" x14ac:dyDescent="0.25">
      <c r="A101" t="s">
        <v>9829</v>
      </c>
      <c r="B101" t="s">
        <v>786</v>
      </c>
      <c r="C101" t="s">
        <v>9820</v>
      </c>
      <c r="D101" t="s">
        <v>9830</v>
      </c>
      <c r="E101" t="s">
        <v>9822</v>
      </c>
    </row>
    <row r="102" spans="1:5" hidden="1" x14ac:dyDescent="0.25">
      <c r="A102" t="s">
        <v>9831</v>
      </c>
      <c r="B102" t="s">
        <v>821</v>
      </c>
      <c r="C102" t="s">
        <v>9764</v>
      </c>
      <c r="D102" t="s">
        <v>9832</v>
      </c>
      <c r="E102" t="s">
        <v>9766</v>
      </c>
    </row>
    <row r="103" spans="1:5" hidden="1" x14ac:dyDescent="0.25">
      <c r="A103" t="s">
        <v>9833</v>
      </c>
      <c r="B103" t="s">
        <v>865</v>
      </c>
      <c r="C103" t="s">
        <v>9717</v>
      </c>
      <c r="D103" t="s">
        <v>9834</v>
      </c>
      <c r="E103" t="s">
        <v>9719</v>
      </c>
    </row>
    <row r="104" spans="1:5" hidden="1" x14ac:dyDescent="0.25">
      <c r="A104" t="s">
        <v>9835</v>
      </c>
      <c r="B104" t="s">
        <v>923</v>
      </c>
      <c r="C104" t="s">
        <v>9836</v>
      </c>
      <c r="D104" t="s">
        <v>9837</v>
      </c>
      <c r="E104" t="s">
        <v>9838</v>
      </c>
    </row>
    <row r="105" spans="1:5" hidden="1" x14ac:dyDescent="0.25">
      <c r="A105" t="s">
        <v>9839</v>
      </c>
      <c r="B105" t="s">
        <v>1234</v>
      </c>
      <c r="C105" t="s">
        <v>9660</v>
      </c>
      <c r="D105" t="s">
        <v>9840</v>
      </c>
      <c r="E105" t="s">
        <v>9661</v>
      </c>
    </row>
    <row r="106" spans="1:5" hidden="1" x14ac:dyDescent="0.25">
      <c r="A106" t="s">
        <v>9841</v>
      </c>
      <c r="B106" t="s">
        <v>1257</v>
      </c>
      <c r="C106" t="s">
        <v>9792</v>
      </c>
      <c r="D106" t="s">
        <v>9842</v>
      </c>
      <c r="E106" t="s">
        <v>9794</v>
      </c>
    </row>
    <row r="107" spans="1:5" hidden="1" x14ac:dyDescent="0.25">
      <c r="A107" t="s">
        <v>9843</v>
      </c>
      <c r="B107" t="s">
        <v>843</v>
      </c>
      <c r="C107" t="s">
        <v>9595</v>
      </c>
      <c r="D107" t="s">
        <v>9844</v>
      </c>
      <c r="E107" t="s">
        <v>9597</v>
      </c>
    </row>
    <row r="108" spans="1:5" hidden="1" x14ac:dyDescent="0.25">
      <c r="A108" t="s">
        <v>9845</v>
      </c>
      <c r="B108" t="s">
        <v>837</v>
      </c>
      <c r="C108" t="s">
        <v>9629</v>
      </c>
      <c r="D108" t="s">
        <v>9846</v>
      </c>
      <c r="E108" t="s">
        <v>9631</v>
      </c>
    </row>
    <row r="109" spans="1:5" hidden="1" x14ac:dyDescent="0.25">
      <c r="A109" t="s">
        <v>9847</v>
      </c>
      <c r="B109" t="s">
        <v>1304</v>
      </c>
      <c r="C109" t="s">
        <v>9848</v>
      </c>
      <c r="D109" t="s">
        <v>9849</v>
      </c>
      <c r="E109" t="s">
        <v>9850</v>
      </c>
    </row>
    <row r="110" spans="1:5" hidden="1" x14ac:dyDescent="0.25">
      <c r="A110" t="s">
        <v>9851</v>
      </c>
      <c r="B110" t="s">
        <v>446</v>
      </c>
      <c r="C110" t="s">
        <v>9852</v>
      </c>
      <c r="D110" t="s">
        <v>9853</v>
      </c>
      <c r="E110" t="s">
        <v>9854</v>
      </c>
    </row>
    <row r="111" spans="1:5" hidden="1" x14ac:dyDescent="0.25">
      <c r="A111" t="s">
        <v>9855</v>
      </c>
      <c r="B111" t="s">
        <v>578</v>
      </c>
      <c r="C111" t="s">
        <v>9856</v>
      </c>
      <c r="D111" t="s">
        <v>9857</v>
      </c>
      <c r="E111" t="s">
        <v>9858</v>
      </c>
    </row>
    <row r="112" spans="1:5" hidden="1" x14ac:dyDescent="0.25">
      <c r="A112" t="s">
        <v>9859</v>
      </c>
      <c r="B112" t="s">
        <v>1378</v>
      </c>
      <c r="C112" t="s">
        <v>9660</v>
      </c>
      <c r="D112" t="s">
        <v>9860</v>
      </c>
      <c r="E112" t="s">
        <v>9661</v>
      </c>
    </row>
    <row r="113" spans="1:5" hidden="1" x14ac:dyDescent="0.25">
      <c r="A113" t="s">
        <v>9861</v>
      </c>
      <c r="B113" t="s">
        <v>1073</v>
      </c>
      <c r="C113" t="s">
        <v>9691</v>
      </c>
      <c r="D113" t="s">
        <v>9862</v>
      </c>
      <c r="E113" t="s">
        <v>9693</v>
      </c>
    </row>
    <row r="114" spans="1:5" hidden="1" x14ac:dyDescent="0.25">
      <c r="A114" t="s">
        <v>9863</v>
      </c>
      <c r="B114" t="s">
        <v>1003</v>
      </c>
      <c r="C114" t="s">
        <v>9599</v>
      </c>
      <c r="D114" t="s">
        <v>9864</v>
      </c>
      <c r="E114" t="s">
        <v>9601</v>
      </c>
    </row>
    <row r="115" spans="1:5" hidden="1" x14ac:dyDescent="0.25">
      <c r="A115" t="s">
        <v>9865</v>
      </c>
      <c r="B115" t="s">
        <v>988</v>
      </c>
      <c r="C115" t="s">
        <v>9595</v>
      </c>
      <c r="D115" t="s">
        <v>9866</v>
      </c>
      <c r="E115" t="s">
        <v>9597</v>
      </c>
    </row>
    <row r="116" spans="1:5" hidden="1" x14ac:dyDescent="0.25">
      <c r="A116" t="s">
        <v>9867</v>
      </c>
      <c r="B116" t="s">
        <v>1275</v>
      </c>
      <c r="C116" t="s">
        <v>9788</v>
      </c>
      <c r="D116" t="s">
        <v>9868</v>
      </c>
      <c r="E116" t="s">
        <v>9790</v>
      </c>
    </row>
    <row r="117" spans="1:5" hidden="1" x14ac:dyDescent="0.25">
      <c r="A117" t="s">
        <v>9869</v>
      </c>
      <c r="B117" t="s">
        <v>1119</v>
      </c>
      <c r="C117" t="s">
        <v>9629</v>
      </c>
      <c r="D117" t="s">
        <v>9870</v>
      </c>
      <c r="E117" t="s">
        <v>9631</v>
      </c>
    </row>
    <row r="118" spans="1:5" hidden="1" x14ac:dyDescent="0.25">
      <c r="A118" t="s">
        <v>9871</v>
      </c>
      <c r="B118" t="s">
        <v>856</v>
      </c>
      <c r="C118" t="s">
        <v>9872</v>
      </c>
      <c r="D118" t="s">
        <v>9873</v>
      </c>
      <c r="E118" t="s">
        <v>9874</v>
      </c>
    </row>
    <row r="119" spans="1:5" hidden="1" x14ac:dyDescent="0.25">
      <c r="A119" t="s">
        <v>9875</v>
      </c>
      <c r="B119" t="s">
        <v>738</v>
      </c>
      <c r="C119" t="s">
        <v>9669</v>
      </c>
      <c r="D119" t="s">
        <v>9876</v>
      </c>
      <c r="E119" t="s">
        <v>9671</v>
      </c>
    </row>
    <row r="120" spans="1:5" hidden="1" x14ac:dyDescent="0.25">
      <c r="A120" t="s">
        <v>9877</v>
      </c>
      <c r="B120" t="s">
        <v>917</v>
      </c>
      <c r="C120" t="s">
        <v>9660</v>
      </c>
      <c r="D120" t="s">
        <v>9878</v>
      </c>
      <c r="E120" t="s">
        <v>9661</v>
      </c>
    </row>
    <row r="121" spans="1:5" hidden="1" x14ac:dyDescent="0.25">
      <c r="A121" t="s">
        <v>9879</v>
      </c>
      <c r="B121" t="s">
        <v>1289</v>
      </c>
      <c r="C121" t="s">
        <v>9836</v>
      </c>
      <c r="D121" t="s">
        <v>9880</v>
      </c>
      <c r="E121" t="s">
        <v>9838</v>
      </c>
    </row>
    <row r="122" spans="1:5" hidden="1" x14ac:dyDescent="0.25">
      <c r="A122" t="s">
        <v>9881</v>
      </c>
      <c r="B122" t="s">
        <v>1293</v>
      </c>
      <c r="C122" t="s">
        <v>9660</v>
      </c>
      <c r="D122" t="s">
        <v>9882</v>
      </c>
      <c r="E122" t="s">
        <v>9661</v>
      </c>
    </row>
    <row r="123" spans="1:5" hidden="1" x14ac:dyDescent="0.25">
      <c r="A123" t="s">
        <v>9883</v>
      </c>
      <c r="B123" t="s">
        <v>1297</v>
      </c>
      <c r="C123" t="s">
        <v>9884</v>
      </c>
      <c r="D123" t="s">
        <v>9885</v>
      </c>
      <c r="E123" t="s">
        <v>9886</v>
      </c>
    </row>
    <row r="124" spans="1:5" hidden="1" x14ac:dyDescent="0.25">
      <c r="A124" t="s">
        <v>9887</v>
      </c>
      <c r="B124" t="s">
        <v>1186</v>
      </c>
      <c r="C124" t="s">
        <v>9660</v>
      </c>
      <c r="D124" t="s">
        <v>9888</v>
      </c>
      <c r="E124" t="s">
        <v>9661</v>
      </c>
    </row>
    <row r="125" spans="1:5" hidden="1" x14ac:dyDescent="0.25">
      <c r="A125" t="s">
        <v>9889</v>
      </c>
      <c r="B125" t="s">
        <v>1338</v>
      </c>
      <c r="C125" t="s">
        <v>9595</v>
      </c>
      <c r="D125" t="s">
        <v>9890</v>
      </c>
      <c r="E125" t="s">
        <v>9597</v>
      </c>
    </row>
    <row r="126" spans="1:5" hidden="1" x14ac:dyDescent="0.25">
      <c r="A126" t="s">
        <v>9891</v>
      </c>
      <c r="B126" t="s">
        <v>1065</v>
      </c>
      <c r="C126" t="s">
        <v>9637</v>
      </c>
      <c r="D126" t="s">
        <v>9892</v>
      </c>
      <c r="E126" t="s">
        <v>9637</v>
      </c>
    </row>
    <row r="127" spans="1:5" hidden="1" x14ac:dyDescent="0.25">
      <c r="A127" t="s">
        <v>9893</v>
      </c>
      <c r="B127" t="s">
        <v>615</v>
      </c>
      <c r="C127" t="s">
        <v>9852</v>
      </c>
      <c r="D127" t="s">
        <v>9894</v>
      </c>
      <c r="E127" t="s">
        <v>9854</v>
      </c>
    </row>
    <row r="128" spans="1:5" hidden="1" x14ac:dyDescent="0.25">
      <c r="A128" t="s">
        <v>9895</v>
      </c>
      <c r="B128" t="s">
        <v>1282</v>
      </c>
      <c r="C128" t="s">
        <v>9599</v>
      </c>
      <c r="D128" t="s">
        <v>9896</v>
      </c>
      <c r="E128" t="s">
        <v>9601</v>
      </c>
    </row>
    <row r="129" spans="1:5" hidden="1" x14ac:dyDescent="0.25">
      <c r="A129" t="s">
        <v>9897</v>
      </c>
      <c r="B129" t="s">
        <v>1151</v>
      </c>
      <c r="C129" t="s">
        <v>9898</v>
      </c>
      <c r="D129" t="s">
        <v>9899</v>
      </c>
      <c r="E129" t="s">
        <v>9900</v>
      </c>
    </row>
    <row r="130" spans="1:5" hidden="1" x14ac:dyDescent="0.25">
      <c r="A130" t="s">
        <v>9901</v>
      </c>
      <c r="B130" t="s">
        <v>1537</v>
      </c>
      <c r="C130" t="s">
        <v>9872</v>
      </c>
      <c r="D130" t="s">
        <v>9902</v>
      </c>
      <c r="E130" t="s">
        <v>9874</v>
      </c>
    </row>
    <row r="131" spans="1:5" hidden="1" x14ac:dyDescent="0.25">
      <c r="A131" t="s">
        <v>9903</v>
      </c>
      <c r="B131" t="s">
        <v>962</v>
      </c>
      <c r="C131" t="s">
        <v>9640</v>
      </c>
      <c r="D131" t="s">
        <v>9904</v>
      </c>
      <c r="E131" t="s">
        <v>9642</v>
      </c>
    </row>
    <row r="132" spans="1:5" hidden="1" x14ac:dyDescent="0.25">
      <c r="A132" t="s">
        <v>9905</v>
      </c>
      <c r="B132" t="s">
        <v>1976</v>
      </c>
      <c r="C132" t="s">
        <v>9754</v>
      </c>
      <c r="D132" t="s">
        <v>9906</v>
      </c>
      <c r="E132" t="s">
        <v>9756</v>
      </c>
    </row>
    <row r="133" spans="1:5" hidden="1" x14ac:dyDescent="0.25">
      <c r="A133" t="s">
        <v>9907</v>
      </c>
      <c r="B133" t="s">
        <v>1574</v>
      </c>
      <c r="C133" t="s">
        <v>9599</v>
      </c>
      <c r="D133" t="s">
        <v>9908</v>
      </c>
      <c r="E133" t="s">
        <v>9601</v>
      </c>
    </row>
    <row r="134" spans="1:5" hidden="1" x14ac:dyDescent="0.25">
      <c r="A134" t="s">
        <v>9909</v>
      </c>
      <c r="B134" t="s">
        <v>872</v>
      </c>
      <c r="C134" t="s">
        <v>9872</v>
      </c>
      <c r="D134" t="s">
        <v>9910</v>
      </c>
      <c r="E134" t="s">
        <v>9874</v>
      </c>
    </row>
    <row r="135" spans="1:5" hidden="1" x14ac:dyDescent="0.25">
      <c r="A135" t="s">
        <v>9911</v>
      </c>
      <c r="B135" t="s">
        <v>2660</v>
      </c>
      <c r="C135" t="s">
        <v>9640</v>
      </c>
      <c r="D135" t="s">
        <v>9912</v>
      </c>
      <c r="E135" t="s">
        <v>9642</v>
      </c>
    </row>
    <row r="136" spans="1:5" hidden="1" x14ac:dyDescent="0.25">
      <c r="A136" t="s">
        <v>9913</v>
      </c>
      <c r="B136" t="s">
        <v>777</v>
      </c>
      <c r="C136" t="s">
        <v>9738</v>
      </c>
      <c r="D136" t="s">
        <v>9914</v>
      </c>
      <c r="E136" t="s">
        <v>9740</v>
      </c>
    </row>
    <row r="137" spans="1:5" hidden="1" x14ac:dyDescent="0.25">
      <c r="A137" t="s">
        <v>9915</v>
      </c>
      <c r="B137" t="s">
        <v>955</v>
      </c>
      <c r="C137" t="s">
        <v>9717</v>
      </c>
      <c r="D137" t="s">
        <v>9916</v>
      </c>
      <c r="E137" t="s">
        <v>9719</v>
      </c>
    </row>
    <row r="138" spans="1:5" hidden="1" x14ac:dyDescent="0.25">
      <c r="A138" t="s">
        <v>9917</v>
      </c>
      <c r="B138" t="s">
        <v>1267</v>
      </c>
      <c r="C138" t="s">
        <v>9764</v>
      </c>
      <c r="D138" t="s">
        <v>9918</v>
      </c>
      <c r="E138" t="s">
        <v>9766</v>
      </c>
    </row>
    <row r="139" spans="1:5" hidden="1" x14ac:dyDescent="0.25">
      <c r="A139" t="s">
        <v>9919</v>
      </c>
      <c r="B139" t="s">
        <v>1312</v>
      </c>
      <c r="C139" t="s">
        <v>9640</v>
      </c>
      <c r="D139" t="s">
        <v>9920</v>
      </c>
      <c r="E139" t="s">
        <v>9642</v>
      </c>
    </row>
    <row r="140" spans="1:5" hidden="1" x14ac:dyDescent="0.25">
      <c r="A140" t="s">
        <v>9921</v>
      </c>
      <c r="B140" t="s">
        <v>1652</v>
      </c>
      <c r="C140" t="s">
        <v>9640</v>
      </c>
      <c r="D140" t="s">
        <v>9922</v>
      </c>
      <c r="E140" t="s">
        <v>9642</v>
      </c>
    </row>
    <row r="141" spans="1:5" hidden="1" x14ac:dyDescent="0.25">
      <c r="A141" t="s">
        <v>9923</v>
      </c>
      <c r="B141" t="s">
        <v>2112</v>
      </c>
      <c r="C141" t="s">
        <v>9788</v>
      </c>
      <c r="D141" t="s">
        <v>9924</v>
      </c>
      <c r="E141" t="s">
        <v>9790</v>
      </c>
    </row>
    <row r="142" spans="1:5" hidden="1" x14ac:dyDescent="0.25">
      <c r="A142" t="s">
        <v>9925</v>
      </c>
      <c r="B142" t="s">
        <v>1643</v>
      </c>
      <c r="C142" t="s">
        <v>9856</v>
      </c>
      <c r="D142" t="s">
        <v>9926</v>
      </c>
      <c r="E142" t="s">
        <v>9858</v>
      </c>
    </row>
    <row r="143" spans="1:5" hidden="1" x14ac:dyDescent="0.25">
      <c r="A143" t="s">
        <v>9927</v>
      </c>
      <c r="B143" t="s">
        <v>1049</v>
      </c>
      <c r="C143" t="s">
        <v>9738</v>
      </c>
      <c r="D143" t="s">
        <v>9928</v>
      </c>
      <c r="E143" t="s">
        <v>9740</v>
      </c>
    </row>
    <row r="144" spans="1:5" hidden="1" x14ac:dyDescent="0.25">
      <c r="A144" t="s">
        <v>9929</v>
      </c>
      <c r="B144" t="s">
        <v>881</v>
      </c>
      <c r="C144" t="s">
        <v>9764</v>
      </c>
      <c r="D144" t="s">
        <v>9930</v>
      </c>
      <c r="E144" t="s">
        <v>9766</v>
      </c>
    </row>
    <row r="145" spans="1:5" hidden="1" x14ac:dyDescent="0.25">
      <c r="A145" t="s">
        <v>9931</v>
      </c>
      <c r="B145" t="s">
        <v>1241</v>
      </c>
      <c r="C145" t="s">
        <v>9660</v>
      </c>
      <c r="D145" t="s">
        <v>9932</v>
      </c>
      <c r="E145" t="s">
        <v>9661</v>
      </c>
    </row>
    <row r="146" spans="1:5" hidden="1" x14ac:dyDescent="0.25">
      <c r="A146" t="s">
        <v>9933</v>
      </c>
      <c r="B146" t="s">
        <v>1556</v>
      </c>
      <c r="C146" t="s">
        <v>9629</v>
      </c>
      <c r="D146" t="s">
        <v>9934</v>
      </c>
      <c r="E146" t="s">
        <v>9631</v>
      </c>
    </row>
    <row r="147" spans="1:5" hidden="1" x14ac:dyDescent="0.25">
      <c r="A147" t="s">
        <v>9935</v>
      </c>
      <c r="B147" t="s">
        <v>1041</v>
      </c>
      <c r="C147" t="s">
        <v>9848</v>
      </c>
      <c r="D147" t="s">
        <v>9936</v>
      </c>
      <c r="E147" t="s">
        <v>9850</v>
      </c>
    </row>
    <row r="148" spans="1:5" hidden="1" x14ac:dyDescent="0.25">
      <c r="A148" t="s">
        <v>9937</v>
      </c>
      <c r="B148" t="s">
        <v>1140</v>
      </c>
      <c r="C148" t="s">
        <v>9637</v>
      </c>
      <c r="D148" t="s">
        <v>9938</v>
      </c>
      <c r="E148" t="s">
        <v>9637</v>
      </c>
    </row>
    <row r="149" spans="1:5" hidden="1" x14ac:dyDescent="0.25">
      <c r="A149" t="s">
        <v>9939</v>
      </c>
      <c r="B149" t="s">
        <v>933</v>
      </c>
      <c r="C149" t="s">
        <v>9646</v>
      </c>
      <c r="D149" t="s">
        <v>9940</v>
      </c>
      <c r="E149" t="s">
        <v>9648</v>
      </c>
    </row>
    <row r="150" spans="1:5" hidden="1" x14ac:dyDescent="0.25">
      <c r="A150" t="s">
        <v>9941</v>
      </c>
      <c r="B150" t="s">
        <v>2315</v>
      </c>
      <c r="C150" t="s">
        <v>9800</v>
      </c>
      <c r="D150" t="s">
        <v>9942</v>
      </c>
      <c r="E150" t="s">
        <v>9802</v>
      </c>
    </row>
    <row r="151" spans="1:5" hidden="1" x14ac:dyDescent="0.25">
      <c r="A151" t="s">
        <v>9943</v>
      </c>
      <c r="B151" t="s">
        <v>1081</v>
      </c>
      <c r="C151" t="s">
        <v>9852</v>
      </c>
      <c r="D151" t="s">
        <v>9944</v>
      </c>
      <c r="E151" t="s">
        <v>9854</v>
      </c>
    </row>
    <row r="152" spans="1:5" hidden="1" x14ac:dyDescent="0.25">
      <c r="A152" t="s">
        <v>9945</v>
      </c>
      <c r="B152" t="s">
        <v>1204</v>
      </c>
      <c r="C152" t="s">
        <v>9754</v>
      </c>
      <c r="D152" t="s">
        <v>9946</v>
      </c>
      <c r="E152" t="s">
        <v>9756</v>
      </c>
    </row>
    <row r="153" spans="1:5" hidden="1" x14ac:dyDescent="0.25">
      <c r="A153" t="s">
        <v>9947</v>
      </c>
      <c r="B153" t="s">
        <v>1440</v>
      </c>
      <c r="C153" t="s">
        <v>9948</v>
      </c>
      <c r="D153" t="s">
        <v>9949</v>
      </c>
      <c r="E153" t="s">
        <v>9950</v>
      </c>
    </row>
    <row r="154" spans="1:5" hidden="1" x14ac:dyDescent="0.25">
      <c r="A154" t="s">
        <v>9951</v>
      </c>
      <c r="B154" t="s">
        <v>1589</v>
      </c>
      <c r="C154" t="s">
        <v>9637</v>
      </c>
      <c r="D154" t="s">
        <v>9952</v>
      </c>
      <c r="E154" t="s">
        <v>9637</v>
      </c>
    </row>
    <row r="155" spans="1:5" hidden="1" x14ac:dyDescent="0.25">
      <c r="A155" t="s">
        <v>9953</v>
      </c>
      <c r="B155" t="s">
        <v>757</v>
      </c>
      <c r="C155" t="s">
        <v>9792</v>
      </c>
      <c r="D155" t="s">
        <v>9954</v>
      </c>
      <c r="E155" t="s">
        <v>9794</v>
      </c>
    </row>
    <row r="156" spans="1:5" hidden="1" x14ac:dyDescent="0.25">
      <c r="A156" t="s">
        <v>9955</v>
      </c>
      <c r="B156" t="s">
        <v>797</v>
      </c>
      <c r="C156" t="s">
        <v>9621</v>
      </c>
      <c r="D156" t="s">
        <v>9956</v>
      </c>
      <c r="E156" t="s">
        <v>9623</v>
      </c>
    </row>
    <row r="157" spans="1:5" hidden="1" x14ac:dyDescent="0.25">
      <c r="A157" t="s">
        <v>9957</v>
      </c>
      <c r="B157" t="s">
        <v>1521</v>
      </c>
      <c r="C157" t="s">
        <v>9717</v>
      </c>
      <c r="D157" t="s">
        <v>9958</v>
      </c>
      <c r="E157" t="s">
        <v>9719</v>
      </c>
    </row>
    <row r="158" spans="1:5" hidden="1" x14ac:dyDescent="0.25">
      <c r="A158" t="s">
        <v>9959</v>
      </c>
      <c r="B158" t="s">
        <v>1178</v>
      </c>
      <c r="C158" t="s">
        <v>9646</v>
      </c>
      <c r="D158" t="s">
        <v>9960</v>
      </c>
      <c r="E158" t="s">
        <v>9648</v>
      </c>
    </row>
    <row r="159" spans="1:5" hidden="1" x14ac:dyDescent="0.25">
      <c r="A159" t="s">
        <v>9961</v>
      </c>
      <c r="B159" t="s">
        <v>1251</v>
      </c>
      <c r="C159" t="s">
        <v>9646</v>
      </c>
      <c r="D159" t="s">
        <v>9962</v>
      </c>
      <c r="E159" t="s">
        <v>9648</v>
      </c>
    </row>
    <row r="160" spans="1:5" hidden="1" x14ac:dyDescent="0.25">
      <c r="A160" t="s">
        <v>9963</v>
      </c>
      <c r="B160" t="s">
        <v>1025</v>
      </c>
      <c r="C160" t="s">
        <v>9792</v>
      </c>
      <c r="D160" t="s">
        <v>9964</v>
      </c>
      <c r="E160" t="s">
        <v>9794</v>
      </c>
    </row>
    <row r="161" spans="1:5" hidden="1" x14ac:dyDescent="0.25">
      <c r="A161" t="s">
        <v>9965</v>
      </c>
      <c r="B161" t="s">
        <v>1017</v>
      </c>
      <c r="C161" t="s">
        <v>9792</v>
      </c>
      <c r="D161" t="s">
        <v>9966</v>
      </c>
      <c r="E161" t="s">
        <v>9794</v>
      </c>
    </row>
    <row r="162" spans="1:5" hidden="1" x14ac:dyDescent="0.25">
      <c r="A162" t="s">
        <v>9967</v>
      </c>
      <c r="B162" t="s">
        <v>1032</v>
      </c>
      <c r="C162" t="s">
        <v>9782</v>
      </c>
      <c r="D162" t="s">
        <v>9968</v>
      </c>
      <c r="E162" t="s">
        <v>9784</v>
      </c>
    </row>
    <row r="163" spans="1:5" hidden="1" x14ac:dyDescent="0.25">
      <c r="A163" t="s">
        <v>9969</v>
      </c>
      <c r="B163" t="s">
        <v>664</v>
      </c>
      <c r="C163" t="s">
        <v>9848</v>
      </c>
      <c r="D163" t="s">
        <v>9970</v>
      </c>
      <c r="E163" t="s">
        <v>9850</v>
      </c>
    </row>
    <row r="164" spans="1:5" hidden="1" x14ac:dyDescent="0.25">
      <c r="A164" t="s">
        <v>9971</v>
      </c>
      <c r="B164" t="s">
        <v>1345</v>
      </c>
      <c r="C164" t="s">
        <v>9972</v>
      </c>
      <c r="D164" t="s">
        <v>9973</v>
      </c>
      <c r="E164" t="s">
        <v>9974</v>
      </c>
    </row>
    <row r="165" spans="1:5" hidden="1" x14ac:dyDescent="0.25">
      <c r="A165" t="s">
        <v>9975</v>
      </c>
      <c r="B165" t="s">
        <v>1159</v>
      </c>
      <c r="C165" t="s">
        <v>9748</v>
      </c>
      <c r="D165" t="s">
        <v>9976</v>
      </c>
      <c r="E165" t="s">
        <v>9750</v>
      </c>
    </row>
    <row r="166" spans="1:5" hidden="1" x14ac:dyDescent="0.25">
      <c r="A166" t="s">
        <v>9977</v>
      </c>
      <c r="B166" t="s">
        <v>1244</v>
      </c>
      <c r="C166" t="s">
        <v>9852</v>
      </c>
      <c r="D166" t="s">
        <v>9978</v>
      </c>
      <c r="E166" t="s">
        <v>9854</v>
      </c>
    </row>
    <row r="167" spans="1:5" hidden="1" x14ac:dyDescent="0.25">
      <c r="A167" t="s">
        <v>9979</v>
      </c>
      <c r="B167" t="s">
        <v>1326</v>
      </c>
      <c r="C167" t="s">
        <v>9637</v>
      </c>
      <c r="D167" t="s">
        <v>9980</v>
      </c>
      <c r="E167" t="s">
        <v>9637</v>
      </c>
    </row>
    <row r="168" spans="1:5" hidden="1" x14ac:dyDescent="0.25">
      <c r="A168" t="s">
        <v>9981</v>
      </c>
      <c r="B168" t="s">
        <v>1688</v>
      </c>
      <c r="C168" t="s">
        <v>9884</v>
      </c>
      <c r="D168" t="s">
        <v>9982</v>
      </c>
      <c r="E168" t="s">
        <v>9886</v>
      </c>
    </row>
    <row r="169" spans="1:5" hidden="1" x14ac:dyDescent="0.25">
      <c r="A169" t="s">
        <v>9983</v>
      </c>
      <c r="B169" t="s">
        <v>1506</v>
      </c>
      <c r="C169" t="s">
        <v>9788</v>
      </c>
      <c r="D169" t="s">
        <v>9984</v>
      </c>
      <c r="E169" t="s">
        <v>9790</v>
      </c>
    </row>
    <row r="170" spans="1:5" hidden="1" x14ac:dyDescent="0.25">
      <c r="A170" t="s">
        <v>9985</v>
      </c>
      <c r="B170" t="s">
        <v>1723</v>
      </c>
      <c r="C170" t="s">
        <v>9738</v>
      </c>
      <c r="D170" t="s">
        <v>9986</v>
      </c>
      <c r="E170" t="s">
        <v>9740</v>
      </c>
    </row>
    <row r="171" spans="1:5" hidden="1" x14ac:dyDescent="0.25">
      <c r="A171" t="s">
        <v>9987</v>
      </c>
      <c r="B171" t="s">
        <v>2928</v>
      </c>
      <c r="C171" t="s">
        <v>9691</v>
      </c>
      <c r="D171" t="s">
        <v>9988</v>
      </c>
      <c r="E171" t="s">
        <v>9693</v>
      </c>
    </row>
    <row r="172" spans="1:5" hidden="1" x14ac:dyDescent="0.25">
      <c r="A172" t="s">
        <v>9989</v>
      </c>
      <c r="B172" t="s">
        <v>1403</v>
      </c>
      <c r="C172" t="s">
        <v>9723</v>
      </c>
      <c r="D172" t="s">
        <v>9990</v>
      </c>
      <c r="E172" t="s">
        <v>9725</v>
      </c>
    </row>
    <row r="173" spans="1:5" hidden="1" x14ac:dyDescent="0.25">
      <c r="A173" t="s">
        <v>9991</v>
      </c>
      <c r="B173" t="s">
        <v>1056</v>
      </c>
      <c r="C173" t="s">
        <v>9992</v>
      </c>
      <c r="D173" t="s">
        <v>9993</v>
      </c>
      <c r="E173" t="s">
        <v>9994</v>
      </c>
    </row>
    <row r="174" spans="1:5" hidden="1" x14ac:dyDescent="0.25">
      <c r="A174" t="s">
        <v>9995</v>
      </c>
      <c r="B174" t="s">
        <v>948</v>
      </c>
      <c r="C174" t="s">
        <v>9996</v>
      </c>
      <c r="D174" t="s">
        <v>9997</v>
      </c>
      <c r="E174" t="s">
        <v>9998</v>
      </c>
    </row>
    <row r="175" spans="1:5" hidden="1" x14ac:dyDescent="0.25">
      <c r="A175" t="s">
        <v>9999</v>
      </c>
      <c r="B175" t="s">
        <v>1611</v>
      </c>
      <c r="C175" t="s">
        <v>9691</v>
      </c>
      <c r="D175" t="s">
        <v>10000</v>
      </c>
      <c r="E175" t="s">
        <v>9693</v>
      </c>
    </row>
    <row r="176" spans="1:5" hidden="1" x14ac:dyDescent="0.25">
      <c r="A176" t="s">
        <v>10001</v>
      </c>
      <c r="B176" t="s">
        <v>1634</v>
      </c>
      <c r="C176" t="s">
        <v>9848</v>
      </c>
      <c r="D176" t="s">
        <v>10002</v>
      </c>
      <c r="E176" t="s">
        <v>9850</v>
      </c>
    </row>
    <row r="177" spans="1:5" hidden="1" x14ac:dyDescent="0.25">
      <c r="A177" t="s">
        <v>10003</v>
      </c>
      <c r="B177" t="s">
        <v>2177</v>
      </c>
      <c r="C177" t="s">
        <v>9654</v>
      </c>
      <c r="D177" t="s">
        <v>10004</v>
      </c>
      <c r="E177" t="s">
        <v>9656</v>
      </c>
    </row>
    <row r="178" spans="1:5" hidden="1" x14ac:dyDescent="0.25">
      <c r="A178" t="s">
        <v>10005</v>
      </c>
      <c r="B178" t="s">
        <v>1564</v>
      </c>
      <c r="C178" t="s">
        <v>9738</v>
      </c>
      <c r="D178" t="s">
        <v>10006</v>
      </c>
      <c r="E178" t="s">
        <v>9740</v>
      </c>
    </row>
    <row r="179" spans="1:5" hidden="1" x14ac:dyDescent="0.25">
      <c r="A179" t="s">
        <v>10007</v>
      </c>
      <c r="B179" t="s">
        <v>813</v>
      </c>
      <c r="C179" t="s">
        <v>9754</v>
      </c>
      <c r="D179" t="s">
        <v>10008</v>
      </c>
      <c r="E179" t="s">
        <v>9756</v>
      </c>
    </row>
    <row r="180" spans="1:5" hidden="1" x14ac:dyDescent="0.25">
      <c r="A180" t="s">
        <v>10009</v>
      </c>
      <c r="B180" t="s">
        <v>1875</v>
      </c>
      <c r="C180" t="s">
        <v>9660</v>
      </c>
      <c r="D180" t="s">
        <v>10010</v>
      </c>
      <c r="E180" t="s">
        <v>9661</v>
      </c>
    </row>
    <row r="181" spans="1:5" hidden="1" x14ac:dyDescent="0.25">
      <c r="A181" t="s">
        <v>10011</v>
      </c>
      <c r="B181" t="s">
        <v>1695</v>
      </c>
      <c r="C181" t="s">
        <v>9660</v>
      </c>
      <c r="D181" t="s">
        <v>10012</v>
      </c>
      <c r="E181" t="s">
        <v>9661</v>
      </c>
    </row>
    <row r="182" spans="1:5" hidden="1" x14ac:dyDescent="0.25">
      <c r="A182" t="s">
        <v>10013</v>
      </c>
      <c r="B182" t="s">
        <v>905</v>
      </c>
      <c r="C182" t="s">
        <v>9681</v>
      </c>
      <c r="D182" t="s">
        <v>10014</v>
      </c>
      <c r="E182" t="s">
        <v>9683</v>
      </c>
    </row>
    <row r="183" spans="1:5" hidden="1" x14ac:dyDescent="0.25">
      <c r="A183" t="s">
        <v>10015</v>
      </c>
      <c r="B183" t="s">
        <v>1856</v>
      </c>
      <c r="C183" t="s">
        <v>9691</v>
      </c>
      <c r="D183" t="s">
        <v>10016</v>
      </c>
      <c r="E183" t="s">
        <v>9693</v>
      </c>
    </row>
    <row r="184" spans="1:5" hidden="1" x14ac:dyDescent="0.25">
      <c r="A184" t="s">
        <v>10017</v>
      </c>
      <c r="B184" t="s">
        <v>1756</v>
      </c>
      <c r="C184" t="s">
        <v>9754</v>
      </c>
      <c r="D184" t="s">
        <v>10018</v>
      </c>
      <c r="E184" t="s">
        <v>9756</v>
      </c>
    </row>
    <row r="185" spans="1:5" hidden="1" x14ac:dyDescent="0.25">
      <c r="A185" t="s">
        <v>10019</v>
      </c>
      <c r="B185" t="s">
        <v>1582</v>
      </c>
      <c r="C185" t="s">
        <v>9621</v>
      </c>
      <c r="D185" t="s">
        <v>10020</v>
      </c>
      <c r="E185" t="s">
        <v>9623</v>
      </c>
    </row>
    <row r="186" spans="1:5" hidden="1" x14ac:dyDescent="0.25">
      <c r="A186" t="s">
        <v>10021</v>
      </c>
      <c r="B186" t="s">
        <v>1851</v>
      </c>
      <c r="C186" t="s">
        <v>9820</v>
      </c>
      <c r="D186" t="s">
        <v>10022</v>
      </c>
      <c r="E186" t="s">
        <v>9822</v>
      </c>
    </row>
    <row r="187" spans="1:5" hidden="1" x14ac:dyDescent="0.25">
      <c r="A187" t="s">
        <v>10023</v>
      </c>
      <c r="B187" t="s">
        <v>1227</v>
      </c>
      <c r="C187" t="s">
        <v>10024</v>
      </c>
      <c r="D187" t="s">
        <v>10025</v>
      </c>
      <c r="E187" t="s">
        <v>10026</v>
      </c>
    </row>
    <row r="188" spans="1:5" hidden="1" x14ac:dyDescent="0.25">
      <c r="A188" t="s">
        <v>10027</v>
      </c>
      <c r="B188" t="s">
        <v>1487</v>
      </c>
      <c r="C188" t="s">
        <v>9669</v>
      </c>
      <c r="D188" t="s">
        <v>10028</v>
      </c>
      <c r="E188" t="s">
        <v>9671</v>
      </c>
    </row>
    <row r="189" spans="1:5" hidden="1" x14ac:dyDescent="0.25">
      <c r="A189" t="s">
        <v>10029</v>
      </c>
      <c r="B189" t="s">
        <v>2139</v>
      </c>
      <c r="C189" t="s">
        <v>9660</v>
      </c>
      <c r="D189" t="s">
        <v>10030</v>
      </c>
      <c r="E189" t="s">
        <v>9661</v>
      </c>
    </row>
    <row r="190" spans="1:5" hidden="1" x14ac:dyDescent="0.25">
      <c r="A190" t="s">
        <v>10031</v>
      </c>
      <c r="B190" t="s">
        <v>3169</v>
      </c>
      <c r="C190" t="s">
        <v>9800</v>
      </c>
      <c r="D190" t="s">
        <v>10032</v>
      </c>
      <c r="E190" t="s">
        <v>9802</v>
      </c>
    </row>
    <row r="191" spans="1:5" hidden="1" x14ac:dyDescent="0.25">
      <c r="A191" t="s">
        <v>10033</v>
      </c>
      <c r="B191" t="s">
        <v>1959</v>
      </c>
      <c r="C191" t="s">
        <v>9800</v>
      </c>
      <c r="D191" t="s">
        <v>10034</v>
      </c>
      <c r="E191" t="s">
        <v>9802</v>
      </c>
    </row>
    <row r="192" spans="1:5" hidden="1" x14ac:dyDescent="0.25">
      <c r="A192" t="s">
        <v>10035</v>
      </c>
      <c r="B192" t="s">
        <v>1461</v>
      </c>
      <c r="C192" t="s">
        <v>9738</v>
      </c>
      <c r="D192" t="s">
        <v>10036</v>
      </c>
      <c r="E192" t="s">
        <v>9740</v>
      </c>
    </row>
    <row r="193" spans="1:5" hidden="1" x14ac:dyDescent="0.25">
      <c r="A193" t="s">
        <v>10037</v>
      </c>
      <c r="B193" t="s">
        <v>1682</v>
      </c>
      <c r="C193" t="s">
        <v>9848</v>
      </c>
      <c r="D193" t="s">
        <v>10038</v>
      </c>
      <c r="E193" t="s">
        <v>9850</v>
      </c>
    </row>
    <row r="194" spans="1:5" hidden="1" x14ac:dyDescent="0.25">
      <c r="A194" t="s">
        <v>10039</v>
      </c>
      <c r="B194" t="s">
        <v>1145</v>
      </c>
      <c r="C194" t="s">
        <v>9792</v>
      </c>
      <c r="D194" t="s">
        <v>10040</v>
      </c>
      <c r="E194" t="s">
        <v>9794</v>
      </c>
    </row>
    <row r="195" spans="1:5" hidden="1" x14ac:dyDescent="0.25">
      <c r="A195" t="s">
        <v>10041</v>
      </c>
      <c r="B195" t="s">
        <v>1658</v>
      </c>
      <c r="C195" t="s">
        <v>9788</v>
      </c>
      <c r="D195" t="s">
        <v>10042</v>
      </c>
      <c r="E195" t="s">
        <v>9790</v>
      </c>
    </row>
    <row r="196" spans="1:5" hidden="1" x14ac:dyDescent="0.25">
      <c r="A196" t="s">
        <v>10043</v>
      </c>
      <c r="B196" t="s">
        <v>1808</v>
      </c>
      <c r="C196" t="s">
        <v>9713</v>
      </c>
      <c r="D196" t="s">
        <v>10044</v>
      </c>
      <c r="E196" t="s">
        <v>9715</v>
      </c>
    </row>
    <row r="197" spans="1:5" hidden="1" x14ac:dyDescent="0.25">
      <c r="A197" t="s">
        <v>10045</v>
      </c>
      <c r="B197" t="s">
        <v>1963</v>
      </c>
      <c r="C197" t="s">
        <v>9660</v>
      </c>
      <c r="D197" t="s">
        <v>10046</v>
      </c>
      <c r="E197" t="s">
        <v>9661</v>
      </c>
    </row>
    <row r="198" spans="1:5" hidden="1" x14ac:dyDescent="0.25">
      <c r="A198" t="s">
        <v>10047</v>
      </c>
      <c r="B198" t="s">
        <v>2766</v>
      </c>
      <c r="C198" t="s">
        <v>9848</v>
      </c>
      <c r="D198" t="s">
        <v>10048</v>
      </c>
      <c r="E198" t="s">
        <v>9850</v>
      </c>
    </row>
    <row r="199" spans="1:5" hidden="1" x14ac:dyDescent="0.25">
      <c r="A199" t="s">
        <v>10049</v>
      </c>
      <c r="B199" t="s">
        <v>1831</v>
      </c>
      <c r="C199" t="s">
        <v>9640</v>
      </c>
      <c r="D199" t="s">
        <v>10050</v>
      </c>
      <c r="E199" t="s">
        <v>9642</v>
      </c>
    </row>
    <row r="200" spans="1:5" hidden="1" x14ac:dyDescent="0.25">
      <c r="A200" t="s">
        <v>10051</v>
      </c>
      <c r="B200" t="s">
        <v>1697</v>
      </c>
      <c r="C200" t="s">
        <v>9723</v>
      </c>
      <c r="D200" t="s">
        <v>10052</v>
      </c>
      <c r="E200" t="s">
        <v>9725</v>
      </c>
    </row>
    <row r="201" spans="1:5" hidden="1" x14ac:dyDescent="0.25">
      <c r="A201" t="s">
        <v>10053</v>
      </c>
      <c r="B201" t="s">
        <v>1868</v>
      </c>
      <c r="C201" t="s">
        <v>9629</v>
      </c>
      <c r="D201" t="s">
        <v>10054</v>
      </c>
      <c r="E201" t="s">
        <v>9631</v>
      </c>
    </row>
    <row r="202" spans="1:5" hidden="1" x14ac:dyDescent="0.25">
      <c r="A202" t="s">
        <v>10055</v>
      </c>
      <c r="B202" t="s">
        <v>1839</v>
      </c>
      <c r="C202" t="s">
        <v>9637</v>
      </c>
      <c r="D202" t="s">
        <v>10056</v>
      </c>
      <c r="E202" t="s">
        <v>9637</v>
      </c>
    </row>
    <row r="203" spans="1:5" hidden="1" x14ac:dyDescent="0.25">
      <c r="A203" t="s">
        <v>10057</v>
      </c>
      <c r="B203" t="s">
        <v>1332</v>
      </c>
      <c r="C203" t="s">
        <v>9691</v>
      </c>
      <c r="D203" t="s">
        <v>10058</v>
      </c>
      <c r="E203" t="s">
        <v>9693</v>
      </c>
    </row>
    <row r="204" spans="1:5" hidden="1" x14ac:dyDescent="0.25">
      <c r="A204" t="s">
        <v>10059</v>
      </c>
      <c r="B204" t="s">
        <v>1673</v>
      </c>
      <c r="C204" t="s">
        <v>9788</v>
      </c>
      <c r="D204" t="s">
        <v>10060</v>
      </c>
      <c r="E204" t="s">
        <v>9790</v>
      </c>
    </row>
    <row r="205" spans="1:5" hidden="1" x14ac:dyDescent="0.25">
      <c r="A205" t="s">
        <v>10061</v>
      </c>
      <c r="B205" t="s">
        <v>1729</v>
      </c>
      <c r="C205" t="s">
        <v>9646</v>
      </c>
      <c r="D205" t="s">
        <v>10062</v>
      </c>
      <c r="E205" t="s">
        <v>9648</v>
      </c>
    </row>
    <row r="206" spans="1:5" hidden="1" x14ac:dyDescent="0.25">
      <c r="A206" t="s">
        <v>10063</v>
      </c>
      <c r="B206" t="s">
        <v>2207</v>
      </c>
      <c r="C206" t="s">
        <v>9660</v>
      </c>
      <c r="D206" t="s">
        <v>10064</v>
      </c>
      <c r="E206" t="s">
        <v>9661</v>
      </c>
    </row>
    <row r="207" spans="1:5" hidden="1" x14ac:dyDescent="0.25">
      <c r="A207" t="s">
        <v>10065</v>
      </c>
      <c r="B207" t="s">
        <v>1135</v>
      </c>
      <c r="C207" t="s">
        <v>9660</v>
      </c>
      <c r="D207" t="s">
        <v>10066</v>
      </c>
      <c r="E207" t="s">
        <v>9661</v>
      </c>
    </row>
    <row r="208" spans="1:5" hidden="1" x14ac:dyDescent="0.25">
      <c r="A208" t="s">
        <v>10067</v>
      </c>
      <c r="B208" t="s">
        <v>1009</v>
      </c>
      <c r="C208" t="s">
        <v>9848</v>
      </c>
      <c r="D208" t="s">
        <v>10068</v>
      </c>
      <c r="E208" t="s">
        <v>9850</v>
      </c>
    </row>
    <row r="209" spans="1:5" hidden="1" x14ac:dyDescent="0.25">
      <c r="A209" t="s">
        <v>10069</v>
      </c>
      <c r="B209" t="s">
        <v>1386</v>
      </c>
      <c r="C209" t="s">
        <v>9654</v>
      </c>
      <c r="D209" t="s">
        <v>10070</v>
      </c>
      <c r="E209" t="s">
        <v>9656</v>
      </c>
    </row>
    <row r="210" spans="1:5" hidden="1" x14ac:dyDescent="0.25">
      <c r="A210" t="s">
        <v>10071</v>
      </c>
      <c r="B210" t="s">
        <v>2670</v>
      </c>
      <c r="C210" t="s">
        <v>9681</v>
      </c>
      <c r="D210" t="s">
        <v>10072</v>
      </c>
      <c r="E210" t="s">
        <v>9683</v>
      </c>
    </row>
    <row r="211" spans="1:5" hidden="1" x14ac:dyDescent="0.25">
      <c r="A211" t="s">
        <v>10073</v>
      </c>
      <c r="B211" t="s">
        <v>890</v>
      </c>
      <c r="C211" t="s">
        <v>9800</v>
      </c>
      <c r="D211" t="s">
        <v>10074</v>
      </c>
      <c r="E211" t="s">
        <v>9802</v>
      </c>
    </row>
    <row r="212" spans="1:5" hidden="1" x14ac:dyDescent="0.25">
      <c r="A212" t="s">
        <v>10075</v>
      </c>
      <c r="B212" t="s">
        <v>2020</v>
      </c>
      <c r="C212" t="s">
        <v>9800</v>
      </c>
      <c r="D212" t="s">
        <v>10076</v>
      </c>
      <c r="E212" t="s">
        <v>9802</v>
      </c>
    </row>
    <row r="213" spans="1:5" hidden="1" x14ac:dyDescent="0.25">
      <c r="A213" t="s">
        <v>10077</v>
      </c>
      <c r="B213" t="s">
        <v>1646</v>
      </c>
      <c r="C213" t="s">
        <v>9637</v>
      </c>
      <c r="D213" t="s">
        <v>10078</v>
      </c>
      <c r="E213" t="s">
        <v>9637</v>
      </c>
    </row>
    <row r="214" spans="1:5" hidden="1" x14ac:dyDescent="0.25">
      <c r="A214" t="s">
        <v>10079</v>
      </c>
      <c r="B214" t="s">
        <v>1218</v>
      </c>
      <c r="C214" t="s">
        <v>10080</v>
      </c>
      <c r="D214" t="s">
        <v>10081</v>
      </c>
      <c r="E214" t="s">
        <v>10082</v>
      </c>
    </row>
    <row r="215" spans="1:5" hidden="1" x14ac:dyDescent="0.25">
      <c r="A215" t="s">
        <v>10083</v>
      </c>
      <c r="B215" t="s">
        <v>1093</v>
      </c>
      <c r="C215" t="s">
        <v>9748</v>
      </c>
      <c r="D215" t="s">
        <v>10084</v>
      </c>
      <c r="E215" t="s">
        <v>9750</v>
      </c>
    </row>
    <row r="216" spans="1:5" hidden="1" x14ac:dyDescent="0.25">
      <c r="A216" t="s">
        <v>10085</v>
      </c>
      <c r="B216" t="s">
        <v>1598</v>
      </c>
      <c r="C216" t="s">
        <v>9738</v>
      </c>
      <c r="D216" t="s">
        <v>10086</v>
      </c>
      <c r="E216" t="s">
        <v>9740</v>
      </c>
    </row>
    <row r="217" spans="1:5" hidden="1" x14ac:dyDescent="0.25">
      <c r="A217" t="s">
        <v>10087</v>
      </c>
      <c r="B217" t="s">
        <v>2122</v>
      </c>
      <c r="C217" t="s">
        <v>9836</v>
      </c>
      <c r="D217" t="s">
        <v>10088</v>
      </c>
      <c r="E217" t="s">
        <v>9838</v>
      </c>
    </row>
    <row r="218" spans="1:5" hidden="1" x14ac:dyDescent="0.25">
      <c r="A218" t="s">
        <v>10089</v>
      </c>
      <c r="B218" t="s">
        <v>1795</v>
      </c>
      <c r="C218" t="s">
        <v>10090</v>
      </c>
      <c r="D218" t="s">
        <v>10091</v>
      </c>
      <c r="E218" t="s">
        <v>10092</v>
      </c>
    </row>
    <row r="219" spans="1:5" hidden="1" x14ac:dyDescent="0.25">
      <c r="A219" t="s">
        <v>10093</v>
      </c>
      <c r="B219" t="s">
        <v>2478</v>
      </c>
      <c r="C219" t="s">
        <v>9748</v>
      </c>
      <c r="D219" t="s">
        <v>10094</v>
      </c>
      <c r="E219" t="s">
        <v>9750</v>
      </c>
    </row>
    <row r="220" spans="1:5" hidden="1" x14ac:dyDescent="0.25">
      <c r="A220" t="s">
        <v>10095</v>
      </c>
      <c r="B220" t="s">
        <v>2815</v>
      </c>
      <c r="C220" t="s">
        <v>9646</v>
      </c>
      <c r="D220" t="s">
        <v>10096</v>
      </c>
      <c r="E220" t="s">
        <v>9648</v>
      </c>
    </row>
    <row r="221" spans="1:5" hidden="1" x14ac:dyDescent="0.25">
      <c r="A221" t="s">
        <v>10097</v>
      </c>
      <c r="B221" t="s">
        <v>2234</v>
      </c>
      <c r="C221" t="s">
        <v>10098</v>
      </c>
      <c r="D221" t="s">
        <v>10099</v>
      </c>
      <c r="E221" t="s">
        <v>10100</v>
      </c>
    </row>
    <row r="222" spans="1:5" hidden="1" x14ac:dyDescent="0.25">
      <c r="A222" t="s">
        <v>10101</v>
      </c>
      <c r="B222" t="s">
        <v>2083</v>
      </c>
      <c r="C222" t="s">
        <v>10102</v>
      </c>
      <c r="D222" t="s">
        <v>10103</v>
      </c>
      <c r="E222" t="s">
        <v>10104</v>
      </c>
    </row>
    <row r="223" spans="1:5" hidden="1" x14ac:dyDescent="0.25">
      <c r="A223" t="s">
        <v>10105</v>
      </c>
      <c r="B223" t="s">
        <v>1970</v>
      </c>
      <c r="C223" t="s">
        <v>9948</v>
      </c>
      <c r="D223" t="s">
        <v>10106</v>
      </c>
      <c r="E223" t="s">
        <v>9950</v>
      </c>
    </row>
    <row r="224" spans="1:5" hidden="1" x14ac:dyDescent="0.25">
      <c r="A224" t="s">
        <v>10107</v>
      </c>
      <c r="B224" t="s">
        <v>2007</v>
      </c>
      <c r="C224" t="s">
        <v>9748</v>
      </c>
      <c r="D224" t="s">
        <v>10108</v>
      </c>
      <c r="E224" t="s">
        <v>9750</v>
      </c>
    </row>
    <row r="225" spans="1:5" hidden="1" x14ac:dyDescent="0.25">
      <c r="A225" t="s">
        <v>10109</v>
      </c>
      <c r="B225" t="s">
        <v>1790</v>
      </c>
      <c r="C225" t="s">
        <v>9738</v>
      </c>
      <c r="D225" t="s">
        <v>10110</v>
      </c>
      <c r="E225" t="s">
        <v>9740</v>
      </c>
    </row>
    <row r="226" spans="1:5" hidden="1" x14ac:dyDescent="0.25">
      <c r="A226" t="s">
        <v>10111</v>
      </c>
      <c r="B226" t="s">
        <v>2118</v>
      </c>
      <c r="C226" t="s">
        <v>9800</v>
      </c>
      <c r="D226" t="s">
        <v>10112</v>
      </c>
      <c r="E226" t="s">
        <v>9802</v>
      </c>
    </row>
    <row r="227" spans="1:5" hidden="1" x14ac:dyDescent="0.25">
      <c r="A227" t="s">
        <v>10113</v>
      </c>
      <c r="B227" t="s">
        <v>3108</v>
      </c>
      <c r="C227" t="s">
        <v>9788</v>
      </c>
      <c r="D227" t="s">
        <v>10114</v>
      </c>
      <c r="E227" t="s">
        <v>9790</v>
      </c>
    </row>
    <row r="228" spans="1:5" hidden="1" x14ac:dyDescent="0.25">
      <c r="A228" t="s">
        <v>10115</v>
      </c>
      <c r="B228" t="s">
        <v>2068</v>
      </c>
      <c r="C228" t="s">
        <v>9595</v>
      </c>
      <c r="D228" t="s">
        <v>10116</v>
      </c>
      <c r="E228" t="s">
        <v>9597</v>
      </c>
    </row>
    <row r="229" spans="1:5" hidden="1" x14ac:dyDescent="0.25">
      <c r="A229" t="s">
        <v>10117</v>
      </c>
      <c r="B229" t="s">
        <v>1883</v>
      </c>
      <c r="C229" t="s">
        <v>9738</v>
      </c>
      <c r="D229" t="s">
        <v>10118</v>
      </c>
      <c r="E229" t="s">
        <v>9740</v>
      </c>
    </row>
    <row r="230" spans="1:5" hidden="1" x14ac:dyDescent="0.25">
      <c r="A230" t="s">
        <v>10119</v>
      </c>
      <c r="B230" t="s">
        <v>2692</v>
      </c>
      <c r="C230" t="s">
        <v>9788</v>
      </c>
      <c r="D230" t="s">
        <v>10120</v>
      </c>
      <c r="E230" t="s">
        <v>9790</v>
      </c>
    </row>
    <row r="231" spans="1:5" hidden="1" x14ac:dyDescent="0.25">
      <c r="A231" t="s">
        <v>10121</v>
      </c>
      <c r="B231" t="s">
        <v>2386</v>
      </c>
      <c r="C231" t="s">
        <v>9996</v>
      </c>
      <c r="D231" t="s">
        <v>10122</v>
      </c>
      <c r="E231" t="s">
        <v>9998</v>
      </c>
    </row>
    <row r="232" spans="1:5" hidden="1" x14ac:dyDescent="0.25">
      <c r="A232" t="s">
        <v>10123</v>
      </c>
      <c r="B232" t="s">
        <v>1962</v>
      </c>
      <c r="C232" t="s">
        <v>9774</v>
      </c>
      <c r="D232" t="s">
        <v>10124</v>
      </c>
      <c r="E232" t="s">
        <v>9776</v>
      </c>
    </row>
    <row r="233" spans="1:5" hidden="1" x14ac:dyDescent="0.25">
      <c r="A233" t="s">
        <v>10125</v>
      </c>
      <c r="B233" t="s">
        <v>1474</v>
      </c>
      <c r="C233" t="s">
        <v>9848</v>
      </c>
      <c r="D233" t="s">
        <v>10126</v>
      </c>
      <c r="E233" t="s">
        <v>9850</v>
      </c>
    </row>
    <row r="234" spans="1:5" hidden="1" x14ac:dyDescent="0.25">
      <c r="A234" t="s">
        <v>10127</v>
      </c>
      <c r="B234" t="s">
        <v>1318</v>
      </c>
      <c r="C234" t="s">
        <v>9738</v>
      </c>
      <c r="D234" t="s">
        <v>10128</v>
      </c>
      <c r="E234" t="s">
        <v>9740</v>
      </c>
    </row>
    <row r="235" spans="1:5" hidden="1" x14ac:dyDescent="0.25">
      <c r="A235" t="s">
        <v>10129</v>
      </c>
      <c r="B235" t="s">
        <v>2357</v>
      </c>
      <c r="C235" t="s">
        <v>9660</v>
      </c>
      <c r="D235" t="s">
        <v>10130</v>
      </c>
      <c r="E235" t="s">
        <v>9661</v>
      </c>
    </row>
    <row r="236" spans="1:5" hidden="1" x14ac:dyDescent="0.25">
      <c r="A236" t="s">
        <v>10131</v>
      </c>
      <c r="B236" t="s">
        <v>2382</v>
      </c>
      <c r="C236" t="s">
        <v>9764</v>
      </c>
      <c r="D236" t="s">
        <v>10132</v>
      </c>
      <c r="E236" t="s">
        <v>9766</v>
      </c>
    </row>
    <row r="237" spans="1:5" hidden="1" x14ac:dyDescent="0.25">
      <c r="A237" t="s">
        <v>10133</v>
      </c>
      <c r="B237" t="s">
        <v>1934</v>
      </c>
      <c r="C237" t="s">
        <v>10134</v>
      </c>
      <c r="D237" t="s">
        <v>10135</v>
      </c>
      <c r="E237" t="s">
        <v>10136</v>
      </c>
    </row>
    <row r="238" spans="1:5" hidden="1" x14ac:dyDescent="0.25">
      <c r="A238" t="s">
        <v>10137</v>
      </c>
      <c r="B238" t="s">
        <v>1665</v>
      </c>
      <c r="C238" t="s">
        <v>9640</v>
      </c>
      <c r="D238" t="s">
        <v>10138</v>
      </c>
      <c r="E238" t="s">
        <v>9642</v>
      </c>
    </row>
    <row r="239" spans="1:5" hidden="1" x14ac:dyDescent="0.25">
      <c r="A239" t="s">
        <v>10139</v>
      </c>
      <c r="B239" t="s">
        <v>2192</v>
      </c>
      <c r="C239" t="s">
        <v>9792</v>
      </c>
      <c r="D239" t="s">
        <v>10140</v>
      </c>
      <c r="E239" t="s">
        <v>9794</v>
      </c>
    </row>
    <row r="240" spans="1:5" hidden="1" x14ac:dyDescent="0.25">
      <c r="A240" t="s">
        <v>10141</v>
      </c>
      <c r="B240" t="s">
        <v>3337</v>
      </c>
      <c r="C240" t="s">
        <v>9788</v>
      </c>
      <c r="D240" t="s">
        <v>10142</v>
      </c>
      <c r="E240" t="s">
        <v>9790</v>
      </c>
    </row>
    <row r="241" spans="1:5" hidden="1" x14ac:dyDescent="0.25">
      <c r="A241" t="s">
        <v>10143</v>
      </c>
      <c r="B241" t="s">
        <v>2680</v>
      </c>
      <c r="C241" t="s">
        <v>9788</v>
      </c>
      <c r="D241" t="s">
        <v>10144</v>
      </c>
      <c r="E241" t="s">
        <v>9790</v>
      </c>
    </row>
    <row r="242" spans="1:5" hidden="1" x14ac:dyDescent="0.25">
      <c r="A242" t="s">
        <v>10145</v>
      </c>
      <c r="B242" t="s">
        <v>1736</v>
      </c>
      <c r="C242" t="s">
        <v>9848</v>
      </c>
      <c r="D242" t="s">
        <v>10146</v>
      </c>
      <c r="E242" t="s">
        <v>9850</v>
      </c>
    </row>
    <row r="243" spans="1:5" hidden="1" x14ac:dyDescent="0.25">
      <c r="A243" t="s">
        <v>10147</v>
      </c>
      <c r="B243" t="s">
        <v>2834</v>
      </c>
      <c r="C243" t="s">
        <v>9640</v>
      </c>
      <c r="D243" t="s">
        <v>10148</v>
      </c>
      <c r="E243" t="s">
        <v>9642</v>
      </c>
    </row>
    <row r="244" spans="1:5" hidden="1" x14ac:dyDescent="0.25">
      <c r="A244" t="s">
        <v>10149</v>
      </c>
      <c r="B244" t="s">
        <v>1912</v>
      </c>
      <c r="C244" t="s">
        <v>9748</v>
      </c>
      <c r="D244" t="s">
        <v>10150</v>
      </c>
      <c r="E244" t="s">
        <v>9750</v>
      </c>
    </row>
    <row r="245" spans="1:5" hidden="1" x14ac:dyDescent="0.25">
      <c r="A245" t="s">
        <v>10151</v>
      </c>
      <c r="B245" t="s">
        <v>1703</v>
      </c>
      <c r="C245" t="s">
        <v>9738</v>
      </c>
      <c r="D245" t="s">
        <v>10152</v>
      </c>
      <c r="E245" t="s">
        <v>9740</v>
      </c>
    </row>
    <row r="246" spans="1:5" hidden="1" x14ac:dyDescent="0.25">
      <c r="A246" t="s">
        <v>10153</v>
      </c>
      <c r="B246" t="s">
        <v>1774</v>
      </c>
      <c r="C246" t="s">
        <v>9738</v>
      </c>
      <c r="D246" t="s">
        <v>10154</v>
      </c>
      <c r="E246" t="s">
        <v>9740</v>
      </c>
    </row>
    <row r="247" spans="1:5" hidden="1" x14ac:dyDescent="0.25">
      <c r="A247" t="s">
        <v>10155</v>
      </c>
      <c r="B247" t="s">
        <v>2330</v>
      </c>
      <c r="C247" t="s">
        <v>9836</v>
      </c>
      <c r="D247" t="s">
        <v>10156</v>
      </c>
      <c r="E247" t="s">
        <v>9838</v>
      </c>
    </row>
    <row r="248" spans="1:5" hidden="1" x14ac:dyDescent="0.25">
      <c r="A248" t="s">
        <v>10157</v>
      </c>
      <c r="B248" t="s">
        <v>2149</v>
      </c>
      <c r="C248" t="s">
        <v>9646</v>
      </c>
      <c r="D248" t="s">
        <v>10158</v>
      </c>
      <c r="E248" t="s">
        <v>9648</v>
      </c>
    </row>
    <row r="249" spans="1:5" hidden="1" x14ac:dyDescent="0.25">
      <c r="A249" t="s">
        <v>10159</v>
      </c>
      <c r="B249" t="s">
        <v>1939</v>
      </c>
      <c r="C249" t="s">
        <v>9800</v>
      </c>
      <c r="D249" t="s">
        <v>10160</v>
      </c>
      <c r="E249" t="s">
        <v>9802</v>
      </c>
    </row>
    <row r="250" spans="1:5" hidden="1" x14ac:dyDescent="0.25">
      <c r="A250" t="s">
        <v>10161</v>
      </c>
      <c r="B250" t="s">
        <v>1846</v>
      </c>
      <c r="C250" t="s">
        <v>9774</v>
      </c>
      <c r="D250" t="s">
        <v>10162</v>
      </c>
      <c r="E250" t="s">
        <v>9776</v>
      </c>
    </row>
    <row r="251" spans="1:5" hidden="1" x14ac:dyDescent="0.25">
      <c r="A251" t="s">
        <v>10163</v>
      </c>
      <c r="B251" t="s">
        <v>2222</v>
      </c>
      <c r="C251" t="s">
        <v>9675</v>
      </c>
      <c r="D251" t="s">
        <v>10164</v>
      </c>
      <c r="E251" t="s">
        <v>9677</v>
      </c>
    </row>
    <row r="252" spans="1:5" hidden="1" x14ac:dyDescent="0.25">
      <c r="A252" t="s">
        <v>10165</v>
      </c>
      <c r="B252" t="s">
        <v>2030</v>
      </c>
      <c r="C252" t="s">
        <v>9800</v>
      </c>
      <c r="D252" t="s">
        <v>10166</v>
      </c>
      <c r="E252" t="s">
        <v>9802</v>
      </c>
    </row>
    <row r="253" spans="1:5" hidden="1" x14ac:dyDescent="0.25">
      <c r="A253" t="s">
        <v>10167</v>
      </c>
      <c r="B253" t="s">
        <v>2540</v>
      </c>
      <c r="C253" t="s">
        <v>9738</v>
      </c>
      <c r="D253" t="s">
        <v>10168</v>
      </c>
      <c r="E253" t="s">
        <v>9740</v>
      </c>
    </row>
    <row r="254" spans="1:5" hidden="1" x14ac:dyDescent="0.25">
      <c r="A254" t="s">
        <v>10169</v>
      </c>
      <c r="B254" t="s">
        <v>1905</v>
      </c>
      <c r="C254" t="s">
        <v>9640</v>
      </c>
      <c r="D254" t="s">
        <v>10170</v>
      </c>
      <c r="E254" t="s">
        <v>9642</v>
      </c>
    </row>
    <row r="255" spans="1:5" hidden="1" x14ac:dyDescent="0.25">
      <c r="A255" t="s">
        <v>10171</v>
      </c>
      <c r="B255" t="s">
        <v>1550</v>
      </c>
      <c r="C255" t="s">
        <v>10172</v>
      </c>
      <c r="D255" t="s">
        <v>10173</v>
      </c>
      <c r="E255" t="s">
        <v>10174</v>
      </c>
    </row>
    <row r="256" spans="1:5" hidden="1" x14ac:dyDescent="0.25">
      <c r="A256" t="s">
        <v>10175</v>
      </c>
      <c r="B256" t="s">
        <v>1452</v>
      </c>
      <c r="C256" t="s">
        <v>9774</v>
      </c>
      <c r="D256" t="s">
        <v>10176</v>
      </c>
      <c r="E256" t="s">
        <v>9776</v>
      </c>
    </row>
    <row r="257" spans="1:5" hidden="1" x14ac:dyDescent="0.25">
      <c r="A257" t="s">
        <v>10177</v>
      </c>
      <c r="B257" t="s">
        <v>1415</v>
      </c>
      <c r="C257" t="s">
        <v>9774</v>
      </c>
      <c r="D257" t="s">
        <v>10178</v>
      </c>
      <c r="E257" t="s">
        <v>9776</v>
      </c>
    </row>
    <row r="258" spans="1:5" hidden="1" x14ac:dyDescent="0.25">
      <c r="A258" t="s">
        <v>10179</v>
      </c>
      <c r="B258" t="s">
        <v>2430</v>
      </c>
      <c r="C258" t="s">
        <v>9788</v>
      </c>
      <c r="D258" t="s">
        <v>10180</v>
      </c>
      <c r="E258" t="s">
        <v>9790</v>
      </c>
    </row>
    <row r="259" spans="1:5" hidden="1" x14ac:dyDescent="0.25">
      <c r="A259" t="s">
        <v>10181</v>
      </c>
      <c r="B259" t="s">
        <v>1369</v>
      </c>
      <c r="C259" t="s">
        <v>10182</v>
      </c>
      <c r="D259" t="s">
        <v>10183</v>
      </c>
      <c r="E259" t="s">
        <v>10184</v>
      </c>
    </row>
    <row r="260" spans="1:5" hidden="1" x14ac:dyDescent="0.25">
      <c r="A260" t="s">
        <v>10185</v>
      </c>
      <c r="B260" t="s">
        <v>2619</v>
      </c>
      <c r="C260" t="s">
        <v>9764</v>
      </c>
      <c r="D260" t="s">
        <v>10186</v>
      </c>
      <c r="E260" t="s">
        <v>9766</v>
      </c>
    </row>
    <row r="261" spans="1:5" hidden="1" x14ac:dyDescent="0.25">
      <c r="A261" t="s">
        <v>10187</v>
      </c>
      <c r="B261" t="s">
        <v>2635</v>
      </c>
      <c r="C261" t="s">
        <v>9738</v>
      </c>
      <c r="D261" t="s">
        <v>10188</v>
      </c>
      <c r="E261" t="s">
        <v>9740</v>
      </c>
    </row>
    <row r="262" spans="1:5" hidden="1" x14ac:dyDescent="0.25">
      <c r="A262" t="s">
        <v>10189</v>
      </c>
      <c r="B262" t="s">
        <v>3225</v>
      </c>
      <c r="C262" t="s">
        <v>10190</v>
      </c>
      <c r="D262" t="s">
        <v>10191</v>
      </c>
      <c r="E262" t="s">
        <v>10192</v>
      </c>
    </row>
    <row r="263" spans="1:5" hidden="1" x14ac:dyDescent="0.25">
      <c r="A263" t="s">
        <v>10193</v>
      </c>
      <c r="B263" t="s">
        <v>2269</v>
      </c>
      <c r="C263" t="s">
        <v>9654</v>
      </c>
      <c r="D263" t="s">
        <v>10194</v>
      </c>
      <c r="E263" t="s">
        <v>9656</v>
      </c>
    </row>
    <row r="264" spans="1:5" hidden="1" x14ac:dyDescent="0.25">
      <c r="A264" t="s">
        <v>10195</v>
      </c>
      <c r="B264" t="s">
        <v>1824</v>
      </c>
      <c r="C264" t="s">
        <v>9948</v>
      </c>
      <c r="D264" t="s">
        <v>10196</v>
      </c>
      <c r="E264" t="s">
        <v>9950</v>
      </c>
    </row>
    <row r="265" spans="1:5" hidden="1" x14ac:dyDescent="0.25">
      <c r="A265" t="s">
        <v>10197</v>
      </c>
      <c r="B265" t="s">
        <v>2549</v>
      </c>
      <c r="C265" t="s">
        <v>9754</v>
      </c>
      <c r="D265" t="s">
        <v>10198</v>
      </c>
      <c r="E265" t="s">
        <v>9756</v>
      </c>
    </row>
    <row r="266" spans="1:5" hidden="1" x14ac:dyDescent="0.25">
      <c r="A266" t="s">
        <v>10199</v>
      </c>
      <c r="B266" t="s">
        <v>2338</v>
      </c>
      <c r="C266" t="s">
        <v>9788</v>
      </c>
      <c r="D266" t="s">
        <v>10200</v>
      </c>
      <c r="E266" t="s">
        <v>9790</v>
      </c>
    </row>
    <row r="267" spans="1:5" hidden="1" x14ac:dyDescent="0.25">
      <c r="A267" t="s">
        <v>10201</v>
      </c>
      <c r="B267" t="s">
        <v>1708</v>
      </c>
      <c r="C267" t="s">
        <v>10172</v>
      </c>
      <c r="D267" t="s">
        <v>10202</v>
      </c>
      <c r="E267" t="s">
        <v>10174</v>
      </c>
    </row>
    <row r="268" spans="1:5" hidden="1" x14ac:dyDescent="0.25">
      <c r="A268" t="s">
        <v>10203</v>
      </c>
      <c r="B268" t="s">
        <v>2081</v>
      </c>
      <c r="C268" t="s">
        <v>9713</v>
      </c>
      <c r="D268" t="s">
        <v>9713</v>
      </c>
      <c r="E268" t="s">
        <v>9715</v>
      </c>
    </row>
    <row r="269" spans="1:5" hidden="1" x14ac:dyDescent="0.25">
      <c r="A269" t="s">
        <v>10204</v>
      </c>
      <c r="B269" t="s">
        <v>2073</v>
      </c>
      <c r="C269" t="s">
        <v>9654</v>
      </c>
      <c r="D269" t="s">
        <v>10205</v>
      </c>
      <c r="E269" t="s">
        <v>9656</v>
      </c>
    </row>
    <row r="270" spans="1:5" hidden="1" x14ac:dyDescent="0.25">
      <c r="A270" t="s">
        <v>10206</v>
      </c>
      <c r="B270" t="s">
        <v>2446</v>
      </c>
      <c r="C270" t="s">
        <v>9599</v>
      </c>
      <c r="D270" t="s">
        <v>10207</v>
      </c>
      <c r="E270" t="s">
        <v>9601</v>
      </c>
    </row>
    <row r="271" spans="1:5" hidden="1" x14ac:dyDescent="0.25">
      <c r="A271" t="s">
        <v>10208</v>
      </c>
      <c r="B271" t="s">
        <v>2162</v>
      </c>
      <c r="C271" t="s">
        <v>9629</v>
      </c>
      <c r="D271" t="s">
        <v>10209</v>
      </c>
      <c r="E271" t="s">
        <v>9631</v>
      </c>
    </row>
    <row r="272" spans="1:5" hidden="1" x14ac:dyDescent="0.25">
      <c r="A272" t="s">
        <v>10210</v>
      </c>
      <c r="B272" t="s">
        <v>2167</v>
      </c>
      <c r="C272" t="s">
        <v>9788</v>
      </c>
      <c r="D272" t="s">
        <v>10211</v>
      </c>
      <c r="E272" t="s">
        <v>9790</v>
      </c>
    </row>
    <row r="273" spans="1:5" hidden="1" x14ac:dyDescent="0.25">
      <c r="A273" t="s">
        <v>10212</v>
      </c>
      <c r="B273" t="s">
        <v>1779</v>
      </c>
      <c r="C273" t="s">
        <v>9717</v>
      </c>
      <c r="D273" t="s">
        <v>10213</v>
      </c>
      <c r="E273" t="s">
        <v>9719</v>
      </c>
    </row>
    <row r="274" spans="1:5" hidden="1" x14ac:dyDescent="0.25">
      <c r="A274" t="s">
        <v>10214</v>
      </c>
      <c r="B274" t="s">
        <v>2103</v>
      </c>
      <c r="C274" t="s">
        <v>9758</v>
      </c>
      <c r="D274" t="s">
        <v>10215</v>
      </c>
      <c r="E274" t="s">
        <v>9760</v>
      </c>
    </row>
    <row r="275" spans="1:5" hidden="1" x14ac:dyDescent="0.25">
      <c r="A275" t="s">
        <v>10216</v>
      </c>
      <c r="B275" t="s">
        <v>2038</v>
      </c>
      <c r="C275" t="s">
        <v>9640</v>
      </c>
      <c r="D275" t="s">
        <v>10217</v>
      </c>
      <c r="E275" t="s">
        <v>9642</v>
      </c>
    </row>
    <row r="276" spans="1:5" hidden="1" x14ac:dyDescent="0.25">
      <c r="A276" t="s">
        <v>10218</v>
      </c>
      <c r="B276" t="s">
        <v>1952</v>
      </c>
      <c r="C276" t="s">
        <v>9758</v>
      </c>
      <c r="D276" t="s">
        <v>10219</v>
      </c>
      <c r="E276" t="s">
        <v>9760</v>
      </c>
    </row>
    <row r="277" spans="1:5" hidden="1" x14ac:dyDescent="0.25">
      <c r="A277" t="s">
        <v>10220</v>
      </c>
      <c r="B277" t="s">
        <v>1638</v>
      </c>
      <c r="C277" t="s">
        <v>9792</v>
      </c>
      <c r="D277" t="s">
        <v>10221</v>
      </c>
      <c r="E277" t="s">
        <v>9794</v>
      </c>
    </row>
    <row r="278" spans="1:5" hidden="1" x14ac:dyDescent="0.25">
      <c r="A278" t="s">
        <v>10222</v>
      </c>
      <c r="B278" t="s">
        <v>2064</v>
      </c>
      <c r="C278" t="s">
        <v>9738</v>
      </c>
      <c r="D278" t="s">
        <v>10223</v>
      </c>
      <c r="E278" t="s">
        <v>9740</v>
      </c>
    </row>
    <row r="279" spans="1:5" hidden="1" x14ac:dyDescent="0.25">
      <c r="A279" t="s">
        <v>10224</v>
      </c>
      <c r="B279" t="s">
        <v>2243</v>
      </c>
      <c r="C279" t="s">
        <v>9735</v>
      </c>
      <c r="D279" t="s">
        <v>10225</v>
      </c>
      <c r="E279" t="s">
        <v>9735</v>
      </c>
    </row>
    <row r="280" spans="1:5" hidden="1" x14ac:dyDescent="0.25">
      <c r="A280" t="s">
        <v>10226</v>
      </c>
      <c r="B280" t="s">
        <v>2853</v>
      </c>
      <c r="C280" t="s">
        <v>9836</v>
      </c>
      <c r="D280" t="s">
        <v>10227</v>
      </c>
      <c r="E280" t="s">
        <v>9838</v>
      </c>
    </row>
    <row r="281" spans="1:5" hidden="1" x14ac:dyDescent="0.25">
      <c r="A281" t="s">
        <v>10228</v>
      </c>
      <c r="B281" t="s">
        <v>2155</v>
      </c>
      <c r="C281" t="s">
        <v>9637</v>
      </c>
      <c r="D281" t="s">
        <v>10229</v>
      </c>
      <c r="E281" t="s">
        <v>9637</v>
      </c>
    </row>
    <row r="282" spans="1:5" hidden="1" x14ac:dyDescent="0.25">
      <c r="A282" t="s">
        <v>10230</v>
      </c>
      <c r="B282" t="s">
        <v>2372</v>
      </c>
      <c r="C282" t="s">
        <v>9640</v>
      </c>
      <c r="D282" t="s">
        <v>10231</v>
      </c>
      <c r="E282" t="s">
        <v>9642</v>
      </c>
    </row>
    <row r="283" spans="1:5" hidden="1" x14ac:dyDescent="0.25">
      <c r="A283" t="s">
        <v>10232</v>
      </c>
      <c r="B283" t="s">
        <v>2708</v>
      </c>
      <c r="C283" t="s">
        <v>9660</v>
      </c>
      <c r="D283" t="s">
        <v>10233</v>
      </c>
      <c r="E283" t="s">
        <v>9661</v>
      </c>
    </row>
    <row r="284" spans="1:5" hidden="1" x14ac:dyDescent="0.25">
      <c r="A284" t="s">
        <v>10234</v>
      </c>
      <c r="B284" t="s">
        <v>2747</v>
      </c>
      <c r="C284" t="s">
        <v>9660</v>
      </c>
      <c r="D284" t="s">
        <v>10235</v>
      </c>
      <c r="E284" t="s">
        <v>9661</v>
      </c>
    </row>
    <row r="285" spans="1:5" hidden="1" x14ac:dyDescent="0.25">
      <c r="A285" t="s">
        <v>10236</v>
      </c>
      <c r="B285" t="s">
        <v>2917</v>
      </c>
      <c r="C285" t="s">
        <v>9792</v>
      </c>
      <c r="D285" t="s">
        <v>10237</v>
      </c>
      <c r="E285" t="s">
        <v>9794</v>
      </c>
    </row>
    <row r="286" spans="1:5" hidden="1" x14ac:dyDescent="0.25">
      <c r="A286" t="s">
        <v>10238</v>
      </c>
      <c r="B286" t="s">
        <v>2397</v>
      </c>
      <c r="C286" t="s">
        <v>9723</v>
      </c>
      <c r="D286" t="s">
        <v>10239</v>
      </c>
      <c r="E286" t="s">
        <v>9725</v>
      </c>
    </row>
    <row r="287" spans="1:5" hidden="1" x14ac:dyDescent="0.25">
      <c r="A287" t="s">
        <v>10240</v>
      </c>
      <c r="B287" t="s">
        <v>2350</v>
      </c>
      <c r="C287" t="s">
        <v>9972</v>
      </c>
      <c r="D287" t="s">
        <v>10241</v>
      </c>
      <c r="E287" t="s">
        <v>9974</v>
      </c>
    </row>
    <row r="288" spans="1:5" hidden="1" x14ac:dyDescent="0.25">
      <c r="A288" t="s">
        <v>10242</v>
      </c>
      <c r="B288" t="s">
        <v>2630</v>
      </c>
      <c r="C288" t="s">
        <v>9675</v>
      </c>
      <c r="D288" t="s">
        <v>10243</v>
      </c>
      <c r="E288" t="s">
        <v>9677</v>
      </c>
    </row>
    <row r="289" spans="1:5" hidden="1" x14ac:dyDescent="0.25">
      <c r="A289" t="s">
        <v>10244</v>
      </c>
      <c r="B289" t="s">
        <v>2306</v>
      </c>
      <c r="C289" t="s">
        <v>10245</v>
      </c>
      <c r="D289" t="s">
        <v>10246</v>
      </c>
      <c r="E289" t="s">
        <v>10247</v>
      </c>
    </row>
    <row r="290" spans="1:5" hidden="1" x14ac:dyDescent="0.25">
      <c r="A290" t="s">
        <v>10248</v>
      </c>
      <c r="B290" t="s">
        <v>2440</v>
      </c>
      <c r="C290" t="s">
        <v>9754</v>
      </c>
      <c r="D290" t="s">
        <v>10249</v>
      </c>
      <c r="E290" t="s">
        <v>9756</v>
      </c>
    </row>
    <row r="291" spans="1:5" hidden="1" x14ac:dyDescent="0.25">
      <c r="A291" t="s">
        <v>10250</v>
      </c>
      <c r="B291" t="s">
        <v>2105</v>
      </c>
      <c r="C291" t="s">
        <v>9848</v>
      </c>
      <c r="D291" t="s">
        <v>10251</v>
      </c>
      <c r="E291" t="s">
        <v>9850</v>
      </c>
    </row>
    <row r="292" spans="1:5" hidden="1" x14ac:dyDescent="0.25">
      <c r="A292" t="s">
        <v>10252</v>
      </c>
      <c r="B292" t="s">
        <v>2701</v>
      </c>
      <c r="C292" t="s">
        <v>9800</v>
      </c>
      <c r="D292" t="s">
        <v>10253</v>
      </c>
      <c r="E292" t="s">
        <v>9802</v>
      </c>
    </row>
    <row r="293" spans="1:5" hidden="1" x14ac:dyDescent="0.25">
      <c r="A293" t="s">
        <v>10254</v>
      </c>
      <c r="B293" t="s">
        <v>2578</v>
      </c>
      <c r="C293" t="s">
        <v>10024</v>
      </c>
      <c r="D293" t="s">
        <v>10255</v>
      </c>
      <c r="E293" t="s">
        <v>10026</v>
      </c>
    </row>
    <row r="294" spans="1:5" hidden="1" x14ac:dyDescent="0.25">
      <c r="A294" t="s">
        <v>10256</v>
      </c>
      <c r="B294" t="s">
        <v>1999</v>
      </c>
      <c r="C294" t="s">
        <v>10257</v>
      </c>
      <c r="D294" t="s">
        <v>10258</v>
      </c>
      <c r="E294" t="s">
        <v>10259</v>
      </c>
    </row>
    <row r="295" spans="1:5" hidden="1" x14ac:dyDescent="0.25">
      <c r="A295" t="s">
        <v>10260</v>
      </c>
      <c r="B295" t="s">
        <v>2811</v>
      </c>
      <c r="C295" t="s">
        <v>9738</v>
      </c>
      <c r="D295" t="s">
        <v>10261</v>
      </c>
      <c r="E295" t="s">
        <v>9740</v>
      </c>
    </row>
    <row r="296" spans="1:5" hidden="1" x14ac:dyDescent="0.25">
      <c r="A296" t="s">
        <v>10262</v>
      </c>
      <c r="B296" t="s">
        <v>2353</v>
      </c>
      <c r="C296" t="s">
        <v>9996</v>
      </c>
      <c r="D296" t="s">
        <v>10263</v>
      </c>
      <c r="E296" t="s">
        <v>9998</v>
      </c>
    </row>
    <row r="297" spans="1:5" hidden="1" x14ac:dyDescent="0.25">
      <c r="A297" t="s">
        <v>10264</v>
      </c>
      <c r="B297" t="s">
        <v>2042</v>
      </c>
      <c r="C297" t="s">
        <v>9654</v>
      </c>
      <c r="D297" t="s">
        <v>10265</v>
      </c>
      <c r="E297" t="s">
        <v>9656</v>
      </c>
    </row>
    <row r="298" spans="1:5" hidden="1" x14ac:dyDescent="0.25">
      <c r="A298" t="s">
        <v>10266</v>
      </c>
      <c r="B298" t="s">
        <v>1605</v>
      </c>
      <c r="C298" t="s">
        <v>9792</v>
      </c>
      <c r="D298" t="s">
        <v>10267</v>
      </c>
      <c r="E298" t="s">
        <v>9794</v>
      </c>
    </row>
    <row r="299" spans="1:5" hidden="1" x14ac:dyDescent="0.25">
      <c r="A299" t="s">
        <v>10268</v>
      </c>
      <c r="B299" t="s">
        <v>2657</v>
      </c>
      <c r="C299" t="s">
        <v>10190</v>
      </c>
      <c r="D299" t="s">
        <v>10269</v>
      </c>
      <c r="E299" t="s">
        <v>10192</v>
      </c>
    </row>
    <row r="300" spans="1:5" hidden="1" x14ac:dyDescent="0.25">
      <c r="A300" t="s">
        <v>10270</v>
      </c>
      <c r="B300" t="s">
        <v>3515</v>
      </c>
      <c r="C300" t="s">
        <v>9675</v>
      </c>
      <c r="D300" t="s">
        <v>10271</v>
      </c>
      <c r="E300" t="s">
        <v>9677</v>
      </c>
    </row>
    <row r="301" spans="1:5" hidden="1" x14ac:dyDescent="0.25">
      <c r="A301" t="s">
        <v>10272</v>
      </c>
      <c r="B301" t="s">
        <v>1899</v>
      </c>
      <c r="C301" t="s">
        <v>9856</v>
      </c>
      <c r="D301" t="s">
        <v>10273</v>
      </c>
      <c r="E301" t="s">
        <v>9858</v>
      </c>
    </row>
    <row r="302" spans="1:5" hidden="1" x14ac:dyDescent="0.25">
      <c r="A302" t="s">
        <v>10274</v>
      </c>
      <c r="B302" t="s">
        <v>1946</v>
      </c>
      <c r="C302" t="s">
        <v>9738</v>
      </c>
      <c r="D302" t="s">
        <v>10275</v>
      </c>
      <c r="E302" t="s">
        <v>9740</v>
      </c>
    </row>
    <row r="303" spans="1:5" hidden="1" x14ac:dyDescent="0.25">
      <c r="A303" t="s">
        <v>10276</v>
      </c>
      <c r="B303" t="s">
        <v>1759</v>
      </c>
      <c r="C303" t="s">
        <v>9848</v>
      </c>
      <c r="D303" t="s">
        <v>10277</v>
      </c>
      <c r="E303" t="s">
        <v>9850</v>
      </c>
    </row>
    <row r="304" spans="1:5" hidden="1" x14ac:dyDescent="0.25">
      <c r="A304" t="s">
        <v>10278</v>
      </c>
      <c r="B304" t="s">
        <v>1763</v>
      </c>
      <c r="C304" t="s">
        <v>9898</v>
      </c>
      <c r="D304" t="s">
        <v>10279</v>
      </c>
      <c r="E304" t="s">
        <v>9900</v>
      </c>
    </row>
    <row r="305" spans="1:5" hidden="1" x14ac:dyDescent="0.25">
      <c r="A305" t="s">
        <v>10280</v>
      </c>
      <c r="B305" t="s">
        <v>1529</v>
      </c>
      <c r="C305" t="s">
        <v>9738</v>
      </c>
      <c r="D305" t="s">
        <v>10281</v>
      </c>
      <c r="E305" t="s">
        <v>9740</v>
      </c>
    </row>
    <row r="306" spans="1:5" hidden="1" x14ac:dyDescent="0.25">
      <c r="A306" t="s">
        <v>10282</v>
      </c>
      <c r="B306" t="s">
        <v>2097</v>
      </c>
      <c r="C306" t="s">
        <v>9948</v>
      </c>
      <c r="D306" t="s">
        <v>10283</v>
      </c>
      <c r="E306" t="s">
        <v>9950</v>
      </c>
    </row>
    <row r="307" spans="1:5" hidden="1" x14ac:dyDescent="0.25">
      <c r="A307" t="s">
        <v>10284</v>
      </c>
      <c r="B307" t="s">
        <v>1811</v>
      </c>
      <c r="C307" t="s">
        <v>9723</v>
      </c>
      <c r="D307" t="s">
        <v>10285</v>
      </c>
      <c r="E307" t="s">
        <v>9725</v>
      </c>
    </row>
    <row r="308" spans="1:5" hidden="1" x14ac:dyDescent="0.25">
      <c r="A308" t="s">
        <v>10286</v>
      </c>
      <c r="B308" t="s">
        <v>1677</v>
      </c>
      <c r="C308" t="s">
        <v>9856</v>
      </c>
      <c r="D308" t="s">
        <v>10287</v>
      </c>
      <c r="E308" t="s">
        <v>9858</v>
      </c>
    </row>
    <row r="309" spans="1:5" hidden="1" x14ac:dyDescent="0.25">
      <c r="A309" t="s">
        <v>10288</v>
      </c>
      <c r="B309" t="s">
        <v>1352</v>
      </c>
      <c r="C309" t="s">
        <v>9723</v>
      </c>
      <c r="D309" t="s">
        <v>10289</v>
      </c>
      <c r="E309" t="s">
        <v>9725</v>
      </c>
    </row>
    <row r="310" spans="1:5" hidden="1" x14ac:dyDescent="0.25">
      <c r="A310" t="s">
        <v>10290</v>
      </c>
      <c r="B310" t="s">
        <v>2217</v>
      </c>
      <c r="C310" t="s">
        <v>9691</v>
      </c>
      <c r="D310" t="s">
        <v>10291</v>
      </c>
      <c r="E310" t="s">
        <v>9693</v>
      </c>
    </row>
    <row r="311" spans="1:5" hidden="1" x14ac:dyDescent="0.25">
      <c r="A311" t="s">
        <v>10292</v>
      </c>
      <c r="B311" t="s">
        <v>2534</v>
      </c>
      <c r="C311" t="s">
        <v>9717</v>
      </c>
      <c r="D311" t="s">
        <v>10293</v>
      </c>
      <c r="E311" t="s">
        <v>9719</v>
      </c>
    </row>
    <row r="312" spans="1:5" hidden="1" x14ac:dyDescent="0.25">
      <c r="A312" t="s">
        <v>10294</v>
      </c>
      <c r="B312" t="s">
        <v>2769</v>
      </c>
      <c r="C312" t="s">
        <v>9788</v>
      </c>
      <c r="D312" t="s">
        <v>10295</v>
      </c>
      <c r="E312" t="s">
        <v>9790</v>
      </c>
    </row>
    <row r="313" spans="1:5" hidden="1" x14ac:dyDescent="0.25">
      <c r="A313" t="s">
        <v>10296</v>
      </c>
      <c r="B313" t="s">
        <v>2545</v>
      </c>
      <c r="C313" t="s">
        <v>9640</v>
      </c>
      <c r="D313" t="s">
        <v>10297</v>
      </c>
      <c r="E313" t="s">
        <v>9642</v>
      </c>
    </row>
    <row r="314" spans="1:5" hidden="1" x14ac:dyDescent="0.25">
      <c r="A314" t="s">
        <v>10298</v>
      </c>
      <c r="B314" t="s">
        <v>2461</v>
      </c>
      <c r="C314" t="s">
        <v>9788</v>
      </c>
      <c r="D314" t="s">
        <v>10299</v>
      </c>
      <c r="E314" t="s">
        <v>9790</v>
      </c>
    </row>
    <row r="315" spans="1:5" hidden="1" x14ac:dyDescent="0.25">
      <c r="A315" t="s">
        <v>10300</v>
      </c>
      <c r="B315" t="s">
        <v>2109</v>
      </c>
      <c r="C315" t="s">
        <v>9852</v>
      </c>
      <c r="D315" t="s">
        <v>10301</v>
      </c>
      <c r="E315" t="s">
        <v>9854</v>
      </c>
    </row>
    <row r="316" spans="1:5" hidden="1" x14ac:dyDescent="0.25">
      <c r="A316" t="s">
        <v>10302</v>
      </c>
      <c r="B316" t="s">
        <v>2854</v>
      </c>
      <c r="C316" t="s">
        <v>9948</v>
      </c>
      <c r="D316" t="s">
        <v>10303</v>
      </c>
      <c r="E316" t="s">
        <v>9950</v>
      </c>
    </row>
    <row r="317" spans="1:5" hidden="1" x14ac:dyDescent="0.25">
      <c r="A317" t="s">
        <v>10304</v>
      </c>
      <c r="B317" t="s">
        <v>1544</v>
      </c>
      <c r="C317" t="s">
        <v>9669</v>
      </c>
      <c r="D317" t="s">
        <v>10305</v>
      </c>
      <c r="E317" t="s">
        <v>9671</v>
      </c>
    </row>
    <row r="318" spans="1:5" hidden="1" x14ac:dyDescent="0.25">
      <c r="A318" t="s">
        <v>10306</v>
      </c>
      <c r="B318" t="s">
        <v>2389</v>
      </c>
      <c r="C318" t="s">
        <v>9723</v>
      </c>
      <c r="D318" t="s">
        <v>10307</v>
      </c>
      <c r="E318" t="s">
        <v>9725</v>
      </c>
    </row>
    <row r="319" spans="1:5" hidden="1" x14ac:dyDescent="0.25">
      <c r="A319" t="s">
        <v>10308</v>
      </c>
      <c r="B319" t="s">
        <v>2378</v>
      </c>
      <c r="C319" t="s">
        <v>9836</v>
      </c>
      <c r="D319" t="s">
        <v>10309</v>
      </c>
      <c r="E319" t="s">
        <v>9838</v>
      </c>
    </row>
    <row r="320" spans="1:5" hidden="1" x14ac:dyDescent="0.25">
      <c r="A320" t="s">
        <v>10310</v>
      </c>
      <c r="B320" t="s">
        <v>2664</v>
      </c>
      <c r="C320" t="s">
        <v>9650</v>
      </c>
      <c r="D320" t="s">
        <v>10311</v>
      </c>
      <c r="E320" t="s">
        <v>9652</v>
      </c>
    </row>
    <row r="321" spans="1:5" hidden="1" x14ac:dyDescent="0.25">
      <c r="A321" t="s">
        <v>10312</v>
      </c>
      <c r="B321" t="s">
        <v>2343</v>
      </c>
      <c r="C321" t="s">
        <v>9660</v>
      </c>
      <c r="D321" t="s">
        <v>10313</v>
      </c>
      <c r="E321" t="s">
        <v>9661</v>
      </c>
    </row>
    <row r="322" spans="1:5" hidden="1" x14ac:dyDescent="0.25">
      <c r="A322" t="s">
        <v>10314</v>
      </c>
      <c r="B322" t="s">
        <v>1210</v>
      </c>
      <c r="C322" t="s">
        <v>9872</v>
      </c>
      <c r="D322" t="s">
        <v>10315</v>
      </c>
      <c r="E322" t="s">
        <v>9874</v>
      </c>
    </row>
    <row r="323" spans="1:5" hidden="1" x14ac:dyDescent="0.25">
      <c r="A323" t="s">
        <v>10316</v>
      </c>
      <c r="B323" t="s">
        <v>3612</v>
      </c>
      <c r="C323" t="s">
        <v>9640</v>
      </c>
      <c r="D323" t="s">
        <v>10317</v>
      </c>
      <c r="E323" t="s">
        <v>9642</v>
      </c>
    </row>
    <row r="324" spans="1:5" hidden="1" x14ac:dyDescent="0.25">
      <c r="A324" t="s">
        <v>10318</v>
      </c>
      <c r="B324" t="s">
        <v>3318</v>
      </c>
      <c r="C324" t="s">
        <v>9691</v>
      </c>
      <c r="D324" t="s">
        <v>10319</v>
      </c>
      <c r="E324" t="s">
        <v>9693</v>
      </c>
    </row>
    <row r="325" spans="1:5" hidden="1" x14ac:dyDescent="0.25">
      <c r="A325" t="s">
        <v>10320</v>
      </c>
      <c r="B325" t="s">
        <v>2125</v>
      </c>
      <c r="C325" t="s">
        <v>10190</v>
      </c>
      <c r="D325" t="s">
        <v>10321</v>
      </c>
      <c r="E325" t="s">
        <v>10192</v>
      </c>
    </row>
    <row r="326" spans="1:5" hidden="1" x14ac:dyDescent="0.25">
      <c r="A326" t="s">
        <v>10322</v>
      </c>
      <c r="B326" t="s">
        <v>1818</v>
      </c>
      <c r="C326" t="s">
        <v>10323</v>
      </c>
      <c r="D326" t="s">
        <v>10324</v>
      </c>
      <c r="E326" t="s">
        <v>10325</v>
      </c>
    </row>
    <row r="327" spans="1:5" hidden="1" x14ac:dyDescent="0.25">
      <c r="A327" t="s">
        <v>10326</v>
      </c>
      <c r="B327" t="s">
        <v>2450</v>
      </c>
      <c r="C327" t="s">
        <v>9637</v>
      </c>
      <c r="D327" t="s">
        <v>10327</v>
      </c>
      <c r="E327" t="s">
        <v>9637</v>
      </c>
    </row>
    <row r="328" spans="1:5" hidden="1" x14ac:dyDescent="0.25">
      <c r="A328" t="s">
        <v>10328</v>
      </c>
      <c r="B328" t="s">
        <v>3047</v>
      </c>
      <c r="C328" t="s">
        <v>9788</v>
      </c>
      <c r="D328" t="s">
        <v>10329</v>
      </c>
      <c r="E328" t="s">
        <v>9790</v>
      </c>
    </row>
    <row r="329" spans="1:5" hidden="1" x14ac:dyDescent="0.25">
      <c r="A329" t="s">
        <v>10330</v>
      </c>
      <c r="B329" t="s">
        <v>2604</v>
      </c>
      <c r="C329" t="s">
        <v>9717</v>
      </c>
      <c r="D329" t="s">
        <v>10331</v>
      </c>
      <c r="E329" t="s">
        <v>9719</v>
      </c>
    </row>
    <row r="330" spans="1:5" hidden="1" x14ac:dyDescent="0.25">
      <c r="A330" t="s">
        <v>10332</v>
      </c>
      <c r="B330" t="s">
        <v>3159</v>
      </c>
      <c r="C330" t="s">
        <v>9848</v>
      </c>
      <c r="D330" t="s">
        <v>10333</v>
      </c>
      <c r="E330" t="s">
        <v>9850</v>
      </c>
    </row>
    <row r="331" spans="1:5" hidden="1" x14ac:dyDescent="0.25">
      <c r="A331" t="s">
        <v>10334</v>
      </c>
      <c r="B331" t="s">
        <v>2525</v>
      </c>
      <c r="C331" t="s">
        <v>9856</v>
      </c>
      <c r="D331" t="s">
        <v>10335</v>
      </c>
      <c r="E331" t="s">
        <v>9858</v>
      </c>
    </row>
    <row r="332" spans="1:5" hidden="1" x14ac:dyDescent="0.25">
      <c r="A332" t="s">
        <v>10336</v>
      </c>
      <c r="B332" t="s">
        <v>5368</v>
      </c>
      <c r="C332" t="s">
        <v>9800</v>
      </c>
      <c r="D332" t="s">
        <v>10337</v>
      </c>
      <c r="E332" t="s">
        <v>9802</v>
      </c>
    </row>
    <row r="333" spans="1:5" hidden="1" x14ac:dyDescent="0.25">
      <c r="A333" t="s">
        <v>10338</v>
      </c>
      <c r="B333" t="s">
        <v>2582</v>
      </c>
      <c r="C333" t="s">
        <v>10102</v>
      </c>
      <c r="D333" t="s">
        <v>10339</v>
      </c>
      <c r="E333" t="s">
        <v>10104</v>
      </c>
    </row>
    <row r="334" spans="1:5" hidden="1" x14ac:dyDescent="0.25">
      <c r="A334" t="s">
        <v>10340</v>
      </c>
      <c r="B334" t="s">
        <v>2455</v>
      </c>
      <c r="C334" t="s">
        <v>9637</v>
      </c>
      <c r="D334" t="s">
        <v>10341</v>
      </c>
      <c r="E334" t="s">
        <v>9637</v>
      </c>
    </row>
    <row r="335" spans="1:5" hidden="1" x14ac:dyDescent="0.25">
      <c r="A335" t="s">
        <v>10342</v>
      </c>
      <c r="B335" t="s">
        <v>2734</v>
      </c>
      <c r="C335" t="s">
        <v>9898</v>
      </c>
      <c r="D335" t="s">
        <v>10343</v>
      </c>
      <c r="E335" t="s">
        <v>9900</v>
      </c>
    </row>
    <row r="336" spans="1:5" hidden="1" x14ac:dyDescent="0.25">
      <c r="A336" t="s">
        <v>10344</v>
      </c>
      <c r="B336" t="s">
        <v>2238</v>
      </c>
      <c r="C336" t="s">
        <v>9738</v>
      </c>
      <c r="D336" t="s">
        <v>10345</v>
      </c>
      <c r="E336" t="s">
        <v>9740</v>
      </c>
    </row>
    <row r="337" spans="1:5" hidden="1" x14ac:dyDescent="0.25">
      <c r="A337" t="s">
        <v>10346</v>
      </c>
      <c r="B337" t="s">
        <v>2710</v>
      </c>
      <c r="C337" t="s">
        <v>9738</v>
      </c>
      <c r="D337" t="s">
        <v>10347</v>
      </c>
      <c r="E337" t="s">
        <v>9740</v>
      </c>
    </row>
    <row r="338" spans="1:5" hidden="1" x14ac:dyDescent="0.25">
      <c r="A338" t="s">
        <v>10348</v>
      </c>
      <c r="B338" t="s">
        <v>2469</v>
      </c>
      <c r="C338" t="s">
        <v>9691</v>
      </c>
      <c r="D338" t="s">
        <v>10349</v>
      </c>
      <c r="E338" t="s">
        <v>9693</v>
      </c>
    </row>
    <row r="339" spans="1:5" hidden="1" x14ac:dyDescent="0.25">
      <c r="A339" t="s">
        <v>10350</v>
      </c>
      <c r="B339" t="s">
        <v>3052</v>
      </c>
      <c r="C339" t="s">
        <v>9691</v>
      </c>
      <c r="D339" t="s">
        <v>10351</v>
      </c>
      <c r="E339" t="s">
        <v>9693</v>
      </c>
    </row>
    <row r="340" spans="1:5" hidden="1" x14ac:dyDescent="0.25">
      <c r="A340" t="s">
        <v>10352</v>
      </c>
      <c r="B340" t="s">
        <v>2017</v>
      </c>
      <c r="C340" t="s">
        <v>9792</v>
      </c>
      <c r="D340" t="s">
        <v>10353</v>
      </c>
      <c r="E340" t="s">
        <v>9794</v>
      </c>
    </row>
    <row r="341" spans="1:5" hidden="1" x14ac:dyDescent="0.25">
      <c r="A341" t="s">
        <v>10354</v>
      </c>
      <c r="B341" t="s">
        <v>1989</v>
      </c>
      <c r="C341" t="s">
        <v>9992</v>
      </c>
      <c r="D341" t="s">
        <v>10355</v>
      </c>
      <c r="E341" t="s">
        <v>9994</v>
      </c>
    </row>
    <row r="342" spans="1:5" hidden="1" x14ac:dyDescent="0.25">
      <c r="A342" t="s">
        <v>10356</v>
      </c>
      <c r="B342" t="s">
        <v>2613</v>
      </c>
      <c r="C342" t="s">
        <v>9800</v>
      </c>
      <c r="D342" t="s">
        <v>10357</v>
      </c>
      <c r="E342" t="s">
        <v>9802</v>
      </c>
    </row>
    <row r="343" spans="1:5" hidden="1" x14ac:dyDescent="0.25">
      <c r="A343" t="s">
        <v>10358</v>
      </c>
      <c r="B343" t="s">
        <v>3307</v>
      </c>
      <c r="C343" t="s">
        <v>10257</v>
      </c>
      <c r="D343" t="s">
        <v>10359</v>
      </c>
      <c r="E343" t="s">
        <v>10259</v>
      </c>
    </row>
    <row r="344" spans="1:5" hidden="1" x14ac:dyDescent="0.25">
      <c r="A344" t="s">
        <v>10360</v>
      </c>
      <c r="B344" t="s">
        <v>2779</v>
      </c>
      <c r="C344" t="s">
        <v>9738</v>
      </c>
      <c r="D344" t="s">
        <v>10361</v>
      </c>
      <c r="E344" t="s">
        <v>9740</v>
      </c>
    </row>
    <row r="345" spans="1:5" hidden="1" x14ac:dyDescent="0.25">
      <c r="A345" t="s">
        <v>10362</v>
      </c>
      <c r="B345" t="s">
        <v>2318</v>
      </c>
      <c r="C345" t="s">
        <v>9629</v>
      </c>
      <c r="D345" t="s">
        <v>10363</v>
      </c>
      <c r="E345" t="s">
        <v>9631</v>
      </c>
    </row>
    <row r="346" spans="1:5" hidden="1" x14ac:dyDescent="0.25">
      <c r="A346" t="s">
        <v>10364</v>
      </c>
      <c r="B346" t="s">
        <v>3480</v>
      </c>
      <c r="C346" t="s">
        <v>9717</v>
      </c>
      <c r="D346" t="s">
        <v>10365</v>
      </c>
      <c r="E346" t="s">
        <v>9719</v>
      </c>
    </row>
    <row r="347" spans="1:5" hidden="1" x14ac:dyDescent="0.25">
      <c r="A347" t="s">
        <v>10366</v>
      </c>
      <c r="B347" t="s">
        <v>1920</v>
      </c>
      <c r="C347" t="s">
        <v>9792</v>
      </c>
      <c r="D347" t="s">
        <v>10367</v>
      </c>
      <c r="E347" t="s">
        <v>9794</v>
      </c>
    </row>
    <row r="348" spans="1:5" hidden="1" x14ac:dyDescent="0.25">
      <c r="A348" t="s">
        <v>10368</v>
      </c>
      <c r="B348" t="s">
        <v>2322</v>
      </c>
      <c r="C348" t="s">
        <v>9738</v>
      </c>
      <c r="D348" t="s">
        <v>10369</v>
      </c>
      <c r="E348" t="s">
        <v>9740</v>
      </c>
    </row>
    <row r="349" spans="1:5" hidden="1" x14ac:dyDescent="0.25">
      <c r="A349" t="s">
        <v>10370</v>
      </c>
      <c r="B349" t="s">
        <v>2502</v>
      </c>
      <c r="C349" t="s">
        <v>9748</v>
      </c>
      <c r="D349" t="s">
        <v>10371</v>
      </c>
      <c r="E349" t="s">
        <v>9750</v>
      </c>
    </row>
    <row r="350" spans="1:5" hidden="1" x14ac:dyDescent="0.25">
      <c r="A350" t="s">
        <v>10372</v>
      </c>
      <c r="B350" t="s">
        <v>2185</v>
      </c>
      <c r="C350" t="s">
        <v>9852</v>
      </c>
      <c r="D350" t="s">
        <v>10373</v>
      </c>
      <c r="E350" t="s">
        <v>9854</v>
      </c>
    </row>
    <row r="351" spans="1:5" hidden="1" x14ac:dyDescent="0.25">
      <c r="A351" t="s">
        <v>10374</v>
      </c>
      <c r="B351" t="s">
        <v>2400</v>
      </c>
      <c r="C351" t="s">
        <v>9738</v>
      </c>
      <c r="D351" t="s">
        <v>10375</v>
      </c>
      <c r="E351" t="s">
        <v>9740</v>
      </c>
    </row>
    <row r="352" spans="1:5" hidden="1" x14ac:dyDescent="0.25">
      <c r="A352" t="s">
        <v>10376</v>
      </c>
      <c r="B352" t="s">
        <v>2487</v>
      </c>
      <c r="C352" t="s">
        <v>9852</v>
      </c>
      <c r="D352" t="s">
        <v>10377</v>
      </c>
      <c r="E352" t="s">
        <v>9854</v>
      </c>
    </row>
    <row r="353" spans="1:5" hidden="1" x14ac:dyDescent="0.25">
      <c r="A353" t="s">
        <v>10378</v>
      </c>
      <c r="B353" t="s">
        <v>2610</v>
      </c>
      <c r="C353" t="s">
        <v>9621</v>
      </c>
      <c r="D353" t="s">
        <v>10379</v>
      </c>
      <c r="E353" t="s">
        <v>9623</v>
      </c>
    </row>
    <row r="354" spans="1:5" hidden="1" x14ac:dyDescent="0.25">
      <c r="A354" t="s">
        <v>10380</v>
      </c>
      <c r="B354" t="s">
        <v>2170</v>
      </c>
      <c r="C354" t="s">
        <v>9852</v>
      </c>
      <c r="D354" t="s">
        <v>10381</v>
      </c>
      <c r="E354" t="s">
        <v>9854</v>
      </c>
    </row>
    <row r="355" spans="1:5" hidden="1" x14ac:dyDescent="0.25">
      <c r="A355" t="s">
        <v>10382</v>
      </c>
      <c r="B355" t="s">
        <v>1567</v>
      </c>
      <c r="C355" t="s">
        <v>9675</v>
      </c>
      <c r="D355" t="s">
        <v>10383</v>
      </c>
      <c r="E355" t="s">
        <v>9677</v>
      </c>
    </row>
    <row r="356" spans="1:5" hidden="1" x14ac:dyDescent="0.25">
      <c r="A356" t="s">
        <v>10384</v>
      </c>
      <c r="B356" t="s">
        <v>2424</v>
      </c>
      <c r="C356" t="s">
        <v>9836</v>
      </c>
      <c r="D356" t="s">
        <v>10385</v>
      </c>
      <c r="E356" t="s">
        <v>9838</v>
      </c>
    </row>
    <row r="357" spans="1:5" hidden="1" x14ac:dyDescent="0.25">
      <c r="A357" t="s">
        <v>10386</v>
      </c>
      <c r="B357" t="s">
        <v>3604</v>
      </c>
      <c r="C357" t="s">
        <v>9800</v>
      </c>
      <c r="D357" t="s">
        <v>10387</v>
      </c>
      <c r="E357" t="s">
        <v>9802</v>
      </c>
    </row>
    <row r="358" spans="1:5" hidden="1" x14ac:dyDescent="0.25">
      <c r="A358" t="s">
        <v>10388</v>
      </c>
      <c r="B358" t="s">
        <v>2652</v>
      </c>
      <c r="C358" t="s">
        <v>9792</v>
      </c>
      <c r="D358" t="s">
        <v>10389</v>
      </c>
      <c r="E358" t="s">
        <v>9794</v>
      </c>
    </row>
    <row r="359" spans="1:5" hidden="1" x14ac:dyDescent="0.25">
      <c r="A359" t="s">
        <v>10390</v>
      </c>
      <c r="B359" t="s">
        <v>3403</v>
      </c>
      <c r="C359" t="s">
        <v>9748</v>
      </c>
      <c r="D359" t="s">
        <v>10391</v>
      </c>
      <c r="E359" t="s">
        <v>9750</v>
      </c>
    </row>
    <row r="360" spans="1:5" hidden="1" x14ac:dyDescent="0.25">
      <c r="A360" t="s">
        <v>10392</v>
      </c>
      <c r="B360" t="s">
        <v>2363</v>
      </c>
      <c r="C360" t="s">
        <v>9640</v>
      </c>
      <c r="D360" t="s">
        <v>10393</v>
      </c>
      <c r="E360" t="s">
        <v>9642</v>
      </c>
    </row>
    <row r="361" spans="1:5" hidden="1" x14ac:dyDescent="0.25">
      <c r="A361" t="s">
        <v>10394</v>
      </c>
      <c r="B361" t="s">
        <v>2291</v>
      </c>
      <c r="C361" t="s">
        <v>9792</v>
      </c>
      <c r="D361" t="s">
        <v>10395</v>
      </c>
      <c r="E361" t="s">
        <v>9794</v>
      </c>
    </row>
    <row r="362" spans="1:5" hidden="1" x14ac:dyDescent="0.25">
      <c r="A362" t="s">
        <v>10396</v>
      </c>
      <c r="B362" t="s">
        <v>3341</v>
      </c>
      <c r="C362" t="s">
        <v>9595</v>
      </c>
      <c r="D362" t="s">
        <v>10397</v>
      </c>
      <c r="E362" t="s">
        <v>9597</v>
      </c>
    </row>
    <row r="363" spans="1:5" hidden="1" x14ac:dyDescent="0.25">
      <c r="A363" t="s">
        <v>10398</v>
      </c>
      <c r="B363" t="s">
        <v>2739</v>
      </c>
      <c r="C363" t="s">
        <v>9637</v>
      </c>
      <c r="D363" t="s">
        <v>10399</v>
      </c>
      <c r="E363" t="s">
        <v>9637</v>
      </c>
    </row>
    <row r="364" spans="1:5" hidden="1" x14ac:dyDescent="0.25">
      <c r="A364" t="s">
        <v>10400</v>
      </c>
      <c r="B364" t="s">
        <v>4072</v>
      </c>
      <c r="C364" t="s">
        <v>9792</v>
      </c>
      <c r="D364" t="s">
        <v>10401</v>
      </c>
      <c r="E364" t="s">
        <v>9794</v>
      </c>
    </row>
    <row r="365" spans="1:5" hidden="1" x14ac:dyDescent="0.25">
      <c r="A365" t="s">
        <v>10402</v>
      </c>
      <c r="B365" t="s">
        <v>1432</v>
      </c>
      <c r="C365" t="s">
        <v>9856</v>
      </c>
      <c r="D365" t="s">
        <v>10403</v>
      </c>
      <c r="E365" t="s">
        <v>9858</v>
      </c>
    </row>
    <row r="366" spans="1:5" hidden="1" x14ac:dyDescent="0.25">
      <c r="A366" t="s">
        <v>10404</v>
      </c>
      <c r="B366" t="s">
        <v>3117</v>
      </c>
      <c r="C366" t="s">
        <v>9646</v>
      </c>
      <c r="D366" t="s">
        <v>10405</v>
      </c>
      <c r="E366" t="s">
        <v>9648</v>
      </c>
    </row>
    <row r="367" spans="1:5" hidden="1" x14ac:dyDescent="0.25">
      <c r="A367" t="s">
        <v>10406</v>
      </c>
      <c r="B367" t="s">
        <v>1716</v>
      </c>
      <c r="C367" t="s">
        <v>9640</v>
      </c>
      <c r="D367" t="s">
        <v>10407</v>
      </c>
      <c r="E367" t="s">
        <v>9642</v>
      </c>
    </row>
    <row r="368" spans="1:5" hidden="1" x14ac:dyDescent="0.25">
      <c r="A368" t="s">
        <v>10408</v>
      </c>
      <c r="B368" t="s">
        <v>2948</v>
      </c>
      <c r="C368" t="s">
        <v>9738</v>
      </c>
      <c r="D368" t="s">
        <v>10409</v>
      </c>
      <c r="E368" t="s">
        <v>9740</v>
      </c>
    </row>
    <row r="369" spans="1:5" hidden="1" x14ac:dyDescent="0.25">
      <c r="A369" t="s">
        <v>10410</v>
      </c>
      <c r="B369" t="s">
        <v>2566</v>
      </c>
      <c r="C369" t="s">
        <v>10190</v>
      </c>
      <c r="D369" t="s">
        <v>10411</v>
      </c>
      <c r="E369" t="s">
        <v>10192</v>
      </c>
    </row>
    <row r="370" spans="1:5" hidden="1" x14ac:dyDescent="0.25">
      <c r="A370" t="s">
        <v>10412</v>
      </c>
      <c r="B370" t="s">
        <v>4225</v>
      </c>
      <c r="C370" t="s">
        <v>9788</v>
      </c>
      <c r="D370" t="s">
        <v>10413</v>
      </c>
      <c r="E370" t="s">
        <v>9790</v>
      </c>
    </row>
    <row r="371" spans="1:5" hidden="1" x14ac:dyDescent="0.25">
      <c r="A371" t="s">
        <v>10414</v>
      </c>
      <c r="B371" t="s">
        <v>3020</v>
      </c>
      <c r="C371" t="s">
        <v>9646</v>
      </c>
      <c r="D371" t="s">
        <v>10415</v>
      </c>
      <c r="E371" t="s">
        <v>9648</v>
      </c>
    </row>
    <row r="372" spans="1:5" hidden="1" x14ac:dyDescent="0.25">
      <c r="A372" t="s">
        <v>10416</v>
      </c>
      <c r="B372" t="s">
        <v>3714</v>
      </c>
      <c r="C372" t="s">
        <v>9691</v>
      </c>
      <c r="D372" t="s">
        <v>10417</v>
      </c>
      <c r="E372" t="s">
        <v>9693</v>
      </c>
    </row>
    <row r="373" spans="1:5" hidden="1" x14ac:dyDescent="0.25">
      <c r="A373" t="s">
        <v>10418</v>
      </c>
      <c r="B373" t="s">
        <v>3746</v>
      </c>
      <c r="C373" t="s">
        <v>9792</v>
      </c>
      <c r="D373" t="s">
        <v>10419</v>
      </c>
      <c r="E373" t="s">
        <v>9794</v>
      </c>
    </row>
    <row r="374" spans="1:5" hidden="1" x14ac:dyDescent="0.25">
      <c r="A374" t="s">
        <v>10420</v>
      </c>
      <c r="B374" t="s">
        <v>2404</v>
      </c>
      <c r="C374" t="s">
        <v>9738</v>
      </c>
      <c r="D374" t="s">
        <v>10421</v>
      </c>
      <c r="E374" t="s">
        <v>9740</v>
      </c>
    </row>
    <row r="375" spans="1:5" hidden="1" x14ac:dyDescent="0.25">
      <c r="A375" t="s">
        <v>10422</v>
      </c>
      <c r="B375" t="s">
        <v>2463</v>
      </c>
      <c r="C375" t="s">
        <v>9640</v>
      </c>
      <c r="D375" t="s">
        <v>10423</v>
      </c>
      <c r="E375" t="s">
        <v>9642</v>
      </c>
    </row>
    <row r="376" spans="1:5" hidden="1" x14ac:dyDescent="0.25">
      <c r="A376" t="s">
        <v>10424</v>
      </c>
      <c r="B376" t="s">
        <v>3252</v>
      </c>
      <c r="C376" t="s">
        <v>9691</v>
      </c>
      <c r="D376" t="s">
        <v>10425</v>
      </c>
      <c r="E376" t="s">
        <v>9693</v>
      </c>
    </row>
    <row r="377" spans="1:5" hidden="1" x14ac:dyDescent="0.25">
      <c r="A377" t="s">
        <v>10426</v>
      </c>
      <c r="B377" t="s">
        <v>2145</v>
      </c>
      <c r="C377" t="s">
        <v>9675</v>
      </c>
      <c r="D377" t="s">
        <v>10427</v>
      </c>
      <c r="E377" t="s">
        <v>9677</v>
      </c>
    </row>
    <row r="378" spans="1:5" hidden="1" x14ac:dyDescent="0.25">
      <c r="A378" t="s">
        <v>10428</v>
      </c>
      <c r="B378" t="s">
        <v>3056</v>
      </c>
      <c r="C378" t="s">
        <v>9738</v>
      </c>
      <c r="D378" t="s">
        <v>10429</v>
      </c>
      <c r="E378" t="s">
        <v>9740</v>
      </c>
    </row>
    <row r="379" spans="1:5" hidden="1" x14ac:dyDescent="0.25">
      <c r="A379" t="s">
        <v>10430</v>
      </c>
      <c r="B379" t="s">
        <v>2275</v>
      </c>
      <c r="C379" t="s">
        <v>9792</v>
      </c>
      <c r="D379" t="s">
        <v>10431</v>
      </c>
      <c r="E379" t="s">
        <v>9794</v>
      </c>
    </row>
    <row r="380" spans="1:5" hidden="1" x14ac:dyDescent="0.25">
      <c r="A380" t="s">
        <v>10432</v>
      </c>
      <c r="B380" t="s">
        <v>2171</v>
      </c>
      <c r="C380" t="s">
        <v>9738</v>
      </c>
      <c r="D380" t="s">
        <v>10433</v>
      </c>
      <c r="E380" t="s">
        <v>9740</v>
      </c>
    </row>
    <row r="381" spans="1:5" hidden="1" x14ac:dyDescent="0.25">
      <c r="A381" t="s">
        <v>10434</v>
      </c>
      <c r="B381" t="s">
        <v>3247</v>
      </c>
      <c r="C381" t="s">
        <v>9820</v>
      </c>
      <c r="D381" t="s">
        <v>10435</v>
      </c>
      <c r="E381" t="s">
        <v>9822</v>
      </c>
    </row>
    <row r="382" spans="1:5" hidden="1" x14ac:dyDescent="0.25">
      <c r="A382" t="s">
        <v>10436</v>
      </c>
      <c r="B382" t="s">
        <v>3930</v>
      </c>
      <c r="C382" t="s">
        <v>10172</v>
      </c>
      <c r="D382" t="s">
        <v>10437</v>
      </c>
      <c r="E382" t="s">
        <v>10174</v>
      </c>
    </row>
    <row r="383" spans="1:5" hidden="1" x14ac:dyDescent="0.25">
      <c r="A383" t="s">
        <v>10438</v>
      </c>
      <c r="B383" t="s">
        <v>1425</v>
      </c>
      <c r="C383" t="s">
        <v>9748</v>
      </c>
      <c r="D383" t="s">
        <v>10439</v>
      </c>
      <c r="E383" t="s">
        <v>9750</v>
      </c>
    </row>
    <row r="384" spans="1:5" hidden="1" x14ac:dyDescent="0.25">
      <c r="A384" t="s">
        <v>10440</v>
      </c>
      <c r="B384" t="s">
        <v>2027</v>
      </c>
      <c r="C384" t="s">
        <v>9621</v>
      </c>
      <c r="D384" t="s">
        <v>10441</v>
      </c>
      <c r="E384" t="s">
        <v>9623</v>
      </c>
    </row>
    <row r="385" spans="1:5" hidden="1" x14ac:dyDescent="0.25">
      <c r="A385" t="s">
        <v>10442</v>
      </c>
      <c r="B385" t="s">
        <v>3573</v>
      </c>
      <c r="C385" t="s">
        <v>9595</v>
      </c>
      <c r="D385" t="s">
        <v>10443</v>
      </c>
      <c r="E385" t="s">
        <v>9597</v>
      </c>
    </row>
    <row r="386" spans="1:5" hidden="1" x14ac:dyDescent="0.25">
      <c r="A386" t="s">
        <v>10444</v>
      </c>
      <c r="B386" t="s">
        <v>3400</v>
      </c>
      <c r="C386" t="s">
        <v>10102</v>
      </c>
      <c r="D386" t="s">
        <v>10445</v>
      </c>
      <c r="E386" t="s">
        <v>10104</v>
      </c>
    </row>
    <row r="387" spans="1:5" hidden="1" x14ac:dyDescent="0.25">
      <c r="A387" t="s">
        <v>10446</v>
      </c>
      <c r="B387" t="s">
        <v>1514</v>
      </c>
      <c r="C387" t="s">
        <v>9856</v>
      </c>
      <c r="D387" t="s">
        <v>10447</v>
      </c>
      <c r="E387" t="s">
        <v>9858</v>
      </c>
    </row>
    <row r="388" spans="1:5" hidden="1" x14ac:dyDescent="0.25">
      <c r="A388" t="s">
        <v>10448</v>
      </c>
      <c r="B388" t="s">
        <v>1617</v>
      </c>
      <c r="C388" t="s">
        <v>9754</v>
      </c>
      <c r="D388" t="s">
        <v>10449</v>
      </c>
      <c r="E388" t="s">
        <v>9756</v>
      </c>
    </row>
    <row r="389" spans="1:5" hidden="1" x14ac:dyDescent="0.25">
      <c r="A389" t="s">
        <v>10450</v>
      </c>
      <c r="B389" t="s">
        <v>2474</v>
      </c>
      <c r="C389" t="s">
        <v>9738</v>
      </c>
      <c r="D389" t="s">
        <v>10451</v>
      </c>
      <c r="E389" t="s">
        <v>9740</v>
      </c>
    </row>
    <row r="390" spans="1:5" hidden="1" x14ac:dyDescent="0.25">
      <c r="A390" t="s">
        <v>10452</v>
      </c>
      <c r="B390" t="s">
        <v>3175</v>
      </c>
      <c r="C390" t="s">
        <v>9992</v>
      </c>
      <c r="D390" t="s">
        <v>10453</v>
      </c>
      <c r="E390" t="s">
        <v>9994</v>
      </c>
    </row>
    <row r="391" spans="1:5" hidden="1" x14ac:dyDescent="0.25">
      <c r="A391" t="s">
        <v>10454</v>
      </c>
      <c r="B391" t="s">
        <v>3330</v>
      </c>
      <c r="C391" t="s">
        <v>9774</v>
      </c>
      <c r="D391" t="s">
        <v>10455</v>
      </c>
      <c r="E391" t="s">
        <v>9776</v>
      </c>
    </row>
    <row r="392" spans="1:5" hidden="1" x14ac:dyDescent="0.25">
      <c r="A392" t="s">
        <v>10456</v>
      </c>
      <c r="B392" t="s">
        <v>2498</v>
      </c>
      <c r="C392" t="s">
        <v>9738</v>
      </c>
      <c r="D392" t="s">
        <v>10457</v>
      </c>
      <c r="E392" t="s">
        <v>9740</v>
      </c>
    </row>
    <row r="393" spans="1:5" hidden="1" x14ac:dyDescent="0.25">
      <c r="A393" t="s">
        <v>10458</v>
      </c>
      <c r="B393" t="s">
        <v>2937</v>
      </c>
      <c r="C393" t="s">
        <v>10323</v>
      </c>
      <c r="D393" t="s">
        <v>10459</v>
      </c>
      <c r="E393" t="s">
        <v>10325</v>
      </c>
    </row>
    <row r="394" spans="1:5" hidden="1" x14ac:dyDescent="0.25">
      <c r="A394" t="s">
        <v>10460</v>
      </c>
      <c r="B394" t="s">
        <v>2952</v>
      </c>
      <c r="C394" t="s">
        <v>9735</v>
      </c>
      <c r="D394" t="s">
        <v>10461</v>
      </c>
      <c r="E394" t="s">
        <v>9735</v>
      </c>
    </row>
    <row r="395" spans="1:5" hidden="1" x14ac:dyDescent="0.25">
      <c r="A395" t="s">
        <v>10462</v>
      </c>
      <c r="B395" t="s">
        <v>2667</v>
      </c>
      <c r="C395" t="s">
        <v>9646</v>
      </c>
      <c r="D395" t="s">
        <v>10463</v>
      </c>
      <c r="E395" t="s">
        <v>9648</v>
      </c>
    </row>
    <row r="396" spans="1:5" hidden="1" x14ac:dyDescent="0.25">
      <c r="A396" t="s">
        <v>10464</v>
      </c>
      <c r="B396" t="s">
        <v>3211</v>
      </c>
      <c r="C396" t="s">
        <v>9744</v>
      </c>
      <c r="D396" t="s">
        <v>10465</v>
      </c>
      <c r="E396" t="s">
        <v>9746</v>
      </c>
    </row>
    <row r="397" spans="1:5" hidden="1" x14ac:dyDescent="0.25">
      <c r="A397" t="s">
        <v>10466</v>
      </c>
      <c r="B397" t="s">
        <v>2393</v>
      </c>
      <c r="C397" t="s">
        <v>9852</v>
      </c>
      <c r="D397" t="s">
        <v>10467</v>
      </c>
      <c r="E397" t="s">
        <v>9854</v>
      </c>
    </row>
    <row r="398" spans="1:5" hidden="1" x14ac:dyDescent="0.25">
      <c r="A398" t="s">
        <v>10468</v>
      </c>
      <c r="B398" t="s">
        <v>3200</v>
      </c>
      <c r="C398" t="s">
        <v>9748</v>
      </c>
      <c r="D398" t="s">
        <v>10469</v>
      </c>
      <c r="E398" t="s">
        <v>9750</v>
      </c>
    </row>
    <row r="399" spans="1:5" hidden="1" x14ac:dyDescent="0.25">
      <c r="A399" t="s">
        <v>10470</v>
      </c>
      <c r="B399" t="s">
        <v>2278</v>
      </c>
      <c r="C399" t="s">
        <v>9792</v>
      </c>
      <c r="D399" t="s">
        <v>10471</v>
      </c>
      <c r="E399" t="s">
        <v>9794</v>
      </c>
    </row>
    <row r="400" spans="1:5" hidden="1" x14ac:dyDescent="0.25">
      <c r="A400" t="s">
        <v>10472</v>
      </c>
      <c r="B400" t="s">
        <v>2682</v>
      </c>
      <c r="C400" t="s">
        <v>9691</v>
      </c>
      <c r="D400" t="s">
        <v>10473</v>
      </c>
      <c r="E400" t="s">
        <v>9693</v>
      </c>
    </row>
    <row r="401" spans="1:5" hidden="1" x14ac:dyDescent="0.25">
      <c r="A401" t="s">
        <v>10474</v>
      </c>
      <c r="B401" t="s">
        <v>2513</v>
      </c>
      <c r="C401" t="s">
        <v>10134</v>
      </c>
      <c r="D401" t="s">
        <v>10475</v>
      </c>
      <c r="E401" t="s">
        <v>10136</v>
      </c>
    </row>
    <row r="402" spans="1:5" hidden="1" x14ac:dyDescent="0.25">
      <c r="A402" t="s">
        <v>10476</v>
      </c>
      <c r="B402" t="s">
        <v>1102</v>
      </c>
      <c r="C402" t="s">
        <v>9852</v>
      </c>
      <c r="D402" t="s">
        <v>10477</v>
      </c>
      <c r="E402" t="s">
        <v>9854</v>
      </c>
    </row>
    <row r="403" spans="1:5" hidden="1" x14ac:dyDescent="0.25">
      <c r="A403" t="s">
        <v>10478</v>
      </c>
      <c r="B403" t="s">
        <v>2052</v>
      </c>
      <c r="C403" t="s">
        <v>9800</v>
      </c>
      <c r="D403" t="s">
        <v>10479</v>
      </c>
      <c r="E403" t="s">
        <v>9802</v>
      </c>
    </row>
    <row r="404" spans="1:5" hidden="1" x14ac:dyDescent="0.25">
      <c r="A404" t="s">
        <v>10480</v>
      </c>
      <c r="B404" t="s">
        <v>3389</v>
      </c>
      <c r="C404" t="s">
        <v>9646</v>
      </c>
      <c r="D404" t="s">
        <v>10481</v>
      </c>
      <c r="E404" t="s">
        <v>9648</v>
      </c>
    </row>
    <row r="405" spans="1:5" hidden="1" x14ac:dyDescent="0.25">
      <c r="A405" t="s">
        <v>10482</v>
      </c>
      <c r="B405" t="s">
        <v>2793</v>
      </c>
      <c r="C405" t="s">
        <v>9629</v>
      </c>
      <c r="D405" t="s">
        <v>10483</v>
      </c>
      <c r="E405" t="s">
        <v>9631</v>
      </c>
    </row>
    <row r="406" spans="1:5" hidden="1" x14ac:dyDescent="0.25">
      <c r="A406" t="s">
        <v>10484</v>
      </c>
      <c r="B406" t="s">
        <v>3166</v>
      </c>
      <c r="C406" t="s">
        <v>9788</v>
      </c>
      <c r="D406" t="s">
        <v>10485</v>
      </c>
      <c r="E406" t="s">
        <v>9790</v>
      </c>
    </row>
    <row r="407" spans="1:5" hidden="1" x14ac:dyDescent="0.25">
      <c r="A407" t="s">
        <v>10486</v>
      </c>
      <c r="B407" t="s">
        <v>2296</v>
      </c>
      <c r="C407" t="s">
        <v>9675</v>
      </c>
      <c r="D407" t="s">
        <v>10487</v>
      </c>
      <c r="E407" t="s">
        <v>9677</v>
      </c>
    </row>
    <row r="408" spans="1:5" hidden="1" x14ac:dyDescent="0.25">
      <c r="A408" t="s">
        <v>10488</v>
      </c>
      <c r="B408" t="s">
        <v>3000</v>
      </c>
      <c r="C408" t="s">
        <v>9800</v>
      </c>
      <c r="D408" t="s">
        <v>10489</v>
      </c>
      <c r="E408" t="s">
        <v>9802</v>
      </c>
    </row>
    <row r="409" spans="1:5" hidden="1" x14ac:dyDescent="0.25">
      <c r="A409" t="s">
        <v>10490</v>
      </c>
      <c r="B409" t="s">
        <v>2897</v>
      </c>
      <c r="C409" t="s">
        <v>9748</v>
      </c>
      <c r="D409" t="s">
        <v>10491</v>
      </c>
      <c r="E409" t="s">
        <v>9750</v>
      </c>
    </row>
    <row r="410" spans="1:5" hidden="1" x14ac:dyDescent="0.25">
      <c r="A410" t="s">
        <v>10492</v>
      </c>
      <c r="B410" t="s">
        <v>2331</v>
      </c>
      <c r="C410" t="s">
        <v>9748</v>
      </c>
      <c r="D410" t="s">
        <v>10493</v>
      </c>
      <c r="E410" t="s">
        <v>9750</v>
      </c>
    </row>
    <row r="411" spans="1:5" hidden="1" x14ac:dyDescent="0.25">
      <c r="A411" t="s">
        <v>10494</v>
      </c>
      <c r="B411" t="s">
        <v>3474</v>
      </c>
      <c r="C411" t="s">
        <v>9595</v>
      </c>
      <c r="D411" t="s">
        <v>10495</v>
      </c>
      <c r="E411" t="s">
        <v>9597</v>
      </c>
    </row>
    <row r="412" spans="1:5" hidden="1" x14ac:dyDescent="0.25">
      <c r="A412" t="s">
        <v>10496</v>
      </c>
      <c r="B412" t="s">
        <v>2048</v>
      </c>
      <c r="C412" t="s">
        <v>9792</v>
      </c>
      <c r="D412" t="s">
        <v>10497</v>
      </c>
      <c r="E412" t="s">
        <v>9794</v>
      </c>
    </row>
    <row r="413" spans="1:5" hidden="1" x14ac:dyDescent="0.25">
      <c r="A413" t="s">
        <v>10498</v>
      </c>
      <c r="B413" t="s">
        <v>4033</v>
      </c>
      <c r="C413" t="s">
        <v>9856</v>
      </c>
      <c r="D413" t="s">
        <v>10499</v>
      </c>
      <c r="E413" t="s">
        <v>9858</v>
      </c>
    </row>
    <row r="414" spans="1:5" hidden="1" x14ac:dyDescent="0.25">
      <c r="A414" t="s">
        <v>10500</v>
      </c>
      <c r="B414" t="s">
        <v>3003</v>
      </c>
      <c r="C414" t="s">
        <v>9738</v>
      </c>
      <c r="D414" t="s">
        <v>10501</v>
      </c>
      <c r="E414" t="s">
        <v>9740</v>
      </c>
    </row>
    <row r="415" spans="1:5" hidden="1" x14ac:dyDescent="0.25">
      <c r="A415" t="s">
        <v>10502</v>
      </c>
      <c r="B415" t="s">
        <v>1993</v>
      </c>
      <c r="C415" t="s">
        <v>9646</v>
      </c>
      <c r="D415" t="s">
        <v>10503</v>
      </c>
      <c r="E415" t="s">
        <v>9648</v>
      </c>
    </row>
    <row r="416" spans="1:5" hidden="1" x14ac:dyDescent="0.25">
      <c r="A416" t="s">
        <v>10504</v>
      </c>
      <c r="B416" t="s">
        <v>2989</v>
      </c>
      <c r="C416" t="s">
        <v>9640</v>
      </c>
      <c r="D416" t="s">
        <v>10505</v>
      </c>
      <c r="E416" t="s">
        <v>9642</v>
      </c>
    </row>
    <row r="417" spans="1:5" hidden="1" x14ac:dyDescent="0.25">
      <c r="A417" t="s">
        <v>10506</v>
      </c>
      <c r="B417" t="s">
        <v>2805</v>
      </c>
      <c r="C417" t="s">
        <v>9748</v>
      </c>
      <c r="D417" t="s">
        <v>10507</v>
      </c>
      <c r="E417" t="s">
        <v>9750</v>
      </c>
    </row>
    <row r="418" spans="1:5" hidden="1" x14ac:dyDescent="0.25">
      <c r="A418" t="s">
        <v>10508</v>
      </c>
      <c r="B418" t="s">
        <v>2420</v>
      </c>
      <c r="C418" t="s">
        <v>9754</v>
      </c>
      <c r="D418" t="s">
        <v>10509</v>
      </c>
      <c r="E418" t="s">
        <v>9756</v>
      </c>
    </row>
    <row r="419" spans="1:5" hidden="1" x14ac:dyDescent="0.25">
      <c r="A419" t="s">
        <v>10510</v>
      </c>
      <c r="B419" t="s">
        <v>3664</v>
      </c>
      <c r="C419" t="s">
        <v>9884</v>
      </c>
      <c r="D419" t="s">
        <v>10511</v>
      </c>
      <c r="E419" t="s">
        <v>9886</v>
      </c>
    </row>
    <row r="420" spans="1:5" hidden="1" x14ac:dyDescent="0.25">
      <c r="A420" t="s">
        <v>10512</v>
      </c>
      <c r="B420" t="s">
        <v>2093</v>
      </c>
      <c r="C420" t="s">
        <v>9669</v>
      </c>
      <c r="D420" t="s">
        <v>10513</v>
      </c>
      <c r="E420" t="s">
        <v>9671</v>
      </c>
    </row>
    <row r="421" spans="1:5" hidden="1" x14ac:dyDescent="0.25">
      <c r="A421" t="s">
        <v>10514</v>
      </c>
      <c r="B421" t="s">
        <v>3909</v>
      </c>
      <c r="C421" t="s">
        <v>9738</v>
      </c>
      <c r="D421" t="s">
        <v>10515</v>
      </c>
      <c r="E421" t="s">
        <v>9740</v>
      </c>
    </row>
    <row r="422" spans="1:5" hidden="1" x14ac:dyDescent="0.25">
      <c r="A422" t="s">
        <v>10516</v>
      </c>
      <c r="B422" t="s">
        <v>3759</v>
      </c>
      <c r="C422" t="s">
        <v>10024</v>
      </c>
      <c r="D422" t="s">
        <v>10517</v>
      </c>
      <c r="E422" t="s">
        <v>10026</v>
      </c>
    </row>
    <row r="423" spans="1:5" hidden="1" x14ac:dyDescent="0.25">
      <c r="A423" t="s">
        <v>10518</v>
      </c>
      <c r="B423" t="s">
        <v>2858</v>
      </c>
      <c r="C423" t="s">
        <v>9738</v>
      </c>
      <c r="D423" t="s">
        <v>10519</v>
      </c>
      <c r="E423" t="s">
        <v>9740</v>
      </c>
    </row>
    <row r="424" spans="1:5" hidden="1" x14ac:dyDescent="0.25">
      <c r="A424" t="s">
        <v>10520</v>
      </c>
      <c r="B424" t="s">
        <v>2914</v>
      </c>
      <c r="C424" t="s">
        <v>10172</v>
      </c>
      <c r="D424" t="s">
        <v>10521</v>
      </c>
      <c r="E424" t="s">
        <v>10174</v>
      </c>
    </row>
    <row r="425" spans="1:5" hidden="1" x14ac:dyDescent="0.25">
      <c r="A425" t="s">
        <v>10522</v>
      </c>
      <c r="B425" t="s">
        <v>3129</v>
      </c>
      <c r="C425" t="s">
        <v>9640</v>
      </c>
      <c r="D425" t="s">
        <v>10523</v>
      </c>
      <c r="E425" t="s">
        <v>9642</v>
      </c>
    </row>
    <row r="426" spans="1:5" hidden="1" x14ac:dyDescent="0.25">
      <c r="A426" t="s">
        <v>10524</v>
      </c>
      <c r="B426" t="s">
        <v>2573</v>
      </c>
      <c r="C426" t="s">
        <v>9748</v>
      </c>
      <c r="D426" t="s">
        <v>10525</v>
      </c>
      <c r="E426" t="s">
        <v>9750</v>
      </c>
    </row>
    <row r="427" spans="1:5" hidden="1" x14ac:dyDescent="0.25">
      <c r="A427" t="s">
        <v>10526</v>
      </c>
      <c r="B427" t="s">
        <v>3232</v>
      </c>
      <c r="C427" t="s">
        <v>9800</v>
      </c>
      <c r="D427" t="s">
        <v>10527</v>
      </c>
      <c r="E427" t="s">
        <v>9802</v>
      </c>
    </row>
    <row r="428" spans="1:5" hidden="1" x14ac:dyDescent="0.25">
      <c r="A428" t="s">
        <v>10528</v>
      </c>
      <c r="B428" t="s">
        <v>4010</v>
      </c>
      <c r="C428" t="s">
        <v>9800</v>
      </c>
      <c r="D428" t="s">
        <v>10529</v>
      </c>
      <c r="E428" t="s">
        <v>9802</v>
      </c>
    </row>
    <row r="429" spans="1:5" hidden="1" x14ac:dyDescent="0.25">
      <c r="A429" t="s">
        <v>10530</v>
      </c>
      <c r="B429" t="s">
        <v>3870</v>
      </c>
      <c r="C429" t="s">
        <v>9800</v>
      </c>
      <c r="D429" t="s">
        <v>10531</v>
      </c>
      <c r="E429" t="s">
        <v>9802</v>
      </c>
    </row>
    <row r="430" spans="1:5" hidden="1" x14ac:dyDescent="0.25">
      <c r="A430" t="s">
        <v>10533</v>
      </c>
      <c r="B430" t="s">
        <v>3088</v>
      </c>
      <c r="C430" t="s">
        <v>9788</v>
      </c>
      <c r="D430" t="s">
        <v>10534</v>
      </c>
      <c r="E430" t="s">
        <v>9790</v>
      </c>
    </row>
    <row r="431" spans="1:5" hidden="1" x14ac:dyDescent="0.25">
      <c r="A431" t="s">
        <v>10535</v>
      </c>
      <c r="B431" t="s">
        <v>3809</v>
      </c>
      <c r="C431" t="s">
        <v>9788</v>
      </c>
      <c r="D431" t="s">
        <v>10536</v>
      </c>
      <c r="E431" t="s">
        <v>9790</v>
      </c>
    </row>
    <row r="432" spans="1:5" hidden="1" x14ac:dyDescent="0.25">
      <c r="A432" t="s">
        <v>10537</v>
      </c>
      <c r="B432" t="s">
        <v>2929</v>
      </c>
      <c r="C432" t="s">
        <v>9717</v>
      </c>
      <c r="D432" t="s">
        <v>10538</v>
      </c>
      <c r="E432" t="s">
        <v>9719</v>
      </c>
    </row>
    <row r="433" spans="1:5" hidden="1" x14ac:dyDescent="0.25">
      <c r="A433" t="s">
        <v>10539</v>
      </c>
      <c r="B433" t="s">
        <v>3178</v>
      </c>
      <c r="C433" t="s">
        <v>9637</v>
      </c>
      <c r="D433" t="s">
        <v>10540</v>
      </c>
      <c r="E433" t="s">
        <v>9637</v>
      </c>
    </row>
    <row r="434" spans="1:5" hidden="1" x14ac:dyDescent="0.25">
      <c r="A434" t="s">
        <v>10541</v>
      </c>
      <c r="B434" t="s">
        <v>2729</v>
      </c>
      <c r="C434" t="s">
        <v>9723</v>
      </c>
      <c r="D434" t="s">
        <v>10542</v>
      </c>
      <c r="E434" t="s">
        <v>9725</v>
      </c>
    </row>
    <row r="435" spans="1:5" hidden="1" x14ac:dyDescent="0.25">
      <c r="A435" t="s">
        <v>10543</v>
      </c>
      <c r="B435" t="s">
        <v>3991</v>
      </c>
      <c r="C435" t="s">
        <v>10102</v>
      </c>
      <c r="D435" t="s">
        <v>10544</v>
      </c>
      <c r="E435" t="s">
        <v>10104</v>
      </c>
    </row>
    <row r="436" spans="1:5" hidden="1" x14ac:dyDescent="0.25">
      <c r="A436" t="s">
        <v>10545</v>
      </c>
      <c r="B436" t="s">
        <v>2722</v>
      </c>
      <c r="C436" t="s">
        <v>9691</v>
      </c>
      <c r="D436" t="s">
        <v>10546</v>
      </c>
      <c r="E436" t="s">
        <v>9693</v>
      </c>
    </row>
    <row r="437" spans="1:5" hidden="1" x14ac:dyDescent="0.25">
      <c r="A437" t="s">
        <v>10547</v>
      </c>
      <c r="B437" t="s">
        <v>2367</v>
      </c>
      <c r="C437" t="s">
        <v>9774</v>
      </c>
      <c r="D437" t="s">
        <v>10548</v>
      </c>
      <c r="E437" t="s">
        <v>9776</v>
      </c>
    </row>
    <row r="438" spans="1:5" hidden="1" x14ac:dyDescent="0.25">
      <c r="A438" t="s">
        <v>10549</v>
      </c>
      <c r="B438" t="s">
        <v>3099</v>
      </c>
      <c r="C438" t="s">
        <v>9788</v>
      </c>
      <c r="D438" t="s">
        <v>10550</v>
      </c>
      <c r="E438" t="s">
        <v>9790</v>
      </c>
    </row>
    <row r="439" spans="1:5" hidden="1" x14ac:dyDescent="0.25">
      <c r="A439" t="s">
        <v>10551</v>
      </c>
      <c r="B439" t="s">
        <v>3291</v>
      </c>
      <c r="C439" t="s">
        <v>9640</v>
      </c>
      <c r="D439" t="s">
        <v>10552</v>
      </c>
      <c r="E439" t="s">
        <v>9642</v>
      </c>
    </row>
    <row r="440" spans="1:5" hidden="1" x14ac:dyDescent="0.25">
      <c r="A440" t="s">
        <v>10553</v>
      </c>
      <c r="B440" t="s">
        <v>3301</v>
      </c>
      <c r="C440" t="s">
        <v>9640</v>
      </c>
      <c r="D440" t="s">
        <v>10554</v>
      </c>
      <c r="E440" t="s">
        <v>9642</v>
      </c>
    </row>
    <row r="441" spans="1:5" hidden="1" x14ac:dyDescent="0.25">
      <c r="A441" t="s">
        <v>10555</v>
      </c>
      <c r="B441" t="s">
        <v>1926</v>
      </c>
      <c r="C441" t="s">
        <v>9852</v>
      </c>
      <c r="D441" t="s">
        <v>10556</v>
      </c>
      <c r="E441" t="s">
        <v>9854</v>
      </c>
    </row>
    <row r="442" spans="1:5" hidden="1" x14ac:dyDescent="0.25">
      <c r="A442" t="s">
        <v>10557</v>
      </c>
      <c r="B442" t="s">
        <v>10558</v>
      </c>
      <c r="C442" t="s">
        <v>9848</v>
      </c>
      <c r="D442" t="s">
        <v>10559</v>
      </c>
      <c r="E442" t="s">
        <v>9850</v>
      </c>
    </row>
    <row r="443" spans="1:5" hidden="1" x14ac:dyDescent="0.25">
      <c r="A443" t="s">
        <v>10560</v>
      </c>
      <c r="B443" t="s">
        <v>3152</v>
      </c>
      <c r="C443" t="s">
        <v>9669</v>
      </c>
      <c r="D443" t="s">
        <v>10561</v>
      </c>
      <c r="E443" t="s">
        <v>9671</v>
      </c>
    </row>
    <row r="444" spans="1:5" hidden="1" x14ac:dyDescent="0.25">
      <c r="A444" t="s">
        <v>10562</v>
      </c>
      <c r="B444" t="s">
        <v>2196</v>
      </c>
      <c r="C444" t="s">
        <v>9848</v>
      </c>
      <c r="D444" t="s">
        <v>10563</v>
      </c>
      <c r="E444" t="s">
        <v>9850</v>
      </c>
    </row>
    <row r="445" spans="1:5" hidden="1" x14ac:dyDescent="0.25">
      <c r="A445" t="s">
        <v>10564</v>
      </c>
      <c r="B445" t="s">
        <v>2783</v>
      </c>
      <c r="C445" t="s">
        <v>9748</v>
      </c>
      <c r="D445" t="s">
        <v>10565</v>
      </c>
      <c r="E445" t="s">
        <v>9750</v>
      </c>
    </row>
    <row r="446" spans="1:5" hidden="1" x14ac:dyDescent="0.25">
      <c r="A446" t="s">
        <v>10566</v>
      </c>
      <c r="B446" t="s">
        <v>2958</v>
      </c>
      <c r="C446" t="s">
        <v>9599</v>
      </c>
      <c r="D446" t="s">
        <v>10567</v>
      </c>
      <c r="E446" t="s">
        <v>9601</v>
      </c>
    </row>
    <row r="447" spans="1:5" hidden="1" x14ac:dyDescent="0.25">
      <c r="A447" t="s">
        <v>10568</v>
      </c>
      <c r="B447" t="s">
        <v>3489</v>
      </c>
      <c r="C447" t="s">
        <v>9856</v>
      </c>
      <c r="D447" t="s">
        <v>10569</v>
      </c>
      <c r="E447" t="s">
        <v>9858</v>
      </c>
    </row>
    <row r="448" spans="1:5" hidden="1" x14ac:dyDescent="0.25">
      <c r="A448" t="s">
        <v>10570</v>
      </c>
      <c r="B448" t="s">
        <v>3560</v>
      </c>
      <c r="C448" t="s">
        <v>9782</v>
      </c>
      <c r="D448" t="s">
        <v>10571</v>
      </c>
      <c r="E448" t="s">
        <v>9784</v>
      </c>
    </row>
    <row r="449" spans="1:5" hidden="1" x14ac:dyDescent="0.25">
      <c r="A449" t="s">
        <v>10572</v>
      </c>
      <c r="B449" t="s">
        <v>3372</v>
      </c>
      <c r="C449" t="s">
        <v>9621</v>
      </c>
      <c r="D449" t="s">
        <v>10573</v>
      </c>
      <c r="E449" t="s">
        <v>9623</v>
      </c>
    </row>
    <row r="450" spans="1:5" hidden="1" x14ac:dyDescent="0.25">
      <c r="A450" t="s">
        <v>10574</v>
      </c>
      <c r="B450" t="s">
        <v>2884</v>
      </c>
      <c r="C450" t="s">
        <v>9774</v>
      </c>
      <c r="D450" t="s">
        <v>10575</v>
      </c>
      <c r="E450" t="s">
        <v>9776</v>
      </c>
    </row>
    <row r="451" spans="1:5" hidden="1" x14ac:dyDescent="0.25">
      <c r="A451" t="s">
        <v>10576</v>
      </c>
      <c r="B451" t="s">
        <v>3629</v>
      </c>
      <c r="C451" t="s">
        <v>9856</v>
      </c>
      <c r="D451" t="s">
        <v>10577</v>
      </c>
      <c r="E451" t="s">
        <v>9858</v>
      </c>
    </row>
    <row r="452" spans="1:5" hidden="1" x14ac:dyDescent="0.25">
      <c r="A452" t="s">
        <v>10578</v>
      </c>
      <c r="B452" t="s">
        <v>3308</v>
      </c>
      <c r="C452" t="s">
        <v>9691</v>
      </c>
      <c r="D452" t="s">
        <v>10579</v>
      </c>
      <c r="E452" t="s">
        <v>9693</v>
      </c>
    </row>
    <row r="453" spans="1:5" hidden="1" x14ac:dyDescent="0.25">
      <c r="A453" t="s">
        <v>10580</v>
      </c>
      <c r="B453" t="s">
        <v>2975</v>
      </c>
      <c r="C453" t="s">
        <v>9792</v>
      </c>
      <c r="D453" t="s">
        <v>10581</v>
      </c>
      <c r="E453" t="s">
        <v>9794</v>
      </c>
    </row>
    <row r="454" spans="1:5" hidden="1" x14ac:dyDescent="0.25">
      <c r="A454" t="s">
        <v>10582</v>
      </c>
      <c r="B454" t="s">
        <v>3079</v>
      </c>
      <c r="C454" t="s">
        <v>9792</v>
      </c>
      <c r="D454" t="s">
        <v>10583</v>
      </c>
      <c r="E454" t="s">
        <v>9794</v>
      </c>
    </row>
    <row r="455" spans="1:5" hidden="1" x14ac:dyDescent="0.25">
      <c r="A455" t="s">
        <v>10584</v>
      </c>
      <c r="B455" t="s">
        <v>2946</v>
      </c>
      <c r="C455" t="s">
        <v>9800</v>
      </c>
      <c r="D455" t="s">
        <v>10585</v>
      </c>
      <c r="E455" t="s">
        <v>9802</v>
      </c>
    </row>
    <row r="456" spans="1:5" hidden="1" x14ac:dyDescent="0.25">
      <c r="A456" t="s">
        <v>10586</v>
      </c>
      <c r="B456" t="s">
        <v>3609</v>
      </c>
      <c r="C456" t="s">
        <v>9691</v>
      </c>
      <c r="D456" t="s">
        <v>10587</v>
      </c>
      <c r="E456" t="s">
        <v>9693</v>
      </c>
    </row>
    <row r="457" spans="1:5" hidden="1" x14ac:dyDescent="0.25">
      <c r="A457" t="s">
        <v>10588</v>
      </c>
      <c r="B457" t="s">
        <v>2556</v>
      </c>
      <c r="C457" t="s">
        <v>10090</v>
      </c>
      <c r="D457" t="s">
        <v>10589</v>
      </c>
      <c r="E457" t="s">
        <v>10092</v>
      </c>
    </row>
    <row r="458" spans="1:5" hidden="1" x14ac:dyDescent="0.25">
      <c r="A458" t="s">
        <v>10590</v>
      </c>
      <c r="B458" t="s">
        <v>2941</v>
      </c>
      <c r="C458" t="s">
        <v>9748</v>
      </c>
      <c r="D458" t="s">
        <v>10591</v>
      </c>
      <c r="E458" t="s">
        <v>9750</v>
      </c>
    </row>
    <row r="459" spans="1:5" hidden="1" x14ac:dyDescent="0.25">
      <c r="A459" t="s">
        <v>10592</v>
      </c>
      <c r="B459" t="s">
        <v>2311</v>
      </c>
      <c r="C459" t="s">
        <v>9681</v>
      </c>
      <c r="D459" t="s">
        <v>10331</v>
      </c>
      <c r="E459" t="s">
        <v>9683</v>
      </c>
    </row>
    <row r="460" spans="1:5" hidden="1" x14ac:dyDescent="0.25">
      <c r="A460" t="s">
        <v>10593</v>
      </c>
      <c r="B460" t="s">
        <v>2300</v>
      </c>
      <c r="C460" t="s">
        <v>9884</v>
      </c>
      <c r="D460" t="s">
        <v>10594</v>
      </c>
      <c r="E460" t="s">
        <v>9886</v>
      </c>
    </row>
    <row r="461" spans="1:5" hidden="1" x14ac:dyDescent="0.25">
      <c r="A461" t="s">
        <v>10595</v>
      </c>
      <c r="B461" t="s">
        <v>3034</v>
      </c>
      <c r="C461" t="s">
        <v>9792</v>
      </c>
      <c r="D461" t="s">
        <v>10596</v>
      </c>
      <c r="E461" t="s">
        <v>9794</v>
      </c>
    </row>
    <row r="462" spans="1:5" hidden="1" x14ac:dyDescent="0.25">
      <c r="A462" t="s">
        <v>10597</v>
      </c>
      <c r="B462" t="s">
        <v>3138</v>
      </c>
      <c r="C462" t="s">
        <v>9748</v>
      </c>
      <c r="D462" t="s">
        <v>10598</v>
      </c>
      <c r="E462" t="s">
        <v>9750</v>
      </c>
    </row>
    <row r="463" spans="1:5" hidden="1" x14ac:dyDescent="0.25">
      <c r="A463" t="s">
        <v>10599</v>
      </c>
      <c r="B463" t="s">
        <v>2010</v>
      </c>
      <c r="C463" t="s">
        <v>9774</v>
      </c>
      <c r="D463" t="s">
        <v>10600</v>
      </c>
      <c r="E463" t="s">
        <v>9776</v>
      </c>
    </row>
    <row r="464" spans="1:5" hidden="1" x14ac:dyDescent="0.25">
      <c r="A464" t="s">
        <v>10601</v>
      </c>
      <c r="B464" t="s">
        <v>3954</v>
      </c>
      <c r="C464" t="s">
        <v>9856</v>
      </c>
      <c r="D464" t="s">
        <v>10602</v>
      </c>
      <c r="E464" t="s">
        <v>9858</v>
      </c>
    </row>
    <row r="465" spans="1:5" hidden="1" x14ac:dyDescent="0.25">
      <c r="A465" t="s">
        <v>10603</v>
      </c>
      <c r="B465" t="s">
        <v>2483</v>
      </c>
      <c r="C465" t="s">
        <v>9738</v>
      </c>
      <c r="D465" t="s">
        <v>9738</v>
      </c>
      <c r="E465" t="s">
        <v>9740</v>
      </c>
    </row>
    <row r="466" spans="1:5" hidden="1" x14ac:dyDescent="0.25">
      <c r="A466" t="s">
        <v>10604</v>
      </c>
      <c r="B466" t="s">
        <v>3218</v>
      </c>
      <c r="C466" t="s">
        <v>9640</v>
      </c>
      <c r="D466" t="s">
        <v>10605</v>
      </c>
      <c r="E466" t="s">
        <v>9642</v>
      </c>
    </row>
    <row r="467" spans="1:5" hidden="1" x14ac:dyDescent="0.25">
      <c r="A467" t="s">
        <v>10606</v>
      </c>
      <c r="B467" t="s">
        <v>3384</v>
      </c>
      <c r="C467" t="s">
        <v>9599</v>
      </c>
      <c r="D467" t="s">
        <v>10607</v>
      </c>
      <c r="E467" t="s">
        <v>9601</v>
      </c>
    </row>
    <row r="468" spans="1:5" hidden="1" x14ac:dyDescent="0.25">
      <c r="A468" t="s">
        <v>10608</v>
      </c>
      <c r="B468" t="s">
        <v>2868</v>
      </c>
      <c r="C468" t="s">
        <v>9654</v>
      </c>
      <c r="D468" t="s">
        <v>10609</v>
      </c>
      <c r="E468" t="s">
        <v>9656</v>
      </c>
    </row>
    <row r="469" spans="1:5" hidden="1" x14ac:dyDescent="0.25">
      <c r="A469" t="s">
        <v>10610</v>
      </c>
      <c r="B469" t="s">
        <v>3434</v>
      </c>
      <c r="C469" t="s">
        <v>9738</v>
      </c>
      <c r="D469" t="s">
        <v>10611</v>
      </c>
      <c r="E469" t="s">
        <v>9740</v>
      </c>
    </row>
    <row r="470" spans="1:5" hidden="1" x14ac:dyDescent="0.25">
      <c r="A470" t="s">
        <v>10612</v>
      </c>
      <c r="B470" t="s">
        <v>2982</v>
      </c>
      <c r="C470" t="s">
        <v>10613</v>
      </c>
      <c r="D470" t="s">
        <v>10614</v>
      </c>
      <c r="E470" t="s">
        <v>10615</v>
      </c>
    </row>
    <row r="471" spans="1:5" hidden="1" x14ac:dyDescent="0.25">
      <c r="A471" t="s">
        <v>10616</v>
      </c>
      <c r="B471" t="s">
        <v>3627</v>
      </c>
      <c r="C471" t="s">
        <v>9738</v>
      </c>
      <c r="D471" t="s">
        <v>10617</v>
      </c>
      <c r="E471" t="s">
        <v>9740</v>
      </c>
    </row>
    <row r="472" spans="1:5" hidden="1" x14ac:dyDescent="0.25">
      <c r="A472" t="s">
        <v>10618</v>
      </c>
      <c r="B472" t="s">
        <v>2326</v>
      </c>
      <c r="C472" t="s">
        <v>9640</v>
      </c>
      <c r="D472" t="s">
        <v>10619</v>
      </c>
      <c r="E472" t="s">
        <v>9642</v>
      </c>
    </row>
    <row r="473" spans="1:5" hidden="1" x14ac:dyDescent="0.25">
      <c r="A473" t="s">
        <v>10620</v>
      </c>
      <c r="B473" t="s">
        <v>2997</v>
      </c>
      <c r="C473" t="s">
        <v>9972</v>
      </c>
      <c r="D473" t="s">
        <v>10621</v>
      </c>
      <c r="E473" t="s">
        <v>9974</v>
      </c>
    </row>
    <row r="474" spans="1:5" hidden="1" x14ac:dyDescent="0.25">
      <c r="A474" t="s">
        <v>10622</v>
      </c>
      <c r="B474" t="s">
        <v>2507</v>
      </c>
      <c r="C474" t="s">
        <v>9640</v>
      </c>
      <c r="D474" t="s">
        <v>10623</v>
      </c>
      <c r="E474" t="s">
        <v>9642</v>
      </c>
    </row>
    <row r="475" spans="1:5" hidden="1" x14ac:dyDescent="0.25">
      <c r="A475" t="s">
        <v>10624</v>
      </c>
      <c r="B475" t="s">
        <v>4064</v>
      </c>
      <c r="C475" t="s">
        <v>9681</v>
      </c>
      <c r="D475" t="s">
        <v>10625</v>
      </c>
      <c r="E475" t="s">
        <v>9683</v>
      </c>
    </row>
    <row r="476" spans="1:5" hidden="1" x14ac:dyDescent="0.25">
      <c r="A476" t="s">
        <v>10626</v>
      </c>
      <c r="B476" t="s">
        <v>2956</v>
      </c>
      <c r="C476" t="s">
        <v>9848</v>
      </c>
      <c r="D476" t="s">
        <v>10627</v>
      </c>
      <c r="E476" t="s">
        <v>9850</v>
      </c>
    </row>
    <row r="477" spans="1:5" hidden="1" x14ac:dyDescent="0.25">
      <c r="A477" t="s">
        <v>10628</v>
      </c>
      <c r="B477" t="s">
        <v>4177</v>
      </c>
      <c r="C477" t="s">
        <v>9744</v>
      </c>
      <c r="D477" t="s">
        <v>10629</v>
      </c>
      <c r="E477" t="s">
        <v>9746</v>
      </c>
    </row>
    <row r="478" spans="1:5" hidden="1" x14ac:dyDescent="0.25">
      <c r="A478" t="s">
        <v>10630</v>
      </c>
      <c r="B478" t="s">
        <v>2638</v>
      </c>
      <c r="C478" t="s">
        <v>9691</v>
      </c>
      <c r="D478" t="s">
        <v>10631</v>
      </c>
      <c r="E478" t="s">
        <v>9693</v>
      </c>
    </row>
    <row r="479" spans="1:5" hidden="1" x14ac:dyDescent="0.25">
      <c r="A479" t="s">
        <v>10632</v>
      </c>
      <c r="B479" t="s">
        <v>4077</v>
      </c>
      <c r="C479" t="s">
        <v>9884</v>
      </c>
      <c r="D479" t="s">
        <v>10633</v>
      </c>
      <c r="E479" t="s">
        <v>9886</v>
      </c>
    </row>
    <row r="480" spans="1:5" hidden="1" x14ac:dyDescent="0.25">
      <c r="A480" t="s">
        <v>10634</v>
      </c>
      <c r="B480" t="s">
        <v>3598</v>
      </c>
      <c r="C480" t="s">
        <v>9691</v>
      </c>
      <c r="D480" t="s">
        <v>10635</v>
      </c>
      <c r="E480" t="s">
        <v>9693</v>
      </c>
    </row>
    <row r="481" spans="1:5" hidden="1" x14ac:dyDescent="0.25">
      <c r="A481" t="s">
        <v>10636</v>
      </c>
      <c r="B481" t="s">
        <v>3556</v>
      </c>
      <c r="C481" t="s">
        <v>9788</v>
      </c>
      <c r="D481" t="s">
        <v>10637</v>
      </c>
      <c r="E481" t="s">
        <v>9790</v>
      </c>
    </row>
    <row r="482" spans="1:5" hidden="1" x14ac:dyDescent="0.25">
      <c r="A482" t="s">
        <v>10638</v>
      </c>
      <c r="B482" t="s">
        <v>3723</v>
      </c>
      <c r="C482" t="s">
        <v>9848</v>
      </c>
      <c r="D482" t="s">
        <v>10639</v>
      </c>
      <c r="E482" t="s">
        <v>9850</v>
      </c>
    </row>
    <row r="483" spans="1:5" hidden="1" x14ac:dyDescent="0.25">
      <c r="A483" t="s">
        <v>10640</v>
      </c>
      <c r="B483" t="s">
        <v>2801</v>
      </c>
      <c r="C483" t="s">
        <v>9748</v>
      </c>
      <c r="D483" t="s">
        <v>10641</v>
      </c>
      <c r="E483" t="s">
        <v>9750</v>
      </c>
    </row>
    <row r="484" spans="1:5" hidden="1" x14ac:dyDescent="0.25">
      <c r="A484" t="s">
        <v>10642</v>
      </c>
      <c r="B484" t="s">
        <v>2843</v>
      </c>
      <c r="C484" t="s">
        <v>9738</v>
      </c>
      <c r="D484" t="s">
        <v>10643</v>
      </c>
      <c r="E484" t="s">
        <v>9740</v>
      </c>
    </row>
    <row r="485" spans="1:5" hidden="1" x14ac:dyDescent="0.25">
      <c r="A485" t="s">
        <v>10644</v>
      </c>
      <c r="B485" t="s">
        <v>1983</v>
      </c>
      <c r="C485" t="s">
        <v>9782</v>
      </c>
      <c r="D485" t="s">
        <v>10645</v>
      </c>
      <c r="E485" t="s">
        <v>9784</v>
      </c>
    </row>
    <row r="486" spans="1:5" hidden="1" x14ac:dyDescent="0.25">
      <c r="A486" t="s">
        <v>10646</v>
      </c>
      <c r="B486" t="s">
        <v>3029</v>
      </c>
      <c r="C486" t="s">
        <v>9640</v>
      </c>
      <c r="D486" t="s">
        <v>10647</v>
      </c>
      <c r="E486" t="s">
        <v>9642</v>
      </c>
    </row>
    <row r="487" spans="1:5" hidden="1" x14ac:dyDescent="0.25">
      <c r="A487" t="s">
        <v>10648</v>
      </c>
      <c r="B487" t="s">
        <v>3091</v>
      </c>
      <c r="C487" t="s">
        <v>9848</v>
      </c>
      <c r="D487" t="s">
        <v>10649</v>
      </c>
      <c r="E487" t="s">
        <v>9850</v>
      </c>
    </row>
    <row r="488" spans="1:5" hidden="1" x14ac:dyDescent="0.25">
      <c r="A488" t="s">
        <v>10650</v>
      </c>
      <c r="B488" t="s">
        <v>3880</v>
      </c>
      <c r="C488" t="s">
        <v>9675</v>
      </c>
      <c r="D488" t="s">
        <v>10651</v>
      </c>
      <c r="E488" t="s">
        <v>9677</v>
      </c>
    </row>
    <row r="489" spans="1:5" hidden="1" x14ac:dyDescent="0.25">
      <c r="A489" t="s">
        <v>10652</v>
      </c>
      <c r="B489" t="s">
        <v>4494</v>
      </c>
      <c r="C489" t="s">
        <v>9629</v>
      </c>
      <c r="D489" t="s">
        <v>10653</v>
      </c>
      <c r="E489" t="s">
        <v>9631</v>
      </c>
    </row>
    <row r="490" spans="1:5" hidden="1" x14ac:dyDescent="0.25">
      <c r="A490" t="s">
        <v>10654</v>
      </c>
      <c r="B490" t="s">
        <v>2690</v>
      </c>
      <c r="C490" t="s">
        <v>9852</v>
      </c>
      <c r="D490" t="s">
        <v>10655</v>
      </c>
      <c r="E490" t="s">
        <v>9854</v>
      </c>
    </row>
    <row r="491" spans="1:5" hidden="1" x14ac:dyDescent="0.25">
      <c r="A491" t="s">
        <v>10656</v>
      </c>
      <c r="B491" t="s">
        <v>3280</v>
      </c>
      <c r="C491" t="s">
        <v>10102</v>
      </c>
      <c r="D491" t="s">
        <v>10657</v>
      </c>
      <c r="E491" t="s">
        <v>10104</v>
      </c>
    </row>
    <row r="492" spans="1:5" hidden="1" x14ac:dyDescent="0.25">
      <c r="A492" t="s">
        <v>10658</v>
      </c>
      <c r="B492" t="s">
        <v>2758</v>
      </c>
      <c r="C492" t="s">
        <v>9640</v>
      </c>
      <c r="D492" t="s">
        <v>10659</v>
      </c>
      <c r="E492" t="s">
        <v>9642</v>
      </c>
    </row>
    <row r="493" spans="1:5" hidden="1" x14ac:dyDescent="0.25">
      <c r="A493" t="s">
        <v>10660</v>
      </c>
      <c r="B493" t="s">
        <v>2200</v>
      </c>
      <c r="C493" t="s">
        <v>9872</v>
      </c>
      <c r="D493" t="s">
        <v>10661</v>
      </c>
      <c r="E493" t="s">
        <v>9874</v>
      </c>
    </row>
    <row r="494" spans="1:5" hidden="1" x14ac:dyDescent="0.25">
      <c r="A494" t="s">
        <v>10662</v>
      </c>
      <c r="B494" t="s">
        <v>3237</v>
      </c>
      <c r="C494" t="s">
        <v>9738</v>
      </c>
      <c r="D494" t="s">
        <v>10663</v>
      </c>
      <c r="E494" t="s">
        <v>9740</v>
      </c>
    </row>
    <row r="495" spans="1:5" hidden="1" x14ac:dyDescent="0.25">
      <c r="A495" t="s">
        <v>10664</v>
      </c>
      <c r="B495" t="s">
        <v>2265</v>
      </c>
      <c r="C495" t="s">
        <v>9621</v>
      </c>
      <c r="D495" t="s">
        <v>10665</v>
      </c>
      <c r="E495" t="s">
        <v>9623</v>
      </c>
    </row>
    <row r="496" spans="1:5" hidden="1" x14ac:dyDescent="0.25">
      <c r="A496" t="s">
        <v>10666</v>
      </c>
      <c r="B496" t="s">
        <v>2254</v>
      </c>
      <c r="C496" t="s">
        <v>9669</v>
      </c>
      <c r="D496" t="s">
        <v>10667</v>
      </c>
      <c r="E496" t="s">
        <v>9671</v>
      </c>
    </row>
    <row r="497" spans="1:5" hidden="1" x14ac:dyDescent="0.25">
      <c r="A497" t="s">
        <v>10668</v>
      </c>
      <c r="B497" t="s">
        <v>2493</v>
      </c>
      <c r="C497" t="s">
        <v>9774</v>
      </c>
      <c r="D497" t="s">
        <v>10669</v>
      </c>
      <c r="E497" t="s">
        <v>9776</v>
      </c>
    </row>
    <row r="498" spans="1:5" hidden="1" x14ac:dyDescent="0.25">
      <c r="A498" t="s">
        <v>10670</v>
      </c>
      <c r="B498" t="s">
        <v>3683</v>
      </c>
      <c r="C498" t="s">
        <v>9723</v>
      </c>
      <c r="D498" t="s">
        <v>10671</v>
      </c>
      <c r="E498" t="s">
        <v>9725</v>
      </c>
    </row>
    <row r="499" spans="1:5" hidden="1" x14ac:dyDescent="0.25">
      <c r="A499" t="s">
        <v>10672</v>
      </c>
      <c r="B499" t="s">
        <v>4919</v>
      </c>
      <c r="C499" t="s">
        <v>9782</v>
      </c>
      <c r="D499" t="s">
        <v>10673</v>
      </c>
      <c r="E499" t="s">
        <v>9784</v>
      </c>
    </row>
    <row r="500" spans="1:5" hidden="1" x14ac:dyDescent="0.25">
      <c r="A500" t="s">
        <v>10674</v>
      </c>
      <c r="B500" t="s">
        <v>2283</v>
      </c>
      <c r="C500" t="s">
        <v>9669</v>
      </c>
      <c r="D500" t="s">
        <v>10675</v>
      </c>
      <c r="E500" t="s">
        <v>9671</v>
      </c>
    </row>
    <row r="501" spans="1:5" hidden="1" x14ac:dyDescent="0.25">
      <c r="A501" t="s">
        <v>10676</v>
      </c>
      <c r="B501" t="s">
        <v>3863</v>
      </c>
      <c r="C501" t="s">
        <v>9800</v>
      </c>
      <c r="D501" t="s">
        <v>10677</v>
      </c>
      <c r="E501" t="s">
        <v>9802</v>
      </c>
    </row>
    <row r="502" spans="1:5" hidden="1" x14ac:dyDescent="0.25">
      <c r="A502" t="s">
        <v>10678</v>
      </c>
      <c r="B502" t="s">
        <v>1768</v>
      </c>
      <c r="C502" t="s">
        <v>9675</v>
      </c>
      <c r="D502" t="s">
        <v>10679</v>
      </c>
      <c r="E502" t="s">
        <v>9677</v>
      </c>
    </row>
    <row r="503" spans="1:5" hidden="1" x14ac:dyDescent="0.25">
      <c r="A503" t="s">
        <v>10680</v>
      </c>
      <c r="B503" t="s">
        <v>3126</v>
      </c>
      <c r="C503" t="s">
        <v>9640</v>
      </c>
      <c r="D503" t="s">
        <v>10681</v>
      </c>
      <c r="E503" t="s">
        <v>9642</v>
      </c>
    </row>
    <row r="504" spans="1:5" hidden="1" x14ac:dyDescent="0.25">
      <c r="A504" t="s">
        <v>10682</v>
      </c>
      <c r="B504" t="s">
        <v>2247</v>
      </c>
      <c r="C504" t="s">
        <v>10102</v>
      </c>
      <c r="D504" t="s">
        <v>10683</v>
      </c>
      <c r="E504" t="s">
        <v>10104</v>
      </c>
    </row>
    <row r="505" spans="1:5" hidden="1" x14ac:dyDescent="0.25">
      <c r="A505" t="s">
        <v>10684</v>
      </c>
      <c r="B505" t="s">
        <v>3274</v>
      </c>
      <c r="C505" t="s">
        <v>10685</v>
      </c>
      <c r="D505" t="s">
        <v>10686</v>
      </c>
      <c r="E505" t="s">
        <v>10687</v>
      </c>
    </row>
    <row r="506" spans="1:5" hidden="1" x14ac:dyDescent="0.25">
      <c r="A506" t="s">
        <v>10688</v>
      </c>
      <c r="B506" t="s">
        <v>4024</v>
      </c>
      <c r="C506" t="s">
        <v>9856</v>
      </c>
      <c r="D506" t="s">
        <v>10689</v>
      </c>
      <c r="E506" t="s">
        <v>9858</v>
      </c>
    </row>
    <row r="507" spans="1:5" hidden="1" x14ac:dyDescent="0.25">
      <c r="A507" t="s">
        <v>10690</v>
      </c>
      <c r="B507" t="s">
        <v>3335</v>
      </c>
      <c r="C507" t="s">
        <v>9599</v>
      </c>
      <c r="D507" t="s">
        <v>10691</v>
      </c>
      <c r="E507" t="s">
        <v>9601</v>
      </c>
    </row>
    <row r="508" spans="1:5" hidden="1" x14ac:dyDescent="0.25">
      <c r="A508" t="s">
        <v>10692</v>
      </c>
      <c r="B508" t="s">
        <v>4280</v>
      </c>
      <c r="C508" t="s">
        <v>9758</v>
      </c>
      <c r="D508" t="s">
        <v>10693</v>
      </c>
      <c r="E508" t="s">
        <v>9760</v>
      </c>
    </row>
    <row r="509" spans="1:5" hidden="1" x14ac:dyDescent="0.25">
      <c r="A509" t="s">
        <v>10694</v>
      </c>
      <c r="B509" t="s">
        <v>4929</v>
      </c>
      <c r="C509" t="s">
        <v>10257</v>
      </c>
      <c r="D509" t="s">
        <v>10695</v>
      </c>
      <c r="E509" t="s">
        <v>10259</v>
      </c>
    </row>
    <row r="510" spans="1:5" hidden="1" x14ac:dyDescent="0.25">
      <c r="A510" t="s">
        <v>10696</v>
      </c>
      <c r="B510" t="s">
        <v>504</v>
      </c>
      <c r="C510" t="s">
        <v>9595</v>
      </c>
      <c r="D510" t="s">
        <v>10697</v>
      </c>
      <c r="E510" t="s">
        <v>9597</v>
      </c>
    </row>
    <row r="511" spans="1:5" x14ac:dyDescent="0.25">
      <c r="A511" t="s">
        <v>9595</v>
      </c>
      <c r="B511" t="s">
        <v>9595</v>
      </c>
      <c r="C511" t="s">
        <v>10698</v>
      </c>
      <c r="D511" t="s">
        <v>9595</v>
      </c>
      <c r="E511" t="s">
        <v>10699</v>
      </c>
    </row>
    <row r="512" spans="1:5" x14ac:dyDescent="0.25">
      <c r="A512" t="s">
        <v>9599</v>
      </c>
      <c r="B512" t="s">
        <v>9599</v>
      </c>
      <c r="C512" t="s">
        <v>10698</v>
      </c>
      <c r="D512" t="s">
        <v>9599</v>
      </c>
      <c r="E512" t="s">
        <v>10699</v>
      </c>
    </row>
    <row r="513" spans="1:5" x14ac:dyDescent="0.25">
      <c r="A513" t="s">
        <v>9609</v>
      </c>
      <c r="B513" t="s">
        <v>9609</v>
      </c>
      <c r="C513" t="s">
        <v>10698</v>
      </c>
      <c r="D513" t="s">
        <v>9609</v>
      </c>
      <c r="E513" t="s">
        <v>10699</v>
      </c>
    </row>
    <row r="514" spans="1:5" x14ac:dyDescent="0.25">
      <c r="A514" t="s">
        <v>9621</v>
      </c>
      <c r="B514" t="s">
        <v>9621</v>
      </c>
      <c r="C514" t="s">
        <v>10698</v>
      </c>
      <c r="D514" t="s">
        <v>9621</v>
      </c>
      <c r="E514" t="s">
        <v>10699</v>
      </c>
    </row>
    <row r="515" spans="1:5" x14ac:dyDescent="0.25">
      <c r="A515" t="s">
        <v>9629</v>
      </c>
      <c r="B515" t="s">
        <v>9629</v>
      </c>
      <c r="C515" t="s">
        <v>10698</v>
      </c>
      <c r="D515" t="s">
        <v>9629</v>
      </c>
      <c r="E515" t="s">
        <v>10699</v>
      </c>
    </row>
    <row r="516" spans="1:5" x14ac:dyDescent="0.25">
      <c r="A516" t="s">
        <v>9637</v>
      </c>
      <c r="B516" t="s">
        <v>9637</v>
      </c>
      <c r="C516" t="s">
        <v>10698</v>
      </c>
      <c r="D516" t="s">
        <v>9637</v>
      </c>
      <c r="E516" t="s">
        <v>10699</v>
      </c>
    </row>
    <row r="517" spans="1:5" x14ac:dyDescent="0.25">
      <c r="A517" t="s">
        <v>9640</v>
      </c>
      <c r="B517" t="s">
        <v>9640</v>
      </c>
      <c r="C517" t="s">
        <v>10698</v>
      </c>
      <c r="D517" t="s">
        <v>9640</v>
      </c>
      <c r="E517" t="s">
        <v>10699</v>
      </c>
    </row>
    <row r="518" spans="1:5" x14ac:dyDescent="0.25">
      <c r="A518" t="s">
        <v>9646</v>
      </c>
      <c r="B518" t="s">
        <v>9646</v>
      </c>
      <c r="C518" t="s">
        <v>10698</v>
      </c>
      <c r="D518" t="s">
        <v>9646</v>
      </c>
      <c r="E518" t="s">
        <v>10699</v>
      </c>
    </row>
    <row r="519" spans="1:5" x14ac:dyDescent="0.25">
      <c r="A519" t="s">
        <v>9650</v>
      </c>
      <c r="B519" t="s">
        <v>9650</v>
      </c>
      <c r="C519" t="s">
        <v>10698</v>
      </c>
      <c r="D519" t="s">
        <v>9650</v>
      </c>
      <c r="E519" t="s">
        <v>10699</v>
      </c>
    </row>
    <row r="520" spans="1:5" x14ac:dyDescent="0.25">
      <c r="A520" t="s">
        <v>9654</v>
      </c>
      <c r="B520" t="s">
        <v>9654</v>
      </c>
      <c r="C520" t="s">
        <v>10698</v>
      </c>
      <c r="D520" t="s">
        <v>9654</v>
      </c>
      <c r="E520" t="s">
        <v>10699</v>
      </c>
    </row>
    <row r="521" spans="1:5" x14ac:dyDescent="0.25">
      <c r="A521" t="s">
        <v>9660</v>
      </c>
      <c r="B521" t="s">
        <v>9660</v>
      </c>
      <c r="C521" t="s">
        <v>10698</v>
      </c>
      <c r="D521" t="s">
        <v>9660</v>
      </c>
      <c r="E521" t="s">
        <v>10699</v>
      </c>
    </row>
    <row r="522" spans="1:5" x14ac:dyDescent="0.25">
      <c r="A522" t="s">
        <v>9669</v>
      </c>
      <c r="B522" t="s">
        <v>9669</v>
      </c>
      <c r="C522" t="s">
        <v>10698</v>
      </c>
      <c r="D522" t="s">
        <v>9669</v>
      </c>
      <c r="E522" t="s">
        <v>10699</v>
      </c>
    </row>
    <row r="523" spans="1:5" x14ac:dyDescent="0.25">
      <c r="A523" t="s">
        <v>9675</v>
      </c>
      <c r="B523" t="s">
        <v>9675</v>
      </c>
      <c r="C523" t="s">
        <v>10698</v>
      </c>
      <c r="D523" t="s">
        <v>9675</v>
      </c>
      <c r="E523" t="s">
        <v>10699</v>
      </c>
    </row>
    <row r="524" spans="1:5" x14ac:dyDescent="0.25">
      <c r="A524" t="s">
        <v>9681</v>
      </c>
      <c r="B524" t="s">
        <v>9681</v>
      </c>
      <c r="C524" t="s">
        <v>10698</v>
      </c>
      <c r="D524" t="s">
        <v>9681</v>
      </c>
      <c r="E524" t="s">
        <v>10699</v>
      </c>
    </row>
    <row r="525" spans="1:5" x14ac:dyDescent="0.25">
      <c r="A525" t="s">
        <v>9691</v>
      </c>
      <c r="B525" t="s">
        <v>9691</v>
      </c>
      <c r="C525" t="s">
        <v>10698</v>
      </c>
      <c r="D525" t="s">
        <v>9691</v>
      </c>
      <c r="E525" t="s">
        <v>10699</v>
      </c>
    </row>
    <row r="526" spans="1:5" x14ac:dyDescent="0.25">
      <c r="A526" t="s">
        <v>9713</v>
      </c>
      <c r="B526" t="s">
        <v>9713</v>
      </c>
      <c r="C526" t="s">
        <v>10698</v>
      </c>
      <c r="D526" t="s">
        <v>9713</v>
      </c>
      <c r="E526" t="s">
        <v>10699</v>
      </c>
    </row>
    <row r="527" spans="1:5" x14ac:dyDescent="0.25">
      <c r="A527" t="s">
        <v>9717</v>
      </c>
      <c r="B527" t="s">
        <v>9717</v>
      </c>
      <c r="C527" t="s">
        <v>10698</v>
      </c>
      <c r="D527" t="s">
        <v>9717</v>
      </c>
      <c r="E527" t="s">
        <v>10699</v>
      </c>
    </row>
    <row r="528" spans="1:5" x14ac:dyDescent="0.25">
      <c r="A528" t="s">
        <v>9723</v>
      </c>
      <c r="B528" t="s">
        <v>9723</v>
      </c>
      <c r="C528" t="s">
        <v>10698</v>
      </c>
      <c r="D528" t="s">
        <v>9723</v>
      </c>
      <c r="E528" t="s">
        <v>10699</v>
      </c>
    </row>
    <row r="529" spans="1:5" x14ac:dyDescent="0.25">
      <c r="A529" t="s">
        <v>9735</v>
      </c>
      <c r="B529" t="s">
        <v>9735</v>
      </c>
      <c r="C529" t="s">
        <v>10698</v>
      </c>
      <c r="D529" t="s">
        <v>9735</v>
      </c>
      <c r="E529" t="s">
        <v>10699</v>
      </c>
    </row>
    <row r="530" spans="1:5" x14ac:dyDescent="0.25">
      <c r="A530" t="s">
        <v>9738</v>
      </c>
      <c r="B530" t="s">
        <v>9738</v>
      </c>
      <c r="C530" t="s">
        <v>10698</v>
      </c>
      <c r="D530" t="s">
        <v>9738</v>
      </c>
      <c r="E530" t="s">
        <v>10699</v>
      </c>
    </row>
    <row r="531" spans="1:5" x14ac:dyDescent="0.25">
      <c r="A531" t="s">
        <v>9744</v>
      </c>
      <c r="B531" t="s">
        <v>9744</v>
      </c>
      <c r="C531" t="s">
        <v>10698</v>
      </c>
      <c r="D531" t="s">
        <v>9744</v>
      </c>
      <c r="E531" t="s">
        <v>10699</v>
      </c>
    </row>
    <row r="532" spans="1:5" x14ac:dyDescent="0.25">
      <c r="A532" t="s">
        <v>9748</v>
      </c>
      <c r="B532" t="s">
        <v>9748</v>
      </c>
      <c r="C532" t="s">
        <v>10698</v>
      </c>
      <c r="D532" t="s">
        <v>9748</v>
      </c>
      <c r="E532" t="s">
        <v>10699</v>
      </c>
    </row>
    <row r="533" spans="1:5" x14ac:dyDescent="0.25">
      <c r="A533" t="s">
        <v>9754</v>
      </c>
      <c r="B533" t="s">
        <v>9754</v>
      </c>
      <c r="C533" t="s">
        <v>10698</v>
      </c>
      <c r="D533" t="s">
        <v>9754</v>
      </c>
      <c r="E533" t="s">
        <v>10699</v>
      </c>
    </row>
    <row r="534" spans="1:5" x14ac:dyDescent="0.25">
      <c r="A534" t="s">
        <v>9758</v>
      </c>
      <c r="B534" t="s">
        <v>9758</v>
      </c>
      <c r="C534" t="s">
        <v>10698</v>
      </c>
      <c r="D534" t="s">
        <v>9758</v>
      </c>
      <c r="E534" t="s">
        <v>10699</v>
      </c>
    </row>
    <row r="535" spans="1:5" x14ac:dyDescent="0.25">
      <c r="A535" t="s">
        <v>9764</v>
      </c>
      <c r="B535" t="s">
        <v>9764</v>
      </c>
      <c r="C535" t="s">
        <v>10698</v>
      </c>
      <c r="D535" t="s">
        <v>9764</v>
      </c>
      <c r="E535" t="s">
        <v>10699</v>
      </c>
    </row>
    <row r="536" spans="1:5" x14ac:dyDescent="0.25">
      <c r="A536" t="s">
        <v>9774</v>
      </c>
      <c r="B536" t="s">
        <v>9774</v>
      </c>
      <c r="C536" t="s">
        <v>10698</v>
      </c>
      <c r="D536" t="s">
        <v>9774</v>
      </c>
      <c r="E536" t="s">
        <v>10699</v>
      </c>
    </row>
    <row r="537" spans="1:5" x14ac:dyDescent="0.25">
      <c r="A537" t="s">
        <v>9782</v>
      </c>
      <c r="B537" t="s">
        <v>9782</v>
      </c>
      <c r="C537" t="s">
        <v>10698</v>
      </c>
      <c r="D537" t="s">
        <v>9782</v>
      </c>
      <c r="E537" t="s">
        <v>10699</v>
      </c>
    </row>
    <row r="538" spans="1:5" x14ac:dyDescent="0.25">
      <c r="A538" t="s">
        <v>9788</v>
      </c>
      <c r="B538" t="s">
        <v>9788</v>
      </c>
      <c r="C538" t="s">
        <v>10698</v>
      </c>
      <c r="D538" t="s">
        <v>9788</v>
      </c>
      <c r="E538" t="s">
        <v>10699</v>
      </c>
    </row>
    <row r="539" spans="1:5" x14ac:dyDescent="0.25">
      <c r="A539" t="s">
        <v>9792</v>
      </c>
      <c r="B539" t="s">
        <v>9792</v>
      </c>
      <c r="C539" t="s">
        <v>10698</v>
      </c>
      <c r="D539" t="s">
        <v>9792</v>
      </c>
      <c r="E539" t="s">
        <v>10699</v>
      </c>
    </row>
    <row r="540" spans="1:5" x14ac:dyDescent="0.25">
      <c r="A540" t="s">
        <v>9800</v>
      </c>
      <c r="B540" t="s">
        <v>9800</v>
      </c>
      <c r="C540" t="s">
        <v>10698</v>
      </c>
      <c r="D540" t="s">
        <v>9800</v>
      </c>
      <c r="E540" t="s">
        <v>10699</v>
      </c>
    </row>
    <row r="541" spans="1:5" x14ac:dyDescent="0.25">
      <c r="A541" t="s">
        <v>9820</v>
      </c>
      <c r="B541" t="s">
        <v>9820</v>
      </c>
      <c r="C541" t="s">
        <v>10698</v>
      </c>
      <c r="D541" t="s">
        <v>9820</v>
      </c>
      <c r="E541" t="s">
        <v>10699</v>
      </c>
    </row>
    <row r="542" spans="1:5" x14ac:dyDescent="0.25">
      <c r="A542" t="s">
        <v>9836</v>
      </c>
      <c r="B542" t="s">
        <v>9836</v>
      </c>
      <c r="C542" t="s">
        <v>10698</v>
      </c>
      <c r="D542" t="s">
        <v>9836</v>
      </c>
      <c r="E542" t="s">
        <v>10699</v>
      </c>
    </row>
    <row r="543" spans="1:5" x14ac:dyDescent="0.25">
      <c r="A543" t="s">
        <v>9848</v>
      </c>
      <c r="B543" t="s">
        <v>9848</v>
      </c>
      <c r="C543" t="s">
        <v>10698</v>
      </c>
      <c r="D543" t="s">
        <v>9848</v>
      </c>
      <c r="E543" t="s">
        <v>10699</v>
      </c>
    </row>
    <row r="544" spans="1:5" x14ac:dyDescent="0.25">
      <c r="A544" t="s">
        <v>9852</v>
      </c>
      <c r="B544" t="s">
        <v>9852</v>
      </c>
      <c r="C544" t="s">
        <v>10698</v>
      </c>
      <c r="D544" t="s">
        <v>9852</v>
      </c>
      <c r="E544" t="s">
        <v>10699</v>
      </c>
    </row>
    <row r="545" spans="1:5" x14ac:dyDescent="0.25">
      <c r="A545" t="s">
        <v>9856</v>
      </c>
      <c r="B545" t="s">
        <v>9856</v>
      </c>
      <c r="C545" t="s">
        <v>10698</v>
      </c>
      <c r="D545" t="s">
        <v>9856</v>
      </c>
      <c r="E545" t="s">
        <v>10699</v>
      </c>
    </row>
    <row r="546" spans="1:5" x14ac:dyDescent="0.25">
      <c r="A546" t="s">
        <v>9872</v>
      </c>
      <c r="B546" t="s">
        <v>9872</v>
      </c>
      <c r="C546" t="s">
        <v>10698</v>
      </c>
      <c r="D546" t="s">
        <v>9872</v>
      </c>
      <c r="E546" t="s">
        <v>10699</v>
      </c>
    </row>
    <row r="547" spans="1:5" x14ac:dyDescent="0.25">
      <c r="A547" t="s">
        <v>9884</v>
      </c>
      <c r="B547" t="s">
        <v>9884</v>
      </c>
      <c r="C547" t="s">
        <v>10698</v>
      </c>
      <c r="D547" t="s">
        <v>9884</v>
      </c>
      <c r="E547" t="s">
        <v>10699</v>
      </c>
    </row>
    <row r="548" spans="1:5" x14ac:dyDescent="0.25">
      <c r="A548" t="s">
        <v>9898</v>
      </c>
      <c r="B548" t="s">
        <v>9898</v>
      </c>
      <c r="C548" t="s">
        <v>10698</v>
      </c>
      <c r="D548" t="s">
        <v>9898</v>
      </c>
      <c r="E548" t="s">
        <v>10699</v>
      </c>
    </row>
    <row r="549" spans="1:5" x14ac:dyDescent="0.25">
      <c r="A549" t="s">
        <v>9948</v>
      </c>
      <c r="B549" t="s">
        <v>9948</v>
      </c>
      <c r="C549" t="s">
        <v>10698</v>
      </c>
      <c r="D549" t="s">
        <v>9948</v>
      </c>
      <c r="E549" t="s">
        <v>10699</v>
      </c>
    </row>
    <row r="550" spans="1:5" x14ac:dyDescent="0.25">
      <c r="A550" t="s">
        <v>9972</v>
      </c>
      <c r="B550" t="s">
        <v>9972</v>
      </c>
      <c r="C550" t="s">
        <v>10698</v>
      </c>
      <c r="D550" t="s">
        <v>9972</v>
      </c>
      <c r="E550" t="s">
        <v>10699</v>
      </c>
    </row>
    <row r="551" spans="1:5" x14ac:dyDescent="0.25">
      <c r="A551" t="s">
        <v>9992</v>
      </c>
      <c r="B551" t="s">
        <v>9992</v>
      </c>
      <c r="C551" t="s">
        <v>10698</v>
      </c>
      <c r="D551" t="s">
        <v>9992</v>
      </c>
      <c r="E551" t="s">
        <v>10699</v>
      </c>
    </row>
    <row r="552" spans="1:5" x14ac:dyDescent="0.25">
      <c r="A552" t="s">
        <v>9996</v>
      </c>
      <c r="B552" t="s">
        <v>9996</v>
      </c>
      <c r="C552" t="s">
        <v>10698</v>
      </c>
      <c r="D552" t="s">
        <v>9996</v>
      </c>
      <c r="E552" t="s">
        <v>10699</v>
      </c>
    </row>
    <row r="553" spans="1:5" x14ac:dyDescent="0.25">
      <c r="A553" t="s">
        <v>10024</v>
      </c>
      <c r="B553" t="s">
        <v>10024</v>
      </c>
      <c r="C553" t="s">
        <v>10698</v>
      </c>
      <c r="D553" t="s">
        <v>10024</v>
      </c>
      <c r="E553" t="s">
        <v>10699</v>
      </c>
    </row>
    <row r="554" spans="1:5" x14ac:dyDescent="0.25">
      <c r="A554" t="s">
        <v>10080</v>
      </c>
      <c r="B554" t="s">
        <v>10080</v>
      </c>
      <c r="C554" t="s">
        <v>10698</v>
      </c>
      <c r="D554" t="s">
        <v>10080</v>
      </c>
      <c r="E554" t="s">
        <v>10699</v>
      </c>
    </row>
    <row r="555" spans="1:5" x14ac:dyDescent="0.25">
      <c r="A555" t="s">
        <v>10090</v>
      </c>
      <c r="B555" t="s">
        <v>10090</v>
      </c>
      <c r="C555" t="s">
        <v>10698</v>
      </c>
      <c r="D555" t="s">
        <v>10090</v>
      </c>
      <c r="E555" t="s">
        <v>10699</v>
      </c>
    </row>
    <row r="556" spans="1:5" x14ac:dyDescent="0.25">
      <c r="A556" t="s">
        <v>10098</v>
      </c>
      <c r="B556" t="s">
        <v>10098</v>
      </c>
      <c r="C556" t="s">
        <v>10698</v>
      </c>
      <c r="D556" t="s">
        <v>10098</v>
      </c>
      <c r="E556" t="s">
        <v>10699</v>
      </c>
    </row>
    <row r="557" spans="1:5" x14ac:dyDescent="0.25">
      <c r="A557" t="s">
        <v>10102</v>
      </c>
      <c r="B557" t="s">
        <v>10102</v>
      </c>
      <c r="C557" t="s">
        <v>10698</v>
      </c>
      <c r="D557" t="s">
        <v>10102</v>
      </c>
      <c r="E557" t="s">
        <v>10699</v>
      </c>
    </row>
    <row r="558" spans="1:5" x14ac:dyDescent="0.25">
      <c r="A558" t="s">
        <v>10134</v>
      </c>
      <c r="B558" t="s">
        <v>10134</v>
      </c>
      <c r="C558" t="s">
        <v>10698</v>
      </c>
      <c r="D558" t="s">
        <v>10134</v>
      </c>
      <c r="E558" t="s">
        <v>10699</v>
      </c>
    </row>
    <row r="559" spans="1:5" x14ac:dyDescent="0.25">
      <c r="A559" t="s">
        <v>10172</v>
      </c>
      <c r="B559" t="s">
        <v>10172</v>
      </c>
      <c r="C559" t="s">
        <v>10698</v>
      </c>
      <c r="D559" t="s">
        <v>10172</v>
      </c>
      <c r="E559" t="s">
        <v>10699</v>
      </c>
    </row>
    <row r="560" spans="1:5" x14ac:dyDescent="0.25">
      <c r="A560" t="s">
        <v>10182</v>
      </c>
      <c r="B560" t="s">
        <v>10182</v>
      </c>
      <c r="C560" t="s">
        <v>10698</v>
      </c>
      <c r="D560" t="s">
        <v>10182</v>
      </c>
      <c r="E560" t="s">
        <v>10699</v>
      </c>
    </row>
    <row r="561" spans="1:5" x14ac:dyDescent="0.25">
      <c r="A561" t="s">
        <v>10190</v>
      </c>
      <c r="B561" t="s">
        <v>10190</v>
      </c>
      <c r="C561" t="s">
        <v>10698</v>
      </c>
      <c r="D561" t="s">
        <v>10190</v>
      </c>
      <c r="E561" t="s">
        <v>10699</v>
      </c>
    </row>
    <row r="562" spans="1:5" x14ac:dyDescent="0.25">
      <c r="A562" t="s">
        <v>10245</v>
      </c>
      <c r="B562" t="s">
        <v>10245</v>
      </c>
      <c r="C562" t="s">
        <v>10698</v>
      </c>
      <c r="D562" t="s">
        <v>10245</v>
      </c>
      <c r="E562" t="s">
        <v>10699</v>
      </c>
    </row>
    <row r="563" spans="1:5" x14ac:dyDescent="0.25">
      <c r="A563" t="s">
        <v>10257</v>
      </c>
      <c r="B563" t="s">
        <v>10257</v>
      </c>
      <c r="C563" t="s">
        <v>10698</v>
      </c>
      <c r="D563" t="s">
        <v>10257</v>
      </c>
      <c r="E563" t="s">
        <v>10699</v>
      </c>
    </row>
    <row r="564" spans="1:5" x14ac:dyDescent="0.25">
      <c r="A564" t="s">
        <v>10323</v>
      </c>
      <c r="B564" t="s">
        <v>10323</v>
      </c>
      <c r="C564" t="s">
        <v>10698</v>
      </c>
      <c r="D564" t="s">
        <v>10323</v>
      </c>
      <c r="E564" t="s">
        <v>10699</v>
      </c>
    </row>
    <row r="565" spans="1:5" x14ac:dyDescent="0.25">
      <c r="A565" t="s">
        <v>10613</v>
      </c>
      <c r="B565" t="s">
        <v>10613</v>
      </c>
      <c r="C565" t="s">
        <v>10698</v>
      </c>
      <c r="D565" t="s">
        <v>10613</v>
      </c>
      <c r="E565" t="s">
        <v>10699</v>
      </c>
    </row>
    <row r="566" spans="1:5" x14ac:dyDescent="0.25">
      <c r="A566" t="s">
        <v>10685</v>
      </c>
      <c r="B566" t="s">
        <v>10685</v>
      </c>
      <c r="C566" t="s">
        <v>10698</v>
      </c>
      <c r="D566" t="s">
        <v>10685</v>
      </c>
      <c r="E566" t="s">
        <v>10699</v>
      </c>
    </row>
    <row r="567" spans="1:5" x14ac:dyDescent="0.25">
      <c r="A567" t="s">
        <v>9563</v>
      </c>
      <c r="B567" t="s">
        <v>9563</v>
      </c>
      <c r="C567" t="s">
        <v>10698</v>
      </c>
      <c r="D567" t="s">
        <v>9563</v>
      </c>
      <c r="E567" t="s">
        <v>10699</v>
      </c>
    </row>
    <row r="568" spans="1:5" x14ac:dyDescent="0.25">
      <c r="A568" t="s">
        <v>9583</v>
      </c>
      <c r="B568" t="s">
        <v>9583</v>
      </c>
      <c r="C568" t="s">
        <v>10698</v>
      </c>
      <c r="D568" t="s">
        <v>9583</v>
      </c>
      <c r="E568" t="s">
        <v>10699</v>
      </c>
    </row>
    <row r="569" spans="1:5" x14ac:dyDescent="0.25">
      <c r="A569" t="s">
        <v>11789</v>
      </c>
      <c r="B569" t="s">
        <v>11789</v>
      </c>
      <c r="C569" t="s">
        <v>10698</v>
      </c>
      <c r="D569" t="s">
        <v>11789</v>
      </c>
      <c r="E569" t="s">
        <v>10699</v>
      </c>
    </row>
    <row r="570" spans="1:5" x14ac:dyDescent="0.25">
      <c r="A570" t="s">
        <v>9591</v>
      </c>
      <c r="B570" t="s">
        <v>9591</v>
      </c>
      <c r="C570" t="s">
        <v>10698</v>
      </c>
      <c r="D570" t="s">
        <v>9591</v>
      </c>
      <c r="E570" t="s">
        <v>10699</v>
      </c>
    </row>
    <row r="571" spans="1:5" x14ac:dyDescent="0.25">
      <c r="A571" t="s">
        <v>11764</v>
      </c>
      <c r="B571" t="s">
        <v>11764</v>
      </c>
      <c r="C571" t="s">
        <v>10698</v>
      </c>
      <c r="D571" t="s">
        <v>11764</v>
      </c>
      <c r="E571" t="s">
        <v>10699</v>
      </c>
    </row>
    <row r="572" spans="1:5" x14ac:dyDescent="0.25">
      <c r="A572" t="s">
        <v>11761</v>
      </c>
      <c r="B572" t="s">
        <v>11761</v>
      </c>
      <c r="C572" t="s">
        <v>10698</v>
      </c>
      <c r="D572" t="s">
        <v>11761</v>
      </c>
      <c r="E572" t="s">
        <v>10699</v>
      </c>
    </row>
    <row r="573" spans="1:5" x14ac:dyDescent="0.25">
      <c r="A573" t="s">
        <v>11766</v>
      </c>
      <c r="B573" t="s">
        <v>11766</v>
      </c>
      <c r="C573" t="s">
        <v>10698</v>
      </c>
      <c r="D573" t="s">
        <v>11766</v>
      </c>
      <c r="E573" t="s">
        <v>10699</v>
      </c>
    </row>
    <row r="574" spans="1:5" x14ac:dyDescent="0.25">
      <c r="A574" t="s">
        <v>11782</v>
      </c>
      <c r="B574" t="s">
        <v>11782</v>
      </c>
      <c r="C574" t="s">
        <v>10698</v>
      </c>
      <c r="D574" t="s">
        <v>11782</v>
      </c>
      <c r="E574" t="s">
        <v>10699</v>
      </c>
    </row>
    <row r="575" spans="1:5" hidden="1" x14ac:dyDescent="0.25">
      <c r="A575" t="s">
        <v>11795</v>
      </c>
      <c r="B575" t="s">
        <v>7226</v>
      </c>
      <c r="C575" t="s">
        <v>9782</v>
      </c>
      <c r="D575" t="s">
        <v>11796</v>
      </c>
      <c r="E575" t="s">
        <v>9784</v>
      </c>
    </row>
    <row r="576" spans="1:5" hidden="1" x14ac:dyDescent="0.25">
      <c r="A576" t="s">
        <v>11797</v>
      </c>
      <c r="B576" t="s">
        <v>8299</v>
      </c>
      <c r="C576" t="s">
        <v>9723</v>
      </c>
      <c r="D576" t="s">
        <v>11798</v>
      </c>
      <c r="E576" t="s">
        <v>9725</v>
      </c>
    </row>
    <row r="577" spans="1:5" hidden="1" x14ac:dyDescent="0.25">
      <c r="A577" t="s">
        <v>11799</v>
      </c>
      <c r="B577" t="s">
        <v>3087</v>
      </c>
      <c r="C577" t="s">
        <v>9884</v>
      </c>
      <c r="D577" t="s">
        <v>11800</v>
      </c>
      <c r="E577" t="s">
        <v>9886</v>
      </c>
    </row>
    <row r="578" spans="1:5" hidden="1" x14ac:dyDescent="0.25">
      <c r="A578" t="s">
        <v>11801</v>
      </c>
      <c r="B578" t="s">
        <v>4654</v>
      </c>
      <c r="C578" t="s">
        <v>9754</v>
      </c>
      <c r="D578" t="s">
        <v>11802</v>
      </c>
      <c r="E578" t="s">
        <v>9756</v>
      </c>
    </row>
    <row r="579" spans="1:5" hidden="1" x14ac:dyDescent="0.25">
      <c r="A579" t="s">
        <v>11803</v>
      </c>
      <c r="B579" t="s">
        <v>2260</v>
      </c>
      <c r="C579" t="s">
        <v>9792</v>
      </c>
      <c r="D579" t="s">
        <v>11804</v>
      </c>
      <c r="E579" t="s">
        <v>9794</v>
      </c>
    </row>
    <row r="580" spans="1:5" hidden="1" x14ac:dyDescent="0.25">
      <c r="A580" t="s">
        <v>11805</v>
      </c>
      <c r="B580" t="s">
        <v>2925</v>
      </c>
      <c r="C580" t="s">
        <v>9744</v>
      </c>
      <c r="D580" t="s">
        <v>11806</v>
      </c>
      <c r="E580" t="s">
        <v>9746</v>
      </c>
    </row>
    <row r="581" spans="1:5" hidden="1" x14ac:dyDescent="0.25">
      <c r="A581" t="s">
        <v>11807</v>
      </c>
      <c r="B581" t="s">
        <v>4821</v>
      </c>
      <c r="C581" t="s">
        <v>10024</v>
      </c>
      <c r="D581" t="s">
        <v>11808</v>
      </c>
      <c r="E581" t="s">
        <v>10026</v>
      </c>
    </row>
    <row r="582" spans="1:5" hidden="1" x14ac:dyDescent="0.25">
      <c r="A582" t="s">
        <v>11809</v>
      </c>
      <c r="B582" t="s">
        <v>7973</v>
      </c>
      <c r="C582" t="s">
        <v>9629</v>
      </c>
      <c r="D582" t="s">
        <v>11810</v>
      </c>
      <c r="E582" t="s">
        <v>9631</v>
      </c>
    </row>
    <row r="583" spans="1:5" hidden="1" x14ac:dyDescent="0.25">
      <c r="A583" t="s">
        <v>11811</v>
      </c>
      <c r="B583" t="s">
        <v>6297</v>
      </c>
      <c r="C583" t="s">
        <v>9948</v>
      </c>
      <c r="D583" t="s">
        <v>11812</v>
      </c>
      <c r="E583" t="s">
        <v>9950</v>
      </c>
    </row>
    <row r="584" spans="1:5" hidden="1" x14ac:dyDescent="0.25">
      <c r="A584" t="s">
        <v>11813</v>
      </c>
      <c r="B584" t="s">
        <v>7316</v>
      </c>
      <c r="C584" t="s">
        <v>9723</v>
      </c>
      <c r="D584" t="s">
        <v>11814</v>
      </c>
      <c r="E584" t="s">
        <v>9725</v>
      </c>
    </row>
    <row r="585" spans="1:5" hidden="1" x14ac:dyDescent="0.25">
      <c r="A585" t="s">
        <v>11815</v>
      </c>
      <c r="B585" t="s">
        <v>3553</v>
      </c>
      <c r="C585" t="s">
        <v>9637</v>
      </c>
      <c r="D585" t="s">
        <v>11816</v>
      </c>
      <c r="E585" t="s">
        <v>9637</v>
      </c>
    </row>
    <row r="586" spans="1:5" hidden="1" x14ac:dyDescent="0.25">
      <c r="A586" t="s">
        <v>11817</v>
      </c>
      <c r="B586" t="s">
        <v>2838</v>
      </c>
      <c r="C586" t="s">
        <v>9748</v>
      </c>
      <c r="D586" t="s">
        <v>11818</v>
      </c>
      <c r="E586" t="s">
        <v>9750</v>
      </c>
    </row>
    <row r="587" spans="1:5" hidden="1" x14ac:dyDescent="0.25">
      <c r="A587" t="s">
        <v>11819</v>
      </c>
      <c r="B587" t="s">
        <v>4108</v>
      </c>
      <c r="C587" t="s">
        <v>9792</v>
      </c>
      <c r="D587" t="s">
        <v>11820</v>
      </c>
      <c r="E587" t="s">
        <v>9794</v>
      </c>
    </row>
    <row r="588" spans="1:5" hidden="1" x14ac:dyDescent="0.25">
      <c r="A588" t="s">
        <v>11821</v>
      </c>
      <c r="B588" t="s">
        <v>5912</v>
      </c>
      <c r="C588" t="s">
        <v>9872</v>
      </c>
      <c r="D588" t="s">
        <v>11822</v>
      </c>
      <c r="E588" t="s">
        <v>9874</v>
      </c>
    </row>
    <row r="589" spans="1:5" hidden="1" x14ac:dyDescent="0.25">
      <c r="A589" t="s">
        <v>11823</v>
      </c>
      <c r="B589" t="s">
        <v>2034</v>
      </c>
      <c r="C589" t="s">
        <v>9782</v>
      </c>
      <c r="D589" t="s">
        <v>11824</v>
      </c>
      <c r="E589" t="s">
        <v>9784</v>
      </c>
    </row>
    <row r="590" spans="1:5" hidden="1" x14ac:dyDescent="0.25">
      <c r="A590" t="s">
        <v>11825</v>
      </c>
      <c r="B590" t="s">
        <v>3360</v>
      </c>
      <c r="C590" t="s">
        <v>9774</v>
      </c>
      <c r="D590" t="s">
        <v>11826</v>
      </c>
      <c r="E590" t="s">
        <v>9776</v>
      </c>
    </row>
    <row r="591" spans="1:5" hidden="1" x14ac:dyDescent="0.25">
      <c r="A591" t="s">
        <v>11827</v>
      </c>
      <c r="B591" t="s">
        <v>4949</v>
      </c>
      <c r="C591" t="s">
        <v>9848</v>
      </c>
      <c r="D591" t="s">
        <v>11828</v>
      </c>
      <c r="E591" t="s">
        <v>9850</v>
      </c>
    </row>
    <row r="592" spans="1:5" hidden="1" x14ac:dyDescent="0.25">
      <c r="A592" t="s">
        <v>11829</v>
      </c>
      <c r="B592" t="s">
        <v>6442</v>
      </c>
      <c r="C592" t="s">
        <v>9788</v>
      </c>
      <c r="D592" t="s">
        <v>11830</v>
      </c>
      <c r="E592" t="s">
        <v>9790</v>
      </c>
    </row>
    <row r="593" spans="1:5" hidden="1" x14ac:dyDescent="0.25">
      <c r="A593" t="s">
        <v>11831</v>
      </c>
      <c r="B593" t="s">
        <v>5794</v>
      </c>
      <c r="C593" t="s">
        <v>11764</v>
      </c>
      <c r="D593" t="s">
        <v>11832</v>
      </c>
      <c r="E593" t="s">
        <v>11772</v>
      </c>
    </row>
    <row r="594" spans="1:5" hidden="1" x14ac:dyDescent="0.25">
      <c r="A594" t="s">
        <v>11833</v>
      </c>
      <c r="B594" t="s">
        <v>4325</v>
      </c>
      <c r="C594" t="s">
        <v>9754</v>
      </c>
      <c r="D594" t="s">
        <v>11834</v>
      </c>
      <c r="E594" t="s">
        <v>9756</v>
      </c>
    </row>
    <row r="595" spans="1:5" hidden="1" x14ac:dyDescent="0.25">
      <c r="A595" t="s">
        <v>11835</v>
      </c>
      <c r="B595" t="s">
        <v>3458</v>
      </c>
      <c r="C595" t="s">
        <v>9948</v>
      </c>
      <c r="D595" t="s">
        <v>11836</v>
      </c>
      <c r="E595" t="s">
        <v>9950</v>
      </c>
    </row>
    <row r="596" spans="1:5" hidden="1" x14ac:dyDescent="0.25">
      <c r="A596" t="s">
        <v>11837</v>
      </c>
      <c r="B596" t="s">
        <v>5037</v>
      </c>
      <c r="C596" t="s">
        <v>10613</v>
      </c>
      <c r="D596" t="s">
        <v>11838</v>
      </c>
      <c r="E596" t="s">
        <v>10615</v>
      </c>
    </row>
    <row r="597" spans="1:5" hidden="1" x14ac:dyDescent="0.25">
      <c r="A597" t="s">
        <v>11839</v>
      </c>
      <c r="B597" t="s">
        <v>1873</v>
      </c>
      <c r="C597" t="s">
        <v>11761</v>
      </c>
      <c r="D597" t="s">
        <v>11840</v>
      </c>
      <c r="E597" t="s">
        <v>11774</v>
      </c>
    </row>
    <row r="598" spans="1:5" hidden="1" x14ac:dyDescent="0.25">
      <c r="A598" t="s">
        <v>11841</v>
      </c>
      <c r="B598" t="s">
        <v>5133</v>
      </c>
      <c r="C598" t="s">
        <v>9646</v>
      </c>
      <c r="D598" t="s">
        <v>11842</v>
      </c>
      <c r="E598" t="s">
        <v>9648</v>
      </c>
    </row>
    <row r="599" spans="1:5" hidden="1" x14ac:dyDescent="0.25">
      <c r="A599" t="s">
        <v>11843</v>
      </c>
      <c r="B599" t="s">
        <v>4873</v>
      </c>
      <c r="C599" t="s">
        <v>9744</v>
      </c>
      <c r="D599" t="s">
        <v>11844</v>
      </c>
      <c r="E599" t="s">
        <v>9746</v>
      </c>
    </row>
    <row r="600" spans="1:5" hidden="1" x14ac:dyDescent="0.25">
      <c r="A600" t="s">
        <v>11845</v>
      </c>
      <c r="B600" t="s">
        <v>3993</v>
      </c>
      <c r="C600" t="s">
        <v>9675</v>
      </c>
      <c r="D600" t="s">
        <v>11846</v>
      </c>
      <c r="E600" t="s">
        <v>9677</v>
      </c>
    </row>
    <row r="601" spans="1:5" hidden="1" x14ac:dyDescent="0.25">
      <c r="A601" t="s">
        <v>11847</v>
      </c>
      <c r="B601" t="s">
        <v>4561</v>
      </c>
      <c r="C601" t="s">
        <v>9856</v>
      </c>
      <c r="D601" t="s">
        <v>11848</v>
      </c>
      <c r="E601" t="s">
        <v>9858</v>
      </c>
    </row>
    <row r="602" spans="1:5" hidden="1" x14ac:dyDescent="0.25">
      <c r="A602" t="s">
        <v>11849</v>
      </c>
      <c r="B602" t="s">
        <v>2688</v>
      </c>
      <c r="C602" t="s">
        <v>10102</v>
      </c>
      <c r="D602" t="s">
        <v>9580</v>
      </c>
      <c r="E602" t="s">
        <v>10104</v>
      </c>
    </row>
    <row r="603" spans="1:5" hidden="1" x14ac:dyDescent="0.25">
      <c r="A603" t="s">
        <v>11850</v>
      </c>
      <c r="B603" t="s">
        <v>3843</v>
      </c>
      <c r="C603" t="s">
        <v>9738</v>
      </c>
      <c r="D603" t="s">
        <v>11851</v>
      </c>
      <c r="E603" t="s">
        <v>9740</v>
      </c>
    </row>
    <row r="604" spans="1:5" hidden="1" x14ac:dyDescent="0.25">
      <c r="A604" t="s">
        <v>11852</v>
      </c>
      <c r="B604" t="s">
        <v>3049</v>
      </c>
      <c r="C604" t="s">
        <v>9792</v>
      </c>
      <c r="D604" t="s">
        <v>11853</v>
      </c>
      <c r="E604" t="s">
        <v>9794</v>
      </c>
    </row>
    <row r="605" spans="1:5" hidden="1" x14ac:dyDescent="0.25">
      <c r="A605" t="s">
        <v>11854</v>
      </c>
      <c r="B605" t="s">
        <v>4057</v>
      </c>
      <c r="C605" t="s">
        <v>11764</v>
      </c>
      <c r="D605" t="s">
        <v>11855</v>
      </c>
      <c r="E605" t="s">
        <v>11772</v>
      </c>
    </row>
    <row r="606" spans="1:5" hidden="1" x14ac:dyDescent="0.25">
      <c r="A606" t="s">
        <v>11856</v>
      </c>
      <c r="B606" t="s">
        <v>3537</v>
      </c>
      <c r="C606" t="s">
        <v>9675</v>
      </c>
      <c r="D606" t="s">
        <v>11857</v>
      </c>
      <c r="E606" t="s">
        <v>9677</v>
      </c>
    </row>
    <row r="607" spans="1:5" hidden="1" x14ac:dyDescent="0.25">
      <c r="A607" t="s">
        <v>11858</v>
      </c>
      <c r="B607" t="s">
        <v>4707</v>
      </c>
      <c r="C607" t="s">
        <v>9754</v>
      </c>
      <c r="D607" t="s">
        <v>11859</v>
      </c>
      <c r="E607" t="s">
        <v>9756</v>
      </c>
    </row>
    <row r="608" spans="1:5" hidden="1" x14ac:dyDescent="0.25">
      <c r="A608" t="s">
        <v>11860</v>
      </c>
      <c r="B608" t="s">
        <v>4120</v>
      </c>
      <c r="C608" t="s">
        <v>9856</v>
      </c>
      <c r="D608" t="s">
        <v>9938</v>
      </c>
      <c r="E608" t="s">
        <v>9858</v>
      </c>
    </row>
    <row r="609" spans="1:5" hidden="1" x14ac:dyDescent="0.25">
      <c r="A609" t="s">
        <v>11861</v>
      </c>
      <c r="B609" t="s">
        <v>4552</v>
      </c>
      <c r="C609" t="s">
        <v>9629</v>
      </c>
      <c r="D609" t="s">
        <v>11862</v>
      </c>
      <c r="E609" t="s">
        <v>9631</v>
      </c>
    </row>
    <row r="610" spans="1:5" hidden="1" x14ac:dyDescent="0.25">
      <c r="A610" t="s">
        <v>11863</v>
      </c>
      <c r="B610" t="s">
        <v>3817</v>
      </c>
      <c r="C610" t="s">
        <v>10102</v>
      </c>
      <c r="D610" t="s">
        <v>11864</v>
      </c>
      <c r="E610" t="s">
        <v>10104</v>
      </c>
    </row>
    <row r="611" spans="1:5" hidden="1" x14ac:dyDescent="0.25">
      <c r="A611" t="s">
        <v>11865</v>
      </c>
      <c r="B611" t="s">
        <v>4256</v>
      </c>
      <c r="C611" t="s">
        <v>9758</v>
      </c>
      <c r="D611" t="s">
        <v>11866</v>
      </c>
      <c r="E611" t="s">
        <v>9760</v>
      </c>
    </row>
    <row r="612" spans="1:5" hidden="1" x14ac:dyDescent="0.25">
      <c r="A612" t="s">
        <v>11867</v>
      </c>
      <c r="B612" t="s">
        <v>6283</v>
      </c>
      <c r="C612" t="s">
        <v>9669</v>
      </c>
      <c r="D612" t="s">
        <v>11868</v>
      </c>
      <c r="E612" t="s">
        <v>9671</v>
      </c>
    </row>
    <row r="613" spans="1:5" hidden="1" x14ac:dyDescent="0.25">
      <c r="A613" t="s">
        <v>11869</v>
      </c>
      <c r="B613" t="s">
        <v>4830</v>
      </c>
      <c r="C613" t="s">
        <v>9792</v>
      </c>
      <c r="D613" t="s">
        <v>11870</v>
      </c>
      <c r="E613" t="s">
        <v>9794</v>
      </c>
    </row>
    <row r="614" spans="1:5" hidden="1" x14ac:dyDescent="0.25">
      <c r="A614" t="s">
        <v>11871</v>
      </c>
      <c r="B614" t="s">
        <v>4354</v>
      </c>
      <c r="C614" t="s">
        <v>9675</v>
      </c>
      <c r="D614" t="s">
        <v>11872</v>
      </c>
      <c r="E614" t="s">
        <v>9677</v>
      </c>
    </row>
    <row r="615" spans="1:5" hidden="1" x14ac:dyDescent="0.25">
      <c r="A615" t="s">
        <v>11873</v>
      </c>
      <c r="B615" t="s">
        <v>3752</v>
      </c>
      <c r="C615" t="s">
        <v>9738</v>
      </c>
      <c r="D615" t="s">
        <v>11874</v>
      </c>
      <c r="E615" t="s">
        <v>9740</v>
      </c>
    </row>
    <row r="616" spans="1:5" hidden="1" x14ac:dyDescent="0.25">
      <c r="A616" t="s">
        <v>11875</v>
      </c>
      <c r="B616" t="s">
        <v>4085</v>
      </c>
      <c r="C616" t="s">
        <v>9640</v>
      </c>
      <c r="D616" t="s">
        <v>11876</v>
      </c>
      <c r="E616" t="s">
        <v>9642</v>
      </c>
    </row>
    <row r="617" spans="1:5" hidden="1" x14ac:dyDescent="0.25">
      <c r="A617" t="s">
        <v>11877</v>
      </c>
      <c r="B617" t="s">
        <v>3835</v>
      </c>
      <c r="C617" t="s">
        <v>9800</v>
      </c>
      <c r="D617" t="s">
        <v>11878</v>
      </c>
      <c r="E617" t="s">
        <v>9802</v>
      </c>
    </row>
    <row r="618" spans="1:5" hidden="1" x14ac:dyDescent="0.25">
      <c r="A618" t="s">
        <v>11879</v>
      </c>
      <c r="B618" t="s">
        <v>4015</v>
      </c>
      <c r="C618" t="s">
        <v>10613</v>
      </c>
      <c r="D618" t="s">
        <v>11880</v>
      </c>
      <c r="E618" t="s">
        <v>10615</v>
      </c>
    </row>
    <row r="619" spans="1:5" hidden="1" x14ac:dyDescent="0.25">
      <c r="A619" t="s">
        <v>11881</v>
      </c>
      <c r="B619" t="s">
        <v>4139</v>
      </c>
      <c r="C619" t="s">
        <v>9758</v>
      </c>
      <c r="D619" t="s">
        <v>11882</v>
      </c>
      <c r="E619" t="s">
        <v>9760</v>
      </c>
    </row>
    <row r="620" spans="1:5" hidden="1" x14ac:dyDescent="0.25">
      <c r="A620" t="s">
        <v>11883</v>
      </c>
      <c r="B620" t="s">
        <v>4957</v>
      </c>
      <c r="C620" t="s">
        <v>9856</v>
      </c>
      <c r="D620" t="s">
        <v>11884</v>
      </c>
      <c r="E620" t="s">
        <v>9858</v>
      </c>
    </row>
    <row r="621" spans="1:5" hidden="1" x14ac:dyDescent="0.25">
      <c r="A621" t="s">
        <v>11885</v>
      </c>
      <c r="B621" t="s">
        <v>4106</v>
      </c>
      <c r="C621" t="s">
        <v>9646</v>
      </c>
      <c r="D621" t="s">
        <v>11886</v>
      </c>
      <c r="E621" t="s">
        <v>9648</v>
      </c>
    </row>
    <row r="622" spans="1:5" hidden="1" x14ac:dyDescent="0.25">
      <c r="A622" t="s">
        <v>11887</v>
      </c>
      <c r="B622" t="s">
        <v>3806</v>
      </c>
      <c r="C622" t="s">
        <v>9898</v>
      </c>
      <c r="D622" t="s">
        <v>11888</v>
      </c>
      <c r="E622" t="s">
        <v>9900</v>
      </c>
    </row>
    <row r="623" spans="1:5" hidden="1" x14ac:dyDescent="0.25">
      <c r="A623" t="s">
        <v>11889</v>
      </c>
      <c r="B623" t="s">
        <v>2210</v>
      </c>
      <c r="C623" t="s">
        <v>10024</v>
      </c>
      <c r="D623" t="s">
        <v>11890</v>
      </c>
      <c r="E623" t="s">
        <v>10026</v>
      </c>
    </row>
    <row r="624" spans="1:5" hidden="1" x14ac:dyDescent="0.25">
      <c r="A624" t="s">
        <v>11891</v>
      </c>
      <c r="B624" t="s">
        <v>3437</v>
      </c>
      <c r="C624" t="s">
        <v>9852</v>
      </c>
      <c r="D624" t="s">
        <v>11892</v>
      </c>
      <c r="E624" t="s">
        <v>9854</v>
      </c>
    </row>
    <row r="625" spans="1:5" hidden="1" x14ac:dyDescent="0.25">
      <c r="A625" t="s">
        <v>11893</v>
      </c>
      <c r="B625" t="s">
        <v>4969</v>
      </c>
      <c r="C625" t="s">
        <v>9748</v>
      </c>
      <c r="D625" t="s">
        <v>11894</v>
      </c>
      <c r="E625" t="s">
        <v>9750</v>
      </c>
    </row>
    <row r="626" spans="1:5" hidden="1" x14ac:dyDescent="0.25">
      <c r="A626" t="s">
        <v>11895</v>
      </c>
      <c r="B626" t="s">
        <v>5949</v>
      </c>
      <c r="C626" t="s">
        <v>9691</v>
      </c>
      <c r="D626" t="s">
        <v>11896</v>
      </c>
      <c r="E626" t="s">
        <v>9693</v>
      </c>
    </row>
    <row r="627" spans="1:5" hidden="1" x14ac:dyDescent="0.25">
      <c r="A627" t="s">
        <v>11897</v>
      </c>
      <c r="B627" t="s">
        <v>3986</v>
      </c>
      <c r="C627" t="s">
        <v>9754</v>
      </c>
      <c r="D627" t="s">
        <v>11898</v>
      </c>
      <c r="E627" t="s">
        <v>9756</v>
      </c>
    </row>
    <row r="628" spans="1:5" hidden="1" x14ac:dyDescent="0.25">
      <c r="A628" t="s">
        <v>11899</v>
      </c>
      <c r="B628" t="s">
        <v>4315</v>
      </c>
      <c r="C628" t="s">
        <v>9792</v>
      </c>
      <c r="D628" t="s">
        <v>11900</v>
      </c>
      <c r="E628" t="s">
        <v>9794</v>
      </c>
    </row>
    <row r="629" spans="1:5" hidden="1" x14ac:dyDescent="0.25">
      <c r="A629" t="s">
        <v>11901</v>
      </c>
      <c r="B629" t="s">
        <v>1360</v>
      </c>
      <c r="C629" t="s">
        <v>9872</v>
      </c>
      <c r="D629" t="s">
        <v>11902</v>
      </c>
      <c r="E629" t="s">
        <v>9874</v>
      </c>
    </row>
    <row r="630" spans="1:5" hidden="1" x14ac:dyDescent="0.25">
      <c r="A630" t="s">
        <v>11903</v>
      </c>
      <c r="B630" t="s">
        <v>5476</v>
      </c>
      <c r="C630" t="s">
        <v>9691</v>
      </c>
      <c r="D630" t="s">
        <v>9878</v>
      </c>
      <c r="E630" t="s">
        <v>9693</v>
      </c>
    </row>
    <row r="631" spans="1:5" hidden="1" x14ac:dyDescent="0.25">
      <c r="A631" t="s">
        <v>11904</v>
      </c>
      <c r="B631" t="s">
        <v>5132</v>
      </c>
      <c r="C631" t="s">
        <v>9792</v>
      </c>
      <c r="D631" t="s">
        <v>11905</v>
      </c>
      <c r="E631" t="s">
        <v>9794</v>
      </c>
    </row>
    <row r="632" spans="1:5" hidden="1" x14ac:dyDescent="0.25">
      <c r="A632" t="s">
        <v>11906</v>
      </c>
      <c r="B632" t="s">
        <v>4159</v>
      </c>
      <c r="C632" t="s">
        <v>9800</v>
      </c>
      <c r="D632" t="s">
        <v>11907</v>
      </c>
      <c r="E632" t="s">
        <v>9802</v>
      </c>
    </row>
    <row r="633" spans="1:5" hidden="1" x14ac:dyDescent="0.25">
      <c r="A633" t="s">
        <v>11908</v>
      </c>
      <c r="B633" t="s">
        <v>3263</v>
      </c>
      <c r="C633" t="s">
        <v>9669</v>
      </c>
      <c r="D633" t="s">
        <v>11909</v>
      </c>
      <c r="E633" t="s">
        <v>9671</v>
      </c>
    </row>
    <row r="634" spans="1:5" hidden="1" x14ac:dyDescent="0.25">
      <c r="A634" t="s">
        <v>11910</v>
      </c>
      <c r="B634" t="s">
        <v>5588</v>
      </c>
      <c r="C634" t="s">
        <v>9792</v>
      </c>
      <c r="D634" t="s">
        <v>11911</v>
      </c>
      <c r="E634" t="s">
        <v>9794</v>
      </c>
    </row>
    <row r="635" spans="1:5" hidden="1" x14ac:dyDescent="0.25">
      <c r="A635" t="s">
        <v>11912</v>
      </c>
      <c r="B635" t="s">
        <v>4519</v>
      </c>
      <c r="C635" t="s">
        <v>9792</v>
      </c>
      <c r="D635" t="s">
        <v>11913</v>
      </c>
      <c r="E635" t="s">
        <v>9794</v>
      </c>
    </row>
    <row r="636" spans="1:5" hidden="1" x14ac:dyDescent="0.25">
      <c r="A636" t="s">
        <v>11914</v>
      </c>
      <c r="B636" t="s">
        <v>5964</v>
      </c>
      <c r="C636" t="s">
        <v>10190</v>
      </c>
      <c r="D636" t="s">
        <v>11915</v>
      </c>
      <c r="E636" t="s">
        <v>10192</v>
      </c>
    </row>
    <row r="637" spans="1:5" hidden="1" x14ac:dyDescent="0.25">
      <c r="A637" t="s">
        <v>11916</v>
      </c>
      <c r="B637" t="s">
        <v>3957</v>
      </c>
      <c r="C637" t="s">
        <v>9637</v>
      </c>
      <c r="D637" t="s">
        <v>11917</v>
      </c>
      <c r="E637" t="s">
        <v>9637</v>
      </c>
    </row>
    <row r="638" spans="1:5" hidden="1" x14ac:dyDescent="0.25">
      <c r="A638" t="s">
        <v>11918</v>
      </c>
      <c r="B638" t="s">
        <v>4019</v>
      </c>
      <c r="C638" t="s">
        <v>10190</v>
      </c>
      <c r="D638" t="s">
        <v>11919</v>
      </c>
      <c r="E638" t="s">
        <v>10192</v>
      </c>
    </row>
    <row r="639" spans="1:5" hidden="1" x14ac:dyDescent="0.25">
      <c r="A639" t="s">
        <v>11920</v>
      </c>
      <c r="B639" t="s">
        <v>3082</v>
      </c>
      <c r="C639" t="s">
        <v>9646</v>
      </c>
      <c r="D639" t="s">
        <v>11921</v>
      </c>
      <c r="E639" t="s">
        <v>9648</v>
      </c>
    </row>
    <row r="640" spans="1:5" hidden="1" x14ac:dyDescent="0.25">
      <c r="A640" t="s">
        <v>11922</v>
      </c>
      <c r="B640" t="s">
        <v>4610</v>
      </c>
      <c r="C640" t="s">
        <v>9640</v>
      </c>
      <c r="D640" t="s">
        <v>11923</v>
      </c>
      <c r="E640" t="s">
        <v>9642</v>
      </c>
    </row>
    <row r="641" spans="1:5" hidden="1" x14ac:dyDescent="0.25">
      <c r="A641" t="s">
        <v>11924</v>
      </c>
      <c r="B641" t="s">
        <v>5759</v>
      </c>
      <c r="C641" t="s">
        <v>9948</v>
      </c>
      <c r="D641" t="s">
        <v>11925</v>
      </c>
      <c r="E641" t="s">
        <v>9950</v>
      </c>
    </row>
    <row r="642" spans="1:5" hidden="1" x14ac:dyDescent="0.25">
      <c r="A642" t="s">
        <v>11926</v>
      </c>
      <c r="B642" t="s">
        <v>5198</v>
      </c>
      <c r="C642" t="s">
        <v>9898</v>
      </c>
      <c r="D642" t="s">
        <v>11927</v>
      </c>
      <c r="E642" t="s">
        <v>9900</v>
      </c>
    </row>
    <row r="643" spans="1:5" hidden="1" x14ac:dyDescent="0.25">
      <c r="A643" t="s">
        <v>11928</v>
      </c>
      <c r="B643" t="s">
        <v>4435</v>
      </c>
      <c r="C643" t="s">
        <v>9681</v>
      </c>
      <c r="D643" t="s">
        <v>11929</v>
      </c>
      <c r="E643" t="s">
        <v>9683</v>
      </c>
    </row>
    <row r="644" spans="1:5" hidden="1" x14ac:dyDescent="0.25">
      <c r="A644" t="s">
        <v>11930</v>
      </c>
      <c r="B644" t="s">
        <v>5832</v>
      </c>
      <c r="C644" t="s">
        <v>9621</v>
      </c>
      <c r="D644" t="s">
        <v>11931</v>
      </c>
      <c r="E644" t="s">
        <v>9623</v>
      </c>
    </row>
    <row r="645" spans="1:5" hidden="1" x14ac:dyDescent="0.25">
      <c r="A645" t="s">
        <v>11932</v>
      </c>
      <c r="B645" t="s">
        <v>4756</v>
      </c>
      <c r="C645" t="s">
        <v>9640</v>
      </c>
      <c r="D645" t="s">
        <v>11933</v>
      </c>
      <c r="E645" t="s">
        <v>9642</v>
      </c>
    </row>
    <row r="646" spans="1:5" hidden="1" x14ac:dyDescent="0.25">
      <c r="A646" t="s">
        <v>11934</v>
      </c>
      <c r="B646" t="s">
        <v>5995</v>
      </c>
      <c r="C646" t="s">
        <v>11761</v>
      </c>
      <c r="D646" t="s">
        <v>11935</v>
      </c>
      <c r="E646" t="s">
        <v>11774</v>
      </c>
    </row>
    <row r="647" spans="1:5" hidden="1" x14ac:dyDescent="0.25">
      <c r="A647" t="s">
        <v>11936</v>
      </c>
      <c r="B647" t="s">
        <v>6301</v>
      </c>
      <c r="C647" t="s">
        <v>9675</v>
      </c>
      <c r="D647" t="s">
        <v>11937</v>
      </c>
      <c r="E647" t="s">
        <v>9677</v>
      </c>
    </row>
    <row r="648" spans="1:5" hidden="1" x14ac:dyDescent="0.25">
      <c r="A648" t="s">
        <v>11938</v>
      </c>
      <c r="B648" t="s">
        <v>4923</v>
      </c>
      <c r="C648" t="s">
        <v>9836</v>
      </c>
      <c r="D648" t="s">
        <v>11939</v>
      </c>
      <c r="E648" t="s">
        <v>9838</v>
      </c>
    </row>
    <row r="649" spans="1:5" hidden="1" x14ac:dyDescent="0.25">
      <c r="A649" t="s">
        <v>11940</v>
      </c>
      <c r="B649" t="s">
        <v>3486</v>
      </c>
      <c r="C649" t="s">
        <v>9744</v>
      </c>
      <c r="D649" t="s">
        <v>11941</v>
      </c>
      <c r="E649" t="s">
        <v>9746</v>
      </c>
    </row>
    <row r="650" spans="1:5" hidden="1" x14ac:dyDescent="0.25">
      <c r="A650" t="s">
        <v>11942</v>
      </c>
      <c r="B650" t="s">
        <v>3673</v>
      </c>
      <c r="C650" t="s">
        <v>9856</v>
      </c>
      <c r="D650" t="s">
        <v>11943</v>
      </c>
      <c r="E650" t="s">
        <v>9858</v>
      </c>
    </row>
    <row r="651" spans="1:5" hidden="1" x14ac:dyDescent="0.25">
      <c r="A651" t="s">
        <v>11944</v>
      </c>
      <c r="B651" t="s">
        <v>6802</v>
      </c>
      <c r="C651" t="s">
        <v>9788</v>
      </c>
      <c r="D651" t="s">
        <v>10425</v>
      </c>
      <c r="E651" t="s">
        <v>9790</v>
      </c>
    </row>
    <row r="652" spans="1:5" hidden="1" x14ac:dyDescent="0.25">
      <c r="A652" t="s">
        <v>11945</v>
      </c>
      <c r="B652" t="s">
        <v>2775</v>
      </c>
      <c r="C652" t="s">
        <v>9800</v>
      </c>
      <c r="D652" t="s">
        <v>11946</v>
      </c>
      <c r="E652" t="s">
        <v>9802</v>
      </c>
    </row>
    <row r="653" spans="1:5" hidden="1" x14ac:dyDescent="0.25">
      <c r="A653" t="s">
        <v>11947</v>
      </c>
      <c r="B653" t="s">
        <v>5091</v>
      </c>
      <c r="C653" t="s">
        <v>11764</v>
      </c>
      <c r="D653" t="s">
        <v>11948</v>
      </c>
      <c r="E653" t="s">
        <v>11772</v>
      </c>
    </row>
    <row r="654" spans="1:5" hidden="1" x14ac:dyDescent="0.25">
      <c r="A654" t="s">
        <v>11949</v>
      </c>
      <c r="B654" t="s">
        <v>4302</v>
      </c>
      <c r="C654" t="s">
        <v>9852</v>
      </c>
      <c r="D654" t="s">
        <v>11950</v>
      </c>
      <c r="E654" t="s">
        <v>9854</v>
      </c>
    </row>
    <row r="655" spans="1:5" hidden="1" x14ac:dyDescent="0.25">
      <c r="A655" t="s">
        <v>11951</v>
      </c>
      <c r="B655" t="s">
        <v>4039</v>
      </c>
      <c r="C655" t="s">
        <v>10245</v>
      </c>
      <c r="D655" t="s">
        <v>11952</v>
      </c>
      <c r="E655" t="s">
        <v>10247</v>
      </c>
    </row>
    <row r="656" spans="1:5" hidden="1" x14ac:dyDescent="0.25">
      <c r="A656" t="s">
        <v>11953</v>
      </c>
      <c r="B656" t="s">
        <v>4191</v>
      </c>
      <c r="C656" t="s">
        <v>9948</v>
      </c>
      <c r="D656" t="s">
        <v>11954</v>
      </c>
      <c r="E656" t="s">
        <v>9950</v>
      </c>
    </row>
    <row r="657" spans="1:5" hidden="1" x14ac:dyDescent="0.25">
      <c r="A657" t="s">
        <v>11955</v>
      </c>
      <c r="B657" t="s">
        <v>4075</v>
      </c>
      <c r="C657" t="s">
        <v>9948</v>
      </c>
      <c r="D657" t="s">
        <v>11956</v>
      </c>
      <c r="E657" t="s">
        <v>9950</v>
      </c>
    </row>
    <row r="658" spans="1:5" hidden="1" x14ac:dyDescent="0.25">
      <c r="A658" t="s">
        <v>11957</v>
      </c>
      <c r="B658" t="s">
        <v>4897</v>
      </c>
      <c r="C658" t="s">
        <v>9735</v>
      </c>
      <c r="D658" t="s">
        <v>11958</v>
      </c>
      <c r="E658" t="s">
        <v>9735</v>
      </c>
    </row>
    <row r="659" spans="1:5" hidden="1" x14ac:dyDescent="0.25">
      <c r="A659" t="s">
        <v>11959</v>
      </c>
      <c r="B659" t="s">
        <v>2812</v>
      </c>
      <c r="C659" t="s">
        <v>9738</v>
      </c>
      <c r="D659" t="s">
        <v>10369</v>
      </c>
      <c r="E659" t="s">
        <v>9740</v>
      </c>
    </row>
    <row r="660" spans="1:5" hidden="1" x14ac:dyDescent="0.25">
      <c r="A660" t="s">
        <v>11960</v>
      </c>
      <c r="B660" t="s">
        <v>6000</v>
      </c>
      <c r="C660" t="s">
        <v>10102</v>
      </c>
      <c r="D660" t="s">
        <v>11961</v>
      </c>
      <c r="E660" t="s">
        <v>10104</v>
      </c>
    </row>
    <row r="661" spans="1:5" hidden="1" x14ac:dyDescent="0.25">
      <c r="A661" t="s">
        <v>11962</v>
      </c>
      <c r="B661" t="s">
        <v>6635</v>
      </c>
      <c r="C661" t="s">
        <v>9640</v>
      </c>
      <c r="D661" t="s">
        <v>9918</v>
      </c>
      <c r="E661" t="s">
        <v>9642</v>
      </c>
    </row>
    <row r="662" spans="1:5" hidden="1" x14ac:dyDescent="0.25">
      <c r="A662" t="s">
        <v>11963</v>
      </c>
      <c r="B662" t="s">
        <v>4977</v>
      </c>
      <c r="C662" t="s">
        <v>9646</v>
      </c>
      <c r="D662" t="s">
        <v>11964</v>
      </c>
      <c r="E662" t="s">
        <v>9648</v>
      </c>
    </row>
    <row r="663" spans="1:5" hidden="1" x14ac:dyDescent="0.25">
      <c r="A663" t="s">
        <v>11965</v>
      </c>
      <c r="B663" t="s">
        <v>3463</v>
      </c>
      <c r="C663" t="s">
        <v>9738</v>
      </c>
      <c r="D663" t="s">
        <v>11966</v>
      </c>
      <c r="E663" t="s">
        <v>9740</v>
      </c>
    </row>
    <row r="664" spans="1:5" hidden="1" x14ac:dyDescent="0.25">
      <c r="A664" t="s">
        <v>11967</v>
      </c>
      <c r="B664" t="s">
        <v>4837</v>
      </c>
      <c r="C664" t="s">
        <v>9754</v>
      </c>
      <c r="D664" t="s">
        <v>11968</v>
      </c>
      <c r="E664" t="s">
        <v>9756</v>
      </c>
    </row>
    <row r="665" spans="1:5" hidden="1" x14ac:dyDescent="0.25">
      <c r="A665" t="s">
        <v>11969</v>
      </c>
      <c r="B665" t="s">
        <v>3439</v>
      </c>
      <c r="C665" t="s">
        <v>9738</v>
      </c>
      <c r="D665" t="s">
        <v>11970</v>
      </c>
      <c r="E665" t="s">
        <v>9740</v>
      </c>
    </row>
    <row r="666" spans="1:5" hidden="1" x14ac:dyDescent="0.25">
      <c r="A666" t="s">
        <v>11971</v>
      </c>
      <c r="B666" t="s">
        <v>4586</v>
      </c>
      <c r="C666" t="s">
        <v>9948</v>
      </c>
      <c r="D666" t="s">
        <v>11972</v>
      </c>
      <c r="E666" t="s">
        <v>9950</v>
      </c>
    </row>
    <row r="667" spans="1:5" hidden="1" x14ac:dyDescent="0.25">
      <c r="A667" t="s">
        <v>11973</v>
      </c>
      <c r="B667" t="s">
        <v>5656</v>
      </c>
      <c r="C667" t="s">
        <v>9640</v>
      </c>
      <c r="D667" t="s">
        <v>11974</v>
      </c>
      <c r="E667" t="s">
        <v>9642</v>
      </c>
    </row>
    <row r="668" spans="1:5" hidden="1" x14ac:dyDescent="0.25">
      <c r="A668" t="s">
        <v>11975</v>
      </c>
      <c r="B668" t="s">
        <v>4388</v>
      </c>
      <c r="C668" t="s">
        <v>9738</v>
      </c>
      <c r="D668" t="s">
        <v>11976</v>
      </c>
      <c r="E668" t="s">
        <v>9740</v>
      </c>
    </row>
    <row r="669" spans="1:5" hidden="1" x14ac:dyDescent="0.25">
      <c r="A669" t="s">
        <v>11977</v>
      </c>
      <c r="B669" t="s">
        <v>4405</v>
      </c>
      <c r="C669" t="s">
        <v>9723</v>
      </c>
      <c r="D669" t="s">
        <v>11978</v>
      </c>
      <c r="E669" t="s">
        <v>9725</v>
      </c>
    </row>
    <row r="670" spans="1:5" hidden="1" x14ac:dyDescent="0.25">
      <c r="A670" t="s">
        <v>11979</v>
      </c>
      <c r="B670" t="s">
        <v>3768</v>
      </c>
      <c r="C670" t="s">
        <v>9738</v>
      </c>
      <c r="D670" t="s">
        <v>11980</v>
      </c>
      <c r="E670" t="s">
        <v>9740</v>
      </c>
    </row>
    <row r="671" spans="1:5" hidden="1" x14ac:dyDescent="0.25">
      <c r="A671" t="s">
        <v>11981</v>
      </c>
      <c r="B671" t="s">
        <v>5134</v>
      </c>
      <c r="C671" t="s">
        <v>9792</v>
      </c>
      <c r="D671" t="s">
        <v>11982</v>
      </c>
      <c r="E671" t="s">
        <v>9794</v>
      </c>
    </row>
    <row r="672" spans="1:5" hidden="1" x14ac:dyDescent="0.25">
      <c r="A672" t="s">
        <v>11983</v>
      </c>
      <c r="B672" t="s">
        <v>2698</v>
      </c>
      <c r="C672" t="s">
        <v>9836</v>
      </c>
      <c r="D672" t="s">
        <v>11982</v>
      </c>
      <c r="E672" t="s">
        <v>9838</v>
      </c>
    </row>
    <row r="673" spans="1:5" hidden="1" x14ac:dyDescent="0.25">
      <c r="A673" t="s">
        <v>11984</v>
      </c>
      <c r="B673" t="s">
        <v>4999</v>
      </c>
      <c r="C673" t="s">
        <v>9848</v>
      </c>
      <c r="D673" t="s">
        <v>11982</v>
      </c>
      <c r="E673" t="s">
        <v>9850</v>
      </c>
    </row>
    <row r="674" spans="1:5" hidden="1" x14ac:dyDescent="0.25">
      <c r="A674" t="s">
        <v>11985</v>
      </c>
      <c r="B674" t="s">
        <v>4711</v>
      </c>
      <c r="C674" t="s">
        <v>9792</v>
      </c>
      <c r="D674" t="s">
        <v>11982</v>
      </c>
      <c r="E674" t="s">
        <v>9794</v>
      </c>
    </row>
    <row r="675" spans="1:5" hidden="1" x14ac:dyDescent="0.25">
      <c r="A675" t="s">
        <v>11986</v>
      </c>
      <c r="B675" t="s">
        <v>3730</v>
      </c>
      <c r="C675" t="s">
        <v>9646</v>
      </c>
      <c r="D675" t="s">
        <v>11987</v>
      </c>
      <c r="E675" t="s">
        <v>9648</v>
      </c>
    </row>
    <row r="676" spans="1:5" hidden="1" x14ac:dyDescent="0.25">
      <c r="A676" t="s">
        <v>11988</v>
      </c>
      <c r="B676" t="s">
        <v>3913</v>
      </c>
      <c r="C676" t="s">
        <v>9996</v>
      </c>
      <c r="D676" t="s">
        <v>11989</v>
      </c>
      <c r="E676" t="s">
        <v>9998</v>
      </c>
    </row>
    <row r="677" spans="1:5" hidden="1" x14ac:dyDescent="0.25">
      <c r="A677" t="s">
        <v>11990</v>
      </c>
      <c r="B677" t="s">
        <v>6346</v>
      </c>
      <c r="C677" t="s">
        <v>9754</v>
      </c>
      <c r="D677" t="s">
        <v>11991</v>
      </c>
      <c r="E677" t="s">
        <v>9756</v>
      </c>
    </row>
    <row r="678" spans="1:5" hidden="1" x14ac:dyDescent="0.25">
      <c r="A678" t="s">
        <v>11992</v>
      </c>
      <c r="B678" t="s">
        <v>5248</v>
      </c>
      <c r="C678" t="s">
        <v>10172</v>
      </c>
      <c r="D678" t="s">
        <v>11993</v>
      </c>
      <c r="E678" t="s">
        <v>10174</v>
      </c>
    </row>
    <row r="679" spans="1:5" hidden="1" x14ac:dyDescent="0.25">
      <c r="A679" t="s">
        <v>11994</v>
      </c>
      <c r="B679" t="s">
        <v>2579</v>
      </c>
      <c r="C679" t="s">
        <v>9848</v>
      </c>
      <c r="D679" t="s">
        <v>11995</v>
      </c>
      <c r="E679" t="s">
        <v>9850</v>
      </c>
    </row>
    <row r="680" spans="1:5" hidden="1" x14ac:dyDescent="0.25">
      <c r="A680" t="s">
        <v>11996</v>
      </c>
      <c r="B680" t="s">
        <v>4759</v>
      </c>
      <c r="C680" t="s">
        <v>9629</v>
      </c>
      <c r="D680" t="s">
        <v>11997</v>
      </c>
      <c r="E680" t="s">
        <v>9631</v>
      </c>
    </row>
    <row r="681" spans="1:5" hidden="1" x14ac:dyDescent="0.25">
      <c r="A681" t="s">
        <v>11998</v>
      </c>
      <c r="B681" t="s">
        <v>3541</v>
      </c>
      <c r="C681" t="s">
        <v>9792</v>
      </c>
      <c r="D681" t="s">
        <v>11999</v>
      </c>
      <c r="E681" t="s">
        <v>9794</v>
      </c>
    </row>
    <row r="682" spans="1:5" hidden="1" x14ac:dyDescent="0.25">
      <c r="A682" t="s">
        <v>12000</v>
      </c>
      <c r="B682" t="s">
        <v>4150</v>
      </c>
      <c r="C682" t="s">
        <v>9738</v>
      </c>
      <c r="D682" t="s">
        <v>12001</v>
      </c>
      <c r="E682" t="s">
        <v>9740</v>
      </c>
    </row>
    <row r="683" spans="1:5" hidden="1" x14ac:dyDescent="0.25">
      <c r="A683" t="s">
        <v>12002</v>
      </c>
      <c r="B683" t="s">
        <v>4508</v>
      </c>
      <c r="C683" t="s">
        <v>9754</v>
      </c>
      <c r="D683" t="s">
        <v>12003</v>
      </c>
      <c r="E683" t="s">
        <v>9756</v>
      </c>
    </row>
    <row r="684" spans="1:5" hidden="1" x14ac:dyDescent="0.25">
      <c r="A684" t="s">
        <v>12004</v>
      </c>
      <c r="B684" t="s">
        <v>4332</v>
      </c>
      <c r="C684" t="s">
        <v>9836</v>
      </c>
      <c r="D684" t="s">
        <v>12005</v>
      </c>
      <c r="E684" t="s">
        <v>9838</v>
      </c>
    </row>
    <row r="685" spans="1:5" hidden="1" x14ac:dyDescent="0.25">
      <c r="A685" t="s">
        <v>12006</v>
      </c>
      <c r="B685" t="s">
        <v>5953</v>
      </c>
      <c r="C685" t="s">
        <v>10245</v>
      </c>
      <c r="D685" t="s">
        <v>12007</v>
      </c>
      <c r="E685" t="s">
        <v>10247</v>
      </c>
    </row>
    <row r="686" spans="1:5" hidden="1" x14ac:dyDescent="0.25">
      <c r="A686" t="s">
        <v>12008</v>
      </c>
      <c r="B686" t="s">
        <v>3134</v>
      </c>
      <c r="C686" t="s">
        <v>9848</v>
      </c>
      <c r="D686" t="s">
        <v>12009</v>
      </c>
      <c r="E686" t="s">
        <v>9850</v>
      </c>
    </row>
    <row r="687" spans="1:5" hidden="1" x14ac:dyDescent="0.25">
      <c r="A687" t="s">
        <v>12010</v>
      </c>
      <c r="B687" t="s">
        <v>4467</v>
      </c>
      <c r="C687" t="s">
        <v>9820</v>
      </c>
      <c r="D687" t="s">
        <v>12011</v>
      </c>
      <c r="E687" t="s">
        <v>9822</v>
      </c>
    </row>
    <row r="688" spans="1:5" hidden="1" x14ac:dyDescent="0.25">
      <c r="A688" t="s">
        <v>12012</v>
      </c>
      <c r="B688" t="s">
        <v>5572</v>
      </c>
      <c r="C688" t="s">
        <v>9792</v>
      </c>
      <c r="D688" t="s">
        <v>12013</v>
      </c>
      <c r="E688" t="s">
        <v>9794</v>
      </c>
    </row>
    <row r="689" spans="1:5" hidden="1" x14ac:dyDescent="0.25">
      <c r="A689" t="s">
        <v>12014</v>
      </c>
      <c r="B689" t="s">
        <v>3741</v>
      </c>
      <c r="C689" t="s">
        <v>10098</v>
      </c>
      <c r="D689" t="s">
        <v>12015</v>
      </c>
      <c r="E689" t="s">
        <v>12016</v>
      </c>
    </row>
    <row r="690" spans="1:5" hidden="1" x14ac:dyDescent="0.25">
      <c r="A690" t="s">
        <v>12017</v>
      </c>
      <c r="B690" t="s">
        <v>5419</v>
      </c>
      <c r="C690" t="s">
        <v>9691</v>
      </c>
      <c r="D690" t="s">
        <v>10128</v>
      </c>
      <c r="E690" t="s">
        <v>9693</v>
      </c>
    </row>
    <row r="691" spans="1:5" hidden="1" x14ac:dyDescent="0.25">
      <c r="A691" t="s">
        <v>12018</v>
      </c>
      <c r="B691" t="s">
        <v>4170</v>
      </c>
      <c r="C691" t="s">
        <v>9792</v>
      </c>
      <c r="D691" t="s">
        <v>10128</v>
      </c>
      <c r="E691" t="s">
        <v>9794</v>
      </c>
    </row>
    <row r="692" spans="1:5" hidden="1" x14ac:dyDescent="0.25">
      <c r="A692" t="s">
        <v>12019</v>
      </c>
      <c r="B692" t="s">
        <v>3657</v>
      </c>
      <c r="C692" t="s">
        <v>9640</v>
      </c>
      <c r="D692" t="s">
        <v>12020</v>
      </c>
      <c r="E692" t="s">
        <v>9642</v>
      </c>
    </row>
    <row r="693" spans="1:5" hidden="1" x14ac:dyDescent="0.25">
      <c r="A693" t="s">
        <v>12021</v>
      </c>
      <c r="B693" t="s">
        <v>5413</v>
      </c>
      <c r="C693" t="s">
        <v>10090</v>
      </c>
      <c r="D693" t="s">
        <v>12022</v>
      </c>
      <c r="E693" t="s">
        <v>10092</v>
      </c>
    </row>
    <row r="694" spans="1:5" hidden="1" x14ac:dyDescent="0.25">
      <c r="A694" t="s">
        <v>12023</v>
      </c>
      <c r="B694" t="s">
        <v>3757</v>
      </c>
      <c r="C694" t="s">
        <v>9792</v>
      </c>
      <c r="D694" t="s">
        <v>12024</v>
      </c>
      <c r="E694" t="s">
        <v>9794</v>
      </c>
    </row>
    <row r="695" spans="1:5" hidden="1" x14ac:dyDescent="0.25">
      <c r="A695" t="s">
        <v>12025</v>
      </c>
      <c r="B695" t="s">
        <v>4434</v>
      </c>
      <c r="C695" t="s">
        <v>9640</v>
      </c>
      <c r="D695" t="s">
        <v>12026</v>
      </c>
      <c r="E695" t="s">
        <v>9642</v>
      </c>
    </row>
    <row r="696" spans="1:5" hidden="1" x14ac:dyDescent="0.25">
      <c r="A696" t="s">
        <v>12027</v>
      </c>
      <c r="B696" t="s">
        <v>3068</v>
      </c>
      <c r="C696" t="s">
        <v>10134</v>
      </c>
      <c r="D696" t="s">
        <v>12028</v>
      </c>
      <c r="E696" t="s">
        <v>10136</v>
      </c>
    </row>
    <row r="697" spans="1:5" hidden="1" x14ac:dyDescent="0.25">
      <c r="A697" t="s">
        <v>12029</v>
      </c>
      <c r="B697" t="s">
        <v>4381</v>
      </c>
      <c r="C697" t="s">
        <v>9788</v>
      </c>
      <c r="D697" t="s">
        <v>12030</v>
      </c>
      <c r="E697" t="s">
        <v>9790</v>
      </c>
    </row>
    <row r="698" spans="1:5" hidden="1" x14ac:dyDescent="0.25">
      <c r="A698" t="s">
        <v>12031</v>
      </c>
      <c r="B698" t="s">
        <v>3303</v>
      </c>
      <c r="C698" t="s">
        <v>9738</v>
      </c>
      <c r="D698" t="s">
        <v>10375</v>
      </c>
      <c r="E698" t="s">
        <v>9740</v>
      </c>
    </row>
    <row r="699" spans="1:5" hidden="1" x14ac:dyDescent="0.25">
      <c r="A699" t="s">
        <v>12032</v>
      </c>
      <c r="B699" t="s">
        <v>4528</v>
      </c>
      <c r="C699" t="s">
        <v>9800</v>
      </c>
      <c r="D699" t="s">
        <v>12033</v>
      </c>
      <c r="E699" t="s">
        <v>9802</v>
      </c>
    </row>
    <row r="700" spans="1:5" hidden="1" x14ac:dyDescent="0.25">
      <c r="A700" t="s">
        <v>12034</v>
      </c>
      <c r="B700" t="s">
        <v>3027</v>
      </c>
      <c r="C700" t="s">
        <v>9782</v>
      </c>
      <c r="D700" t="s">
        <v>12035</v>
      </c>
      <c r="E700" t="s">
        <v>9784</v>
      </c>
    </row>
    <row r="701" spans="1:5" hidden="1" x14ac:dyDescent="0.25">
      <c r="A701" t="s">
        <v>12036</v>
      </c>
      <c r="B701" t="s">
        <v>3926</v>
      </c>
      <c r="C701" t="s">
        <v>9640</v>
      </c>
      <c r="D701" t="s">
        <v>12037</v>
      </c>
      <c r="E701" t="s">
        <v>9642</v>
      </c>
    </row>
    <row r="702" spans="1:5" hidden="1" x14ac:dyDescent="0.25">
      <c r="A702" t="s">
        <v>12038</v>
      </c>
      <c r="B702" t="s">
        <v>5087</v>
      </c>
      <c r="C702" t="s">
        <v>9640</v>
      </c>
      <c r="D702" t="s">
        <v>12039</v>
      </c>
      <c r="E702" t="s">
        <v>9642</v>
      </c>
    </row>
    <row r="703" spans="1:5" hidden="1" x14ac:dyDescent="0.25">
      <c r="A703" t="s">
        <v>12040</v>
      </c>
      <c r="B703" t="s">
        <v>3754</v>
      </c>
      <c r="C703" t="s">
        <v>9948</v>
      </c>
      <c r="D703" t="s">
        <v>12041</v>
      </c>
      <c r="E703" t="s">
        <v>9950</v>
      </c>
    </row>
    <row r="704" spans="1:5" hidden="1" x14ac:dyDescent="0.25">
      <c r="A704" t="s">
        <v>12042</v>
      </c>
      <c r="B704" t="s">
        <v>4840</v>
      </c>
      <c r="C704" t="s">
        <v>9788</v>
      </c>
      <c r="D704" t="s">
        <v>12043</v>
      </c>
      <c r="E704" t="s">
        <v>9790</v>
      </c>
    </row>
    <row r="705" spans="1:5" hidden="1" x14ac:dyDescent="0.25">
      <c r="A705" t="s">
        <v>12044</v>
      </c>
      <c r="B705" t="s">
        <v>2904</v>
      </c>
      <c r="C705" t="s">
        <v>9782</v>
      </c>
      <c r="D705" t="s">
        <v>12045</v>
      </c>
      <c r="E705" t="s">
        <v>9784</v>
      </c>
    </row>
    <row r="706" spans="1:5" hidden="1" x14ac:dyDescent="0.25">
      <c r="A706" t="s">
        <v>12046</v>
      </c>
      <c r="B706" t="s">
        <v>3144</v>
      </c>
      <c r="C706" t="s">
        <v>9637</v>
      </c>
      <c r="D706" t="s">
        <v>12047</v>
      </c>
      <c r="E706" t="s">
        <v>9637</v>
      </c>
    </row>
    <row r="707" spans="1:5" hidden="1" x14ac:dyDescent="0.25">
      <c r="A707" t="s">
        <v>12048</v>
      </c>
      <c r="B707" t="s">
        <v>3637</v>
      </c>
      <c r="C707" t="s">
        <v>9738</v>
      </c>
      <c r="D707" t="s">
        <v>12049</v>
      </c>
      <c r="E707" t="s">
        <v>9740</v>
      </c>
    </row>
    <row r="708" spans="1:5" hidden="1" x14ac:dyDescent="0.25">
      <c r="A708" t="s">
        <v>12050</v>
      </c>
      <c r="B708" t="s">
        <v>4400</v>
      </c>
      <c r="C708" t="s">
        <v>10245</v>
      </c>
      <c r="D708" t="s">
        <v>12051</v>
      </c>
      <c r="E708" t="s">
        <v>10247</v>
      </c>
    </row>
    <row r="709" spans="1:5" hidden="1" x14ac:dyDescent="0.25">
      <c r="A709" t="s">
        <v>12052</v>
      </c>
      <c r="B709" t="s">
        <v>4959</v>
      </c>
      <c r="C709" t="s">
        <v>9738</v>
      </c>
      <c r="D709" t="s">
        <v>12053</v>
      </c>
      <c r="E709" t="s">
        <v>9740</v>
      </c>
    </row>
    <row r="710" spans="1:5" hidden="1" x14ac:dyDescent="0.25">
      <c r="A710" t="s">
        <v>12054</v>
      </c>
      <c r="B710" t="s">
        <v>6726</v>
      </c>
      <c r="C710" t="s">
        <v>9948</v>
      </c>
      <c r="D710" t="s">
        <v>12053</v>
      </c>
      <c r="E710" t="s">
        <v>9950</v>
      </c>
    </row>
    <row r="711" spans="1:5" hidden="1" x14ac:dyDescent="0.25">
      <c r="A711" t="s">
        <v>12055</v>
      </c>
      <c r="B711" t="s">
        <v>3005</v>
      </c>
      <c r="C711" t="s">
        <v>9748</v>
      </c>
      <c r="D711" t="s">
        <v>12056</v>
      </c>
      <c r="E711" t="s">
        <v>9750</v>
      </c>
    </row>
    <row r="712" spans="1:5" hidden="1" x14ac:dyDescent="0.25">
      <c r="A712" t="s">
        <v>12057</v>
      </c>
      <c r="B712" t="s">
        <v>5347</v>
      </c>
      <c r="C712" t="s">
        <v>9738</v>
      </c>
      <c r="D712" t="s">
        <v>12058</v>
      </c>
      <c r="E712" t="s">
        <v>9740</v>
      </c>
    </row>
    <row r="713" spans="1:5" hidden="1" x14ac:dyDescent="0.25">
      <c r="A713" t="s">
        <v>12059</v>
      </c>
      <c r="B713" t="s">
        <v>6357</v>
      </c>
      <c r="C713" t="s">
        <v>9691</v>
      </c>
      <c r="D713" t="s">
        <v>12060</v>
      </c>
      <c r="E713" t="s">
        <v>9693</v>
      </c>
    </row>
    <row r="714" spans="1:5" hidden="1" x14ac:dyDescent="0.25">
      <c r="A714" t="s">
        <v>12061</v>
      </c>
      <c r="B714" t="s">
        <v>4419</v>
      </c>
      <c r="C714" t="s">
        <v>9852</v>
      </c>
      <c r="D714" t="s">
        <v>12062</v>
      </c>
      <c r="E714" t="s">
        <v>9854</v>
      </c>
    </row>
    <row r="715" spans="1:5" hidden="1" x14ac:dyDescent="0.25">
      <c r="A715" t="s">
        <v>12063</v>
      </c>
      <c r="B715" t="s">
        <v>3820</v>
      </c>
      <c r="C715" t="s">
        <v>9748</v>
      </c>
      <c r="D715" t="s">
        <v>12064</v>
      </c>
      <c r="E715" t="s">
        <v>9750</v>
      </c>
    </row>
    <row r="716" spans="1:5" hidden="1" x14ac:dyDescent="0.25">
      <c r="A716" t="s">
        <v>12065</v>
      </c>
      <c r="B716" t="s">
        <v>4647</v>
      </c>
      <c r="C716" t="s">
        <v>9856</v>
      </c>
      <c r="D716" t="s">
        <v>12066</v>
      </c>
      <c r="E716" t="s">
        <v>9858</v>
      </c>
    </row>
    <row r="717" spans="1:5" hidden="1" x14ac:dyDescent="0.25">
      <c r="A717" t="s">
        <v>12067</v>
      </c>
      <c r="B717" t="s">
        <v>3002</v>
      </c>
      <c r="C717" t="s">
        <v>9621</v>
      </c>
      <c r="D717" t="s">
        <v>12068</v>
      </c>
      <c r="E717" t="s">
        <v>9623</v>
      </c>
    </row>
    <row r="718" spans="1:5" hidden="1" x14ac:dyDescent="0.25">
      <c r="A718" t="s">
        <v>12069</v>
      </c>
      <c r="B718" t="s">
        <v>3495</v>
      </c>
      <c r="C718" t="s">
        <v>10190</v>
      </c>
      <c r="D718" t="s">
        <v>12070</v>
      </c>
      <c r="E718" t="s">
        <v>10192</v>
      </c>
    </row>
    <row r="719" spans="1:5" hidden="1" x14ac:dyDescent="0.25">
      <c r="A719" t="s">
        <v>12071</v>
      </c>
      <c r="B719" t="s">
        <v>5934</v>
      </c>
      <c r="C719" t="s">
        <v>10102</v>
      </c>
      <c r="D719" t="s">
        <v>12072</v>
      </c>
      <c r="E719" t="s">
        <v>10104</v>
      </c>
    </row>
    <row r="720" spans="1:5" hidden="1" x14ac:dyDescent="0.25">
      <c r="A720" t="s">
        <v>12073</v>
      </c>
      <c r="B720" t="s">
        <v>6150</v>
      </c>
      <c r="C720" t="s">
        <v>9992</v>
      </c>
      <c r="D720" t="s">
        <v>12074</v>
      </c>
      <c r="E720" t="s">
        <v>9994</v>
      </c>
    </row>
    <row r="721" spans="1:5" hidden="1" x14ac:dyDescent="0.25">
      <c r="A721" t="s">
        <v>12075</v>
      </c>
      <c r="B721" t="s">
        <v>7233</v>
      </c>
      <c r="C721" t="s">
        <v>9738</v>
      </c>
      <c r="D721" t="s">
        <v>12076</v>
      </c>
      <c r="E721" t="s">
        <v>9740</v>
      </c>
    </row>
    <row r="722" spans="1:5" hidden="1" x14ac:dyDescent="0.25">
      <c r="A722" t="s">
        <v>12077</v>
      </c>
      <c r="B722" t="s">
        <v>4589</v>
      </c>
      <c r="C722" t="s">
        <v>9792</v>
      </c>
      <c r="D722" t="s">
        <v>12078</v>
      </c>
      <c r="E722" t="s">
        <v>9794</v>
      </c>
    </row>
    <row r="723" spans="1:5" hidden="1" x14ac:dyDescent="0.25">
      <c r="A723" t="s">
        <v>12079</v>
      </c>
      <c r="B723" t="s">
        <v>3659</v>
      </c>
      <c r="C723" t="s">
        <v>10613</v>
      </c>
      <c r="D723" t="s">
        <v>12080</v>
      </c>
      <c r="E723" t="s">
        <v>10615</v>
      </c>
    </row>
    <row r="724" spans="1:5" hidden="1" x14ac:dyDescent="0.25">
      <c r="A724" t="s">
        <v>12081</v>
      </c>
      <c r="B724" t="s">
        <v>6432</v>
      </c>
      <c r="C724" t="s">
        <v>9640</v>
      </c>
      <c r="D724" t="s">
        <v>12082</v>
      </c>
      <c r="E724" t="s">
        <v>9642</v>
      </c>
    </row>
    <row r="725" spans="1:5" hidden="1" x14ac:dyDescent="0.25">
      <c r="A725" t="s">
        <v>12083</v>
      </c>
      <c r="B725" t="s">
        <v>3366</v>
      </c>
      <c r="C725" t="s">
        <v>9884</v>
      </c>
      <c r="D725" t="s">
        <v>12084</v>
      </c>
      <c r="E725" t="s">
        <v>9886</v>
      </c>
    </row>
    <row r="726" spans="1:5" hidden="1" x14ac:dyDescent="0.25">
      <c r="A726" t="s">
        <v>12085</v>
      </c>
      <c r="B726" t="s">
        <v>4030</v>
      </c>
      <c r="C726" t="s">
        <v>11766</v>
      </c>
      <c r="D726" t="s">
        <v>12086</v>
      </c>
      <c r="E726" t="s">
        <v>11768</v>
      </c>
    </row>
    <row r="727" spans="1:5" hidden="1" x14ac:dyDescent="0.25">
      <c r="A727" t="s">
        <v>12087</v>
      </c>
      <c r="B727" t="s">
        <v>6026</v>
      </c>
      <c r="C727" t="s">
        <v>9748</v>
      </c>
      <c r="D727" t="s">
        <v>12088</v>
      </c>
      <c r="E727" t="s">
        <v>9750</v>
      </c>
    </row>
    <row r="728" spans="1:5" hidden="1" x14ac:dyDescent="0.25">
      <c r="A728" t="s">
        <v>12089</v>
      </c>
      <c r="B728" t="s">
        <v>2408</v>
      </c>
      <c r="C728" t="s">
        <v>9637</v>
      </c>
      <c r="D728" t="s">
        <v>12090</v>
      </c>
      <c r="E728" t="s">
        <v>9637</v>
      </c>
    </row>
    <row r="729" spans="1:5" hidden="1" x14ac:dyDescent="0.25">
      <c r="A729" t="s">
        <v>12091</v>
      </c>
      <c r="B729" t="s">
        <v>4819</v>
      </c>
      <c r="C729" t="s">
        <v>9748</v>
      </c>
      <c r="D729" t="s">
        <v>12092</v>
      </c>
      <c r="E729" t="s">
        <v>9750</v>
      </c>
    </row>
    <row r="730" spans="1:5" hidden="1" x14ac:dyDescent="0.25">
      <c r="A730" t="s">
        <v>12093</v>
      </c>
      <c r="B730" t="s">
        <v>6145</v>
      </c>
      <c r="C730" t="s">
        <v>9691</v>
      </c>
      <c r="D730" t="s">
        <v>12094</v>
      </c>
      <c r="E730" t="s">
        <v>9693</v>
      </c>
    </row>
    <row r="731" spans="1:5" hidden="1" x14ac:dyDescent="0.25">
      <c r="A731" t="s">
        <v>12095</v>
      </c>
      <c r="B731" t="s">
        <v>5806</v>
      </c>
      <c r="C731" t="s">
        <v>9782</v>
      </c>
      <c r="D731" t="s">
        <v>12096</v>
      </c>
      <c r="E731" t="s">
        <v>9784</v>
      </c>
    </row>
    <row r="732" spans="1:5" hidden="1" x14ac:dyDescent="0.25">
      <c r="A732" t="s">
        <v>12097</v>
      </c>
      <c r="B732" t="s">
        <v>5408</v>
      </c>
      <c r="C732" t="s">
        <v>9629</v>
      </c>
      <c r="D732" t="s">
        <v>12098</v>
      </c>
      <c r="E732" t="s">
        <v>9631</v>
      </c>
    </row>
    <row r="733" spans="1:5" hidden="1" x14ac:dyDescent="0.25">
      <c r="A733" t="s">
        <v>12099</v>
      </c>
      <c r="B733" t="s">
        <v>3937</v>
      </c>
      <c r="C733" t="s">
        <v>9669</v>
      </c>
      <c r="D733" t="s">
        <v>12100</v>
      </c>
      <c r="E733" t="s">
        <v>9671</v>
      </c>
    </row>
    <row r="734" spans="1:5" hidden="1" x14ac:dyDescent="0.25">
      <c r="A734" t="s">
        <v>12101</v>
      </c>
      <c r="B734" t="s">
        <v>2992</v>
      </c>
      <c r="C734" t="s">
        <v>9774</v>
      </c>
      <c r="D734" t="s">
        <v>12102</v>
      </c>
      <c r="E734" t="s">
        <v>9776</v>
      </c>
    </row>
    <row r="735" spans="1:5" hidden="1" x14ac:dyDescent="0.25">
      <c r="A735" t="s">
        <v>12103</v>
      </c>
      <c r="B735" t="s">
        <v>5674</v>
      </c>
      <c r="C735" t="s">
        <v>10024</v>
      </c>
      <c r="D735" t="s">
        <v>12104</v>
      </c>
      <c r="E735" t="s">
        <v>10026</v>
      </c>
    </row>
    <row r="736" spans="1:5" hidden="1" x14ac:dyDescent="0.25">
      <c r="A736" t="s">
        <v>12105</v>
      </c>
      <c r="B736" t="s">
        <v>3532</v>
      </c>
      <c r="C736" t="s">
        <v>10024</v>
      </c>
      <c r="D736" t="s">
        <v>12106</v>
      </c>
      <c r="E736" t="s">
        <v>10026</v>
      </c>
    </row>
    <row r="737" spans="1:5" hidden="1" x14ac:dyDescent="0.25">
      <c r="A737" t="s">
        <v>12107</v>
      </c>
      <c r="B737" t="s">
        <v>4991</v>
      </c>
      <c r="C737" t="s">
        <v>9748</v>
      </c>
      <c r="D737" t="s">
        <v>12108</v>
      </c>
      <c r="E737" t="s">
        <v>9750</v>
      </c>
    </row>
    <row r="738" spans="1:5" hidden="1" x14ac:dyDescent="0.25">
      <c r="A738" t="s">
        <v>12109</v>
      </c>
      <c r="B738" t="s">
        <v>3871</v>
      </c>
      <c r="C738" t="s">
        <v>9748</v>
      </c>
      <c r="D738" t="s">
        <v>12110</v>
      </c>
      <c r="E738" t="s">
        <v>9750</v>
      </c>
    </row>
    <row r="739" spans="1:5" hidden="1" x14ac:dyDescent="0.25">
      <c r="A739" t="s">
        <v>12111</v>
      </c>
      <c r="B739" t="s">
        <v>2905</v>
      </c>
      <c r="C739" t="s">
        <v>9637</v>
      </c>
      <c r="D739" t="s">
        <v>12112</v>
      </c>
      <c r="E739" t="s">
        <v>9637</v>
      </c>
    </row>
    <row r="740" spans="1:5" hidden="1" x14ac:dyDescent="0.25">
      <c r="A740" t="s">
        <v>12113</v>
      </c>
      <c r="B740" t="s">
        <v>2742</v>
      </c>
      <c r="C740" t="s">
        <v>9872</v>
      </c>
      <c r="D740" t="s">
        <v>12114</v>
      </c>
      <c r="E740" t="s">
        <v>9874</v>
      </c>
    </row>
    <row r="741" spans="1:5" hidden="1" x14ac:dyDescent="0.25">
      <c r="A741" t="s">
        <v>12115</v>
      </c>
      <c r="B741" t="s">
        <v>3346</v>
      </c>
      <c r="C741" t="s">
        <v>9738</v>
      </c>
      <c r="D741" t="s">
        <v>12116</v>
      </c>
      <c r="E741" t="s">
        <v>9740</v>
      </c>
    </row>
    <row r="742" spans="1:5" hidden="1" x14ac:dyDescent="0.25">
      <c r="A742" t="s">
        <v>12117</v>
      </c>
      <c r="B742" t="s">
        <v>5205</v>
      </c>
      <c r="C742" t="s">
        <v>9738</v>
      </c>
      <c r="D742" t="s">
        <v>12118</v>
      </c>
      <c r="E742" t="s">
        <v>9740</v>
      </c>
    </row>
    <row r="743" spans="1:5" hidden="1" x14ac:dyDescent="0.25">
      <c r="A743" t="s">
        <v>12119</v>
      </c>
      <c r="B743" t="s">
        <v>3496</v>
      </c>
      <c r="C743" t="s">
        <v>9748</v>
      </c>
      <c r="D743" t="s">
        <v>12120</v>
      </c>
      <c r="E743" t="s">
        <v>9750</v>
      </c>
    </row>
    <row r="744" spans="1:5" hidden="1" x14ac:dyDescent="0.25">
      <c r="A744" t="s">
        <v>12121</v>
      </c>
      <c r="B744" t="s">
        <v>5371</v>
      </c>
      <c r="C744" t="s">
        <v>9738</v>
      </c>
      <c r="D744" t="s">
        <v>12122</v>
      </c>
      <c r="E744" t="s">
        <v>9740</v>
      </c>
    </row>
    <row r="745" spans="1:5" hidden="1" x14ac:dyDescent="0.25">
      <c r="A745" t="s">
        <v>12123</v>
      </c>
      <c r="B745" t="s">
        <v>4266</v>
      </c>
      <c r="C745" t="s">
        <v>9792</v>
      </c>
      <c r="D745" t="s">
        <v>12124</v>
      </c>
      <c r="E745" t="s">
        <v>9794</v>
      </c>
    </row>
    <row r="746" spans="1:5" hidden="1" x14ac:dyDescent="0.25">
      <c r="A746" t="s">
        <v>12125</v>
      </c>
      <c r="B746" t="s">
        <v>5375</v>
      </c>
      <c r="C746" t="s">
        <v>9738</v>
      </c>
      <c r="D746" t="s">
        <v>12126</v>
      </c>
      <c r="E746" t="s">
        <v>9740</v>
      </c>
    </row>
    <row r="747" spans="1:5" hidden="1" x14ac:dyDescent="0.25">
      <c r="A747" t="s">
        <v>12127</v>
      </c>
      <c r="B747" t="s">
        <v>6173</v>
      </c>
      <c r="C747" t="s">
        <v>9792</v>
      </c>
      <c r="D747" t="s">
        <v>12128</v>
      </c>
      <c r="E747" t="s">
        <v>9794</v>
      </c>
    </row>
    <row r="748" spans="1:5" hidden="1" x14ac:dyDescent="0.25">
      <c r="A748" t="s">
        <v>12129</v>
      </c>
      <c r="B748" t="s">
        <v>3010</v>
      </c>
      <c r="C748" t="s">
        <v>9669</v>
      </c>
      <c r="D748" t="s">
        <v>12130</v>
      </c>
      <c r="E748" t="s">
        <v>9671</v>
      </c>
    </row>
    <row r="749" spans="1:5" hidden="1" x14ac:dyDescent="0.25">
      <c r="A749" t="s">
        <v>12131</v>
      </c>
      <c r="B749" t="s">
        <v>6281</v>
      </c>
      <c r="C749" t="s">
        <v>9948</v>
      </c>
      <c r="D749" t="s">
        <v>12132</v>
      </c>
      <c r="E749" t="s">
        <v>9950</v>
      </c>
    </row>
    <row r="750" spans="1:5" hidden="1" x14ac:dyDescent="0.25">
      <c r="A750" t="s">
        <v>12133</v>
      </c>
      <c r="B750" t="s">
        <v>4758</v>
      </c>
      <c r="C750" t="s">
        <v>11764</v>
      </c>
      <c r="D750" t="s">
        <v>12134</v>
      </c>
      <c r="E750" t="s">
        <v>11772</v>
      </c>
    </row>
    <row r="751" spans="1:5" hidden="1" x14ac:dyDescent="0.25">
      <c r="A751" t="s">
        <v>12135</v>
      </c>
      <c r="B751" t="s">
        <v>4203</v>
      </c>
      <c r="C751" t="s">
        <v>9800</v>
      </c>
      <c r="D751" t="s">
        <v>12136</v>
      </c>
      <c r="E751" t="s">
        <v>9802</v>
      </c>
    </row>
    <row r="752" spans="1:5" hidden="1" x14ac:dyDescent="0.25">
      <c r="A752" t="s">
        <v>12137</v>
      </c>
      <c r="B752" t="s">
        <v>3379</v>
      </c>
      <c r="C752" t="s">
        <v>9640</v>
      </c>
      <c r="D752" t="s">
        <v>12138</v>
      </c>
      <c r="E752" t="s">
        <v>9642</v>
      </c>
    </row>
    <row r="753" spans="1:5" hidden="1" x14ac:dyDescent="0.25">
      <c r="A753" t="s">
        <v>12139</v>
      </c>
      <c r="B753" t="s">
        <v>4141</v>
      </c>
      <c r="C753" t="s">
        <v>9738</v>
      </c>
      <c r="D753" t="s">
        <v>12140</v>
      </c>
      <c r="E753" t="s">
        <v>9740</v>
      </c>
    </row>
    <row r="754" spans="1:5" hidden="1" x14ac:dyDescent="0.25">
      <c r="A754" t="s">
        <v>12141</v>
      </c>
      <c r="B754" t="s">
        <v>4745</v>
      </c>
      <c r="C754" t="s">
        <v>9646</v>
      </c>
      <c r="D754" t="s">
        <v>12142</v>
      </c>
      <c r="E754" t="s">
        <v>9648</v>
      </c>
    </row>
    <row r="755" spans="1:5" hidden="1" x14ac:dyDescent="0.25">
      <c r="A755" t="s">
        <v>12143</v>
      </c>
      <c r="B755" t="s">
        <v>4701</v>
      </c>
      <c r="C755" t="s">
        <v>9800</v>
      </c>
      <c r="D755" t="s">
        <v>12144</v>
      </c>
      <c r="E755" t="s">
        <v>9802</v>
      </c>
    </row>
    <row r="756" spans="1:5" hidden="1" x14ac:dyDescent="0.25">
      <c r="A756" t="s">
        <v>12145</v>
      </c>
      <c r="B756" t="s">
        <v>4514</v>
      </c>
      <c r="C756" t="s">
        <v>9848</v>
      </c>
      <c r="D756" t="s">
        <v>12146</v>
      </c>
      <c r="E756" t="s">
        <v>9850</v>
      </c>
    </row>
    <row r="757" spans="1:5" hidden="1" x14ac:dyDescent="0.25">
      <c r="A757" t="s">
        <v>12147</v>
      </c>
      <c r="B757" t="s">
        <v>3984</v>
      </c>
      <c r="C757" t="s">
        <v>9852</v>
      </c>
      <c r="D757" t="s">
        <v>12148</v>
      </c>
      <c r="E757" t="s">
        <v>9854</v>
      </c>
    </row>
    <row r="758" spans="1:5" hidden="1" x14ac:dyDescent="0.25">
      <c r="A758" t="s">
        <v>12149</v>
      </c>
      <c r="B758" t="s">
        <v>4983</v>
      </c>
      <c r="C758" t="s">
        <v>9748</v>
      </c>
      <c r="D758" t="s">
        <v>12150</v>
      </c>
      <c r="E758" t="s">
        <v>9750</v>
      </c>
    </row>
    <row r="759" spans="1:5" hidden="1" x14ac:dyDescent="0.25">
      <c r="A759" t="s">
        <v>12151</v>
      </c>
      <c r="B759" t="s">
        <v>3312</v>
      </c>
      <c r="C759" t="s">
        <v>9748</v>
      </c>
      <c r="D759" t="s">
        <v>12152</v>
      </c>
      <c r="E759" t="s">
        <v>9750</v>
      </c>
    </row>
    <row r="760" spans="1:5" hidden="1" x14ac:dyDescent="0.25">
      <c r="A760" t="s">
        <v>12153</v>
      </c>
      <c r="B760" t="s">
        <v>3584</v>
      </c>
      <c r="C760" t="s">
        <v>9748</v>
      </c>
      <c r="D760" t="s">
        <v>12154</v>
      </c>
      <c r="E760" t="s">
        <v>9750</v>
      </c>
    </row>
    <row r="761" spans="1:5" hidden="1" x14ac:dyDescent="0.25">
      <c r="A761" t="s">
        <v>12155</v>
      </c>
      <c r="B761" t="s">
        <v>4676</v>
      </c>
      <c r="C761" t="s">
        <v>9948</v>
      </c>
      <c r="D761" t="s">
        <v>12156</v>
      </c>
      <c r="E761" t="s">
        <v>9950</v>
      </c>
    </row>
    <row r="762" spans="1:5" hidden="1" x14ac:dyDescent="0.25">
      <c r="A762" t="s">
        <v>12157</v>
      </c>
      <c r="B762" t="s">
        <v>3743</v>
      </c>
      <c r="C762" t="s">
        <v>10134</v>
      </c>
      <c r="D762" t="s">
        <v>12158</v>
      </c>
      <c r="E762" t="s">
        <v>10136</v>
      </c>
    </row>
    <row r="763" spans="1:5" hidden="1" x14ac:dyDescent="0.25">
      <c r="A763" t="s">
        <v>12159</v>
      </c>
      <c r="B763" t="s">
        <v>4230</v>
      </c>
      <c r="C763" t="s">
        <v>10685</v>
      </c>
      <c r="D763" t="s">
        <v>12160</v>
      </c>
      <c r="E763" t="s">
        <v>10687</v>
      </c>
    </row>
    <row r="764" spans="1:5" hidden="1" x14ac:dyDescent="0.25">
      <c r="A764" t="s">
        <v>12161</v>
      </c>
      <c r="B764" t="s">
        <v>3097</v>
      </c>
      <c r="C764" t="s">
        <v>9629</v>
      </c>
      <c r="D764" t="s">
        <v>12162</v>
      </c>
      <c r="E764" t="s">
        <v>9631</v>
      </c>
    </row>
    <row r="765" spans="1:5" hidden="1" x14ac:dyDescent="0.25">
      <c r="A765" t="s">
        <v>12163</v>
      </c>
      <c r="B765" t="s">
        <v>4304</v>
      </c>
      <c r="C765" t="s">
        <v>9723</v>
      </c>
      <c r="D765" t="s">
        <v>12164</v>
      </c>
      <c r="E765" t="s">
        <v>9725</v>
      </c>
    </row>
    <row r="766" spans="1:5" hidden="1" x14ac:dyDescent="0.25">
      <c r="A766" t="s">
        <v>12165</v>
      </c>
      <c r="B766" t="s">
        <v>3840</v>
      </c>
      <c r="C766" t="s">
        <v>9848</v>
      </c>
      <c r="D766" t="s">
        <v>12166</v>
      </c>
      <c r="E766" t="s">
        <v>9850</v>
      </c>
    </row>
    <row r="767" spans="1:5" hidden="1" x14ac:dyDescent="0.25">
      <c r="A767" t="s">
        <v>12167</v>
      </c>
      <c r="B767" t="s">
        <v>5430</v>
      </c>
      <c r="C767" t="s">
        <v>9738</v>
      </c>
      <c r="D767" t="s">
        <v>12168</v>
      </c>
      <c r="E767" t="s">
        <v>9740</v>
      </c>
    </row>
    <row r="768" spans="1:5" hidden="1" x14ac:dyDescent="0.25">
      <c r="A768" t="s">
        <v>12169</v>
      </c>
      <c r="B768" t="s">
        <v>3173</v>
      </c>
      <c r="C768" t="s">
        <v>9744</v>
      </c>
      <c r="D768" t="s">
        <v>12170</v>
      </c>
      <c r="E768" t="s">
        <v>9746</v>
      </c>
    </row>
    <row r="769" spans="1:5" hidden="1" x14ac:dyDescent="0.25">
      <c r="A769" t="s">
        <v>12171</v>
      </c>
      <c r="B769" t="s">
        <v>5214</v>
      </c>
      <c r="C769" t="s">
        <v>9948</v>
      </c>
      <c r="D769" t="s">
        <v>12172</v>
      </c>
      <c r="E769" t="s">
        <v>9950</v>
      </c>
    </row>
    <row r="770" spans="1:5" hidden="1" x14ac:dyDescent="0.25">
      <c r="A770" t="s">
        <v>12173</v>
      </c>
      <c r="B770" t="s">
        <v>3255</v>
      </c>
      <c r="C770" t="s">
        <v>9599</v>
      </c>
      <c r="D770" t="s">
        <v>12174</v>
      </c>
      <c r="E770" t="s">
        <v>9601</v>
      </c>
    </row>
    <row r="771" spans="1:5" hidden="1" x14ac:dyDescent="0.25">
      <c r="A771" t="s">
        <v>12175</v>
      </c>
      <c r="B771" t="s">
        <v>5553</v>
      </c>
      <c r="C771" t="s">
        <v>9640</v>
      </c>
      <c r="D771" t="s">
        <v>12176</v>
      </c>
      <c r="E771" t="s">
        <v>9642</v>
      </c>
    </row>
    <row r="772" spans="1:5" hidden="1" x14ac:dyDescent="0.25">
      <c r="A772" t="s">
        <v>12177</v>
      </c>
      <c r="B772" t="s">
        <v>3586</v>
      </c>
      <c r="C772" t="s">
        <v>11782</v>
      </c>
      <c r="D772" t="s">
        <v>12178</v>
      </c>
      <c r="E772" t="s">
        <v>12179</v>
      </c>
    </row>
    <row r="773" spans="1:5" hidden="1" x14ac:dyDescent="0.25">
      <c r="A773" t="s">
        <v>12180</v>
      </c>
      <c r="B773" t="s">
        <v>4346</v>
      </c>
      <c r="C773" t="s">
        <v>11764</v>
      </c>
      <c r="D773" t="s">
        <v>12181</v>
      </c>
      <c r="E773" t="s">
        <v>11772</v>
      </c>
    </row>
    <row r="774" spans="1:5" hidden="1" x14ac:dyDescent="0.25">
      <c r="A774" t="s">
        <v>12182</v>
      </c>
      <c r="B774" t="s">
        <v>4882</v>
      </c>
      <c r="C774" t="s">
        <v>9856</v>
      </c>
      <c r="D774" t="s">
        <v>12183</v>
      </c>
      <c r="E774" t="s">
        <v>9858</v>
      </c>
    </row>
    <row r="775" spans="1:5" hidden="1" x14ac:dyDescent="0.25">
      <c r="A775" t="s">
        <v>12184</v>
      </c>
      <c r="B775" t="s">
        <v>2642</v>
      </c>
      <c r="C775" t="s">
        <v>9792</v>
      </c>
      <c r="D775" t="s">
        <v>12185</v>
      </c>
      <c r="E775" t="s">
        <v>9794</v>
      </c>
    </row>
    <row r="776" spans="1:5" hidden="1" x14ac:dyDescent="0.25">
      <c r="A776" t="s">
        <v>12186</v>
      </c>
      <c r="B776" t="s">
        <v>2818</v>
      </c>
      <c r="C776" t="s">
        <v>9774</v>
      </c>
      <c r="D776" t="s">
        <v>12187</v>
      </c>
      <c r="E776" t="s">
        <v>9776</v>
      </c>
    </row>
    <row r="777" spans="1:5" hidden="1" x14ac:dyDescent="0.25">
      <c r="A777" t="s">
        <v>12188</v>
      </c>
      <c r="B777" t="s">
        <v>4529</v>
      </c>
      <c r="C777" t="s">
        <v>9640</v>
      </c>
      <c r="D777" t="s">
        <v>12189</v>
      </c>
      <c r="E777" t="s">
        <v>9642</v>
      </c>
    </row>
    <row r="778" spans="1:5" hidden="1" x14ac:dyDescent="0.25">
      <c r="A778" t="s">
        <v>12190</v>
      </c>
      <c r="B778" t="s">
        <v>3408</v>
      </c>
      <c r="C778" t="s">
        <v>9637</v>
      </c>
      <c r="D778" t="s">
        <v>12191</v>
      </c>
      <c r="E778" t="s">
        <v>9637</v>
      </c>
    </row>
    <row r="779" spans="1:5" hidden="1" x14ac:dyDescent="0.25">
      <c r="A779" t="s">
        <v>12192</v>
      </c>
      <c r="B779" t="s">
        <v>4087</v>
      </c>
      <c r="C779" t="s">
        <v>9646</v>
      </c>
      <c r="D779" t="s">
        <v>12193</v>
      </c>
      <c r="E779" t="s">
        <v>9648</v>
      </c>
    </row>
    <row r="780" spans="1:5" hidden="1" x14ac:dyDescent="0.25">
      <c r="A780" t="s">
        <v>12194</v>
      </c>
      <c r="B780" t="s">
        <v>4723</v>
      </c>
      <c r="C780" t="s">
        <v>9852</v>
      </c>
      <c r="D780" t="s">
        <v>12193</v>
      </c>
      <c r="E780" t="s">
        <v>9854</v>
      </c>
    </row>
    <row r="781" spans="1:5" hidden="1" x14ac:dyDescent="0.25">
      <c r="A781" t="s">
        <v>12195</v>
      </c>
      <c r="B781" t="s">
        <v>4238</v>
      </c>
      <c r="C781" t="s">
        <v>9629</v>
      </c>
      <c r="D781" t="s">
        <v>12196</v>
      </c>
      <c r="E781" t="s">
        <v>9631</v>
      </c>
    </row>
    <row r="782" spans="1:5" hidden="1" x14ac:dyDescent="0.25">
      <c r="A782" t="s">
        <v>12197</v>
      </c>
      <c r="B782" t="s">
        <v>3269</v>
      </c>
      <c r="C782" t="s">
        <v>9754</v>
      </c>
      <c r="D782" t="s">
        <v>12198</v>
      </c>
      <c r="E782" t="s">
        <v>9756</v>
      </c>
    </row>
    <row r="783" spans="1:5" hidden="1" x14ac:dyDescent="0.25">
      <c r="A783" t="s">
        <v>12199</v>
      </c>
      <c r="B783" t="s">
        <v>3114</v>
      </c>
      <c r="C783" t="s">
        <v>9852</v>
      </c>
      <c r="D783" t="s">
        <v>12200</v>
      </c>
      <c r="E783" t="s">
        <v>9854</v>
      </c>
    </row>
    <row r="784" spans="1:5" hidden="1" x14ac:dyDescent="0.25">
      <c r="A784" t="s">
        <v>12201</v>
      </c>
      <c r="B784" t="s">
        <v>3701</v>
      </c>
      <c r="C784" t="s">
        <v>9723</v>
      </c>
      <c r="D784" t="s">
        <v>12202</v>
      </c>
      <c r="E784" t="s">
        <v>9725</v>
      </c>
    </row>
    <row r="785" spans="1:5" hidden="1" x14ac:dyDescent="0.25">
      <c r="A785" t="s">
        <v>12203</v>
      </c>
      <c r="B785" t="s">
        <v>4744</v>
      </c>
      <c r="C785" t="s">
        <v>10323</v>
      </c>
      <c r="D785" t="s">
        <v>12204</v>
      </c>
      <c r="E785" t="s">
        <v>10325</v>
      </c>
    </row>
    <row r="786" spans="1:5" hidden="1" x14ac:dyDescent="0.25">
      <c r="A786" t="s">
        <v>12205</v>
      </c>
      <c r="B786" t="s">
        <v>6184</v>
      </c>
      <c r="C786" t="s">
        <v>9654</v>
      </c>
      <c r="D786" t="s">
        <v>12206</v>
      </c>
      <c r="E786" t="s">
        <v>9656</v>
      </c>
    </row>
    <row r="787" spans="1:5" hidden="1" x14ac:dyDescent="0.25">
      <c r="A787" t="s">
        <v>12207</v>
      </c>
      <c r="B787" t="s">
        <v>5064</v>
      </c>
      <c r="C787" t="s">
        <v>10080</v>
      </c>
      <c r="D787" t="s">
        <v>12208</v>
      </c>
      <c r="E787" t="s">
        <v>10082</v>
      </c>
    </row>
    <row r="788" spans="1:5" hidden="1" x14ac:dyDescent="0.25">
      <c r="A788" t="s">
        <v>12209</v>
      </c>
      <c r="B788" t="s">
        <v>6217</v>
      </c>
      <c r="C788" t="s">
        <v>9948</v>
      </c>
      <c r="D788" t="s">
        <v>12210</v>
      </c>
      <c r="E788" t="s">
        <v>9950</v>
      </c>
    </row>
    <row r="789" spans="1:5" hidden="1" x14ac:dyDescent="0.25">
      <c r="A789" t="s">
        <v>12211</v>
      </c>
      <c r="B789" t="s">
        <v>3023</v>
      </c>
      <c r="C789" t="s">
        <v>9848</v>
      </c>
      <c r="D789" t="s">
        <v>12212</v>
      </c>
      <c r="E789" t="s">
        <v>9850</v>
      </c>
    </row>
    <row r="790" spans="1:5" hidden="1" x14ac:dyDescent="0.25">
      <c r="A790" t="s">
        <v>12213</v>
      </c>
      <c r="B790" t="s">
        <v>5693</v>
      </c>
      <c r="C790" t="s">
        <v>9782</v>
      </c>
      <c r="D790" t="s">
        <v>12214</v>
      </c>
      <c r="E790" t="s">
        <v>9784</v>
      </c>
    </row>
    <row r="791" spans="1:5" hidden="1" x14ac:dyDescent="0.25">
      <c r="A791" t="s">
        <v>12215</v>
      </c>
      <c r="B791" t="s">
        <v>3182</v>
      </c>
      <c r="C791" t="s">
        <v>9800</v>
      </c>
      <c r="D791" t="s">
        <v>12216</v>
      </c>
      <c r="E791" t="s">
        <v>9802</v>
      </c>
    </row>
    <row r="792" spans="1:5" hidden="1" x14ac:dyDescent="0.25">
      <c r="A792" t="s">
        <v>12217</v>
      </c>
      <c r="B792" t="s">
        <v>3826</v>
      </c>
      <c r="C792" t="s">
        <v>9800</v>
      </c>
      <c r="D792" t="s">
        <v>12218</v>
      </c>
      <c r="E792" t="s">
        <v>9802</v>
      </c>
    </row>
    <row r="793" spans="1:5" hidden="1" x14ac:dyDescent="0.25">
      <c r="A793" t="s">
        <v>12219</v>
      </c>
      <c r="B793" t="s">
        <v>5744</v>
      </c>
      <c r="C793" t="s">
        <v>9621</v>
      </c>
      <c r="D793" t="s">
        <v>12220</v>
      </c>
      <c r="E793" t="s">
        <v>9623</v>
      </c>
    </row>
    <row r="794" spans="1:5" hidden="1" x14ac:dyDescent="0.25">
      <c r="A794" t="s">
        <v>12221</v>
      </c>
      <c r="B794" t="s">
        <v>6380</v>
      </c>
      <c r="C794" t="s">
        <v>9754</v>
      </c>
      <c r="D794" t="s">
        <v>12222</v>
      </c>
      <c r="E794" t="s">
        <v>9756</v>
      </c>
    </row>
    <row r="795" spans="1:5" hidden="1" x14ac:dyDescent="0.25">
      <c r="A795" t="s">
        <v>12223</v>
      </c>
      <c r="B795" t="s">
        <v>2719</v>
      </c>
      <c r="C795" t="s">
        <v>9898</v>
      </c>
      <c r="D795" t="s">
        <v>12224</v>
      </c>
      <c r="E795" t="s">
        <v>9900</v>
      </c>
    </row>
    <row r="796" spans="1:5" hidden="1" x14ac:dyDescent="0.25">
      <c r="A796" t="s">
        <v>12225</v>
      </c>
      <c r="B796" t="s">
        <v>4217</v>
      </c>
      <c r="C796" t="s">
        <v>9717</v>
      </c>
      <c r="D796" t="s">
        <v>12226</v>
      </c>
      <c r="E796" t="s">
        <v>9719</v>
      </c>
    </row>
    <row r="797" spans="1:5" hidden="1" x14ac:dyDescent="0.25">
      <c r="A797" t="s">
        <v>12227</v>
      </c>
      <c r="B797" t="s">
        <v>4060</v>
      </c>
      <c r="C797" t="s">
        <v>9640</v>
      </c>
      <c r="D797" t="s">
        <v>12228</v>
      </c>
      <c r="E797" t="s">
        <v>9642</v>
      </c>
    </row>
    <row r="798" spans="1:5" hidden="1" x14ac:dyDescent="0.25">
      <c r="A798" t="s">
        <v>12229</v>
      </c>
      <c r="B798" t="s">
        <v>4465</v>
      </c>
      <c r="C798" t="s">
        <v>9800</v>
      </c>
      <c r="D798" t="s">
        <v>12230</v>
      </c>
      <c r="E798" t="s">
        <v>9802</v>
      </c>
    </row>
    <row r="799" spans="1:5" hidden="1" x14ac:dyDescent="0.25">
      <c r="A799" t="s">
        <v>12231</v>
      </c>
      <c r="B799" t="s">
        <v>5399</v>
      </c>
      <c r="C799" t="s">
        <v>9691</v>
      </c>
      <c r="D799" t="s">
        <v>12232</v>
      </c>
      <c r="E799" t="s">
        <v>9693</v>
      </c>
    </row>
    <row r="800" spans="1:5" hidden="1" x14ac:dyDescent="0.25">
      <c r="A800" t="s">
        <v>12233</v>
      </c>
      <c r="B800" t="s">
        <v>4123</v>
      </c>
      <c r="C800" t="s">
        <v>9629</v>
      </c>
      <c r="D800" t="s">
        <v>12234</v>
      </c>
      <c r="E800" t="s">
        <v>9631</v>
      </c>
    </row>
    <row r="801" spans="1:5" hidden="1" x14ac:dyDescent="0.25">
      <c r="A801" t="s">
        <v>12235</v>
      </c>
      <c r="B801" t="s">
        <v>4017</v>
      </c>
      <c r="C801" t="s">
        <v>9848</v>
      </c>
      <c r="D801" t="s">
        <v>12236</v>
      </c>
      <c r="E801" t="s">
        <v>9850</v>
      </c>
    </row>
    <row r="802" spans="1:5" hidden="1" x14ac:dyDescent="0.25">
      <c r="A802" t="s">
        <v>12237</v>
      </c>
      <c r="B802" t="s">
        <v>1891</v>
      </c>
      <c r="C802" t="s">
        <v>9669</v>
      </c>
      <c r="D802" t="s">
        <v>12238</v>
      </c>
      <c r="E802" t="s">
        <v>9671</v>
      </c>
    </row>
    <row r="803" spans="1:5" hidden="1" x14ac:dyDescent="0.25">
      <c r="A803" t="s">
        <v>12239</v>
      </c>
      <c r="B803" t="s">
        <v>2796</v>
      </c>
      <c r="C803" t="s">
        <v>9848</v>
      </c>
      <c r="D803" t="s">
        <v>12240</v>
      </c>
      <c r="E803" t="s">
        <v>9850</v>
      </c>
    </row>
    <row r="804" spans="1:5" hidden="1" x14ac:dyDescent="0.25">
      <c r="A804" t="s">
        <v>12241</v>
      </c>
      <c r="B804" t="s">
        <v>3944</v>
      </c>
      <c r="C804" t="s">
        <v>9723</v>
      </c>
      <c r="D804" t="s">
        <v>12242</v>
      </c>
      <c r="E804" t="s">
        <v>9725</v>
      </c>
    </row>
    <row r="805" spans="1:5" hidden="1" x14ac:dyDescent="0.25">
      <c r="A805" t="s">
        <v>12243</v>
      </c>
      <c r="B805" t="s">
        <v>3298</v>
      </c>
      <c r="C805" t="s">
        <v>9948</v>
      </c>
      <c r="D805" t="s">
        <v>12244</v>
      </c>
      <c r="E805" t="s">
        <v>9950</v>
      </c>
    </row>
    <row r="806" spans="1:5" hidden="1" x14ac:dyDescent="0.25">
      <c r="A806" t="s">
        <v>12245</v>
      </c>
      <c r="B806" t="s">
        <v>6310</v>
      </c>
      <c r="C806" t="s">
        <v>9748</v>
      </c>
      <c r="D806" t="s">
        <v>12246</v>
      </c>
      <c r="E806" t="s">
        <v>9750</v>
      </c>
    </row>
    <row r="807" spans="1:5" hidden="1" x14ac:dyDescent="0.25">
      <c r="A807" t="s">
        <v>12247</v>
      </c>
      <c r="B807" t="s">
        <v>1435</v>
      </c>
      <c r="C807" t="s">
        <v>9621</v>
      </c>
      <c r="D807" t="s">
        <v>10064</v>
      </c>
      <c r="E807" t="s">
        <v>9623</v>
      </c>
    </row>
    <row r="808" spans="1:5" hidden="1" x14ac:dyDescent="0.25">
      <c r="A808" t="s">
        <v>12248</v>
      </c>
      <c r="B808" t="s">
        <v>2590</v>
      </c>
      <c r="C808" t="s">
        <v>9948</v>
      </c>
      <c r="D808" t="s">
        <v>12249</v>
      </c>
      <c r="E808" t="s">
        <v>9950</v>
      </c>
    </row>
    <row r="809" spans="1:5" hidden="1" x14ac:dyDescent="0.25">
      <c r="A809" t="s">
        <v>12250</v>
      </c>
      <c r="B809" t="s">
        <v>5382</v>
      </c>
      <c r="C809" t="s">
        <v>9792</v>
      </c>
      <c r="D809" t="s">
        <v>12251</v>
      </c>
      <c r="E809" t="s">
        <v>9794</v>
      </c>
    </row>
    <row r="810" spans="1:5" hidden="1" x14ac:dyDescent="0.25">
      <c r="A810" t="s">
        <v>12252</v>
      </c>
      <c r="B810" t="s">
        <v>2788</v>
      </c>
      <c r="C810" t="s">
        <v>9848</v>
      </c>
      <c r="D810" t="s">
        <v>12251</v>
      </c>
      <c r="E810" t="s">
        <v>9850</v>
      </c>
    </row>
    <row r="811" spans="1:5" hidden="1" x14ac:dyDescent="0.25">
      <c r="A811" t="s">
        <v>12253</v>
      </c>
      <c r="B811" t="s">
        <v>5913</v>
      </c>
      <c r="C811" t="s">
        <v>9738</v>
      </c>
      <c r="D811" t="s">
        <v>12251</v>
      </c>
      <c r="E811" t="s">
        <v>9740</v>
      </c>
    </row>
    <row r="812" spans="1:5" hidden="1" x14ac:dyDescent="0.25">
      <c r="A812" t="s">
        <v>12254</v>
      </c>
      <c r="B812" t="s">
        <v>5307</v>
      </c>
      <c r="C812" t="s">
        <v>9744</v>
      </c>
      <c r="D812" t="s">
        <v>12251</v>
      </c>
      <c r="E812" t="s">
        <v>9746</v>
      </c>
    </row>
    <row r="813" spans="1:5" hidden="1" x14ac:dyDescent="0.25">
      <c r="A813" t="s">
        <v>12255</v>
      </c>
      <c r="B813" t="s">
        <v>4277</v>
      </c>
      <c r="C813" t="s">
        <v>9640</v>
      </c>
      <c r="D813" t="s">
        <v>12256</v>
      </c>
      <c r="E813" t="s">
        <v>9642</v>
      </c>
    </row>
    <row r="814" spans="1:5" hidden="1" x14ac:dyDescent="0.25">
      <c r="A814" t="s">
        <v>12257</v>
      </c>
      <c r="B814" t="s">
        <v>6163</v>
      </c>
      <c r="C814" t="s">
        <v>10172</v>
      </c>
      <c r="D814" t="s">
        <v>12258</v>
      </c>
      <c r="E814" t="s">
        <v>10174</v>
      </c>
    </row>
    <row r="815" spans="1:5" hidden="1" x14ac:dyDescent="0.25">
      <c r="A815" t="s">
        <v>12259</v>
      </c>
      <c r="B815" t="s">
        <v>4041</v>
      </c>
      <c r="C815" t="s">
        <v>9691</v>
      </c>
      <c r="D815" t="s">
        <v>12260</v>
      </c>
      <c r="E815" t="s">
        <v>9693</v>
      </c>
    </row>
    <row r="816" spans="1:5" hidden="1" x14ac:dyDescent="0.25">
      <c r="A816" t="s">
        <v>12261</v>
      </c>
      <c r="B816" t="s">
        <v>3325</v>
      </c>
      <c r="C816" t="s">
        <v>9792</v>
      </c>
      <c r="D816" t="s">
        <v>12262</v>
      </c>
      <c r="E816" t="s">
        <v>9794</v>
      </c>
    </row>
    <row r="817" spans="1:5" hidden="1" x14ac:dyDescent="0.25">
      <c r="A817" t="s">
        <v>12263</v>
      </c>
      <c r="B817" t="s">
        <v>4070</v>
      </c>
      <c r="C817" t="s">
        <v>9723</v>
      </c>
      <c r="D817" t="s">
        <v>12262</v>
      </c>
      <c r="E817" t="s">
        <v>9725</v>
      </c>
    </row>
    <row r="818" spans="1:5" hidden="1" x14ac:dyDescent="0.25">
      <c r="A818" t="s">
        <v>12264</v>
      </c>
      <c r="B818" t="s">
        <v>3484</v>
      </c>
      <c r="C818" t="s">
        <v>9764</v>
      </c>
      <c r="D818" t="s">
        <v>12262</v>
      </c>
      <c r="E818" t="s">
        <v>9766</v>
      </c>
    </row>
    <row r="819" spans="1:5" hidden="1" x14ac:dyDescent="0.25">
      <c r="A819" t="s">
        <v>12265</v>
      </c>
      <c r="B819" t="s">
        <v>4211</v>
      </c>
      <c r="C819" t="s">
        <v>9640</v>
      </c>
      <c r="D819" t="s">
        <v>12266</v>
      </c>
      <c r="E819" t="s">
        <v>9642</v>
      </c>
    </row>
    <row r="820" spans="1:5" hidden="1" x14ac:dyDescent="0.25">
      <c r="A820" t="s">
        <v>12267</v>
      </c>
      <c r="B820" t="s">
        <v>2888</v>
      </c>
      <c r="C820" t="s">
        <v>10098</v>
      </c>
      <c r="D820" t="s">
        <v>12268</v>
      </c>
      <c r="E820" t="s">
        <v>12016</v>
      </c>
    </row>
    <row r="821" spans="1:5" hidden="1" x14ac:dyDescent="0.25">
      <c r="A821" t="s">
        <v>12269</v>
      </c>
      <c r="B821" t="s">
        <v>2963</v>
      </c>
      <c r="C821" t="s">
        <v>9792</v>
      </c>
      <c r="D821" t="s">
        <v>12270</v>
      </c>
      <c r="E821" t="s">
        <v>9794</v>
      </c>
    </row>
    <row r="822" spans="1:5" hidden="1" x14ac:dyDescent="0.25">
      <c r="A822" t="s">
        <v>12271</v>
      </c>
      <c r="B822" t="s">
        <v>4442</v>
      </c>
      <c r="C822" t="s">
        <v>9788</v>
      </c>
      <c r="D822" t="s">
        <v>12272</v>
      </c>
      <c r="E822" t="s">
        <v>9790</v>
      </c>
    </row>
    <row r="823" spans="1:5" hidden="1" x14ac:dyDescent="0.25">
      <c r="A823" t="s">
        <v>12273</v>
      </c>
      <c r="B823" t="s">
        <v>2562</v>
      </c>
      <c r="C823" t="s">
        <v>9852</v>
      </c>
      <c r="D823" t="s">
        <v>12274</v>
      </c>
      <c r="E823" t="s">
        <v>9854</v>
      </c>
    </row>
    <row r="824" spans="1:5" hidden="1" x14ac:dyDescent="0.25">
      <c r="A824" t="s">
        <v>12275</v>
      </c>
      <c r="B824" t="s">
        <v>12276</v>
      </c>
      <c r="C824" t="s">
        <v>9788</v>
      </c>
      <c r="D824" t="s">
        <v>12277</v>
      </c>
      <c r="E824" t="s">
        <v>9790</v>
      </c>
    </row>
    <row r="825" spans="1:5" hidden="1" x14ac:dyDescent="0.25">
      <c r="A825" t="s">
        <v>12278</v>
      </c>
      <c r="B825" t="s">
        <v>5473</v>
      </c>
      <c r="C825" t="s">
        <v>9872</v>
      </c>
      <c r="D825" t="s">
        <v>12277</v>
      </c>
      <c r="E825" t="s">
        <v>9874</v>
      </c>
    </row>
    <row r="826" spans="1:5" hidden="1" x14ac:dyDescent="0.25">
      <c r="A826" t="s">
        <v>12279</v>
      </c>
      <c r="B826" t="s">
        <v>5286</v>
      </c>
      <c r="C826" t="s">
        <v>10134</v>
      </c>
      <c r="D826" t="s">
        <v>12280</v>
      </c>
      <c r="E826" t="s">
        <v>10136</v>
      </c>
    </row>
    <row r="827" spans="1:5" hidden="1" x14ac:dyDescent="0.25">
      <c r="A827" t="s">
        <v>12281</v>
      </c>
      <c r="B827" t="s">
        <v>4439</v>
      </c>
      <c r="C827" t="s">
        <v>9792</v>
      </c>
      <c r="D827" t="s">
        <v>12282</v>
      </c>
      <c r="E827" t="s">
        <v>9794</v>
      </c>
    </row>
    <row r="828" spans="1:5" hidden="1" x14ac:dyDescent="0.25">
      <c r="A828" t="s">
        <v>12283</v>
      </c>
      <c r="B828" t="s">
        <v>2782</v>
      </c>
      <c r="C828" t="s">
        <v>9640</v>
      </c>
      <c r="D828" t="s">
        <v>12284</v>
      </c>
      <c r="E828" t="s">
        <v>9642</v>
      </c>
    </row>
    <row r="829" spans="1:5" hidden="1" x14ac:dyDescent="0.25">
      <c r="A829" t="s">
        <v>12285</v>
      </c>
      <c r="B829" t="s">
        <v>4006</v>
      </c>
      <c r="C829" t="s">
        <v>9788</v>
      </c>
      <c r="D829" t="s">
        <v>12286</v>
      </c>
      <c r="E829" t="s">
        <v>9790</v>
      </c>
    </row>
    <row r="830" spans="1:5" hidden="1" x14ac:dyDescent="0.25">
      <c r="A830" t="s">
        <v>12287</v>
      </c>
      <c r="B830" t="s">
        <v>3112</v>
      </c>
      <c r="C830" t="s">
        <v>9748</v>
      </c>
      <c r="D830" t="s">
        <v>12288</v>
      </c>
      <c r="E830" t="s">
        <v>9750</v>
      </c>
    </row>
    <row r="831" spans="1:5" hidden="1" x14ac:dyDescent="0.25">
      <c r="A831" t="s">
        <v>12289</v>
      </c>
      <c r="B831" t="s">
        <v>5731</v>
      </c>
      <c r="C831" t="s">
        <v>9848</v>
      </c>
      <c r="D831" t="s">
        <v>12290</v>
      </c>
      <c r="E831" t="s">
        <v>9850</v>
      </c>
    </row>
    <row r="832" spans="1:5" hidden="1" x14ac:dyDescent="0.25">
      <c r="A832" t="s">
        <v>12291</v>
      </c>
      <c r="B832" t="s">
        <v>3447</v>
      </c>
      <c r="C832" t="s">
        <v>9792</v>
      </c>
      <c r="D832" t="s">
        <v>12292</v>
      </c>
      <c r="E832" t="s">
        <v>9794</v>
      </c>
    </row>
    <row r="833" spans="1:5" hidden="1" x14ac:dyDescent="0.25">
      <c r="A833" t="s">
        <v>12293</v>
      </c>
      <c r="B833" t="s">
        <v>5139</v>
      </c>
      <c r="C833" t="s">
        <v>9640</v>
      </c>
      <c r="D833" t="s">
        <v>12294</v>
      </c>
      <c r="E833" t="s">
        <v>9642</v>
      </c>
    </row>
    <row r="834" spans="1:5" hidden="1" x14ac:dyDescent="0.25">
      <c r="A834" t="s">
        <v>12295</v>
      </c>
      <c r="B834" t="s">
        <v>4652</v>
      </c>
      <c r="C834" t="s">
        <v>9621</v>
      </c>
      <c r="D834" t="s">
        <v>12296</v>
      </c>
      <c r="E834" t="s">
        <v>9623</v>
      </c>
    </row>
    <row r="835" spans="1:5" hidden="1" x14ac:dyDescent="0.25">
      <c r="A835" t="s">
        <v>12297</v>
      </c>
      <c r="B835" t="s">
        <v>4074</v>
      </c>
      <c r="C835" t="s">
        <v>9723</v>
      </c>
      <c r="D835" t="s">
        <v>12298</v>
      </c>
      <c r="E835" t="s">
        <v>9725</v>
      </c>
    </row>
    <row r="836" spans="1:5" hidden="1" x14ac:dyDescent="0.25">
      <c r="A836" t="s">
        <v>12299</v>
      </c>
      <c r="B836" t="s">
        <v>3648</v>
      </c>
      <c r="C836" t="s">
        <v>9654</v>
      </c>
      <c r="D836" t="s">
        <v>12300</v>
      </c>
      <c r="E836" t="s">
        <v>9656</v>
      </c>
    </row>
    <row r="837" spans="1:5" hidden="1" x14ac:dyDescent="0.25">
      <c r="A837" t="s">
        <v>12301</v>
      </c>
      <c r="B837" t="s">
        <v>3569</v>
      </c>
      <c r="C837" t="s">
        <v>9669</v>
      </c>
      <c r="D837" t="s">
        <v>12300</v>
      </c>
      <c r="E837" t="s">
        <v>9671</v>
      </c>
    </row>
    <row r="838" spans="1:5" hidden="1" x14ac:dyDescent="0.25">
      <c r="A838" t="s">
        <v>12302</v>
      </c>
      <c r="B838" t="s">
        <v>3076</v>
      </c>
      <c r="C838" t="s">
        <v>9948</v>
      </c>
      <c r="D838" t="s">
        <v>12303</v>
      </c>
      <c r="E838" t="s">
        <v>9950</v>
      </c>
    </row>
    <row r="839" spans="1:5" hidden="1" x14ac:dyDescent="0.25">
      <c r="A839" t="s">
        <v>12304</v>
      </c>
      <c r="B839" t="s">
        <v>5449</v>
      </c>
      <c r="C839" t="s">
        <v>9640</v>
      </c>
      <c r="D839" t="s">
        <v>12305</v>
      </c>
      <c r="E839" t="s">
        <v>9642</v>
      </c>
    </row>
    <row r="840" spans="1:5" hidden="1" x14ac:dyDescent="0.25">
      <c r="A840" t="s">
        <v>12306</v>
      </c>
      <c r="B840" t="s">
        <v>4501</v>
      </c>
      <c r="C840" t="s">
        <v>9782</v>
      </c>
      <c r="D840" t="s">
        <v>12307</v>
      </c>
      <c r="E840" t="s">
        <v>9784</v>
      </c>
    </row>
    <row r="841" spans="1:5" hidden="1" x14ac:dyDescent="0.25">
      <c r="A841" t="s">
        <v>12308</v>
      </c>
      <c r="B841" t="s">
        <v>4558</v>
      </c>
      <c r="C841" t="s">
        <v>9800</v>
      </c>
      <c r="D841" t="s">
        <v>12309</v>
      </c>
      <c r="E841" t="s">
        <v>9802</v>
      </c>
    </row>
    <row r="842" spans="1:5" hidden="1" x14ac:dyDescent="0.25">
      <c r="A842" t="s">
        <v>12310</v>
      </c>
      <c r="B842" t="s">
        <v>2764</v>
      </c>
      <c r="C842" t="s">
        <v>11761</v>
      </c>
      <c r="D842" t="s">
        <v>12311</v>
      </c>
      <c r="E842" t="s">
        <v>11774</v>
      </c>
    </row>
    <row r="843" spans="1:5" hidden="1" x14ac:dyDescent="0.25">
      <c r="A843" t="s">
        <v>12312</v>
      </c>
      <c r="B843" t="s">
        <v>5012</v>
      </c>
      <c r="C843" t="s">
        <v>9748</v>
      </c>
      <c r="D843" t="s">
        <v>12313</v>
      </c>
      <c r="E843" t="s">
        <v>9750</v>
      </c>
    </row>
    <row r="844" spans="1:5" hidden="1" x14ac:dyDescent="0.25">
      <c r="A844" t="s">
        <v>12314</v>
      </c>
      <c r="B844" t="s">
        <v>5941</v>
      </c>
      <c r="C844" t="s">
        <v>10685</v>
      </c>
      <c r="D844" t="s">
        <v>12315</v>
      </c>
      <c r="E844" t="s">
        <v>10687</v>
      </c>
    </row>
    <row r="845" spans="1:5" hidden="1" x14ac:dyDescent="0.25">
      <c r="A845" t="s">
        <v>12316</v>
      </c>
      <c r="B845" t="s">
        <v>5909</v>
      </c>
      <c r="C845" t="s">
        <v>10090</v>
      </c>
      <c r="D845" t="s">
        <v>12317</v>
      </c>
      <c r="E845" t="s">
        <v>10092</v>
      </c>
    </row>
    <row r="846" spans="1:5" hidden="1" x14ac:dyDescent="0.25">
      <c r="A846" t="s">
        <v>12318</v>
      </c>
      <c r="B846" t="s">
        <v>3191</v>
      </c>
      <c r="C846" t="s">
        <v>9744</v>
      </c>
      <c r="D846" t="s">
        <v>12319</v>
      </c>
      <c r="E846" t="s">
        <v>9746</v>
      </c>
    </row>
    <row r="847" spans="1:5" hidden="1" x14ac:dyDescent="0.25">
      <c r="A847" t="s">
        <v>12320</v>
      </c>
      <c r="B847" t="s">
        <v>2829</v>
      </c>
      <c r="C847" t="s">
        <v>9717</v>
      </c>
      <c r="D847" t="s">
        <v>12321</v>
      </c>
      <c r="E847" t="s">
        <v>9719</v>
      </c>
    </row>
    <row r="848" spans="1:5" hidden="1" x14ac:dyDescent="0.25">
      <c r="A848" t="s">
        <v>12322</v>
      </c>
      <c r="B848" t="s">
        <v>3368</v>
      </c>
      <c r="C848" t="s">
        <v>9744</v>
      </c>
      <c r="D848" t="s">
        <v>12323</v>
      </c>
      <c r="E848" t="s">
        <v>9746</v>
      </c>
    </row>
    <row r="849" spans="1:5" hidden="1" x14ac:dyDescent="0.25">
      <c r="A849" t="s">
        <v>12324</v>
      </c>
      <c r="B849" t="s">
        <v>4113</v>
      </c>
      <c r="C849" t="s">
        <v>9646</v>
      </c>
      <c r="D849" t="s">
        <v>12325</v>
      </c>
      <c r="E849" t="s">
        <v>9648</v>
      </c>
    </row>
    <row r="850" spans="1:5" hidden="1" x14ac:dyDescent="0.25">
      <c r="A850" t="s">
        <v>12326</v>
      </c>
      <c r="B850" t="s">
        <v>3650</v>
      </c>
      <c r="C850" t="s">
        <v>9723</v>
      </c>
      <c r="D850" t="s">
        <v>12327</v>
      </c>
      <c r="E850" t="s">
        <v>9725</v>
      </c>
    </row>
    <row r="851" spans="1:5" hidden="1" x14ac:dyDescent="0.25">
      <c r="A851" t="s">
        <v>12328</v>
      </c>
      <c r="B851" t="s">
        <v>2972</v>
      </c>
      <c r="C851" t="s">
        <v>9748</v>
      </c>
      <c r="D851" t="s">
        <v>12329</v>
      </c>
      <c r="E851" t="s">
        <v>9750</v>
      </c>
    </row>
    <row r="852" spans="1:5" hidden="1" x14ac:dyDescent="0.25">
      <c r="A852" t="s">
        <v>12330</v>
      </c>
      <c r="B852" t="s">
        <v>4197</v>
      </c>
      <c r="C852" t="s">
        <v>9654</v>
      </c>
      <c r="D852" t="s">
        <v>12331</v>
      </c>
      <c r="E852" t="s">
        <v>9656</v>
      </c>
    </row>
    <row r="853" spans="1:5" hidden="1" x14ac:dyDescent="0.25">
      <c r="A853" t="s">
        <v>12332</v>
      </c>
      <c r="B853" t="s">
        <v>3187</v>
      </c>
      <c r="C853" t="s">
        <v>9717</v>
      </c>
      <c r="D853" t="s">
        <v>12333</v>
      </c>
      <c r="E853" t="s">
        <v>9719</v>
      </c>
    </row>
    <row r="854" spans="1:5" hidden="1" x14ac:dyDescent="0.25">
      <c r="A854" t="s">
        <v>12334</v>
      </c>
      <c r="B854" t="s">
        <v>4474</v>
      </c>
      <c r="C854" t="s">
        <v>9748</v>
      </c>
      <c r="D854" t="s">
        <v>10353</v>
      </c>
      <c r="E854" t="s">
        <v>9750</v>
      </c>
    </row>
    <row r="855" spans="1:5" hidden="1" x14ac:dyDescent="0.25">
      <c r="A855" t="s">
        <v>12335</v>
      </c>
      <c r="B855" t="s">
        <v>4713</v>
      </c>
      <c r="C855" t="s">
        <v>9782</v>
      </c>
      <c r="D855" t="s">
        <v>12336</v>
      </c>
      <c r="E855" t="s">
        <v>9784</v>
      </c>
    </row>
    <row r="856" spans="1:5" hidden="1" x14ac:dyDescent="0.25">
      <c r="A856" t="s">
        <v>12337</v>
      </c>
      <c r="B856" t="s">
        <v>6400</v>
      </c>
      <c r="C856" t="s">
        <v>9788</v>
      </c>
      <c r="D856" t="s">
        <v>12338</v>
      </c>
      <c r="E856" t="s">
        <v>9790</v>
      </c>
    </row>
    <row r="857" spans="1:5" hidden="1" x14ac:dyDescent="0.25">
      <c r="A857" t="s">
        <v>12339</v>
      </c>
      <c r="B857" t="s">
        <v>4737</v>
      </c>
      <c r="C857" t="s">
        <v>9856</v>
      </c>
      <c r="D857" t="s">
        <v>12340</v>
      </c>
      <c r="E857" t="s">
        <v>9858</v>
      </c>
    </row>
    <row r="858" spans="1:5" hidden="1" x14ac:dyDescent="0.25">
      <c r="A858" t="s">
        <v>12341</v>
      </c>
      <c r="B858" t="s">
        <v>3727</v>
      </c>
      <c r="C858" t="s">
        <v>9758</v>
      </c>
      <c r="D858" t="s">
        <v>12342</v>
      </c>
      <c r="E858" t="s">
        <v>9760</v>
      </c>
    </row>
    <row r="859" spans="1:5" hidden="1" x14ac:dyDescent="0.25">
      <c r="A859" t="s">
        <v>12343</v>
      </c>
      <c r="B859" t="s">
        <v>3072</v>
      </c>
      <c r="C859" t="s">
        <v>10090</v>
      </c>
      <c r="D859" t="s">
        <v>12344</v>
      </c>
      <c r="E859" t="s">
        <v>10092</v>
      </c>
    </row>
    <row r="860" spans="1:5" hidden="1" x14ac:dyDescent="0.25">
      <c r="A860" t="s">
        <v>12345</v>
      </c>
      <c r="B860" t="s">
        <v>3060</v>
      </c>
      <c r="C860" t="s">
        <v>9646</v>
      </c>
      <c r="D860" t="s">
        <v>12346</v>
      </c>
      <c r="E860" t="s">
        <v>9648</v>
      </c>
    </row>
    <row r="861" spans="1:5" hidden="1" x14ac:dyDescent="0.25">
      <c r="A861" t="s">
        <v>12347</v>
      </c>
      <c r="B861" t="s">
        <v>4770</v>
      </c>
      <c r="C861" t="s">
        <v>9856</v>
      </c>
      <c r="D861" t="s">
        <v>12348</v>
      </c>
      <c r="E861" t="s">
        <v>9858</v>
      </c>
    </row>
    <row r="862" spans="1:5" hidden="1" x14ac:dyDescent="0.25">
      <c r="A862" t="s">
        <v>12349</v>
      </c>
      <c r="B862" t="s">
        <v>3662</v>
      </c>
      <c r="C862" t="s">
        <v>9758</v>
      </c>
      <c r="D862" t="s">
        <v>12350</v>
      </c>
      <c r="E862" t="s">
        <v>9760</v>
      </c>
    </row>
    <row r="863" spans="1:5" hidden="1" x14ac:dyDescent="0.25">
      <c r="A863" t="s">
        <v>12351</v>
      </c>
      <c r="B863" t="s">
        <v>3510</v>
      </c>
      <c r="C863" t="s">
        <v>9717</v>
      </c>
      <c r="D863" t="s">
        <v>12352</v>
      </c>
      <c r="E863" t="s">
        <v>9719</v>
      </c>
    </row>
    <row r="864" spans="1:5" hidden="1" x14ac:dyDescent="0.25">
      <c r="A864" t="s">
        <v>12353</v>
      </c>
      <c r="B864" t="s">
        <v>4971</v>
      </c>
      <c r="C864" t="s">
        <v>9637</v>
      </c>
      <c r="D864" t="s">
        <v>12354</v>
      </c>
      <c r="E864" t="s">
        <v>9637</v>
      </c>
    </row>
    <row r="865" spans="1:5" hidden="1" x14ac:dyDescent="0.25">
      <c r="A865" t="s">
        <v>12355</v>
      </c>
      <c r="B865" t="s">
        <v>3412</v>
      </c>
      <c r="C865" t="s">
        <v>9898</v>
      </c>
      <c r="D865" t="s">
        <v>12356</v>
      </c>
      <c r="E865" t="s">
        <v>9900</v>
      </c>
    </row>
    <row r="866" spans="1:5" hidden="1" x14ac:dyDescent="0.25">
      <c r="A866" t="s">
        <v>12357</v>
      </c>
      <c r="B866" t="s">
        <v>4634</v>
      </c>
      <c r="C866" t="s">
        <v>9723</v>
      </c>
      <c r="D866" t="s">
        <v>12358</v>
      </c>
      <c r="E866" t="s">
        <v>9725</v>
      </c>
    </row>
    <row r="867" spans="1:5" hidden="1" x14ac:dyDescent="0.25">
      <c r="A867" t="s">
        <v>12359</v>
      </c>
      <c r="B867" t="s">
        <v>4054</v>
      </c>
      <c r="C867" t="s">
        <v>9754</v>
      </c>
      <c r="D867" t="s">
        <v>12360</v>
      </c>
      <c r="E867" t="s">
        <v>9756</v>
      </c>
    </row>
    <row r="868" spans="1:5" hidden="1" x14ac:dyDescent="0.25">
      <c r="A868" t="s">
        <v>12361</v>
      </c>
      <c r="B868" t="s">
        <v>4356</v>
      </c>
      <c r="C868" t="s">
        <v>9792</v>
      </c>
      <c r="D868" t="s">
        <v>12362</v>
      </c>
      <c r="E868" t="s">
        <v>9794</v>
      </c>
    </row>
    <row r="869" spans="1:5" hidden="1" x14ac:dyDescent="0.25">
      <c r="A869" t="s">
        <v>12363</v>
      </c>
      <c r="B869" t="s">
        <v>5334</v>
      </c>
      <c r="C869" t="s">
        <v>9744</v>
      </c>
      <c r="D869" t="s">
        <v>12364</v>
      </c>
      <c r="E869" t="s">
        <v>9746</v>
      </c>
    </row>
    <row r="870" spans="1:5" hidden="1" x14ac:dyDescent="0.25">
      <c r="A870" t="s">
        <v>12365</v>
      </c>
      <c r="B870" t="s">
        <v>3669</v>
      </c>
      <c r="C870" t="s">
        <v>9898</v>
      </c>
      <c r="D870" t="s">
        <v>12366</v>
      </c>
      <c r="E870" t="s">
        <v>9900</v>
      </c>
    </row>
    <row r="871" spans="1:5" hidden="1" x14ac:dyDescent="0.25">
      <c r="A871" t="s">
        <v>12367</v>
      </c>
      <c r="B871" t="s">
        <v>3491</v>
      </c>
      <c r="C871" t="s">
        <v>9800</v>
      </c>
      <c r="D871" t="s">
        <v>12368</v>
      </c>
      <c r="E871" t="s">
        <v>9802</v>
      </c>
    </row>
    <row r="872" spans="1:5" hidden="1" x14ac:dyDescent="0.25">
      <c r="A872" t="s">
        <v>12369</v>
      </c>
      <c r="B872" t="s">
        <v>4135</v>
      </c>
      <c r="C872" t="s">
        <v>9800</v>
      </c>
      <c r="D872" t="s">
        <v>12370</v>
      </c>
      <c r="E872" t="s">
        <v>9802</v>
      </c>
    </row>
    <row r="873" spans="1:5" hidden="1" x14ac:dyDescent="0.25">
      <c r="A873" t="s">
        <v>12371</v>
      </c>
      <c r="B873" t="s">
        <v>3897</v>
      </c>
      <c r="C873" t="s">
        <v>9738</v>
      </c>
      <c r="D873" t="s">
        <v>12372</v>
      </c>
      <c r="E873" t="s">
        <v>9740</v>
      </c>
    </row>
    <row r="874" spans="1:5" hidden="1" x14ac:dyDescent="0.25">
      <c r="A874" t="s">
        <v>12373</v>
      </c>
      <c r="B874" t="s">
        <v>5897</v>
      </c>
      <c r="C874" t="s">
        <v>9754</v>
      </c>
      <c r="D874" t="s">
        <v>12374</v>
      </c>
      <c r="E874" t="s">
        <v>9756</v>
      </c>
    </row>
    <row r="875" spans="1:5" hidden="1" x14ac:dyDescent="0.25">
      <c r="A875" t="s">
        <v>12375</v>
      </c>
      <c r="B875" t="s">
        <v>4850</v>
      </c>
      <c r="C875" t="s">
        <v>9723</v>
      </c>
      <c r="D875" t="s">
        <v>12376</v>
      </c>
      <c r="E875" t="s">
        <v>9725</v>
      </c>
    </row>
    <row r="876" spans="1:5" hidden="1" x14ac:dyDescent="0.25">
      <c r="A876" t="s">
        <v>12377</v>
      </c>
      <c r="B876" t="s">
        <v>3901</v>
      </c>
      <c r="C876" t="s">
        <v>9948</v>
      </c>
      <c r="D876" t="s">
        <v>12378</v>
      </c>
      <c r="E876" t="s">
        <v>9950</v>
      </c>
    </row>
    <row r="877" spans="1:5" hidden="1" x14ac:dyDescent="0.25">
      <c r="A877" t="s">
        <v>12379</v>
      </c>
      <c r="B877" t="s">
        <v>5661</v>
      </c>
      <c r="C877" t="s">
        <v>9856</v>
      </c>
      <c r="D877" t="s">
        <v>12380</v>
      </c>
      <c r="E877" t="s">
        <v>9858</v>
      </c>
    </row>
    <row r="878" spans="1:5" hidden="1" x14ac:dyDescent="0.25">
      <c r="A878" t="s">
        <v>12381</v>
      </c>
      <c r="B878" t="s">
        <v>3064</v>
      </c>
      <c r="C878" t="s">
        <v>9852</v>
      </c>
      <c r="D878" t="s">
        <v>9840</v>
      </c>
      <c r="E878" t="s">
        <v>9854</v>
      </c>
    </row>
    <row r="879" spans="1:5" hidden="1" x14ac:dyDescent="0.25">
      <c r="A879" t="s">
        <v>12382</v>
      </c>
      <c r="B879" t="s">
        <v>4934</v>
      </c>
      <c r="C879" t="s">
        <v>9640</v>
      </c>
      <c r="D879" t="s">
        <v>12383</v>
      </c>
      <c r="E879" t="s">
        <v>9642</v>
      </c>
    </row>
    <row r="880" spans="1:5" hidden="1" x14ac:dyDescent="0.25">
      <c r="A880" t="s">
        <v>12384</v>
      </c>
      <c r="B880" t="s">
        <v>5046</v>
      </c>
      <c r="C880" t="s">
        <v>9852</v>
      </c>
      <c r="D880" t="s">
        <v>12383</v>
      </c>
      <c r="E880" t="s">
        <v>9854</v>
      </c>
    </row>
    <row r="881" spans="1:5" hidden="1" x14ac:dyDescent="0.25">
      <c r="A881" t="s">
        <v>12385</v>
      </c>
      <c r="B881" t="s">
        <v>2087</v>
      </c>
      <c r="C881" t="s">
        <v>9852</v>
      </c>
      <c r="D881" t="s">
        <v>12383</v>
      </c>
      <c r="E881" t="s">
        <v>9854</v>
      </c>
    </row>
    <row r="882" spans="1:5" hidden="1" x14ac:dyDescent="0.25">
      <c r="A882" t="s">
        <v>12386</v>
      </c>
      <c r="B882" t="s">
        <v>5700</v>
      </c>
      <c r="C882" t="s">
        <v>10172</v>
      </c>
      <c r="D882" t="s">
        <v>12387</v>
      </c>
      <c r="E882" t="s">
        <v>10174</v>
      </c>
    </row>
    <row r="883" spans="1:5" hidden="1" x14ac:dyDescent="0.25">
      <c r="A883" t="s">
        <v>12388</v>
      </c>
      <c r="B883" t="s">
        <v>6458</v>
      </c>
      <c r="C883" t="s">
        <v>9738</v>
      </c>
      <c r="D883" t="s">
        <v>12389</v>
      </c>
      <c r="E883" t="s">
        <v>9740</v>
      </c>
    </row>
    <row r="884" spans="1:5" hidden="1" x14ac:dyDescent="0.25">
      <c r="A884" t="s">
        <v>12390</v>
      </c>
      <c r="B884" t="s">
        <v>4540</v>
      </c>
      <c r="C884" t="s">
        <v>9748</v>
      </c>
      <c r="D884" t="s">
        <v>12391</v>
      </c>
      <c r="E884" t="s">
        <v>9750</v>
      </c>
    </row>
    <row r="885" spans="1:5" hidden="1" x14ac:dyDescent="0.25">
      <c r="A885" t="s">
        <v>12392</v>
      </c>
      <c r="B885" t="s">
        <v>2874</v>
      </c>
      <c r="C885" t="s">
        <v>9681</v>
      </c>
      <c r="D885" t="s">
        <v>12393</v>
      </c>
      <c r="E885" t="s">
        <v>9683</v>
      </c>
    </row>
    <row r="886" spans="1:5" hidden="1" x14ac:dyDescent="0.25">
      <c r="A886" t="s">
        <v>12394</v>
      </c>
      <c r="B886" t="s">
        <v>5734</v>
      </c>
      <c r="C886" t="s">
        <v>10098</v>
      </c>
      <c r="D886" t="s">
        <v>12395</v>
      </c>
      <c r="E886" t="s">
        <v>12016</v>
      </c>
    </row>
    <row r="887" spans="1:5" hidden="1" x14ac:dyDescent="0.25">
      <c r="A887" t="s">
        <v>12396</v>
      </c>
      <c r="B887" t="s">
        <v>6090</v>
      </c>
      <c r="C887" t="s">
        <v>9788</v>
      </c>
      <c r="D887" t="s">
        <v>12397</v>
      </c>
      <c r="E887" t="s">
        <v>9790</v>
      </c>
    </row>
    <row r="888" spans="1:5" hidden="1" x14ac:dyDescent="0.25">
      <c r="A888" t="s">
        <v>12398</v>
      </c>
      <c r="B888" t="s">
        <v>4233</v>
      </c>
      <c r="C888" t="s">
        <v>9640</v>
      </c>
      <c r="D888" t="s">
        <v>12397</v>
      </c>
      <c r="E888" t="s">
        <v>9642</v>
      </c>
    </row>
    <row r="889" spans="1:5" hidden="1" x14ac:dyDescent="0.25">
      <c r="A889" t="s">
        <v>12399</v>
      </c>
      <c r="B889" t="s">
        <v>5987</v>
      </c>
      <c r="C889" t="s">
        <v>10172</v>
      </c>
      <c r="D889" t="s">
        <v>12397</v>
      </c>
      <c r="E889" t="s">
        <v>10174</v>
      </c>
    </row>
    <row r="890" spans="1:5" hidden="1" x14ac:dyDescent="0.25">
      <c r="A890" t="s">
        <v>12400</v>
      </c>
      <c r="B890" t="s">
        <v>3194</v>
      </c>
      <c r="C890" t="s">
        <v>9654</v>
      </c>
      <c r="D890" t="s">
        <v>12401</v>
      </c>
      <c r="E890" t="s">
        <v>9656</v>
      </c>
    </row>
    <row r="891" spans="1:5" hidden="1" x14ac:dyDescent="0.25">
      <c r="A891" t="s">
        <v>12402</v>
      </c>
      <c r="B891" t="s">
        <v>5993</v>
      </c>
      <c r="C891" t="s">
        <v>9754</v>
      </c>
      <c r="D891" t="s">
        <v>12403</v>
      </c>
      <c r="E891" t="s">
        <v>9756</v>
      </c>
    </row>
    <row r="892" spans="1:5" hidden="1" x14ac:dyDescent="0.25">
      <c r="A892" t="s">
        <v>12404</v>
      </c>
      <c r="B892" t="s">
        <v>2624</v>
      </c>
      <c r="C892" t="s">
        <v>10024</v>
      </c>
      <c r="D892" t="s">
        <v>12405</v>
      </c>
      <c r="E892" t="s">
        <v>10026</v>
      </c>
    </row>
    <row r="893" spans="1:5" hidden="1" x14ac:dyDescent="0.25">
      <c r="A893" t="s">
        <v>12406</v>
      </c>
      <c r="B893" t="s">
        <v>3919</v>
      </c>
      <c r="C893" t="s">
        <v>9738</v>
      </c>
      <c r="D893" t="s">
        <v>12407</v>
      </c>
      <c r="E893" t="s">
        <v>9740</v>
      </c>
    </row>
    <row r="894" spans="1:5" hidden="1" x14ac:dyDescent="0.25">
      <c r="A894" t="s">
        <v>12408</v>
      </c>
      <c r="B894" t="s">
        <v>5200</v>
      </c>
      <c r="C894" t="s">
        <v>9640</v>
      </c>
      <c r="D894" t="s">
        <v>12409</v>
      </c>
      <c r="E894" t="s">
        <v>9642</v>
      </c>
    </row>
    <row r="895" spans="1:5" hidden="1" x14ac:dyDescent="0.25">
      <c r="A895" t="s">
        <v>12410</v>
      </c>
      <c r="B895" t="s">
        <v>4915</v>
      </c>
      <c r="C895" t="s">
        <v>11782</v>
      </c>
      <c r="D895" t="s">
        <v>12411</v>
      </c>
      <c r="E895" t="s">
        <v>12179</v>
      </c>
    </row>
    <row r="896" spans="1:5" hidden="1" x14ac:dyDescent="0.25">
      <c r="A896" t="s">
        <v>12412</v>
      </c>
      <c r="B896" t="s">
        <v>4366</v>
      </c>
      <c r="C896" t="s">
        <v>9856</v>
      </c>
      <c r="D896" t="s">
        <v>12413</v>
      </c>
      <c r="E896" t="s">
        <v>9858</v>
      </c>
    </row>
    <row r="897" spans="1:5" hidden="1" x14ac:dyDescent="0.25">
      <c r="A897" t="s">
        <v>12414</v>
      </c>
      <c r="B897" t="s">
        <v>5283</v>
      </c>
      <c r="C897" t="s">
        <v>9848</v>
      </c>
      <c r="D897" t="s">
        <v>12415</v>
      </c>
      <c r="E897" t="s">
        <v>9850</v>
      </c>
    </row>
    <row r="898" spans="1:5" hidden="1" x14ac:dyDescent="0.25">
      <c r="A898" t="s">
        <v>12416</v>
      </c>
      <c r="B898" t="s">
        <v>3453</v>
      </c>
      <c r="C898" t="s">
        <v>10102</v>
      </c>
      <c r="D898" t="s">
        <v>12417</v>
      </c>
      <c r="E898" t="s">
        <v>10104</v>
      </c>
    </row>
    <row r="899" spans="1:5" hidden="1" x14ac:dyDescent="0.25">
      <c r="A899" t="s">
        <v>12418</v>
      </c>
      <c r="B899" t="s">
        <v>3170</v>
      </c>
      <c r="C899" t="s">
        <v>9852</v>
      </c>
      <c r="D899" t="s">
        <v>12419</v>
      </c>
      <c r="E899" t="s">
        <v>9854</v>
      </c>
    </row>
    <row r="900" spans="1:5" hidden="1" x14ac:dyDescent="0.25">
      <c r="A900" t="s">
        <v>12420</v>
      </c>
      <c r="B900" t="s">
        <v>3642</v>
      </c>
      <c r="C900" t="s">
        <v>9723</v>
      </c>
      <c r="D900" t="s">
        <v>12421</v>
      </c>
      <c r="E900" t="s">
        <v>9725</v>
      </c>
    </row>
    <row r="901" spans="1:5" hidden="1" x14ac:dyDescent="0.25">
      <c r="A901" t="s">
        <v>12422</v>
      </c>
      <c r="B901" t="s">
        <v>4767</v>
      </c>
      <c r="C901" t="s">
        <v>9848</v>
      </c>
      <c r="D901" t="s">
        <v>12423</v>
      </c>
      <c r="E901" t="s">
        <v>9850</v>
      </c>
    </row>
    <row r="902" spans="1:5" hidden="1" x14ac:dyDescent="0.25">
      <c r="A902" t="s">
        <v>12424</v>
      </c>
      <c r="B902" t="s">
        <v>6678</v>
      </c>
      <c r="C902" t="s">
        <v>9738</v>
      </c>
      <c r="D902" t="s">
        <v>12425</v>
      </c>
      <c r="E902" t="s">
        <v>9740</v>
      </c>
    </row>
    <row r="903" spans="1:5" hidden="1" x14ac:dyDescent="0.25">
      <c r="A903" t="s">
        <v>12426</v>
      </c>
      <c r="B903" t="s">
        <v>4460</v>
      </c>
      <c r="C903" t="s">
        <v>10245</v>
      </c>
      <c r="D903" t="s">
        <v>12427</v>
      </c>
      <c r="E903" t="s">
        <v>10247</v>
      </c>
    </row>
    <row r="904" spans="1:5" hidden="1" x14ac:dyDescent="0.25">
      <c r="A904" t="s">
        <v>12428</v>
      </c>
      <c r="B904" t="s">
        <v>5146</v>
      </c>
      <c r="C904" t="s">
        <v>9675</v>
      </c>
      <c r="D904" t="s">
        <v>12429</v>
      </c>
      <c r="E904" t="s">
        <v>9677</v>
      </c>
    </row>
    <row r="905" spans="1:5" hidden="1" x14ac:dyDescent="0.25">
      <c r="A905" t="s">
        <v>12430</v>
      </c>
      <c r="B905" t="s">
        <v>3430</v>
      </c>
      <c r="C905" t="s">
        <v>9782</v>
      </c>
      <c r="D905" t="s">
        <v>12431</v>
      </c>
      <c r="E905" t="s">
        <v>9784</v>
      </c>
    </row>
    <row r="906" spans="1:5" hidden="1" x14ac:dyDescent="0.25">
      <c r="A906" t="s">
        <v>12432</v>
      </c>
      <c r="B906" t="s">
        <v>2737</v>
      </c>
      <c r="C906" t="s">
        <v>9748</v>
      </c>
      <c r="D906" t="s">
        <v>10423</v>
      </c>
      <c r="E906" t="s">
        <v>9750</v>
      </c>
    </row>
    <row r="907" spans="1:5" hidden="1" x14ac:dyDescent="0.25">
      <c r="A907" t="s">
        <v>12433</v>
      </c>
      <c r="B907" t="s">
        <v>3349</v>
      </c>
      <c r="C907" t="s">
        <v>9629</v>
      </c>
      <c r="D907" t="s">
        <v>12434</v>
      </c>
      <c r="E907" t="s">
        <v>9631</v>
      </c>
    </row>
    <row r="908" spans="1:5" hidden="1" x14ac:dyDescent="0.25">
      <c r="A908" t="s">
        <v>12435</v>
      </c>
      <c r="B908" t="s">
        <v>2886</v>
      </c>
      <c r="C908" t="s">
        <v>9646</v>
      </c>
      <c r="D908" t="s">
        <v>12436</v>
      </c>
      <c r="E908" t="s">
        <v>9648</v>
      </c>
    </row>
    <row r="909" spans="1:5" hidden="1" x14ac:dyDescent="0.25">
      <c r="A909" t="s">
        <v>12437</v>
      </c>
      <c r="B909" t="s">
        <v>4867</v>
      </c>
      <c r="C909" t="s">
        <v>9738</v>
      </c>
      <c r="D909" t="s">
        <v>12438</v>
      </c>
      <c r="E909" t="s">
        <v>9740</v>
      </c>
    </row>
    <row r="910" spans="1:5" hidden="1" x14ac:dyDescent="0.25">
      <c r="A910" t="s">
        <v>12439</v>
      </c>
      <c r="B910" t="s">
        <v>3858</v>
      </c>
      <c r="C910" t="s">
        <v>9792</v>
      </c>
      <c r="D910" t="s">
        <v>12440</v>
      </c>
      <c r="E910" t="s">
        <v>9794</v>
      </c>
    </row>
    <row r="911" spans="1:5" hidden="1" x14ac:dyDescent="0.25">
      <c r="A911" t="s">
        <v>12441</v>
      </c>
      <c r="B911" t="s">
        <v>3823</v>
      </c>
      <c r="C911" t="s">
        <v>10323</v>
      </c>
      <c r="D911" t="s">
        <v>12442</v>
      </c>
      <c r="E911" t="s">
        <v>10325</v>
      </c>
    </row>
    <row r="912" spans="1:5" hidden="1" x14ac:dyDescent="0.25">
      <c r="A912" t="s">
        <v>12443</v>
      </c>
      <c r="B912" t="s">
        <v>3163</v>
      </c>
      <c r="C912" t="s">
        <v>9738</v>
      </c>
      <c r="D912" t="s">
        <v>12444</v>
      </c>
      <c r="E912" t="s">
        <v>9740</v>
      </c>
    </row>
    <row r="913" spans="1:5" hidden="1" x14ac:dyDescent="0.25">
      <c r="A913" t="s">
        <v>12445</v>
      </c>
      <c r="B913" t="s">
        <v>2598</v>
      </c>
      <c r="C913" t="s">
        <v>9738</v>
      </c>
      <c r="D913" t="s">
        <v>12446</v>
      </c>
      <c r="E913" t="s">
        <v>9740</v>
      </c>
    </row>
    <row r="914" spans="1:5" hidden="1" x14ac:dyDescent="0.25">
      <c r="A914" t="s">
        <v>12447</v>
      </c>
      <c r="B914" t="s">
        <v>6805</v>
      </c>
      <c r="C914" t="s">
        <v>9792</v>
      </c>
      <c r="D914" t="s">
        <v>12448</v>
      </c>
      <c r="E914" t="s">
        <v>9794</v>
      </c>
    </row>
    <row r="915" spans="1:5" hidden="1" x14ac:dyDescent="0.25">
      <c r="A915" t="s">
        <v>12449</v>
      </c>
      <c r="B915" t="s">
        <v>3392</v>
      </c>
      <c r="C915" t="s">
        <v>9848</v>
      </c>
      <c r="D915" t="s">
        <v>12450</v>
      </c>
      <c r="E915" t="s">
        <v>9850</v>
      </c>
    </row>
    <row r="916" spans="1:5" hidden="1" x14ac:dyDescent="0.25">
      <c r="A916" t="s">
        <v>12451</v>
      </c>
      <c r="B916" t="s">
        <v>6239</v>
      </c>
      <c r="C916" t="s">
        <v>9800</v>
      </c>
      <c r="D916" t="s">
        <v>12452</v>
      </c>
      <c r="E916" t="s">
        <v>9802</v>
      </c>
    </row>
    <row r="917" spans="1:5" hidden="1" x14ac:dyDescent="0.25">
      <c r="A917" t="s">
        <v>12453</v>
      </c>
      <c r="B917" t="s">
        <v>4811</v>
      </c>
      <c r="C917" t="s">
        <v>9738</v>
      </c>
      <c r="D917" t="s">
        <v>12454</v>
      </c>
      <c r="E917" t="s">
        <v>9740</v>
      </c>
    </row>
    <row r="918" spans="1:5" hidden="1" x14ac:dyDescent="0.25">
      <c r="A918" t="s">
        <v>12455</v>
      </c>
      <c r="B918" t="s">
        <v>4570</v>
      </c>
      <c r="C918" t="s">
        <v>9723</v>
      </c>
      <c r="D918" t="s">
        <v>12456</v>
      </c>
      <c r="E918" t="s">
        <v>9725</v>
      </c>
    </row>
    <row r="919" spans="1:5" hidden="1" x14ac:dyDescent="0.25">
      <c r="A919" t="s">
        <v>12457</v>
      </c>
      <c r="B919" t="s">
        <v>3804</v>
      </c>
      <c r="C919" t="s">
        <v>9852</v>
      </c>
      <c r="D919" t="s">
        <v>12458</v>
      </c>
      <c r="E919" t="s">
        <v>9854</v>
      </c>
    </row>
    <row r="920" spans="1:5" hidden="1" x14ac:dyDescent="0.25">
      <c r="A920" t="s">
        <v>12459</v>
      </c>
      <c r="B920" t="s">
        <v>4572</v>
      </c>
      <c r="C920" t="s">
        <v>9800</v>
      </c>
      <c r="D920" t="s">
        <v>12460</v>
      </c>
      <c r="E920" t="s">
        <v>9802</v>
      </c>
    </row>
    <row r="921" spans="1:5" hidden="1" x14ac:dyDescent="0.25">
      <c r="A921" t="s">
        <v>12461</v>
      </c>
      <c r="B921" t="s">
        <v>3693</v>
      </c>
      <c r="C921" t="s">
        <v>9621</v>
      </c>
      <c r="D921" t="s">
        <v>12462</v>
      </c>
      <c r="E921" t="s">
        <v>9623</v>
      </c>
    </row>
    <row r="922" spans="1:5" hidden="1" x14ac:dyDescent="0.25">
      <c r="A922" t="s">
        <v>12463</v>
      </c>
      <c r="B922" t="s">
        <v>5035</v>
      </c>
      <c r="C922" t="s">
        <v>9754</v>
      </c>
      <c r="D922" t="s">
        <v>12464</v>
      </c>
      <c r="E922" t="s">
        <v>9756</v>
      </c>
    </row>
    <row r="923" spans="1:5" hidden="1" x14ac:dyDescent="0.25">
      <c r="A923" t="s">
        <v>12465</v>
      </c>
      <c r="B923" t="s">
        <v>3860</v>
      </c>
      <c r="C923" t="s">
        <v>9738</v>
      </c>
      <c r="D923" t="s">
        <v>12466</v>
      </c>
      <c r="E923" t="s">
        <v>9740</v>
      </c>
    </row>
    <row r="924" spans="1:5" hidden="1" x14ac:dyDescent="0.25">
      <c r="A924" t="s">
        <v>12467</v>
      </c>
      <c r="B924" t="s">
        <v>3692</v>
      </c>
      <c r="C924" t="s">
        <v>9754</v>
      </c>
      <c r="D924" t="s">
        <v>12468</v>
      </c>
      <c r="E924" t="s">
        <v>9756</v>
      </c>
    </row>
    <row r="925" spans="1:5" hidden="1" x14ac:dyDescent="0.25">
      <c r="A925" t="s">
        <v>12469</v>
      </c>
      <c r="B925" t="s">
        <v>5737</v>
      </c>
      <c r="C925" t="s">
        <v>9691</v>
      </c>
      <c r="D925" t="s">
        <v>12470</v>
      </c>
      <c r="E925" t="s">
        <v>9693</v>
      </c>
    </row>
    <row r="926" spans="1:5" hidden="1" x14ac:dyDescent="0.25">
      <c r="A926" t="s">
        <v>12471</v>
      </c>
      <c r="B926" t="s">
        <v>5552</v>
      </c>
      <c r="C926" t="s">
        <v>9898</v>
      </c>
      <c r="D926" t="s">
        <v>12472</v>
      </c>
      <c r="E926" t="s">
        <v>9900</v>
      </c>
    </row>
    <row r="927" spans="1:5" hidden="1" x14ac:dyDescent="0.25">
      <c r="A927" t="s">
        <v>12473</v>
      </c>
      <c r="B927" t="s">
        <v>6371</v>
      </c>
      <c r="C927" t="s">
        <v>9800</v>
      </c>
      <c r="D927" t="s">
        <v>12474</v>
      </c>
      <c r="E927" t="s">
        <v>9802</v>
      </c>
    </row>
    <row r="928" spans="1:5" hidden="1" x14ac:dyDescent="0.25">
      <c r="A928" t="s">
        <v>12475</v>
      </c>
      <c r="B928" t="s">
        <v>6526</v>
      </c>
      <c r="C928" t="s">
        <v>10685</v>
      </c>
      <c r="D928" t="s">
        <v>12476</v>
      </c>
      <c r="E928" t="s">
        <v>10687</v>
      </c>
    </row>
    <row r="929" spans="1:5" hidden="1" x14ac:dyDescent="0.25">
      <c r="A929" t="s">
        <v>12477</v>
      </c>
      <c r="B929" t="s">
        <v>3101</v>
      </c>
      <c r="C929" t="s">
        <v>9852</v>
      </c>
      <c r="D929" t="s">
        <v>12478</v>
      </c>
      <c r="E929" t="s">
        <v>9854</v>
      </c>
    </row>
    <row r="930" spans="1:5" hidden="1" x14ac:dyDescent="0.25">
      <c r="A930" t="s">
        <v>12479</v>
      </c>
      <c r="B930" t="s">
        <v>6041</v>
      </c>
      <c r="C930" t="s">
        <v>9852</v>
      </c>
      <c r="D930" t="s">
        <v>12480</v>
      </c>
      <c r="E930" t="s">
        <v>9854</v>
      </c>
    </row>
    <row r="931" spans="1:5" hidden="1" x14ac:dyDescent="0.25">
      <c r="A931" t="s">
        <v>12481</v>
      </c>
      <c r="B931" t="s">
        <v>2517</v>
      </c>
      <c r="C931" t="s">
        <v>9738</v>
      </c>
      <c r="D931" t="s">
        <v>12482</v>
      </c>
      <c r="E931" t="s">
        <v>9740</v>
      </c>
    </row>
    <row r="932" spans="1:5" hidden="1" x14ac:dyDescent="0.25">
      <c r="A932" t="s">
        <v>12483</v>
      </c>
      <c r="B932" t="s">
        <v>2530</v>
      </c>
      <c r="C932" t="s">
        <v>9792</v>
      </c>
      <c r="D932" t="s">
        <v>9638</v>
      </c>
      <c r="E932" t="s">
        <v>9794</v>
      </c>
    </row>
    <row r="933" spans="1:5" hidden="1" x14ac:dyDescent="0.25">
      <c r="A933" t="s">
        <v>12484</v>
      </c>
      <c r="B933" t="s">
        <v>5275</v>
      </c>
      <c r="C933" t="s">
        <v>9788</v>
      </c>
      <c r="D933" t="s">
        <v>12485</v>
      </c>
      <c r="E933" t="s">
        <v>9790</v>
      </c>
    </row>
    <row r="934" spans="1:5" hidden="1" x14ac:dyDescent="0.25">
      <c r="A934" t="s">
        <v>12486</v>
      </c>
      <c r="B934" t="s">
        <v>3206</v>
      </c>
      <c r="C934" t="s">
        <v>9792</v>
      </c>
      <c r="D934" t="s">
        <v>12487</v>
      </c>
      <c r="E934" t="s">
        <v>9794</v>
      </c>
    </row>
    <row r="935" spans="1:5" hidden="1" x14ac:dyDescent="0.25">
      <c r="A935" t="s">
        <v>12488</v>
      </c>
      <c r="B935" t="s">
        <v>2672</v>
      </c>
      <c r="C935" t="s">
        <v>9872</v>
      </c>
      <c r="D935" t="s">
        <v>12489</v>
      </c>
      <c r="E935" t="s">
        <v>9874</v>
      </c>
    </row>
    <row r="936" spans="1:5" hidden="1" x14ac:dyDescent="0.25">
      <c r="A936" t="s">
        <v>12490</v>
      </c>
      <c r="B936" t="s">
        <v>5183</v>
      </c>
      <c r="C936" t="s">
        <v>9748</v>
      </c>
      <c r="D936" t="s">
        <v>12491</v>
      </c>
      <c r="E936" t="s">
        <v>9750</v>
      </c>
    </row>
    <row r="937" spans="1:5" hidden="1" x14ac:dyDescent="0.25">
      <c r="A937" t="s">
        <v>12492</v>
      </c>
      <c r="B937" t="s">
        <v>3260</v>
      </c>
      <c r="C937" t="s">
        <v>9948</v>
      </c>
      <c r="D937" t="s">
        <v>12493</v>
      </c>
      <c r="E937" t="s">
        <v>9950</v>
      </c>
    </row>
    <row r="938" spans="1:5" hidden="1" x14ac:dyDescent="0.25">
      <c r="A938" t="s">
        <v>12494</v>
      </c>
      <c r="B938" t="s">
        <v>4941</v>
      </c>
      <c r="C938" t="s">
        <v>9738</v>
      </c>
      <c r="D938" t="s">
        <v>12495</v>
      </c>
      <c r="E938" t="s">
        <v>9740</v>
      </c>
    </row>
    <row r="939" spans="1:5" hidden="1" x14ac:dyDescent="0.25">
      <c r="A939" t="s">
        <v>12496</v>
      </c>
      <c r="B939" t="s">
        <v>4027</v>
      </c>
      <c r="C939" t="s">
        <v>10323</v>
      </c>
      <c r="D939" t="s">
        <v>12497</v>
      </c>
      <c r="E939" t="s">
        <v>10325</v>
      </c>
    </row>
    <row r="940" spans="1:5" hidden="1" x14ac:dyDescent="0.25">
      <c r="A940" t="s">
        <v>12498</v>
      </c>
      <c r="B940" t="s">
        <v>2825</v>
      </c>
      <c r="C940" t="s">
        <v>9788</v>
      </c>
      <c r="D940" t="s">
        <v>12499</v>
      </c>
      <c r="E940" t="s">
        <v>9790</v>
      </c>
    </row>
    <row r="941" spans="1:5" hidden="1" x14ac:dyDescent="0.25">
      <c r="A941" t="s">
        <v>12500</v>
      </c>
      <c r="B941" t="s">
        <v>4004</v>
      </c>
      <c r="C941" t="s">
        <v>9738</v>
      </c>
      <c r="D941" t="s">
        <v>12501</v>
      </c>
      <c r="E941" t="s">
        <v>9740</v>
      </c>
    </row>
    <row r="942" spans="1:5" hidden="1" x14ac:dyDescent="0.25">
      <c r="A942" t="s">
        <v>12502</v>
      </c>
      <c r="B942" t="s">
        <v>4220</v>
      </c>
      <c r="C942" t="s">
        <v>9748</v>
      </c>
      <c r="D942" t="s">
        <v>12503</v>
      </c>
      <c r="E942" t="s">
        <v>9750</v>
      </c>
    </row>
    <row r="943" spans="1:5" hidden="1" x14ac:dyDescent="0.25">
      <c r="A943" t="s">
        <v>12504</v>
      </c>
      <c r="B943" t="s">
        <v>3736</v>
      </c>
      <c r="C943" t="s">
        <v>9723</v>
      </c>
      <c r="D943" t="s">
        <v>12505</v>
      </c>
      <c r="E943" t="s">
        <v>9725</v>
      </c>
    </row>
    <row r="944" spans="1:5" hidden="1" x14ac:dyDescent="0.25">
      <c r="A944" t="s">
        <v>12506</v>
      </c>
      <c r="B944" t="s">
        <v>5531</v>
      </c>
      <c r="C944" t="s">
        <v>9748</v>
      </c>
      <c r="D944" t="s">
        <v>12507</v>
      </c>
      <c r="E944" t="s">
        <v>9750</v>
      </c>
    </row>
    <row r="945" spans="1:5" hidden="1" x14ac:dyDescent="0.25">
      <c r="A945" t="s">
        <v>12508</v>
      </c>
      <c r="B945" t="s">
        <v>5137</v>
      </c>
      <c r="C945" t="s">
        <v>9723</v>
      </c>
      <c r="D945" t="s">
        <v>12509</v>
      </c>
      <c r="E945" t="s">
        <v>9725</v>
      </c>
    </row>
    <row r="946" spans="1:5" hidden="1" x14ac:dyDescent="0.25">
      <c r="A946" t="s">
        <v>12510</v>
      </c>
      <c r="B946" t="s">
        <v>7048</v>
      </c>
      <c r="C946" t="s">
        <v>9640</v>
      </c>
      <c r="D946" t="s">
        <v>12511</v>
      </c>
      <c r="E946" t="s">
        <v>9642</v>
      </c>
    </row>
    <row r="947" spans="1:5" hidden="1" x14ac:dyDescent="0.25">
      <c r="A947" t="s">
        <v>12512</v>
      </c>
      <c r="B947" t="s">
        <v>3779</v>
      </c>
      <c r="C947" t="s">
        <v>9748</v>
      </c>
      <c r="D947" t="s">
        <v>12513</v>
      </c>
      <c r="E947" t="s">
        <v>9750</v>
      </c>
    </row>
    <row r="948" spans="1:5" hidden="1" x14ac:dyDescent="0.25">
      <c r="A948" t="s">
        <v>12514</v>
      </c>
      <c r="B948" t="s">
        <v>3928</v>
      </c>
      <c r="C948" t="s">
        <v>9782</v>
      </c>
      <c r="D948" t="s">
        <v>12515</v>
      </c>
      <c r="E948" t="s">
        <v>9784</v>
      </c>
    </row>
    <row r="949" spans="1:5" hidden="1" x14ac:dyDescent="0.25">
      <c r="A949" t="s">
        <v>12516</v>
      </c>
      <c r="B949" t="s">
        <v>2986</v>
      </c>
      <c r="C949" t="s">
        <v>9758</v>
      </c>
      <c r="D949" t="s">
        <v>12517</v>
      </c>
      <c r="E949" t="s">
        <v>9760</v>
      </c>
    </row>
    <row r="950" spans="1:5" hidden="1" x14ac:dyDescent="0.25">
      <c r="A950" t="s">
        <v>12518</v>
      </c>
      <c r="B950" t="s">
        <v>5125</v>
      </c>
      <c r="C950" t="s">
        <v>9800</v>
      </c>
      <c r="D950" t="s">
        <v>12519</v>
      </c>
      <c r="E950" t="s">
        <v>9802</v>
      </c>
    </row>
    <row r="951" spans="1:5" hidden="1" x14ac:dyDescent="0.25">
      <c r="A951" t="s">
        <v>12520</v>
      </c>
      <c r="B951" t="s">
        <v>2587</v>
      </c>
      <c r="C951" t="s">
        <v>9691</v>
      </c>
      <c r="D951" t="s">
        <v>12521</v>
      </c>
      <c r="E951" t="s">
        <v>9693</v>
      </c>
    </row>
    <row r="952" spans="1:5" hidden="1" x14ac:dyDescent="0.25">
      <c r="A952" t="s">
        <v>12522</v>
      </c>
      <c r="B952" t="s">
        <v>3427</v>
      </c>
      <c r="C952" t="s">
        <v>9836</v>
      </c>
      <c r="D952" t="s">
        <v>12523</v>
      </c>
      <c r="E952" t="s">
        <v>9838</v>
      </c>
    </row>
    <row r="953" spans="1:5" hidden="1" x14ac:dyDescent="0.25">
      <c r="A953" t="s">
        <v>12524</v>
      </c>
      <c r="B953" t="s">
        <v>4693</v>
      </c>
      <c r="C953" t="s">
        <v>9836</v>
      </c>
      <c r="D953" t="s">
        <v>10309</v>
      </c>
      <c r="E953" t="s">
        <v>9838</v>
      </c>
    </row>
    <row r="954" spans="1:5" hidden="1" x14ac:dyDescent="0.25">
      <c r="A954" t="s">
        <v>12525</v>
      </c>
      <c r="B954" t="s">
        <v>6535</v>
      </c>
      <c r="C954" t="s">
        <v>9748</v>
      </c>
      <c r="D954" t="s">
        <v>12526</v>
      </c>
      <c r="E954" t="s">
        <v>9750</v>
      </c>
    </row>
    <row r="955" spans="1:5" hidden="1" x14ac:dyDescent="0.25">
      <c r="A955" t="s">
        <v>12527</v>
      </c>
      <c r="B955" t="s">
        <v>3827</v>
      </c>
      <c r="C955" t="s">
        <v>9738</v>
      </c>
      <c r="D955" t="s">
        <v>12528</v>
      </c>
      <c r="E955" t="s">
        <v>9740</v>
      </c>
    </row>
    <row r="956" spans="1:5" hidden="1" x14ac:dyDescent="0.25">
      <c r="A956" t="s">
        <v>12529</v>
      </c>
      <c r="B956" t="s">
        <v>3691</v>
      </c>
      <c r="C956" t="s">
        <v>9640</v>
      </c>
      <c r="D956" t="s">
        <v>12530</v>
      </c>
      <c r="E956" t="s">
        <v>9642</v>
      </c>
    </row>
    <row r="957" spans="1:5" hidden="1" x14ac:dyDescent="0.25">
      <c r="A957" t="s">
        <v>12531</v>
      </c>
      <c r="B957" t="s">
        <v>3356</v>
      </c>
      <c r="C957" t="s">
        <v>9744</v>
      </c>
      <c r="D957" t="s">
        <v>12532</v>
      </c>
      <c r="E957" t="s">
        <v>9746</v>
      </c>
    </row>
    <row r="958" spans="1:5" hidden="1" x14ac:dyDescent="0.25">
      <c r="A958" t="s">
        <v>12533</v>
      </c>
      <c r="B958" t="s">
        <v>5002</v>
      </c>
      <c r="C958" t="s">
        <v>9800</v>
      </c>
      <c r="D958" t="s">
        <v>12534</v>
      </c>
      <c r="E958" t="s">
        <v>9802</v>
      </c>
    </row>
    <row r="959" spans="1:5" hidden="1" x14ac:dyDescent="0.25">
      <c r="A959" t="s">
        <v>12535</v>
      </c>
      <c r="B959" t="s">
        <v>3417</v>
      </c>
      <c r="C959" t="s">
        <v>9792</v>
      </c>
      <c r="D959" t="s">
        <v>12536</v>
      </c>
      <c r="E959" t="s">
        <v>9794</v>
      </c>
    </row>
    <row r="960" spans="1:5" hidden="1" x14ac:dyDescent="0.25">
      <c r="A960" t="s">
        <v>12537</v>
      </c>
      <c r="B960" t="s">
        <v>5363</v>
      </c>
      <c r="C960" t="s">
        <v>9723</v>
      </c>
      <c r="D960" t="s">
        <v>12538</v>
      </c>
      <c r="E960" t="s">
        <v>9725</v>
      </c>
    </row>
    <row r="961" spans="1:5" hidden="1" x14ac:dyDescent="0.25">
      <c r="A961" t="s">
        <v>12539</v>
      </c>
      <c r="B961" t="s">
        <v>3980</v>
      </c>
      <c r="C961" t="s">
        <v>9640</v>
      </c>
      <c r="D961" t="s">
        <v>12540</v>
      </c>
      <c r="E961" t="s">
        <v>9642</v>
      </c>
    </row>
    <row r="962" spans="1:5" hidden="1" x14ac:dyDescent="0.25">
      <c r="A962" t="s">
        <v>12541</v>
      </c>
      <c r="B962" t="s">
        <v>4208</v>
      </c>
      <c r="C962" t="s">
        <v>9675</v>
      </c>
      <c r="D962" t="s">
        <v>12542</v>
      </c>
      <c r="E962" t="s">
        <v>9677</v>
      </c>
    </row>
    <row r="963" spans="1:5" hidden="1" x14ac:dyDescent="0.25">
      <c r="A963" t="s">
        <v>12543</v>
      </c>
      <c r="B963" t="s">
        <v>5659</v>
      </c>
      <c r="C963" t="s">
        <v>9738</v>
      </c>
      <c r="D963" t="s">
        <v>12544</v>
      </c>
      <c r="E963" t="s">
        <v>9740</v>
      </c>
    </row>
    <row r="964" spans="1:5" hidden="1" x14ac:dyDescent="0.25">
      <c r="A964" t="s">
        <v>12545</v>
      </c>
      <c r="B964" t="s">
        <v>3934</v>
      </c>
      <c r="C964" t="s">
        <v>9996</v>
      </c>
      <c r="D964" t="s">
        <v>12546</v>
      </c>
      <c r="E964" t="s">
        <v>9998</v>
      </c>
    </row>
    <row r="965" spans="1:5" hidden="1" x14ac:dyDescent="0.25">
      <c r="A965" t="s">
        <v>12547</v>
      </c>
      <c r="B965" t="s">
        <v>3910</v>
      </c>
      <c r="C965" t="s">
        <v>9852</v>
      </c>
      <c r="D965" t="s">
        <v>12548</v>
      </c>
      <c r="E965" t="s">
        <v>9854</v>
      </c>
    </row>
    <row r="966" spans="1:5" hidden="1" x14ac:dyDescent="0.25">
      <c r="A966" t="s">
        <v>12549</v>
      </c>
      <c r="B966" t="s">
        <v>3687</v>
      </c>
      <c r="C966" t="s">
        <v>10102</v>
      </c>
      <c r="D966" t="s">
        <v>12550</v>
      </c>
      <c r="E966" t="s">
        <v>10104</v>
      </c>
    </row>
    <row r="967" spans="1:5" hidden="1" x14ac:dyDescent="0.25">
      <c r="A967" t="s">
        <v>12551</v>
      </c>
      <c r="B967" t="s">
        <v>7033</v>
      </c>
      <c r="C967" t="s">
        <v>9788</v>
      </c>
      <c r="D967" t="s">
        <v>12552</v>
      </c>
      <c r="E967" t="s">
        <v>9790</v>
      </c>
    </row>
    <row r="968" spans="1:5" hidden="1" x14ac:dyDescent="0.25">
      <c r="A968" t="s">
        <v>12553</v>
      </c>
      <c r="B968" t="s">
        <v>4390</v>
      </c>
      <c r="C968" t="s">
        <v>11782</v>
      </c>
      <c r="D968" t="s">
        <v>12554</v>
      </c>
      <c r="E968" t="s">
        <v>12179</v>
      </c>
    </row>
    <row r="969" spans="1:5" hidden="1" x14ac:dyDescent="0.25">
      <c r="A969" t="s">
        <v>12555</v>
      </c>
      <c r="B969" t="s">
        <v>2287</v>
      </c>
      <c r="C969" t="s">
        <v>9654</v>
      </c>
      <c r="D969" t="s">
        <v>12556</v>
      </c>
      <c r="E969" t="s">
        <v>9656</v>
      </c>
    </row>
    <row r="970" spans="1:5" hidden="1" x14ac:dyDescent="0.25">
      <c r="A970" t="s">
        <v>12557</v>
      </c>
      <c r="B970" t="s">
        <v>4145</v>
      </c>
      <c r="C970" t="s">
        <v>9738</v>
      </c>
      <c r="D970" t="s">
        <v>12558</v>
      </c>
      <c r="E970" t="s">
        <v>9740</v>
      </c>
    </row>
    <row r="971" spans="1:5" hidden="1" x14ac:dyDescent="0.25">
      <c r="A971" t="s">
        <v>12559</v>
      </c>
      <c r="B971" t="s">
        <v>6475</v>
      </c>
      <c r="C971" t="s">
        <v>9764</v>
      </c>
      <c r="D971" t="s">
        <v>12560</v>
      </c>
      <c r="E971" t="s">
        <v>9766</v>
      </c>
    </row>
    <row r="972" spans="1:5" hidden="1" x14ac:dyDescent="0.25">
      <c r="A972" t="s">
        <v>12561</v>
      </c>
      <c r="B972" t="s">
        <v>5173</v>
      </c>
      <c r="C972" t="s">
        <v>9754</v>
      </c>
      <c r="D972" t="s">
        <v>12562</v>
      </c>
      <c r="E972" t="s">
        <v>9756</v>
      </c>
    </row>
    <row r="973" spans="1:5" hidden="1" x14ac:dyDescent="0.25">
      <c r="A973" t="s">
        <v>12563</v>
      </c>
      <c r="B973" t="s">
        <v>4774</v>
      </c>
      <c r="C973" t="s">
        <v>9738</v>
      </c>
      <c r="D973" t="s">
        <v>12564</v>
      </c>
      <c r="E973" t="s">
        <v>9740</v>
      </c>
    </row>
    <row r="974" spans="1:5" hidden="1" x14ac:dyDescent="0.25">
      <c r="A974" t="s">
        <v>12565</v>
      </c>
      <c r="B974" t="s">
        <v>3970</v>
      </c>
      <c r="C974" t="s">
        <v>9717</v>
      </c>
      <c r="D974" t="s">
        <v>9916</v>
      </c>
      <c r="E974" t="s">
        <v>9719</v>
      </c>
    </row>
    <row r="975" spans="1:5" hidden="1" x14ac:dyDescent="0.25">
      <c r="A975" t="s">
        <v>12566</v>
      </c>
      <c r="B975" t="s">
        <v>4979</v>
      </c>
      <c r="C975" t="s">
        <v>9738</v>
      </c>
      <c r="D975" t="s">
        <v>12567</v>
      </c>
      <c r="E975" t="s">
        <v>9740</v>
      </c>
    </row>
    <row r="976" spans="1:5" hidden="1" x14ac:dyDescent="0.25">
      <c r="A976" t="s">
        <v>12568</v>
      </c>
      <c r="B976" t="s">
        <v>4890</v>
      </c>
      <c r="C976" t="s">
        <v>9996</v>
      </c>
      <c r="D976" t="s">
        <v>12569</v>
      </c>
      <c r="E976" t="s">
        <v>9998</v>
      </c>
    </row>
    <row r="977" spans="1:5" hidden="1" x14ac:dyDescent="0.25">
      <c r="A977" t="s">
        <v>12570</v>
      </c>
      <c r="B977" t="s">
        <v>4650</v>
      </c>
      <c r="C977" t="s">
        <v>9754</v>
      </c>
      <c r="D977" t="s">
        <v>12571</v>
      </c>
      <c r="E977" t="s">
        <v>9756</v>
      </c>
    </row>
    <row r="978" spans="1:5" hidden="1" x14ac:dyDescent="0.25">
      <c r="A978" t="s">
        <v>12572</v>
      </c>
      <c r="B978" t="s">
        <v>4379</v>
      </c>
      <c r="C978" t="s">
        <v>9599</v>
      </c>
      <c r="D978" t="s">
        <v>12573</v>
      </c>
      <c r="E978" t="s">
        <v>9601</v>
      </c>
    </row>
    <row r="979" spans="1:5" hidden="1" x14ac:dyDescent="0.25">
      <c r="A979" t="s">
        <v>12574</v>
      </c>
      <c r="B979" t="s">
        <v>5342</v>
      </c>
      <c r="C979" t="s">
        <v>9738</v>
      </c>
      <c r="D979" t="s">
        <v>12575</v>
      </c>
      <c r="E979" t="s">
        <v>9740</v>
      </c>
    </row>
    <row r="980" spans="1:5" hidden="1" x14ac:dyDescent="0.25">
      <c r="A980" t="s">
        <v>12576</v>
      </c>
      <c r="B980" t="s">
        <v>5662</v>
      </c>
      <c r="C980" t="s">
        <v>9650</v>
      </c>
      <c r="D980" t="s">
        <v>12577</v>
      </c>
      <c r="E980" t="s">
        <v>9652</v>
      </c>
    </row>
    <row r="981" spans="1:5" hidden="1" x14ac:dyDescent="0.25">
      <c r="A981" t="s">
        <v>12578</v>
      </c>
      <c r="B981" t="s">
        <v>4827</v>
      </c>
      <c r="C981" t="s">
        <v>10685</v>
      </c>
      <c r="D981" t="s">
        <v>12579</v>
      </c>
      <c r="E981" t="s">
        <v>10687</v>
      </c>
    </row>
    <row r="982" spans="1:5" hidden="1" x14ac:dyDescent="0.25">
      <c r="A982" t="s">
        <v>12580</v>
      </c>
      <c r="B982" t="s">
        <v>3764</v>
      </c>
      <c r="C982" t="s">
        <v>10080</v>
      </c>
      <c r="D982" t="s">
        <v>12581</v>
      </c>
      <c r="E982" t="s">
        <v>10082</v>
      </c>
    </row>
  </sheetData>
  <autoFilter ref="A1:E982">
    <filterColumn colId="2">
      <filters>
        <filter val="板块"/>
        <filter val="回购"/>
        <filter val="基金"/>
        <filter val="期货"/>
        <filter val="指数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5" sqref="A5"/>
    </sheetView>
  </sheetViews>
  <sheetFormatPr defaultRowHeight="14" x14ac:dyDescent="0.25"/>
  <cols>
    <col min="7" max="7" width="12.1796875" customWidth="1"/>
  </cols>
  <sheetData>
    <row r="1" spans="1:7" x14ac:dyDescent="0.25">
      <c r="A1" s="3" t="s">
        <v>12862</v>
      </c>
      <c r="B1" s="3"/>
      <c r="C1" s="3"/>
      <c r="D1" s="3"/>
      <c r="F1" s="3" t="s">
        <v>12586</v>
      </c>
      <c r="G1" s="3"/>
    </row>
    <row r="2" spans="1:7" x14ac:dyDescent="0.25">
      <c r="A2" t="s">
        <v>9561</v>
      </c>
      <c r="B2" t="s">
        <v>9562</v>
      </c>
      <c r="C2" t="s">
        <v>9563</v>
      </c>
      <c r="D2" t="s">
        <v>9565</v>
      </c>
      <c r="F2" t="s">
        <v>9561</v>
      </c>
      <c r="G2">
        <v>0</v>
      </c>
    </row>
    <row r="3" spans="1:7" x14ac:dyDescent="0.25">
      <c r="A3" t="s">
        <v>9566</v>
      </c>
      <c r="B3" t="s">
        <v>9567</v>
      </c>
      <c r="C3" t="s">
        <v>9563</v>
      </c>
      <c r="D3" t="s">
        <v>9565</v>
      </c>
      <c r="F3" t="s">
        <v>9566</v>
      </c>
      <c r="G3">
        <v>0</v>
      </c>
    </row>
    <row r="4" spans="1:7" x14ac:dyDescent="0.25">
      <c r="A4" t="s">
        <v>9569</v>
      </c>
      <c r="B4" t="s">
        <v>9570</v>
      </c>
      <c r="C4" t="s">
        <v>9563</v>
      </c>
      <c r="D4" t="s">
        <v>9565</v>
      </c>
      <c r="F4" t="s">
        <v>9569</v>
      </c>
      <c r="G4">
        <v>0</v>
      </c>
    </row>
    <row r="5" spans="1:7" x14ac:dyDescent="0.25">
      <c r="A5" t="s">
        <v>9572</v>
      </c>
      <c r="B5" t="s">
        <v>9573</v>
      </c>
      <c r="C5" t="s">
        <v>9563</v>
      </c>
      <c r="D5" t="s">
        <v>9565</v>
      </c>
      <c r="F5" t="s">
        <v>9572</v>
      </c>
      <c r="G5">
        <v>0</v>
      </c>
    </row>
    <row r="6" spans="1:7" x14ac:dyDescent="0.25">
      <c r="A6" t="s">
        <v>9575</v>
      </c>
      <c r="B6" t="s">
        <v>9576</v>
      </c>
      <c r="C6" t="s">
        <v>9563</v>
      </c>
      <c r="D6" t="s">
        <v>9565</v>
      </c>
      <c r="F6" t="s">
        <v>9575</v>
      </c>
      <c r="G6">
        <v>0</v>
      </c>
    </row>
    <row r="7" spans="1:7" x14ac:dyDescent="0.25">
      <c r="A7" t="s">
        <v>9578</v>
      </c>
      <c r="B7" t="s">
        <v>9579</v>
      </c>
      <c r="C7" t="s">
        <v>9563</v>
      </c>
      <c r="D7" t="s">
        <v>9565</v>
      </c>
      <c r="F7" t="s">
        <v>9578</v>
      </c>
      <c r="G7">
        <v>0</v>
      </c>
    </row>
    <row r="8" spans="1:7" x14ac:dyDescent="0.25">
      <c r="A8" t="s">
        <v>11787</v>
      </c>
      <c r="B8" t="s">
        <v>11788</v>
      </c>
      <c r="C8" t="s">
        <v>11789</v>
      </c>
      <c r="D8" t="s">
        <v>11791</v>
      </c>
      <c r="F8" t="s">
        <v>9589</v>
      </c>
      <c r="G8">
        <v>0</v>
      </c>
    </row>
    <row r="9" spans="1:7" x14ac:dyDescent="0.25">
      <c r="A9" t="s">
        <v>9581</v>
      </c>
      <c r="B9" t="s">
        <v>9582</v>
      </c>
      <c r="C9" t="s">
        <v>9583</v>
      </c>
      <c r="D9" t="s">
        <v>9585</v>
      </c>
      <c r="F9" t="s">
        <v>11787</v>
      </c>
      <c r="G9">
        <v>0</v>
      </c>
    </row>
    <row r="10" spans="1:7" x14ac:dyDescent="0.25">
      <c r="A10" t="s">
        <v>9586</v>
      </c>
      <c r="B10" t="s">
        <v>9587</v>
      </c>
      <c r="C10" t="s">
        <v>9583</v>
      </c>
      <c r="D10" t="s">
        <v>9585</v>
      </c>
      <c r="F10" t="s">
        <v>9581</v>
      </c>
      <c r="G10">
        <v>0</v>
      </c>
    </row>
    <row r="11" spans="1:7" x14ac:dyDescent="0.25">
      <c r="A11" t="s">
        <v>9589</v>
      </c>
      <c r="B11" t="s">
        <v>9590</v>
      </c>
      <c r="C11" t="s">
        <v>9591</v>
      </c>
      <c r="D11" t="s">
        <v>9593</v>
      </c>
      <c r="F11" t="s">
        <v>9586</v>
      </c>
      <c r="G11">
        <v>0</v>
      </c>
    </row>
  </sheetData>
  <mergeCells count="2">
    <mergeCell ref="A1:D1"/>
    <mergeCell ref="F1:G1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5"/>
  <sheetViews>
    <sheetView tabSelected="1" topLeftCell="A995" workbookViewId="0">
      <selection activeCell="H1008" sqref="H1008"/>
    </sheetView>
  </sheetViews>
  <sheetFormatPr defaultRowHeight="14" x14ac:dyDescent="0.25"/>
  <cols>
    <col min="6" max="6" width="10.26953125" bestFit="1" customWidth="1"/>
    <col min="10" max="10" width="7.26953125" bestFit="1" customWidth="1"/>
    <col min="15" max="15" width="1.90625" customWidth="1"/>
  </cols>
  <sheetData>
    <row r="1" spans="1:18" x14ac:dyDescent="0.25">
      <c r="F1" t="s">
        <v>12582</v>
      </c>
      <c r="G1" t="s">
        <v>12583</v>
      </c>
      <c r="J1" s="2" t="s">
        <v>12584</v>
      </c>
      <c r="P1" s="2" t="s">
        <v>12584</v>
      </c>
    </row>
    <row r="2" spans="1:18" x14ac:dyDescent="0.25">
      <c r="A2" t="s">
        <v>10700</v>
      </c>
      <c r="C2" t="str">
        <f>IF(LEFT(A2,1)="6","sh","sz")</f>
        <v>sh</v>
      </c>
      <c r="D2" t="str">
        <f>C2 &amp; A2</f>
        <v>sh601398</v>
      </c>
      <c r="E2" t="str">
        <f>VLOOKUP(A2,Table!B:C,2,0)</f>
        <v>工商银行</v>
      </c>
      <c r="F2" t="str">
        <f>TRIM(VLOOKUP(A2,Table!B:O,14,0))</f>
        <v>银行</v>
      </c>
      <c r="G2" t="str">
        <f>VLOOKUP(F2,industry!A:C,2,0)</f>
        <v>银行</v>
      </c>
      <c r="H2" t="str">
        <f>VLOOKUP(F2,industry!A:C,3,0)</f>
        <v>银</v>
      </c>
      <c r="J2" s="2" t="s">
        <v>12585</v>
      </c>
      <c r="K2" t="str">
        <f>D2</f>
        <v>sh601398</v>
      </c>
      <c r="L2" t="str">
        <f>E2</f>
        <v>工商银行</v>
      </c>
      <c r="M2" t="str">
        <f>G2</f>
        <v>银行</v>
      </c>
      <c r="N2" t="str">
        <f>H2</f>
        <v>银</v>
      </c>
      <c r="P2" s="2" t="s">
        <v>12585</v>
      </c>
      <c r="Q2" t="s">
        <v>9594</v>
      </c>
      <c r="R2">
        <v>0</v>
      </c>
    </row>
    <row r="3" spans="1:18" x14ac:dyDescent="0.25">
      <c r="A3" t="s">
        <v>10701</v>
      </c>
      <c r="C3" t="str">
        <f t="shared" ref="C3:C66" si="0">IF(LEFT(A3,1)="6","sh","sz")</f>
        <v>sh</v>
      </c>
      <c r="D3" t="str">
        <f t="shared" ref="D3:D66" si="1">C3 &amp; A3</f>
        <v>sh601939</v>
      </c>
      <c r="E3" t="str">
        <f>VLOOKUP(A3,Table!B:C,2,0)</f>
        <v>建设银行</v>
      </c>
      <c r="F3" t="str">
        <f>TRIM(VLOOKUP(A3,Table!B:O,14,0))</f>
        <v>银行</v>
      </c>
      <c r="G3" t="str">
        <f>VLOOKUP(F3,industry!A:C,2,0)</f>
        <v>银行</v>
      </c>
      <c r="H3" t="str">
        <f>VLOOKUP(F3,industry!A:C,3,0)</f>
        <v>银</v>
      </c>
      <c r="J3" s="2" t="s">
        <v>12585</v>
      </c>
      <c r="K3" t="str">
        <f t="shared" ref="K3:K66" si="2">D3</f>
        <v>sh601939</v>
      </c>
      <c r="L3" t="str">
        <f t="shared" ref="L3:L66" si="3">E3</f>
        <v>建设银行</v>
      </c>
      <c r="M3" t="str">
        <f t="shared" ref="M3:M66" si="4">G3</f>
        <v>银行</v>
      </c>
      <c r="N3" t="str">
        <f t="shared" ref="N3:N66" si="5">H3</f>
        <v>银</v>
      </c>
      <c r="P3" s="2" t="s">
        <v>12585</v>
      </c>
      <c r="Q3" t="s">
        <v>9602</v>
      </c>
      <c r="R3">
        <v>0</v>
      </c>
    </row>
    <row r="4" spans="1:18" x14ac:dyDescent="0.25">
      <c r="A4" t="s">
        <v>10702</v>
      </c>
      <c r="C4" t="str">
        <f t="shared" si="0"/>
        <v>sh</v>
      </c>
      <c r="D4" t="str">
        <f t="shared" si="1"/>
        <v>sh601857</v>
      </c>
      <c r="E4" t="str">
        <f>VLOOKUP(A4,Table!B:C,2,0)</f>
        <v>中国石油</v>
      </c>
      <c r="F4" t="str">
        <f>TRIM(VLOOKUP(A4,Table!B:O,14,0))</f>
        <v>石油行业</v>
      </c>
      <c r="G4" t="str">
        <f>VLOOKUP(F4,industry!A:C,2,0)</f>
        <v>石油</v>
      </c>
      <c r="H4" t="str">
        <f>VLOOKUP(F4,industry!A:C,3,0)</f>
        <v>油</v>
      </c>
      <c r="J4" s="2" t="s">
        <v>12585</v>
      </c>
      <c r="K4" t="str">
        <f t="shared" si="2"/>
        <v>sh601857</v>
      </c>
      <c r="L4" t="str">
        <f t="shared" si="3"/>
        <v>中国石油</v>
      </c>
      <c r="M4" t="str">
        <f t="shared" si="4"/>
        <v>石油</v>
      </c>
      <c r="N4" t="str">
        <f t="shared" si="5"/>
        <v>油</v>
      </c>
      <c r="P4" s="2" t="s">
        <v>12585</v>
      </c>
      <c r="Q4" t="s">
        <v>9598</v>
      </c>
      <c r="R4">
        <v>0</v>
      </c>
    </row>
    <row r="5" spans="1:18" x14ac:dyDescent="0.25">
      <c r="A5" t="s">
        <v>10703</v>
      </c>
      <c r="C5" t="str">
        <f t="shared" si="0"/>
        <v>sh</v>
      </c>
      <c r="D5" t="str">
        <f t="shared" si="1"/>
        <v>sh601288</v>
      </c>
      <c r="E5" t="str">
        <f>VLOOKUP(A5,Table!B:C,2,0)</f>
        <v>农业银行</v>
      </c>
      <c r="F5" t="str">
        <f>TRIM(VLOOKUP(A5,Table!B:O,14,0))</f>
        <v>银行</v>
      </c>
      <c r="G5" t="str">
        <f>VLOOKUP(F5,industry!A:C,2,0)</f>
        <v>银行</v>
      </c>
      <c r="H5" t="str">
        <f>VLOOKUP(F5,industry!A:C,3,0)</f>
        <v>银</v>
      </c>
      <c r="J5" s="2" t="s">
        <v>12585</v>
      </c>
      <c r="K5" t="str">
        <f t="shared" si="2"/>
        <v>sh601288</v>
      </c>
      <c r="L5" t="str">
        <f t="shared" si="3"/>
        <v>农业银行</v>
      </c>
      <c r="M5" t="str">
        <f t="shared" si="4"/>
        <v>银行</v>
      </c>
      <c r="N5" t="str">
        <f t="shared" si="5"/>
        <v>银</v>
      </c>
      <c r="P5" s="2" t="s">
        <v>12585</v>
      </c>
      <c r="Q5" t="s">
        <v>9604</v>
      </c>
      <c r="R5">
        <v>0</v>
      </c>
    </row>
    <row r="6" spans="1:18" x14ac:dyDescent="0.25">
      <c r="A6" t="s">
        <v>10704</v>
      </c>
      <c r="C6" t="str">
        <f t="shared" si="0"/>
        <v>sh</v>
      </c>
      <c r="D6" t="str">
        <f t="shared" si="1"/>
        <v>sh601988</v>
      </c>
      <c r="E6" t="str">
        <f>VLOOKUP(A6,Table!B:C,2,0)</f>
        <v>中国银行</v>
      </c>
      <c r="F6" t="str">
        <f>TRIM(VLOOKUP(A6,Table!B:O,14,0))</f>
        <v>银行</v>
      </c>
      <c r="G6" t="str">
        <f>VLOOKUP(F6,industry!A:C,2,0)</f>
        <v>银行</v>
      </c>
      <c r="H6" t="str">
        <f>VLOOKUP(F6,industry!A:C,3,0)</f>
        <v>银</v>
      </c>
      <c r="J6" s="2" t="s">
        <v>12585</v>
      </c>
      <c r="K6" t="str">
        <f t="shared" si="2"/>
        <v>sh601988</v>
      </c>
      <c r="L6" t="str">
        <f t="shared" si="3"/>
        <v>中国银行</v>
      </c>
      <c r="M6" t="str">
        <f t="shared" si="4"/>
        <v>银行</v>
      </c>
      <c r="N6" t="str">
        <f t="shared" si="5"/>
        <v>银</v>
      </c>
      <c r="P6" s="2" t="s">
        <v>12585</v>
      </c>
      <c r="Q6" t="s">
        <v>9606</v>
      </c>
      <c r="R6">
        <v>0</v>
      </c>
    </row>
    <row r="7" spans="1:18" x14ac:dyDescent="0.25">
      <c r="A7" t="s">
        <v>10705</v>
      </c>
      <c r="C7" t="str">
        <f t="shared" si="0"/>
        <v>sh</v>
      </c>
      <c r="D7" t="str">
        <f t="shared" si="1"/>
        <v>sh601318</v>
      </c>
      <c r="E7" t="str">
        <f>VLOOKUP(A7,Table!B:C,2,0)</f>
        <v>中国平安</v>
      </c>
      <c r="F7" t="str">
        <f>TRIM(VLOOKUP(A7,Table!B:O,14,0))</f>
        <v>保险</v>
      </c>
      <c r="G7" t="str">
        <f>VLOOKUP(F7,industry!A:C,2,0)</f>
        <v>保险</v>
      </c>
      <c r="H7" t="str">
        <f>VLOOKUP(F7,industry!A:C,3,0)</f>
        <v>险</v>
      </c>
      <c r="J7" s="2" t="s">
        <v>12585</v>
      </c>
      <c r="K7" t="str">
        <f t="shared" si="2"/>
        <v>sh601318</v>
      </c>
      <c r="L7" t="str">
        <f t="shared" si="3"/>
        <v>中国平安</v>
      </c>
      <c r="M7" t="str">
        <f t="shared" si="4"/>
        <v>保险</v>
      </c>
      <c r="N7" t="str">
        <f t="shared" si="5"/>
        <v>险</v>
      </c>
      <c r="P7" s="2" t="s">
        <v>12585</v>
      </c>
      <c r="Q7" t="s">
        <v>9608</v>
      </c>
      <c r="R7">
        <v>0</v>
      </c>
    </row>
    <row r="8" spans="1:18" x14ac:dyDescent="0.25">
      <c r="A8" t="s">
        <v>10706</v>
      </c>
      <c r="C8" t="str">
        <f t="shared" si="0"/>
        <v>sh</v>
      </c>
      <c r="D8" t="str">
        <f t="shared" si="1"/>
        <v>sh601628</v>
      </c>
      <c r="E8" t="str">
        <f>VLOOKUP(A8,Table!B:C,2,0)</f>
        <v>中国人寿</v>
      </c>
      <c r="F8" t="str">
        <f>TRIM(VLOOKUP(A8,Table!B:O,14,0))</f>
        <v>保险</v>
      </c>
      <c r="G8" t="str">
        <f>VLOOKUP(F8,industry!A:C,2,0)</f>
        <v>保险</v>
      </c>
      <c r="H8" t="str">
        <f>VLOOKUP(F8,industry!A:C,3,0)</f>
        <v>险</v>
      </c>
      <c r="J8" s="2" t="s">
        <v>12585</v>
      </c>
      <c r="K8" t="str">
        <f t="shared" si="2"/>
        <v>sh601628</v>
      </c>
      <c r="L8" t="str">
        <f t="shared" si="3"/>
        <v>中国人寿</v>
      </c>
      <c r="M8" t="str">
        <f t="shared" si="4"/>
        <v>保险</v>
      </c>
      <c r="N8" t="str">
        <f t="shared" si="5"/>
        <v>险</v>
      </c>
      <c r="P8" s="2" t="s">
        <v>12585</v>
      </c>
      <c r="Q8" t="s">
        <v>9612</v>
      </c>
      <c r="R8">
        <v>0</v>
      </c>
    </row>
    <row r="9" spans="1:18" x14ac:dyDescent="0.25">
      <c r="A9" t="s">
        <v>10707</v>
      </c>
      <c r="C9" t="str">
        <f t="shared" si="0"/>
        <v>sh</v>
      </c>
      <c r="D9" t="str">
        <f t="shared" si="1"/>
        <v>sh600028</v>
      </c>
      <c r="E9" t="str">
        <f>VLOOKUP(A9,Table!B:C,2,0)</f>
        <v>中国石化</v>
      </c>
      <c r="F9" t="str">
        <f>TRIM(VLOOKUP(A9,Table!B:O,14,0))</f>
        <v>石油行业</v>
      </c>
      <c r="G9" t="str">
        <f>VLOOKUP(F9,industry!A:C,2,0)</f>
        <v>石油</v>
      </c>
      <c r="H9" t="str">
        <f>VLOOKUP(F9,industry!A:C,3,0)</f>
        <v>油</v>
      </c>
      <c r="J9" s="2" t="s">
        <v>12585</v>
      </c>
      <c r="K9" t="str">
        <f t="shared" si="2"/>
        <v>sh600028</v>
      </c>
      <c r="L9" t="str">
        <f t="shared" si="3"/>
        <v>中国石化</v>
      </c>
      <c r="M9" t="str">
        <f t="shared" si="4"/>
        <v>石油</v>
      </c>
      <c r="N9" t="str">
        <f t="shared" si="5"/>
        <v>油</v>
      </c>
      <c r="P9" s="2" t="s">
        <v>12585</v>
      </c>
      <c r="Q9" t="s">
        <v>9614</v>
      </c>
      <c r="R9">
        <v>0</v>
      </c>
    </row>
    <row r="10" spans="1:18" x14ac:dyDescent="0.25">
      <c r="A10" t="s">
        <v>10708</v>
      </c>
      <c r="C10" t="str">
        <f t="shared" si="0"/>
        <v>sh</v>
      </c>
      <c r="D10" t="str">
        <f t="shared" si="1"/>
        <v>sh600519</v>
      </c>
      <c r="E10" t="str">
        <f>VLOOKUP(A10,Table!B:C,2,0)</f>
        <v>贵州茅台</v>
      </c>
      <c r="F10" t="str">
        <f>TRIM(VLOOKUP(A10,Table!B:O,14,0))</f>
        <v>酿酒行业</v>
      </c>
      <c r="G10" t="str">
        <f>VLOOKUP(F10,industry!A:C,2,0)</f>
        <v>酿酒</v>
      </c>
      <c r="H10" t="str">
        <f>VLOOKUP(F10,industry!A:C,3,0)</f>
        <v>酒</v>
      </c>
      <c r="J10" s="2" t="s">
        <v>12585</v>
      </c>
      <c r="K10" t="str">
        <f t="shared" si="2"/>
        <v>sh600519</v>
      </c>
      <c r="L10" t="str">
        <f t="shared" si="3"/>
        <v>贵州茅台</v>
      </c>
      <c r="M10" t="str">
        <f t="shared" si="4"/>
        <v>酿酒</v>
      </c>
      <c r="N10" t="str">
        <f t="shared" si="5"/>
        <v>酒</v>
      </c>
      <c r="P10" s="2" t="s">
        <v>12585</v>
      </c>
      <c r="Q10" t="s">
        <v>9620</v>
      </c>
      <c r="R10">
        <v>0</v>
      </c>
    </row>
    <row r="11" spans="1:18" x14ac:dyDescent="0.25">
      <c r="A11" t="s">
        <v>10709</v>
      </c>
      <c r="C11" t="str">
        <f t="shared" si="0"/>
        <v>sh</v>
      </c>
      <c r="D11" t="str">
        <f t="shared" si="1"/>
        <v>sh600036</v>
      </c>
      <c r="E11" t="str">
        <f>VLOOKUP(A11,Table!B:C,2,0)</f>
        <v>招商银行</v>
      </c>
      <c r="F11" t="str">
        <f>TRIM(VLOOKUP(A11,Table!B:O,14,0))</f>
        <v>银行</v>
      </c>
      <c r="G11" t="str">
        <f>VLOOKUP(F11,industry!A:C,2,0)</f>
        <v>银行</v>
      </c>
      <c r="H11" t="str">
        <f>VLOOKUP(F11,industry!A:C,3,0)</f>
        <v>银</v>
      </c>
      <c r="J11" s="2" t="s">
        <v>12585</v>
      </c>
      <c r="K11" t="str">
        <f t="shared" si="2"/>
        <v>sh600036</v>
      </c>
      <c r="L11" t="str">
        <f t="shared" si="3"/>
        <v>招商银行</v>
      </c>
      <c r="M11" t="str">
        <f t="shared" si="4"/>
        <v>银行</v>
      </c>
      <c r="N11" t="str">
        <f t="shared" si="5"/>
        <v>银</v>
      </c>
      <c r="P11" s="2" t="s">
        <v>12585</v>
      </c>
      <c r="Q11" t="s">
        <v>9616</v>
      </c>
      <c r="R11">
        <v>0</v>
      </c>
    </row>
    <row r="12" spans="1:18" x14ac:dyDescent="0.25">
      <c r="A12" t="s">
        <v>10710</v>
      </c>
      <c r="C12" t="str">
        <f t="shared" si="0"/>
        <v>sh</v>
      </c>
      <c r="D12" t="str">
        <f t="shared" si="1"/>
        <v>sh601328</v>
      </c>
      <c r="E12" t="str">
        <f>VLOOKUP(A12,Table!B:C,2,0)</f>
        <v>交通银行</v>
      </c>
      <c r="F12" t="str">
        <f>TRIM(VLOOKUP(A12,Table!B:O,14,0))</f>
        <v>银行</v>
      </c>
      <c r="G12" t="str">
        <f>VLOOKUP(F12,industry!A:C,2,0)</f>
        <v>银行</v>
      </c>
      <c r="H12" t="str">
        <f>VLOOKUP(F12,industry!A:C,3,0)</f>
        <v>银</v>
      </c>
      <c r="J12" s="2" t="s">
        <v>12585</v>
      </c>
      <c r="K12" t="str">
        <f t="shared" si="2"/>
        <v>sh601328</v>
      </c>
      <c r="L12" t="str">
        <f t="shared" si="3"/>
        <v>交通银行</v>
      </c>
      <c r="M12" t="str">
        <f t="shared" si="4"/>
        <v>银行</v>
      </c>
      <c r="N12" t="str">
        <f t="shared" si="5"/>
        <v>银</v>
      </c>
      <c r="P12" s="2" t="s">
        <v>12585</v>
      </c>
      <c r="Q12" t="s">
        <v>9618</v>
      </c>
      <c r="R12">
        <v>0</v>
      </c>
    </row>
    <row r="13" spans="1:18" x14ac:dyDescent="0.25">
      <c r="A13" t="s">
        <v>10711</v>
      </c>
      <c r="C13" t="str">
        <f t="shared" si="0"/>
        <v>sh</v>
      </c>
      <c r="D13" t="str">
        <f t="shared" si="1"/>
        <v>sh601088</v>
      </c>
      <c r="E13" t="str">
        <f>VLOOKUP(A13,Table!B:C,2,0)</f>
        <v>中国神华</v>
      </c>
      <c r="F13" t="str">
        <f>TRIM(VLOOKUP(A13,Table!B:O,14,0))</f>
        <v>煤炭采选</v>
      </c>
      <c r="G13" t="str">
        <f>VLOOKUP(F13,industry!A:C,2,0)</f>
        <v>煤炭</v>
      </c>
      <c r="H13" t="str">
        <f>VLOOKUP(F13,industry!A:C,3,0)</f>
        <v>煤</v>
      </c>
      <c r="J13" s="2" t="s">
        <v>12585</v>
      </c>
      <c r="K13" t="str">
        <f t="shared" si="2"/>
        <v>sh601088</v>
      </c>
      <c r="L13" t="str">
        <f t="shared" si="3"/>
        <v>中国神华</v>
      </c>
      <c r="M13" t="str">
        <f t="shared" si="4"/>
        <v>煤炭</v>
      </c>
      <c r="N13" t="str">
        <f t="shared" si="5"/>
        <v>煤</v>
      </c>
      <c r="P13" s="2" t="s">
        <v>12585</v>
      </c>
      <c r="Q13" t="s">
        <v>9628</v>
      </c>
      <c r="R13">
        <v>0</v>
      </c>
    </row>
    <row r="14" spans="1:18" x14ac:dyDescent="0.25">
      <c r="A14" t="s">
        <v>10712</v>
      </c>
      <c r="C14" t="str">
        <f t="shared" si="0"/>
        <v>sh</v>
      </c>
      <c r="D14" t="str">
        <f t="shared" si="1"/>
        <v>sh600000</v>
      </c>
      <c r="E14" t="str">
        <f>VLOOKUP(A14,Table!B:C,2,0)</f>
        <v>浦发银行</v>
      </c>
      <c r="F14" t="str">
        <f>TRIM(VLOOKUP(A14,Table!B:O,14,0))</f>
        <v>银行</v>
      </c>
      <c r="G14" t="str">
        <f>VLOOKUP(F14,industry!A:C,2,0)</f>
        <v>银行</v>
      </c>
      <c r="H14" t="str">
        <f>VLOOKUP(F14,industry!A:C,3,0)</f>
        <v>银</v>
      </c>
      <c r="J14" s="2" t="s">
        <v>12585</v>
      </c>
      <c r="K14" t="str">
        <f t="shared" si="2"/>
        <v>sh600000</v>
      </c>
      <c r="L14" t="str">
        <f t="shared" si="3"/>
        <v>浦发银行</v>
      </c>
      <c r="M14" t="str">
        <f t="shared" si="4"/>
        <v>银行</v>
      </c>
      <c r="N14" t="str">
        <f t="shared" si="5"/>
        <v>银</v>
      </c>
      <c r="P14" s="2" t="s">
        <v>12585</v>
      </c>
      <c r="Q14" t="s">
        <v>9624</v>
      </c>
      <c r="R14">
        <v>0</v>
      </c>
    </row>
    <row r="15" spans="1:18" x14ac:dyDescent="0.25">
      <c r="A15" t="s">
        <v>10713</v>
      </c>
      <c r="C15" t="str">
        <f t="shared" si="0"/>
        <v>sh</v>
      </c>
      <c r="D15" t="str">
        <f t="shared" si="1"/>
        <v>sh600104</v>
      </c>
      <c r="E15" t="str">
        <f>VLOOKUP(A15,Table!B:C,2,0)</f>
        <v>上汽集团</v>
      </c>
      <c r="F15" t="str">
        <f>TRIM(VLOOKUP(A15,Table!B:O,14,0))</f>
        <v>汽车行业</v>
      </c>
      <c r="G15" t="str">
        <f>VLOOKUP(F15,industry!A:C,2,0)</f>
        <v>汽车</v>
      </c>
      <c r="H15" t="str">
        <f>VLOOKUP(F15,industry!A:C,3,0)</f>
        <v>车</v>
      </c>
      <c r="J15" s="2" t="s">
        <v>12585</v>
      </c>
      <c r="K15" t="str">
        <f t="shared" si="2"/>
        <v>sh600104</v>
      </c>
      <c r="L15" t="str">
        <f t="shared" si="3"/>
        <v>上汽集团</v>
      </c>
      <c r="M15" t="str">
        <f t="shared" si="4"/>
        <v>汽车</v>
      </c>
      <c r="N15" t="str">
        <f t="shared" si="5"/>
        <v>车</v>
      </c>
      <c r="P15" s="2" t="s">
        <v>12585</v>
      </c>
      <c r="Q15" t="s">
        <v>9645</v>
      </c>
      <c r="R15">
        <v>0</v>
      </c>
    </row>
    <row r="16" spans="1:18" x14ac:dyDescent="0.25">
      <c r="A16" t="s">
        <v>10714</v>
      </c>
      <c r="C16" t="str">
        <f t="shared" si="0"/>
        <v>sh</v>
      </c>
      <c r="D16" t="str">
        <f t="shared" si="1"/>
        <v>sh601166</v>
      </c>
      <c r="E16" t="str">
        <f>VLOOKUP(A16,Table!B:C,2,0)</f>
        <v>兴业银行</v>
      </c>
      <c r="F16" t="str">
        <f>TRIM(VLOOKUP(A16,Table!B:O,14,0))</f>
        <v>银行</v>
      </c>
      <c r="G16" t="str">
        <f>VLOOKUP(F16,industry!A:C,2,0)</f>
        <v>银行</v>
      </c>
      <c r="H16" t="str">
        <f>VLOOKUP(F16,industry!A:C,3,0)</f>
        <v>银</v>
      </c>
      <c r="J16" s="2" t="s">
        <v>12585</v>
      </c>
      <c r="K16" t="str">
        <f t="shared" si="2"/>
        <v>sh601166</v>
      </c>
      <c r="L16" t="str">
        <f t="shared" si="3"/>
        <v>兴业银行</v>
      </c>
      <c r="M16" t="str">
        <f t="shared" si="4"/>
        <v>银行</v>
      </c>
      <c r="N16" t="str">
        <f t="shared" si="5"/>
        <v>银</v>
      </c>
      <c r="P16" s="2" t="s">
        <v>12585</v>
      </c>
      <c r="Q16" t="s">
        <v>9632</v>
      </c>
      <c r="R16">
        <v>0</v>
      </c>
    </row>
    <row r="17" spans="1:18" x14ac:dyDescent="0.25">
      <c r="A17" t="s">
        <v>10715</v>
      </c>
      <c r="C17" t="str">
        <f t="shared" si="0"/>
        <v>sh</v>
      </c>
      <c r="D17" t="str">
        <f t="shared" si="1"/>
        <v>sh600900</v>
      </c>
      <c r="E17" t="str">
        <f>VLOOKUP(A17,Table!B:C,2,0)</f>
        <v>长江电力</v>
      </c>
      <c r="F17" t="str">
        <f>TRIM(VLOOKUP(A17,Table!B:O,14,0))</f>
        <v>电力行业</v>
      </c>
      <c r="G17" t="str">
        <f>VLOOKUP(F17,industry!A:C,2,0)</f>
        <v>电力</v>
      </c>
      <c r="H17" t="str">
        <f>VLOOKUP(F17,industry!A:C,3,0)</f>
        <v>电力</v>
      </c>
      <c r="J17" s="2" t="s">
        <v>12585</v>
      </c>
      <c r="K17" t="str">
        <f t="shared" si="2"/>
        <v>sh600900</v>
      </c>
      <c r="L17" t="str">
        <f t="shared" si="3"/>
        <v>长江电力</v>
      </c>
      <c r="M17" t="str">
        <f t="shared" si="4"/>
        <v>电力</v>
      </c>
      <c r="N17" t="str">
        <f t="shared" si="5"/>
        <v>电力</v>
      </c>
      <c r="P17" s="2" t="s">
        <v>12585</v>
      </c>
      <c r="Q17" t="s">
        <v>9636</v>
      </c>
      <c r="R17">
        <v>0</v>
      </c>
    </row>
    <row r="18" spans="1:18" x14ac:dyDescent="0.25">
      <c r="A18" t="s">
        <v>10716</v>
      </c>
      <c r="C18" t="str">
        <f t="shared" si="0"/>
        <v>sh</v>
      </c>
      <c r="D18" t="str">
        <f t="shared" si="1"/>
        <v>sh601601</v>
      </c>
      <c r="E18" t="str">
        <f>VLOOKUP(A18,Table!B:C,2,0)</f>
        <v>中国太保</v>
      </c>
      <c r="F18" t="str">
        <f>TRIM(VLOOKUP(A18,Table!B:O,14,0))</f>
        <v>保险</v>
      </c>
      <c r="G18" t="str">
        <f>VLOOKUP(F18,industry!A:C,2,0)</f>
        <v>保险</v>
      </c>
      <c r="H18" t="str">
        <f>VLOOKUP(F18,industry!A:C,3,0)</f>
        <v>险</v>
      </c>
      <c r="J18" s="2" t="s">
        <v>12585</v>
      </c>
      <c r="K18" t="str">
        <f t="shared" si="2"/>
        <v>sh601601</v>
      </c>
      <c r="L18" t="str">
        <f t="shared" si="3"/>
        <v>中国太保</v>
      </c>
      <c r="M18" t="str">
        <f t="shared" si="4"/>
        <v>保险</v>
      </c>
      <c r="N18" t="str">
        <f t="shared" si="5"/>
        <v>险</v>
      </c>
      <c r="P18" s="2" t="s">
        <v>12585</v>
      </c>
      <c r="Q18" t="s">
        <v>9643</v>
      </c>
      <c r="R18">
        <v>0</v>
      </c>
    </row>
    <row r="19" spans="1:18" x14ac:dyDescent="0.25">
      <c r="A19" t="s">
        <v>10717</v>
      </c>
      <c r="C19" t="str">
        <f t="shared" si="0"/>
        <v>sz</v>
      </c>
      <c r="D19" t="str">
        <f t="shared" si="1"/>
        <v>sz002415</v>
      </c>
      <c r="E19" t="str">
        <f>VLOOKUP(A19,Table!B:C,2,0)</f>
        <v>海康威视</v>
      </c>
      <c r="F19" t="str">
        <f>TRIM(VLOOKUP(A19,Table!B:O,14,0))</f>
        <v>安防设备</v>
      </c>
      <c r="G19" t="str">
        <f>VLOOKUP(F19,industry!A:C,2,0)</f>
        <v>安防</v>
      </c>
      <c r="H19" t="str">
        <f>VLOOKUP(F19,industry!A:C,3,0)</f>
        <v>防</v>
      </c>
      <c r="J19" s="2" t="s">
        <v>12585</v>
      </c>
      <c r="K19" t="str">
        <f t="shared" si="2"/>
        <v>sz002415</v>
      </c>
      <c r="L19" t="str">
        <f t="shared" si="3"/>
        <v>海康威视</v>
      </c>
      <c r="M19" t="str">
        <f t="shared" si="4"/>
        <v>安防</v>
      </c>
      <c r="N19" t="str">
        <f t="shared" si="5"/>
        <v>防</v>
      </c>
      <c r="P19" s="2" t="s">
        <v>12585</v>
      </c>
      <c r="Q19" t="s">
        <v>9680</v>
      </c>
      <c r="R19">
        <v>0</v>
      </c>
    </row>
    <row r="20" spans="1:18" x14ac:dyDescent="0.25">
      <c r="A20" t="s">
        <v>10718</v>
      </c>
      <c r="C20" t="str">
        <f t="shared" si="0"/>
        <v>sz</v>
      </c>
      <c r="D20" t="str">
        <f t="shared" si="1"/>
        <v>sz000333</v>
      </c>
      <c r="E20" t="str">
        <f>VLOOKUP(A20,Table!B:C,2,0)</f>
        <v>美的集团</v>
      </c>
      <c r="F20" t="str">
        <f>TRIM(VLOOKUP(A20,Table!B:O,14,0))</f>
        <v>家电行业</v>
      </c>
      <c r="G20" t="str">
        <f>VLOOKUP(F20,industry!A:C,2,0)</f>
        <v>家电</v>
      </c>
      <c r="H20" t="str">
        <f>VLOOKUP(F20,industry!A:C,3,0)</f>
        <v>家</v>
      </c>
      <c r="J20" s="2" t="s">
        <v>12585</v>
      </c>
      <c r="K20" t="str">
        <f t="shared" si="2"/>
        <v>sz000333</v>
      </c>
      <c r="L20" t="str">
        <f t="shared" si="3"/>
        <v>美的集团</v>
      </c>
      <c r="M20" t="str">
        <f t="shared" si="4"/>
        <v>家电</v>
      </c>
      <c r="N20" t="str">
        <f t="shared" si="5"/>
        <v>家</v>
      </c>
      <c r="P20" s="2" t="s">
        <v>12585</v>
      </c>
      <c r="Q20" t="s">
        <v>9668</v>
      </c>
      <c r="R20">
        <v>0</v>
      </c>
    </row>
    <row r="21" spans="1:18" x14ac:dyDescent="0.25">
      <c r="A21" t="s">
        <v>10719</v>
      </c>
      <c r="C21" t="str">
        <f t="shared" si="0"/>
        <v>sh</v>
      </c>
      <c r="D21" t="str">
        <f t="shared" si="1"/>
        <v>sh601998</v>
      </c>
      <c r="E21" t="str">
        <f>VLOOKUP(A21,Table!B:C,2,0)</f>
        <v>中信银行</v>
      </c>
      <c r="F21" t="str">
        <f>TRIM(VLOOKUP(A21,Table!B:O,14,0))</f>
        <v>银行</v>
      </c>
      <c r="G21" t="str">
        <f>VLOOKUP(F21,industry!A:C,2,0)</f>
        <v>银行</v>
      </c>
      <c r="H21" t="str">
        <f>VLOOKUP(F21,industry!A:C,3,0)</f>
        <v>银</v>
      </c>
      <c r="J21" s="2" t="s">
        <v>12585</v>
      </c>
      <c r="K21" t="str">
        <f t="shared" si="2"/>
        <v>sh601998</v>
      </c>
      <c r="L21" t="str">
        <f t="shared" si="3"/>
        <v>中信银行</v>
      </c>
      <c r="M21" t="str">
        <f t="shared" si="4"/>
        <v>银行</v>
      </c>
      <c r="N21" t="str">
        <f t="shared" si="5"/>
        <v>银</v>
      </c>
      <c r="P21" s="2" t="s">
        <v>12585</v>
      </c>
      <c r="Q21" t="s">
        <v>9634</v>
      </c>
      <c r="R21">
        <v>0</v>
      </c>
    </row>
    <row r="22" spans="1:18" x14ac:dyDescent="0.25">
      <c r="A22" t="s">
        <v>10720</v>
      </c>
      <c r="C22" t="str">
        <f t="shared" si="0"/>
        <v>sh</v>
      </c>
      <c r="D22" t="str">
        <f t="shared" si="1"/>
        <v>sh600016</v>
      </c>
      <c r="E22" t="str">
        <f>VLOOKUP(A22,Table!B:C,2,0)</f>
        <v>民生银行</v>
      </c>
      <c r="F22" t="str">
        <f>TRIM(VLOOKUP(A22,Table!B:O,14,0))</f>
        <v>银行</v>
      </c>
      <c r="G22" t="str">
        <f>VLOOKUP(F22,industry!A:C,2,0)</f>
        <v>银行</v>
      </c>
      <c r="H22" t="str">
        <f>VLOOKUP(F22,industry!A:C,3,0)</f>
        <v>银</v>
      </c>
      <c r="J22" s="2" t="s">
        <v>12585</v>
      </c>
      <c r="K22" t="str">
        <f t="shared" si="2"/>
        <v>sh600016</v>
      </c>
      <c r="L22" t="str">
        <f t="shared" si="3"/>
        <v>民生银行</v>
      </c>
      <c r="M22" t="str">
        <f t="shared" si="4"/>
        <v>银行</v>
      </c>
      <c r="N22" t="str">
        <f t="shared" si="5"/>
        <v>银</v>
      </c>
      <c r="P22" s="2" t="s">
        <v>12585</v>
      </c>
      <c r="Q22" t="s">
        <v>9626</v>
      </c>
      <c r="R22">
        <v>0</v>
      </c>
    </row>
    <row r="23" spans="1:18" x14ac:dyDescent="0.25">
      <c r="A23" t="s">
        <v>10721</v>
      </c>
      <c r="C23" t="str">
        <f t="shared" si="0"/>
        <v>sz</v>
      </c>
      <c r="D23" t="str">
        <f t="shared" si="1"/>
        <v>sz000002</v>
      </c>
      <c r="E23" t="str">
        <f>VLOOKUP(A23,Table!B:C,2,0)</f>
        <v>万 科Ａ</v>
      </c>
      <c r="F23" t="str">
        <f>TRIM(VLOOKUP(A23,Table!B:O,14,0))</f>
        <v>房地产</v>
      </c>
      <c r="G23" t="str">
        <f>VLOOKUP(F23,industry!A:C,2,0)</f>
        <v>房产</v>
      </c>
      <c r="H23" t="str">
        <f>VLOOKUP(F23,industry!A:C,3,0)</f>
        <v>产</v>
      </c>
      <c r="J23" s="2" t="s">
        <v>12585</v>
      </c>
      <c r="K23" t="str">
        <f t="shared" si="2"/>
        <v>sz000002</v>
      </c>
      <c r="L23" t="str">
        <f t="shared" si="3"/>
        <v>万 科Ａ</v>
      </c>
      <c r="M23" t="str">
        <f t="shared" si="4"/>
        <v>房产</v>
      </c>
      <c r="N23" t="str">
        <f t="shared" si="5"/>
        <v>产</v>
      </c>
      <c r="P23" s="2" t="s">
        <v>12585</v>
      </c>
      <c r="Q23" t="s">
        <v>9639</v>
      </c>
      <c r="R23">
        <v>0</v>
      </c>
    </row>
    <row r="24" spans="1:18" x14ac:dyDescent="0.25">
      <c r="A24" t="s">
        <v>10722</v>
      </c>
      <c r="C24" t="str">
        <f t="shared" si="0"/>
        <v>sh</v>
      </c>
      <c r="D24" t="str">
        <f t="shared" si="1"/>
        <v>sh601766</v>
      </c>
      <c r="E24" t="str">
        <f>VLOOKUP(A24,Table!B:C,2,0)</f>
        <v>中国中车</v>
      </c>
      <c r="F24" t="str">
        <f>TRIM(VLOOKUP(A24,Table!B:O,14,0))</f>
        <v>交运设备</v>
      </c>
      <c r="G24" t="str">
        <f>VLOOKUP(F24,industry!A:C,2,0)</f>
        <v>交运</v>
      </c>
      <c r="H24" t="str">
        <f>VLOOKUP(F24,industry!A:C,3,0)</f>
        <v>运</v>
      </c>
      <c r="J24" s="2" t="s">
        <v>12585</v>
      </c>
      <c r="K24" t="str">
        <f t="shared" si="2"/>
        <v>sh601766</v>
      </c>
      <c r="L24" t="str">
        <f t="shared" si="3"/>
        <v>中国中车</v>
      </c>
      <c r="M24" t="str">
        <f t="shared" si="4"/>
        <v>交运</v>
      </c>
      <c r="N24" t="str">
        <f t="shared" si="5"/>
        <v>运</v>
      </c>
      <c r="P24" s="2" t="s">
        <v>12585</v>
      </c>
      <c r="Q24" t="s">
        <v>9649</v>
      </c>
      <c r="R24">
        <v>0</v>
      </c>
    </row>
    <row r="25" spans="1:18" x14ac:dyDescent="0.25">
      <c r="A25" t="s">
        <v>10723</v>
      </c>
      <c r="C25" t="str">
        <f t="shared" si="0"/>
        <v>sh</v>
      </c>
      <c r="D25" t="str">
        <f t="shared" si="1"/>
        <v>sh601668</v>
      </c>
      <c r="E25" t="str">
        <f>VLOOKUP(A25,Table!B:C,2,0)</f>
        <v>中国建筑</v>
      </c>
      <c r="F25" t="str">
        <f>TRIM(VLOOKUP(A25,Table!B:O,14,0))</f>
        <v>工程建设</v>
      </c>
      <c r="G25" t="str">
        <f>VLOOKUP(F25,industry!A:C,2,0)</f>
        <v>工建</v>
      </c>
      <c r="H25" t="str">
        <f>VLOOKUP(F25,industry!A:C,3,0)</f>
        <v>建</v>
      </c>
      <c r="J25" s="2" t="s">
        <v>12585</v>
      </c>
      <c r="K25" t="str">
        <f t="shared" si="2"/>
        <v>sh601668</v>
      </c>
      <c r="L25" t="str">
        <f t="shared" si="3"/>
        <v>中国建筑</v>
      </c>
      <c r="M25" t="str">
        <f t="shared" si="4"/>
        <v>工建</v>
      </c>
      <c r="N25" t="str">
        <f t="shared" si="5"/>
        <v>建</v>
      </c>
      <c r="P25" s="2" t="s">
        <v>12585</v>
      </c>
      <c r="Q25" t="s">
        <v>9653</v>
      </c>
      <c r="R25">
        <v>0</v>
      </c>
    </row>
    <row r="26" spans="1:18" x14ac:dyDescent="0.25">
      <c r="A26" t="s">
        <v>10724</v>
      </c>
      <c r="C26" t="str">
        <f t="shared" si="0"/>
        <v>sz</v>
      </c>
      <c r="D26" t="str">
        <f t="shared" si="1"/>
        <v>sz002352</v>
      </c>
      <c r="E26" t="str">
        <f>VLOOKUP(A26,Table!B:C,2,0)</f>
        <v>顺丰控股</v>
      </c>
      <c r="F26" t="str">
        <f>TRIM(VLOOKUP(A26,Table!B:O,14,0))</f>
        <v>交运物流</v>
      </c>
      <c r="G26" t="str">
        <f>VLOOKUP(F26,industry!A:C,2,0)</f>
        <v>物流</v>
      </c>
      <c r="H26" t="str">
        <f>VLOOKUP(F26,industry!A:C,3,0)</f>
        <v>物</v>
      </c>
      <c r="J26" s="2" t="s">
        <v>12585</v>
      </c>
      <c r="K26" t="str">
        <f t="shared" si="2"/>
        <v>sz002352</v>
      </c>
      <c r="L26" t="str">
        <f t="shared" si="3"/>
        <v>顺丰控股</v>
      </c>
      <c r="M26" t="str">
        <f t="shared" si="4"/>
        <v>物流</v>
      </c>
      <c r="N26" t="str">
        <f t="shared" si="5"/>
        <v>物</v>
      </c>
      <c r="P26" s="2" t="s">
        <v>12585</v>
      </c>
      <c r="Q26" t="s">
        <v>12587</v>
      </c>
      <c r="R26">
        <v>0</v>
      </c>
    </row>
    <row r="27" spans="1:18" x14ac:dyDescent="0.25">
      <c r="A27" t="s">
        <v>10725</v>
      </c>
      <c r="C27" t="str">
        <f t="shared" si="0"/>
        <v>sh</v>
      </c>
      <c r="D27" t="str">
        <f t="shared" si="1"/>
        <v>sh601800</v>
      </c>
      <c r="E27" t="str">
        <f>VLOOKUP(A27,Table!B:C,2,0)</f>
        <v>中国交建</v>
      </c>
      <c r="F27" t="str">
        <f>TRIM(VLOOKUP(A27,Table!B:O,14,0))</f>
        <v>工程建设</v>
      </c>
      <c r="G27" t="str">
        <f>VLOOKUP(F27,industry!A:C,2,0)</f>
        <v>工建</v>
      </c>
      <c r="H27" t="str">
        <f>VLOOKUP(F27,industry!A:C,3,0)</f>
        <v>建</v>
      </c>
      <c r="J27" s="2" t="s">
        <v>12585</v>
      </c>
      <c r="K27" t="str">
        <f t="shared" si="2"/>
        <v>sh601800</v>
      </c>
      <c r="L27" t="str">
        <f t="shared" si="3"/>
        <v>中国交建</v>
      </c>
      <c r="M27" t="str">
        <f t="shared" si="4"/>
        <v>工建</v>
      </c>
      <c r="N27" t="str">
        <f t="shared" si="5"/>
        <v>建</v>
      </c>
      <c r="P27" s="2" t="s">
        <v>12585</v>
      </c>
      <c r="Q27" t="s">
        <v>9657</v>
      </c>
      <c r="R27">
        <v>0</v>
      </c>
    </row>
    <row r="28" spans="1:18" x14ac:dyDescent="0.25">
      <c r="A28" t="s">
        <v>10726</v>
      </c>
      <c r="C28" t="str">
        <f t="shared" si="0"/>
        <v>sz</v>
      </c>
      <c r="D28" t="str">
        <f t="shared" si="1"/>
        <v>sz000651</v>
      </c>
      <c r="E28" t="str">
        <f>VLOOKUP(A28,Table!B:C,2,0)</f>
        <v>格力电器</v>
      </c>
      <c r="F28" t="str">
        <f>TRIM(VLOOKUP(A28,Table!B:O,14,0))</f>
        <v>家电行业</v>
      </c>
      <c r="G28" t="str">
        <f>VLOOKUP(F28,industry!A:C,2,0)</f>
        <v>家电</v>
      </c>
      <c r="H28" t="str">
        <f>VLOOKUP(F28,industry!A:C,3,0)</f>
        <v>家</v>
      </c>
      <c r="J28" s="2" t="s">
        <v>12585</v>
      </c>
      <c r="K28" t="str">
        <f t="shared" si="2"/>
        <v>sz000651</v>
      </c>
      <c r="L28" t="str">
        <f t="shared" si="3"/>
        <v>格力电器</v>
      </c>
      <c r="M28" t="str">
        <f t="shared" si="4"/>
        <v>家电</v>
      </c>
      <c r="N28" t="str">
        <f t="shared" si="5"/>
        <v>家</v>
      </c>
      <c r="P28" s="2" t="s">
        <v>12585</v>
      </c>
      <c r="Q28" t="s">
        <v>9699</v>
      </c>
      <c r="R28">
        <v>0</v>
      </c>
    </row>
    <row r="29" spans="1:18" x14ac:dyDescent="0.25">
      <c r="A29" t="s">
        <v>10727</v>
      </c>
      <c r="C29" t="str">
        <f t="shared" si="0"/>
        <v>sz</v>
      </c>
      <c r="D29" t="str">
        <f t="shared" si="1"/>
        <v>sz000858</v>
      </c>
      <c r="E29" t="str">
        <f>VLOOKUP(A29,Table!B:C,2,0)</f>
        <v>五 粮 液</v>
      </c>
      <c r="F29" t="str">
        <f>TRIM(VLOOKUP(A29,Table!B:O,14,0))</f>
        <v>酿酒行业</v>
      </c>
      <c r="G29" t="str">
        <f>VLOOKUP(F29,industry!A:C,2,0)</f>
        <v>酿酒</v>
      </c>
      <c r="H29" t="str">
        <f>VLOOKUP(F29,industry!A:C,3,0)</f>
        <v>酒</v>
      </c>
      <c r="J29" s="2" t="s">
        <v>12585</v>
      </c>
      <c r="K29" t="str">
        <f t="shared" si="2"/>
        <v>sz000858</v>
      </c>
      <c r="L29" t="str">
        <f t="shared" si="3"/>
        <v>五 粮 液</v>
      </c>
      <c r="M29" t="str">
        <f t="shared" si="4"/>
        <v>酿酒</v>
      </c>
      <c r="N29" t="str">
        <f t="shared" si="5"/>
        <v>酒</v>
      </c>
      <c r="P29" s="2" t="s">
        <v>12585</v>
      </c>
      <c r="Q29" t="s">
        <v>9701</v>
      </c>
      <c r="R29">
        <v>0</v>
      </c>
    </row>
    <row r="30" spans="1:18" x14ac:dyDescent="0.25">
      <c r="A30" t="s">
        <v>10728</v>
      </c>
      <c r="C30" t="str">
        <f t="shared" si="0"/>
        <v>sh</v>
      </c>
      <c r="D30" t="str">
        <f t="shared" si="1"/>
        <v>sh600030</v>
      </c>
      <c r="E30" t="str">
        <f>VLOOKUP(A30,Table!B:C,2,0)</f>
        <v>中信证券</v>
      </c>
      <c r="F30" t="str">
        <f>TRIM(VLOOKUP(A30,Table!B:O,14,0))</f>
        <v>券商信托</v>
      </c>
      <c r="G30" t="str">
        <f>VLOOKUP(F30,industry!A:C,2,0)</f>
        <v>券商</v>
      </c>
      <c r="H30" t="str">
        <f>VLOOKUP(F30,industry!A:C,3,0)</f>
        <v>券</v>
      </c>
      <c r="J30" s="2" t="s">
        <v>12585</v>
      </c>
      <c r="K30" t="str">
        <f t="shared" si="2"/>
        <v>sh600030</v>
      </c>
      <c r="L30" t="str">
        <f t="shared" si="3"/>
        <v>中信证券</v>
      </c>
      <c r="M30" t="str">
        <f t="shared" si="4"/>
        <v>券商</v>
      </c>
      <c r="N30" t="str">
        <f t="shared" si="5"/>
        <v>券</v>
      </c>
      <c r="P30" s="2" t="s">
        <v>12585</v>
      </c>
      <c r="Q30" t="s">
        <v>9659</v>
      </c>
      <c r="R30">
        <v>0</v>
      </c>
    </row>
    <row r="31" spans="1:18" x14ac:dyDescent="0.25">
      <c r="A31" t="s">
        <v>10729</v>
      </c>
      <c r="C31" t="str">
        <f t="shared" si="0"/>
        <v>sh</v>
      </c>
      <c r="D31" t="str">
        <f t="shared" si="1"/>
        <v>sh601390</v>
      </c>
      <c r="E31" t="str">
        <f>VLOOKUP(A31,Table!B:C,2,0)</f>
        <v>中国中铁</v>
      </c>
      <c r="F31" t="str">
        <f>TRIM(VLOOKUP(A31,Table!B:O,14,0))</f>
        <v>工程建设</v>
      </c>
      <c r="G31" t="str">
        <f>VLOOKUP(F31,industry!A:C,2,0)</f>
        <v>工建</v>
      </c>
      <c r="H31" t="str">
        <f>VLOOKUP(F31,industry!A:C,3,0)</f>
        <v>建</v>
      </c>
      <c r="J31" s="2" t="s">
        <v>12585</v>
      </c>
      <c r="K31" t="str">
        <f t="shared" si="2"/>
        <v>sh601390</v>
      </c>
      <c r="L31" t="str">
        <f t="shared" si="3"/>
        <v>中国中铁</v>
      </c>
      <c r="M31" t="str">
        <f t="shared" si="4"/>
        <v>工建</v>
      </c>
      <c r="N31" t="str">
        <f t="shared" si="5"/>
        <v>建</v>
      </c>
      <c r="P31" s="2" t="s">
        <v>12585</v>
      </c>
      <c r="Q31" t="s">
        <v>9662</v>
      </c>
      <c r="R31">
        <v>0</v>
      </c>
    </row>
    <row r="32" spans="1:18" x14ac:dyDescent="0.25">
      <c r="A32" t="s">
        <v>10730</v>
      </c>
      <c r="C32" t="str">
        <f t="shared" si="0"/>
        <v>sz</v>
      </c>
      <c r="D32" t="str">
        <f t="shared" si="1"/>
        <v>sz000001</v>
      </c>
      <c r="E32" t="str">
        <f>VLOOKUP(A32,Table!B:C,2,0)</f>
        <v>平安银行</v>
      </c>
      <c r="F32" t="str">
        <f>TRIM(VLOOKUP(A32,Table!B:O,14,0))</f>
        <v>银行</v>
      </c>
      <c r="G32" t="str">
        <f>VLOOKUP(F32,industry!A:C,2,0)</f>
        <v>银行</v>
      </c>
      <c r="H32" t="str">
        <f>VLOOKUP(F32,industry!A:C,3,0)</f>
        <v>银</v>
      </c>
      <c r="J32" s="2" t="s">
        <v>12585</v>
      </c>
      <c r="K32" t="str">
        <f t="shared" si="2"/>
        <v>sz000001</v>
      </c>
      <c r="L32" t="str">
        <f t="shared" si="3"/>
        <v>平安银行</v>
      </c>
      <c r="M32" t="str">
        <f t="shared" si="4"/>
        <v>银行</v>
      </c>
      <c r="N32" t="str">
        <f t="shared" si="5"/>
        <v>银</v>
      </c>
      <c r="P32" s="2" t="s">
        <v>12585</v>
      </c>
      <c r="Q32" t="s">
        <v>9672</v>
      </c>
      <c r="R32">
        <v>0</v>
      </c>
    </row>
    <row r="33" spans="1:18" x14ac:dyDescent="0.25">
      <c r="A33" t="s">
        <v>10731</v>
      </c>
      <c r="C33" t="str">
        <f t="shared" si="0"/>
        <v>sh</v>
      </c>
      <c r="D33" t="str">
        <f t="shared" si="1"/>
        <v>sh601818</v>
      </c>
      <c r="E33" t="str">
        <f>VLOOKUP(A33,Table!B:C,2,0)</f>
        <v>光大银行</v>
      </c>
      <c r="F33" t="str">
        <f>TRIM(VLOOKUP(A33,Table!B:O,14,0))</f>
        <v>银行</v>
      </c>
      <c r="G33" t="str">
        <f>VLOOKUP(F33,industry!A:C,2,0)</f>
        <v>银行</v>
      </c>
      <c r="H33" t="str">
        <f>VLOOKUP(F33,industry!A:C,3,0)</f>
        <v>银</v>
      </c>
      <c r="J33" s="2" t="s">
        <v>12585</v>
      </c>
      <c r="K33" t="str">
        <f t="shared" si="2"/>
        <v>sh601818</v>
      </c>
      <c r="L33" t="str">
        <f t="shared" si="3"/>
        <v>光大银行</v>
      </c>
      <c r="M33" t="str">
        <f t="shared" si="4"/>
        <v>银行</v>
      </c>
      <c r="N33" t="str">
        <f t="shared" si="5"/>
        <v>银</v>
      </c>
      <c r="P33" s="2" t="s">
        <v>12585</v>
      </c>
      <c r="Q33" t="s">
        <v>9666</v>
      </c>
      <c r="R33">
        <v>0</v>
      </c>
    </row>
    <row r="34" spans="1:18" x14ac:dyDescent="0.25">
      <c r="A34" t="s">
        <v>10732</v>
      </c>
      <c r="C34" t="str">
        <f t="shared" si="0"/>
        <v>sh</v>
      </c>
      <c r="D34" t="str">
        <f t="shared" si="1"/>
        <v>sh601211</v>
      </c>
      <c r="E34" t="str">
        <f>VLOOKUP(A34,Table!B:C,2,0)</f>
        <v>国泰君安</v>
      </c>
      <c r="F34" t="str">
        <f>TRIM(VLOOKUP(A34,Table!B:O,14,0))</f>
        <v>券商信托</v>
      </c>
      <c r="G34" t="str">
        <f>VLOOKUP(F34,industry!A:C,2,0)</f>
        <v>券商</v>
      </c>
      <c r="H34" t="str">
        <f>VLOOKUP(F34,industry!A:C,3,0)</f>
        <v>券</v>
      </c>
      <c r="J34" s="2" t="s">
        <v>12585</v>
      </c>
      <c r="K34" t="str">
        <f t="shared" si="2"/>
        <v>sh601211</v>
      </c>
      <c r="L34" t="str">
        <f t="shared" si="3"/>
        <v>国泰君安</v>
      </c>
      <c r="M34" t="str">
        <f t="shared" si="4"/>
        <v>券商</v>
      </c>
      <c r="N34" t="str">
        <f t="shared" si="5"/>
        <v>券</v>
      </c>
      <c r="P34" s="2" t="s">
        <v>12585</v>
      </c>
      <c r="Q34" t="s">
        <v>9698</v>
      </c>
      <c r="R34">
        <v>0</v>
      </c>
    </row>
    <row r="35" spans="1:18" x14ac:dyDescent="0.25">
      <c r="A35" t="s">
        <v>10733</v>
      </c>
      <c r="C35" t="str">
        <f t="shared" si="0"/>
        <v>sz</v>
      </c>
      <c r="D35" t="str">
        <f t="shared" si="1"/>
        <v>sz002594</v>
      </c>
      <c r="E35" t="str">
        <f>VLOOKUP(A35,Table!B:C,2,0)</f>
        <v>比亚迪</v>
      </c>
      <c r="F35" t="str">
        <f>TRIM(VLOOKUP(A35,Table!B:O,14,0))</f>
        <v>汽车行业</v>
      </c>
      <c r="G35" t="str">
        <f>VLOOKUP(F35,industry!A:C,2,0)</f>
        <v>汽车</v>
      </c>
      <c r="H35" t="str">
        <f>VLOOKUP(F35,industry!A:C,3,0)</f>
        <v>车</v>
      </c>
      <c r="J35" s="2" t="s">
        <v>12585</v>
      </c>
      <c r="K35" t="str">
        <f t="shared" si="2"/>
        <v>sz002594</v>
      </c>
      <c r="L35" t="str">
        <f t="shared" si="3"/>
        <v>比亚迪</v>
      </c>
      <c r="M35" t="str">
        <f t="shared" si="4"/>
        <v>汽车</v>
      </c>
      <c r="N35" t="str">
        <f t="shared" si="5"/>
        <v>车</v>
      </c>
      <c r="P35" s="2" t="s">
        <v>12585</v>
      </c>
      <c r="Q35" t="s">
        <v>9678</v>
      </c>
      <c r="R35">
        <v>0</v>
      </c>
    </row>
    <row r="36" spans="1:18" x14ac:dyDescent="0.25">
      <c r="A36" t="s">
        <v>10734</v>
      </c>
      <c r="C36" t="str">
        <f t="shared" si="0"/>
        <v>sh</v>
      </c>
      <c r="D36" t="str">
        <f t="shared" si="1"/>
        <v>sh601336</v>
      </c>
      <c r="E36" t="str">
        <f>VLOOKUP(A36,Table!B:C,2,0)</f>
        <v>新华保险</v>
      </c>
      <c r="F36" t="str">
        <f>TRIM(VLOOKUP(A36,Table!B:O,14,0))</f>
        <v>保险</v>
      </c>
      <c r="G36" t="str">
        <f>VLOOKUP(F36,industry!A:C,2,0)</f>
        <v>保险</v>
      </c>
      <c r="H36" t="str">
        <f>VLOOKUP(F36,industry!A:C,3,0)</f>
        <v>险</v>
      </c>
      <c r="J36" s="2" t="s">
        <v>12585</v>
      </c>
      <c r="K36" t="str">
        <f t="shared" si="2"/>
        <v>sh601336</v>
      </c>
      <c r="L36" t="str">
        <f t="shared" si="3"/>
        <v>新华保险</v>
      </c>
      <c r="M36" t="str">
        <f t="shared" si="4"/>
        <v>保险</v>
      </c>
      <c r="N36" t="str">
        <f t="shared" si="5"/>
        <v>险</v>
      </c>
      <c r="P36" s="2" t="s">
        <v>12585</v>
      </c>
      <c r="Q36" t="s">
        <v>9706</v>
      </c>
      <c r="R36">
        <v>0</v>
      </c>
    </row>
    <row r="37" spans="1:18" x14ac:dyDescent="0.25">
      <c r="A37" t="s">
        <v>10735</v>
      </c>
      <c r="C37" t="str">
        <f t="shared" si="0"/>
        <v>sh</v>
      </c>
      <c r="D37" t="str">
        <f t="shared" si="1"/>
        <v>sh601238</v>
      </c>
      <c r="E37" t="str">
        <f>VLOOKUP(A37,Table!B:C,2,0)</f>
        <v>广汽集团</v>
      </c>
      <c r="F37" t="str">
        <f>TRIM(VLOOKUP(A37,Table!B:O,14,0))</f>
        <v>汽车行业</v>
      </c>
      <c r="G37" t="str">
        <f>VLOOKUP(F37,industry!A:C,2,0)</f>
        <v>汽车</v>
      </c>
      <c r="H37" t="str">
        <f>VLOOKUP(F37,industry!A:C,3,0)</f>
        <v>车</v>
      </c>
      <c r="J37" s="2" t="s">
        <v>12585</v>
      </c>
      <c r="K37" t="str">
        <f t="shared" si="2"/>
        <v>sh601238</v>
      </c>
      <c r="L37" t="str">
        <f t="shared" si="3"/>
        <v>广汽集团</v>
      </c>
      <c r="M37" t="str">
        <f t="shared" si="4"/>
        <v>汽车</v>
      </c>
      <c r="N37" t="str">
        <f t="shared" si="5"/>
        <v>车</v>
      </c>
      <c r="P37" s="2" t="s">
        <v>12585</v>
      </c>
      <c r="Q37" t="s">
        <v>9684</v>
      </c>
      <c r="R37">
        <v>0</v>
      </c>
    </row>
    <row r="38" spans="1:18" x14ac:dyDescent="0.25">
      <c r="A38" t="s">
        <v>10736</v>
      </c>
      <c r="C38" t="str">
        <f t="shared" si="0"/>
        <v>sz</v>
      </c>
      <c r="D38" t="str">
        <f t="shared" si="1"/>
        <v>sz000725</v>
      </c>
      <c r="E38" t="str">
        <f>VLOOKUP(A38,Table!B:C,2,0)</f>
        <v>京东方Ａ</v>
      </c>
      <c r="F38" t="str">
        <f>TRIM(VLOOKUP(A38,Table!B:O,14,0))</f>
        <v>电子元件</v>
      </c>
      <c r="G38" t="str">
        <f>VLOOKUP(F38,industry!A:C,2,0)</f>
        <v>原件</v>
      </c>
      <c r="H38" t="str">
        <f>VLOOKUP(F38,industry!A:C,3,0)</f>
        <v>元件</v>
      </c>
      <c r="J38" s="2" t="s">
        <v>12585</v>
      </c>
      <c r="K38" t="str">
        <f t="shared" si="2"/>
        <v>sz000725</v>
      </c>
      <c r="L38" t="str">
        <f t="shared" si="3"/>
        <v>京东方Ａ</v>
      </c>
      <c r="M38" t="str">
        <f t="shared" si="4"/>
        <v>原件</v>
      </c>
      <c r="N38" t="str">
        <f t="shared" si="5"/>
        <v>元件</v>
      </c>
      <c r="P38" s="2" t="s">
        <v>12585</v>
      </c>
      <c r="Q38" t="s">
        <v>9791</v>
      </c>
      <c r="R38">
        <v>0</v>
      </c>
    </row>
    <row r="39" spans="1:18" x14ac:dyDescent="0.25">
      <c r="A39" t="s">
        <v>10737</v>
      </c>
      <c r="C39" t="str">
        <f t="shared" si="0"/>
        <v>sh</v>
      </c>
      <c r="D39" t="str">
        <f t="shared" si="1"/>
        <v>sh600276</v>
      </c>
      <c r="E39" t="str">
        <f>VLOOKUP(A39,Table!B:C,2,0)</f>
        <v>恒瑞医药</v>
      </c>
      <c r="F39" t="str">
        <f>TRIM(VLOOKUP(A39,Table!B:O,14,0))</f>
        <v>医药制造</v>
      </c>
      <c r="G39" t="str">
        <f>VLOOKUP(F39,industry!A:C,2,0)</f>
        <v>医药</v>
      </c>
      <c r="H39" t="str">
        <f>VLOOKUP(F39,industry!A:C,3,0)</f>
        <v>药</v>
      </c>
      <c r="J39" s="2" t="s">
        <v>12585</v>
      </c>
      <c r="K39" t="str">
        <f t="shared" si="2"/>
        <v>sh600276</v>
      </c>
      <c r="L39" t="str">
        <f t="shared" si="3"/>
        <v>恒瑞医药</v>
      </c>
      <c r="M39" t="str">
        <f t="shared" si="4"/>
        <v>医药</v>
      </c>
      <c r="N39" t="str">
        <f t="shared" si="5"/>
        <v>药</v>
      </c>
      <c r="P39" s="2" t="s">
        <v>12585</v>
      </c>
      <c r="Q39" t="s">
        <v>9737</v>
      </c>
      <c r="R39">
        <v>0</v>
      </c>
    </row>
    <row r="40" spans="1:18" x14ac:dyDescent="0.25">
      <c r="A40" t="s">
        <v>10738</v>
      </c>
      <c r="C40" t="str">
        <f t="shared" si="0"/>
        <v>sh</v>
      </c>
      <c r="D40" t="str">
        <f t="shared" si="1"/>
        <v>sh600837</v>
      </c>
      <c r="E40" t="str">
        <f>VLOOKUP(A40,Table!B:C,2,0)</f>
        <v>海通证券</v>
      </c>
      <c r="F40" t="str">
        <f>TRIM(VLOOKUP(A40,Table!B:O,14,0))</f>
        <v>券商信托</v>
      </c>
      <c r="G40" t="str">
        <f>VLOOKUP(F40,industry!A:C,2,0)</f>
        <v>券商</v>
      </c>
      <c r="H40" t="str">
        <f>VLOOKUP(F40,industry!A:C,3,0)</f>
        <v>券</v>
      </c>
      <c r="J40" s="2" t="s">
        <v>12585</v>
      </c>
      <c r="K40" t="str">
        <f t="shared" si="2"/>
        <v>sh600837</v>
      </c>
      <c r="L40" t="str">
        <f t="shared" si="3"/>
        <v>海通证券</v>
      </c>
      <c r="M40" t="str">
        <f t="shared" si="4"/>
        <v>券商</v>
      </c>
      <c r="N40" t="str">
        <f t="shared" si="5"/>
        <v>券</v>
      </c>
      <c r="P40" s="2" t="s">
        <v>12585</v>
      </c>
      <c r="Q40" t="s">
        <v>9664</v>
      </c>
      <c r="R40">
        <v>0</v>
      </c>
    </row>
    <row r="41" spans="1:18" x14ac:dyDescent="0.25">
      <c r="A41" t="s">
        <v>10739</v>
      </c>
      <c r="C41" t="str">
        <f t="shared" si="0"/>
        <v>sh</v>
      </c>
      <c r="D41" t="str">
        <f t="shared" si="1"/>
        <v>sh600887</v>
      </c>
      <c r="E41" t="str">
        <f>VLOOKUP(A41,Table!B:C,2,0)</f>
        <v>伊利股份</v>
      </c>
      <c r="F41" t="str">
        <f>TRIM(VLOOKUP(A41,Table!B:O,14,0))</f>
        <v>食品饮料</v>
      </c>
      <c r="G41" t="str">
        <f>VLOOKUP(F41,industry!A:C,2,0)</f>
        <v>食品</v>
      </c>
      <c r="H41" t="str">
        <f>VLOOKUP(F41,industry!A:C,3,0)</f>
        <v>食</v>
      </c>
      <c r="J41" s="2" t="s">
        <v>12585</v>
      </c>
      <c r="K41" t="str">
        <f t="shared" si="2"/>
        <v>sh600887</v>
      </c>
      <c r="L41" t="str">
        <f t="shared" si="3"/>
        <v>伊利股份</v>
      </c>
      <c r="M41" t="str">
        <f t="shared" si="4"/>
        <v>食品</v>
      </c>
      <c r="N41" t="str">
        <f t="shared" si="5"/>
        <v>食</v>
      </c>
      <c r="P41" s="2" t="s">
        <v>12585</v>
      </c>
      <c r="Q41" t="s">
        <v>9743</v>
      </c>
      <c r="R41">
        <v>0</v>
      </c>
    </row>
    <row r="42" spans="1:18" x14ac:dyDescent="0.25">
      <c r="A42" t="s">
        <v>10740</v>
      </c>
      <c r="C42" t="str">
        <f t="shared" si="0"/>
        <v>sh</v>
      </c>
      <c r="D42" t="str">
        <f t="shared" si="1"/>
        <v>sh600019</v>
      </c>
      <c r="E42" t="str">
        <f>VLOOKUP(A42,Table!B:C,2,0)</f>
        <v>宝钢股份</v>
      </c>
      <c r="F42" t="str">
        <f>TRIM(VLOOKUP(A42,Table!B:O,14,0))</f>
        <v>钢铁行业</v>
      </c>
      <c r="G42" t="str">
        <f>VLOOKUP(F42,industry!A:C,2,0)</f>
        <v>钢铁</v>
      </c>
      <c r="H42" t="str">
        <f>VLOOKUP(F42,industry!A:C,3,0)</f>
        <v>钢</v>
      </c>
      <c r="J42" s="2" t="s">
        <v>12585</v>
      </c>
      <c r="K42" t="str">
        <f t="shared" si="2"/>
        <v>sh600019</v>
      </c>
      <c r="L42" t="str">
        <f t="shared" si="3"/>
        <v>宝钢股份</v>
      </c>
      <c r="M42" t="str">
        <f t="shared" si="4"/>
        <v>钢铁</v>
      </c>
      <c r="N42" t="str">
        <f t="shared" si="5"/>
        <v>钢</v>
      </c>
      <c r="P42" s="2" t="s">
        <v>12585</v>
      </c>
      <c r="Q42" t="s">
        <v>9773</v>
      </c>
      <c r="R42">
        <v>0</v>
      </c>
    </row>
    <row r="43" spans="1:18" x14ac:dyDescent="0.25">
      <c r="A43" t="s">
        <v>10741</v>
      </c>
      <c r="C43" t="str">
        <f t="shared" si="0"/>
        <v>sh</v>
      </c>
      <c r="D43" t="str">
        <f t="shared" si="1"/>
        <v>sh601186</v>
      </c>
      <c r="E43" t="str">
        <f>VLOOKUP(A43,Table!B:C,2,0)</f>
        <v>中国铁建</v>
      </c>
      <c r="F43" t="str">
        <f>TRIM(VLOOKUP(A43,Table!B:O,14,0))</f>
        <v>工程建设</v>
      </c>
      <c r="G43" t="str">
        <f>VLOOKUP(F43,industry!A:C,2,0)</f>
        <v>工建</v>
      </c>
      <c r="H43" t="str">
        <f>VLOOKUP(F43,industry!A:C,3,0)</f>
        <v>建</v>
      </c>
      <c r="J43" s="2" t="s">
        <v>12585</v>
      </c>
      <c r="K43" t="str">
        <f t="shared" si="2"/>
        <v>sh601186</v>
      </c>
      <c r="L43" t="str">
        <f t="shared" si="3"/>
        <v>中国铁建</v>
      </c>
      <c r="M43" t="str">
        <f t="shared" si="4"/>
        <v>工建</v>
      </c>
      <c r="N43" t="str">
        <f t="shared" si="5"/>
        <v>建</v>
      </c>
      <c r="P43" s="2" t="s">
        <v>12585</v>
      </c>
      <c r="Q43" t="s">
        <v>9694</v>
      </c>
      <c r="R43">
        <v>0</v>
      </c>
    </row>
    <row r="44" spans="1:18" x14ac:dyDescent="0.25">
      <c r="A44" t="s">
        <v>10742</v>
      </c>
      <c r="C44" t="str">
        <f t="shared" si="0"/>
        <v>sz</v>
      </c>
      <c r="D44" t="str">
        <f t="shared" si="1"/>
        <v>sz002304</v>
      </c>
      <c r="E44" t="str">
        <f>VLOOKUP(A44,Table!B:C,2,0)</f>
        <v>洋河股份</v>
      </c>
      <c r="F44" t="str">
        <f>TRIM(VLOOKUP(A44,Table!B:O,14,0))</f>
        <v>酿酒行业</v>
      </c>
      <c r="G44" t="str">
        <f>VLOOKUP(F44,industry!A:C,2,0)</f>
        <v>酿酒</v>
      </c>
      <c r="H44" t="str">
        <f>VLOOKUP(F44,industry!A:C,3,0)</f>
        <v>酒</v>
      </c>
      <c r="J44" s="2" t="s">
        <v>12585</v>
      </c>
      <c r="K44" t="str">
        <f t="shared" si="2"/>
        <v>sz002304</v>
      </c>
      <c r="L44" t="str">
        <f t="shared" si="3"/>
        <v>洋河股份</v>
      </c>
      <c r="M44" t="str">
        <f t="shared" si="4"/>
        <v>酿酒</v>
      </c>
      <c r="N44" t="str">
        <f t="shared" si="5"/>
        <v>酒</v>
      </c>
      <c r="P44" s="2" t="s">
        <v>12585</v>
      </c>
      <c r="Q44" t="s">
        <v>9751</v>
      </c>
      <c r="R44">
        <v>0</v>
      </c>
    </row>
    <row r="45" spans="1:18" x14ac:dyDescent="0.25">
      <c r="A45" t="s">
        <v>10743</v>
      </c>
      <c r="C45" t="str">
        <f t="shared" si="0"/>
        <v>sh</v>
      </c>
      <c r="D45" t="str">
        <f t="shared" si="1"/>
        <v>sh600018</v>
      </c>
      <c r="E45" t="str">
        <f>VLOOKUP(A45,Table!B:C,2,0)</f>
        <v>上港集团</v>
      </c>
      <c r="F45" t="str">
        <f>TRIM(VLOOKUP(A45,Table!B:O,14,0))</f>
        <v>港口水运</v>
      </c>
      <c r="G45" t="str">
        <f>VLOOKUP(F45,industry!A:C,2,0)</f>
        <v>港口</v>
      </c>
      <c r="H45" t="str">
        <f>VLOOKUP(F45,industry!A:C,3,0)</f>
        <v>港</v>
      </c>
      <c r="J45" s="2" t="s">
        <v>12585</v>
      </c>
      <c r="K45" t="str">
        <f t="shared" si="2"/>
        <v>sh600018</v>
      </c>
      <c r="L45" t="str">
        <f t="shared" si="3"/>
        <v>上港集团</v>
      </c>
      <c r="M45" t="str">
        <f t="shared" si="4"/>
        <v>港口</v>
      </c>
      <c r="N45" t="str">
        <f t="shared" si="5"/>
        <v>港</v>
      </c>
      <c r="P45" s="2" t="s">
        <v>12585</v>
      </c>
      <c r="Q45" t="s">
        <v>9716</v>
      </c>
      <c r="R45">
        <v>0</v>
      </c>
    </row>
    <row r="46" spans="1:18" x14ac:dyDescent="0.25">
      <c r="A46" t="s">
        <v>10744</v>
      </c>
      <c r="C46" t="str">
        <f t="shared" si="0"/>
        <v>sh</v>
      </c>
      <c r="D46" t="str">
        <f t="shared" si="1"/>
        <v>sh603993</v>
      </c>
      <c r="E46" t="str">
        <f>VLOOKUP(A46,Table!B:C,2,0)</f>
        <v>洛阳钼业</v>
      </c>
      <c r="F46" t="str">
        <f>TRIM(VLOOKUP(A46,Table!B:O,14,0))</f>
        <v>有色金属</v>
      </c>
      <c r="G46" t="str">
        <f>VLOOKUP(F46,industry!A:C,2,0)</f>
        <v>有色</v>
      </c>
      <c r="H46" t="str">
        <f>VLOOKUP(F46,industry!A:C,3,0)</f>
        <v>色</v>
      </c>
      <c r="J46" s="2" t="s">
        <v>12585</v>
      </c>
      <c r="K46" t="str">
        <f t="shared" si="2"/>
        <v>sh603993</v>
      </c>
      <c r="L46" t="str">
        <f t="shared" si="3"/>
        <v>洛阳钼业</v>
      </c>
      <c r="M46" t="str">
        <f t="shared" si="4"/>
        <v>有色</v>
      </c>
      <c r="N46" t="str">
        <f t="shared" si="5"/>
        <v>色</v>
      </c>
      <c r="P46" s="2" t="s">
        <v>12585</v>
      </c>
      <c r="Q46" t="s">
        <v>9851</v>
      </c>
      <c r="R46">
        <v>0</v>
      </c>
    </row>
    <row r="47" spans="1:18" x14ac:dyDescent="0.25">
      <c r="A47" t="s">
        <v>10745</v>
      </c>
      <c r="C47" t="str">
        <f t="shared" si="0"/>
        <v>sh</v>
      </c>
      <c r="D47" t="str">
        <f t="shared" si="1"/>
        <v>sh601688</v>
      </c>
      <c r="E47" t="str">
        <f>VLOOKUP(A47,Table!B:C,2,0)</f>
        <v>华泰证券</v>
      </c>
      <c r="F47" t="str">
        <f>TRIM(VLOOKUP(A47,Table!B:O,14,0))</f>
        <v>券商信托</v>
      </c>
      <c r="G47" t="str">
        <f>VLOOKUP(F47,industry!A:C,2,0)</f>
        <v>券商</v>
      </c>
      <c r="H47" t="str">
        <f>VLOOKUP(F47,industry!A:C,3,0)</f>
        <v>券</v>
      </c>
      <c r="J47" s="2" t="s">
        <v>12585</v>
      </c>
      <c r="K47" t="str">
        <f t="shared" si="2"/>
        <v>sh601688</v>
      </c>
      <c r="L47" t="str">
        <f t="shared" si="3"/>
        <v>华泰证券</v>
      </c>
      <c r="M47" t="str">
        <f t="shared" si="4"/>
        <v>券商</v>
      </c>
      <c r="N47" t="str">
        <f t="shared" si="5"/>
        <v>券</v>
      </c>
      <c r="P47" s="2" t="s">
        <v>12585</v>
      </c>
      <c r="Q47" t="s">
        <v>9686</v>
      </c>
      <c r="R47">
        <v>0</v>
      </c>
    </row>
    <row r="48" spans="1:18" x14ac:dyDescent="0.25">
      <c r="A48" t="s">
        <v>10746</v>
      </c>
      <c r="C48" t="str">
        <f t="shared" si="0"/>
        <v>sh</v>
      </c>
      <c r="D48" t="str">
        <f t="shared" si="1"/>
        <v>sh600050</v>
      </c>
      <c r="E48" t="str">
        <f>VLOOKUP(A48,Table!B:C,2,0)</f>
        <v>中国联通</v>
      </c>
      <c r="F48" t="str">
        <f>TRIM(VLOOKUP(A48,Table!B:O,14,0))</f>
        <v>电信运营</v>
      </c>
      <c r="G48" t="str">
        <f>VLOOKUP(F48,industry!A:C,2,0)</f>
        <v>电信</v>
      </c>
      <c r="H48" t="str">
        <f>VLOOKUP(F48,industry!A:C,3,0)</f>
        <v>电信</v>
      </c>
      <c r="J48" s="2" t="s">
        <v>12585</v>
      </c>
      <c r="K48" t="str">
        <f t="shared" si="2"/>
        <v>sh600050</v>
      </c>
      <c r="L48" t="str">
        <f t="shared" si="3"/>
        <v>中国联通</v>
      </c>
      <c r="M48" t="str">
        <f t="shared" si="4"/>
        <v>电信</v>
      </c>
      <c r="N48" t="str">
        <f t="shared" si="5"/>
        <v>电信</v>
      </c>
      <c r="P48" s="2" t="s">
        <v>12585</v>
      </c>
      <c r="Q48" t="s">
        <v>9734</v>
      </c>
      <c r="R48">
        <v>0</v>
      </c>
    </row>
    <row r="49" spans="1:18" x14ac:dyDescent="0.25">
      <c r="A49" t="s">
        <v>10747</v>
      </c>
      <c r="C49" t="str">
        <f t="shared" si="0"/>
        <v>sh</v>
      </c>
      <c r="D49" t="str">
        <f t="shared" si="1"/>
        <v>sh601881</v>
      </c>
      <c r="E49" t="str">
        <f>VLOOKUP(A49,Table!B:C,2,0)</f>
        <v>中国银河</v>
      </c>
      <c r="F49" t="str">
        <f>TRIM(VLOOKUP(A49,Table!B:O,14,0))</f>
        <v>券商信托</v>
      </c>
      <c r="G49" t="str">
        <f>VLOOKUP(F49,industry!A:C,2,0)</f>
        <v>券商</v>
      </c>
      <c r="H49" t="str">
        <f>VLOOKUP(F49,industry!A:C,3,0)</f>
        <v>券</v>
      </c>
      <c r="J49" s="2" t="s">
        <v>12585</v>
      </c>
      <c r="K49" t="str">
        <f t="shared" si="2"/>
        <v>sh601881</v>
      </c>
      <c r="L49" t="str">
        <f t="shared" si="3"/>
        <v>中国银河</v>
      </c>
      <c r="M49" t="str">
        <f t="shared" si="4"/>
        <v>券商</v>
      </c>
      <c r="N49" t="str">
        <f t="shared" si="5"/>
        <v>券</v>
      </c>
      <c r="P49" s="2" t="s">
        <v>12585</v>
      </c>
      <c r="Q49" t="s">
        <v>12588</v>
      </c>
      <c r="R49">
        <v>0</v>
      </c>
    </row>
    <row r="50" spans="1:18" x14ac:dyDescent="0.25">
      <c r="A50" t="s">
        <v>10748</v>
      </c>
      <c r="C50" t="str">
        <f t="shared" si="0"/>
        <v>sz</v>
      </c>
      <c r="D50" t="str">
        <f t="shared" si="1"/>
        <v>sz000617</v>
      </c>
      <c r="E50" t="str">
        <f>VLOOKUP(A50,Table!B:C,2,0)</f>
        <v>中油资本</v>
      </c>
      <c r="F50" t="str">
        <f>TRIM(VLOOKUP(A50,Table!B:O,14,0))</f>
        <v>多元金融</v>
      </c>
      <c r="G50" t="str">
        <f>VLOOKUP(F50,industry!A:C,2,0)</f>
        <v>多元</v>
      </c>
      <c r="H50" t="str">
        <f>VLOOKUP(F50,industry!A:C,3,0)</f>
        <v>融</v>
      </c>
      <c r="J50" s="2" t="s">
        <v>12585</v>
      </c>
      <c r="K50" t="str">
        <f t="shared" si="2"/>
        <v>sz000617</v>
      </c>
      <c r="L50" t="str">
        <f t="shared" si="3"/>
        <v>中油资本</v>
      </c>
      <c r="M50" t="str">
        <f t="shared" si="4"/>
        <v>多元</v>
      </c>
      <c r="N50" t="str">
        <f t="shared" si="5"/>
        <v>融</v>
      </c>
      <c r="P50" s="2" t="s">
        <v>12585</v>
      </c>
      <c r="Q50" t="s">
        <v>12589</v>
      </c>
      <c r="R50">
        <v>0</v>
      </c>
    </row>
    <row r="51" spans="1:18" x14ac:dyDescent="0.25">
      <c r="A51" t="s">
        <v>10749</v>
      </c>
      <c r="C51" t="str">
        <f t="shared" si="0"/>
        <v>sz</v>
      </c>
      <c r="D51" t="str">
        <f t="shared" si="1"/>
        <v>sz001979</v>
      </c>
      <c r="E51" t="str">
        <f>VLOOKUP(A51,Table!B:C,2,0)</f>
        <v>招商蛇口</v>
      </c>
      <c r="F51" t="str">
        <f>TRIM(VLOOKUP(A51,Table!B:O,14,0))</f>
        <v>房地产</v>
      </c>
      <c r="G51" t="str">
        <f>VLOOKUP(F51,industry!A:C,2,0)</f>
        <v>房产</v>
      </c>
      <c r="H51" t="str">
        <f>VLOOKUP(F51,industry!A:C,3,0)</f>
        <v>产</v>
      </c>
      <c r="J51" s="2" t="s">
        <v>12585</v>
      </c>
      <c r="K51" t="str">
        <f t="shared" si="2"/>
        <v>sz001979</v>
      </c>
      <c r="L51" t="str">
        <f t="shared" si="3"/>
        <v>招商蛇口</v>
      </c>
      <c r="M51" t="str">
        <f t="shared" si="4"/>
        <v>房产</v>
      </c>
      <c r="N51" t="str">
        <f t="shared" si="5"/>
        <v>产</v>
      </c>
      <c r="P51" s="2" t="s">
        <v>12585</v>
      </c>
      <c r="Q51" t="s">
        <v>9703</v>
      </c>
      <c r="R51">
        <v>0</v>
      </c>
    </row>
    <row r="52" spans="1:18" x14ac:dyDescent="0.25">
      <c r="A52" t="s">
        <v>10750</v>
      </c>
      <c r="C52" t="str">
        <f t="shared" si="0"/>
        <v>sz</v>
      </c>
      <c r="D52" t="str">
        <f t="shared" si="1"/>
        <v>sz000776</v>
      </c>
      <c r="E52" t="str">
        <f>VLOOKUP(A52,Table!B:C,2,0)</f>
        <v>广发证券</v>
      </c>
      <c r="F52" t="str">
        <f>TRIM(VLOOKUP(A52,Table!B:O,14,0))</f>
        <v>券商信托</v>
      </c>
      <c r="G52" t="str">
        <f>VLOOKUP(F52,industry!A:C,2,0)</f>
        <v>券商</v>
      </c>
      <c r="H52" t="str">
        <f>VLOOKUP(F52,industry!A:C,3,0)</f>
        <v>券</v>
      </c>
      <c r="J52" s="2" t="s">
        <v>12585</v>
      </c>
      <c r="K52" t="str">
        <f t="shared" si="2"/>
        <v>sz000776</v>
      </c>
      <c r="L52" t="str">
        <f t="shared" si="3"/>
        <v>广发证券</v>
      </c>
      <c r="M52" t="str">
        <f t="shared" si="4"/>
        <v>券商</v>
      </c>
      <c r="N52" t="str">
        <f t="shared" si="5"/>
        <v>券</v>
      </c>
      <c r="P52" s="2" t="s">
        <v>12585</v>
      </c>
      <c r="Q52" t="s">
        <v>9705</v>
      </c>
      <c r="R52">
        <v>0</v>
      </c>
    </row>
    <row r="53" spans="1:18" x14ac:dyDescent="0.25">
      <c r="A53" t="s">
        <v>10751</v>
      </c>
      <c r="C53" t="str">
        <f t="shared" si="0"/>
        <v>sh</v>
      </c>
      <c r="D53" t="str">
        <f t="shared" si="1"/>
        <v>sh601229</v>
      </c>
      <c r="E53" t="str">
        <f>VLOOKUP(A53,Table!B:C,2,0)</f>
        <v>上海银行</v>
      </c>
      <c r="F53" t="str">
        <f>TRIM(VLOOKUP(A53,Table!B:O,14,0))</f>
        <v>银行</v>
      </c>
      <c r="G53" t="str">
        <f>VLOOKUP(F53,industry!A:C,2,0)</f>
        <v>银行</v>
      </c>
      <c r="H53" t="str">
        <f>VLOOKUP(F53,industry!A:C,3,0)</f>
        <v>银</v>
      </c>
      <c r="J53" s="2" t="s">
        <v>12585</v>
      </c>
      <c r="K53" t="str">
        <f t="shared" si="2"/>
        <v>sh601229</v>
      </c>
      <c r="L53" t="str">
        <f t="shared" si="3"/>
        <v>上海银行</v>
      </c>
      <c r="M53" t="str">
        <f t="shared" si="4"/>
        <v>银行</v>
      </c>
      <c r="N53" t="str">
        <f t="shared" si="5"/>
        <v>银</v>
      </c>
      <c r="P53" s="2" t="s">
        <v>12585</v>
      </c>
      <c r="Q53" t="s">
        <v>10696</v>
      </c>
      <c r="R53">
        <v>0</v>
      </c>
    </row>
    <row r="54" spans="1:18" x14ac:dyDescent="0.25">
      <c r="A54" t="s">
        <v>10752</v>
      </c>
      <c r="C54" t="str">
        <f t="shared" si="0"/>
        <v>sh</v>
      </c>
      <c r="D54" t="str">
        <f t="shared" si="1"/>
        <v>sh601169</v>
      </c>
      <c r="E54" t="str">
        <f>VLOOKUP(A54,Table!B:C,2,0)</f>
        <v>北京银行</v>
      </c>
      <c r="F54" t="str">
        <f>TRIM(VLOOKUP(A54,Table!B:O,14,0))</f>
        <v>银行</v>
      </c>
      <c r="G54" t="str">
        <f>VLOOKUP(F54,industry!A:C,2,0)</f>
        <v>银行</v>
      </c>
      <c r="H54" t="str">
        <f>VLOOKUP(F54,industry!A:C,3,0)</f>
        <v>银</v>
      </c>
      <c r="J54" s="2" t="s">
        <v>12585</v>
      </c>
      <c r="K54" t="str">
        <f t="shared" si="2"/>
        <v>sh601169</v>
      </c>
      <c r="L54" t="str">
        <f t="shared" si="3"/>
        <v>北京银行</v>
      </c>
      <c r="M54" t="str">
        <f t="shared" si="4"/>
        <v>银行</v>
      </c>
      <c r="N54" t="str">
        <f t="shared" si="5"/>
        <v>银</v>
      </c>
      <c r="P54" s="2" t="s">
        <v>12585</v>
      </c>
      <c r="Q54" t="s">
        <v>9688</v>
      </c>
      <c r="R54">
        <v>0</v>
      </c>
    </row>
    <row r="55" spans="1:18" x14ac:dyDescent="0.25">
      <c r="A55" t="s">
        <v>10753</v>
      </c>
      <c r="C55" t="str">
        <f t="shared" si="0"/>
        <v>sh</v>
      </c>
      <c r="D55" t="str">
        <f t="shared" si="1"/>
        <v>sh600999</v>
      </c>
      <c r="E55" t="str">
        <f>VLOOKUP(A55,Table!B:C,2,0)</f>
        <v>招商证券</v>
      </c>
      <c r="F55" t="str">
        <f>TRIM(VLOOKUP(A55,Table!B:O,14,0))</f>
        <v>券商信托</v>
      </c>
      <c r="G55" t="str">
        <f>VLOOKUP(F55,industry!A:C,2,0)</f>
        <v>券商</v>
      </c>
      <c r="H55" t="str">
        <f>VLOOKUP(F55,industry!A:C,3,0)</f>
        <v>券</v>
      </c>
      <c r="J55" s="2" t="s">
        <v>12585</v>
      </c>
      <c r="K55" t="str">
        <f t="shared" si="2"/>
        <v>sh600999</v>
      </c>
      <c r="L55" t="str">
        <f t="shared" si="3"/>
        <v>招商证券</v>
      </c>
      <c r="M55" t="str">
        <f t="shared" si="4"/>
        <v>券商</v>
      </c>
      <c r="N55" t="str">
        <f t="shared" si="5"/>
        <v>券</v>
      </c>
      <c r="P55" s="2" t="s">
        <v>12585</v>
      </c>
      <c r="Q55" t="s">
        <v>9710</v>
      </c>
      <c r="R55">
        <v>0</v>
      </c>
    </row>
    <row r="56" spans="1:18" x14ac:dyDescent="0.25">
      <c r="A56" t="s">
        <v>10754</v>
      </c>
      <c r="C56" t="str">
        <f t="shared" si="0"/>
        <v>sz</v>
      </c>
      <c r="D56" t="str">
        <f t="shared" si="1"/>
        <v>sz002024</v>
      </c>
      <c r="E56" t="str">
        <f>VLOOKUP(A56,Table!B:C,2,0)</f>
        <v>苏宁云商</v>
      </c>
      <c r="F56" t="str">
        <f>TRIM(VLOOKUP(A56,Table!B:O,14,0))</f>
        <v>商业百货</v>
      </c>
      <c r="G56" t="str">
        <f>VLOOKUP(F56,industry!A:C,2,0)</f>
        <v>百货</v>
      </c>
      <c r="H56" t="str">
        <f>VLOOKUP(F56,industry!A:C,3,0)</f>
        <v>商</v>
      </c>
      <c r="J56" s="2" t="s">
        <v>12585</v>
      </c>
      <c r="K56" t="str">
        <f t="shared" si="2"/>
        <v>sz002024</v>
      </c>
      <c r="L56" t="str">
        <f t="shared" si="3"/>
        <v>苏宁云商</v>
      </c>
      <c r="M56" t="str">
        <f t="shared" si="4"/>
        <v>百货</v>
      </c>
      <c r="N56" t="str">
        <f t="shared" si="5"/>
        <v>商</v>
      </c>
      <c r="P56" s="2" t="s">
        <v>12585</v>
      </c>
      <c r="Q56" t="s">
        <v>9753</v>
      </c>
      <c r="R56">
        <v>0</v>
      </c>
    </row>
    <row r="57" spans="1:18" x14ac:dyDescent="0.25">
      <c r="A57" t="s">
        <v>10755</v>
      </c>
      <c r="C57" t="str">
        <f t="shared" si="0"/>
        <v>sh</v>
      </c>
      <c r="D57" t="str">
        <f t="shared" si="1"/>
        <v>sh601006</v>
      </c>
      <c r="E57" t="str">
        <f>VLOOKUP(A57,Table!B:C,2,0)</f>
        <v>大秦铁路</v>
      </c>
      <c r="F57" t="str">
        <f>TRIM(VLOOKUP(A57,Table!B:O,14,0))</f>
        <v>交运物流</v>
      </c>
      <c r="G57" t="str">
        <f>VLOOKUP(F57,industry!A:C,2,0)</f>
        <v>物流</v>
      </c>
      <c r="H57" t="str">
        <f>VLOOKUP(F57,industry!A:C,3,0)</f>
        <v>物</v>
      </c>
      <c r="J57" s="2" t="s">
        <v>12585</v>
      </c>
      <c r="K57" t="str">
        <f t="shared" si="2"/>
        <v>sh601006</v>
      </c>
      <c r="L57" t="str">
        <f t="shared" si="3"/>
        <v>大秦铁路</v>
      </c>
      <c r="M57" t="str">
        <f t="shared" si="4"/>
        <v>物流</v>
      </c>
      <c r="N57" t="str">
        <f t="shared" si="5"/>
        <v>物</v>
      </c>
      <c r="P57" s="2" t="s">
        <v>12585</v>
      </c>
      <c r="Q57" t="s">
        <v>9757</v>
      </c>
      <c r="R57">
        <v>0</v>
      </c>
    </row>
    <row r="58" spans="1:18" x14ac:dyDescent="0.25">
      <c r="A58" t="s">
        <v>10756</v>
      </c>
      <c r="C58" t="str">
        <f t="shared" si="0"/>
        <v>sh</v>
      </c>
      <c r="D58" t="str">
        <f t="shared" si="1"/>
        <v>sh603288</v>
      </c>
      <c r="E58" t="str">
        <f>VLOOKUP(A58,Table!B:C,2,0)</f>
        <v>海天味业</v>
      </c>
      <c r="F58" t="str">
        <f>TRIM(VLOOKUP(A58,Table!B:O,14,0))</f>
        <v>食品饮料</v>
      </c>
      <c r="G58" t="str">
        <f>VLOOKUP(F58,industry!A:C,2,0)</f>
        <v>食品</v>
      </c>
      <c r="H58" t="str">
        <f>VLOOKUP(F58,industry!A:C,3,0)</f>
        <v>食</v>
      </c>
      <c r="J58" s="2" t="s">
        <v>12585</v>
      </c>
      <c r="K58" t="str">
        <f t="shared" si="2"/>
        <v>sh603288</v>
      </c>
      <c r="L58" t="str">
        <f t="shared" si="3"/>
        <v>海天味业</v>
      </c>
      <c r="M58" t="str">
        <f t="shared" si="4"/>
        <v>食品</v>
      </c>
      <c r="N58" t="str">
        <f t="shared" si="5"/>
        <v>食</v>
      </c>
      <c r="P58" s="2" t="s">
        <v>12585</v>
      </c>
      <c r="Q58" t="s">
        <v>9797</v>
      </c>
      <c r="R58">
        <v>0</v>
      </c>
    </row>
    <row r="59" spans="1:18" x14ac:dyDescent="0.25">
      <c r="A59" t="s">
        <v>10757</v>
      </c>
      <c r="C59" t="str">
        <f t="shared" si="0"/>
        <v>sz</v>
      </c>
      <c r="D59" t="str">
        <f t="shared" si="1"/>
        <v>sz002027</v>
      </c>
      <c r="E59" t="str">
        <f>VLOOKUP(A59,Table!B:C,2,0)</f>
        <v>分众传媒</v>
      </c>
      <c r="F59" t="str">
        <f>TRIM(VLOOKUP(A59,Table!B:O,14,0))</f>
        <v>电子信息</v>
      </c>
      <c r="G59" t="str">
        <f>VLOOKUP(F59,industry!A:C,2,0)</f>
        <v>信息</v>
      </c>
      <c r="H59" t="str">
        <f>VLOOKUP(F59,industry!A:C,3,0)</f>
        <v>咨</v>
      </c>
      <c r="J59" s="2" t="s">
        <v>12585</v>
      </c>
      <c r="K59" t="str">
        <f t="shared" si="2"/>
        <v>sz002027</v>
      </c>
      <c r="L59" t="str">
        <f t="shared" si="3"/>
        <v>分众传媒</v>
      </c>
      <c r="M59" t="str">
        <f t="shared" si="4"/>
        <v>信息</v>
      </c>
      <c r="N59" t="str">
        <f t="shared" si="5"/>
        <v>咨</v>
      </c>
      <c r="P59" s="2" t="s">
        <v>12585</v>
      </c>
      <c r="Q59" t="s">
        <v>9690</v>
      </c>
      <c r="R59">
        <v>0</v>
      </c>
    </row>
    <row r="60" spans="1:18" x14ac:dyDescent="0.25">
      <c r="A60" t="s">
        <v>10758</v>
      </c>
      <c r="C60" t="str">
        <f t="shared" si="0"/>
        <v>sh</v>
      </c>
      <c r="D60" t="str">
        <f t="shared" si="1"/>
        <v>sh600585</v>
      </c>
      <c r="E60" t="str">
        <f>VLOOKUP(A60,Table!B:C,2,0)</f>
        <v>海螺水泥</v>
      </c>
      <c r="F60" t="str">
        <f>TRIM(VLOOKUP(A60,Table!B:O,14,0))</f>
        <v>水泥建材</v>
      </c>
      <c r="G60" t="str">
        <f>VLOOKUP(F60,industry!A:C,2,0)</f>
        <v>水泥</v>
      </c>
      <c r="H60" t="str">
        <f>VLOOKUP(F60,industry!A:C,3,0)</f>
        <v>泥</v>
      </c>
      <c r="J60" s="2" t="s">
        <v>12585</v>
      </c>
      <c r="K60" t="str">
        <f t="shared" si="2"/>
        <v>sh600585</v>
      </c>
      <c r="L60" t="str">
        <f t="shared" si="3"/>
        <v>海螺水泥</v>
      </c>
      <c r="M60" t="str">
        <f t="shared" si="4"/>
        <v>水泥</v>
      </c>
      <c r="N60" t="str">
        <f t="shared" si="5"/>
        <v>泥</v>
      </c>
      <c r="P60" s="2" t="s">
        <v>12585</v>
      </c>
      <c r="Q60" t="s">
        <v>9781</v>
      </c>
      <c r="R60">
        <v>0</v>
      </c>
    </row>
    <row r="61" spans="1:18" x14ac:dyDescent="0.25">
      <c r="A61" t="s">
        <v>10759</v>
      </c>
      <c r="C61" t="str">
        <f t="shared" si="0"/>
        <v>sh</v>
      </c>
      <c r="D61" t="str">
        <f t="shared" si="1"/>
        <v>sh601111</v>
      </c>
      <c r="E61" t="str">
        <f>VLOOKUP(A61,Table!B:C,2,0)</f>
        <v>中国国航</v>
      </c>
      <c r="F61" t="str">
        <f>TRIM(VLOOKUP(A61,Table!B:O,14,0))</f>
        <v>民航机场</v>
      </c>
      <c r="G61" t="str">
        <f>VLOOKUP(F61,industry!A:C,2,0)</f>
        <v>民航</v>
      </c>
      <c r="H61" t="str">
        <f>VLOOKUP(F61,industry!A:C,3,0)</f>
        <v>飞</v>
      </c>
      <c r="J61" s="2" t="s">
        <v>12585</v>
      </c>
      <c r="K61" t="str">
        <f t="shared" si="2"/>
        <v>sh601111</v>
      </c>
      <c r="L61" t="str">
        <f t="shared" si="3"/>
        <v>中国国航</v>
      </c>
      <c r="M61" t="str">
        <f t="shared" si="4"/>
        <v>民航</v>
      </c>
      <c r="N61" t="str">
        <f t="shared" si="5"/>
        <v>飞</v>
      </c>
      <c r="P61" s="2" t="s">
        <v>12585</v>
      </c>
      <c r="Q61" t="s">
        <v>9763</v>
      </c>
      <c r="R61">
        <v>0</v>
      </c>
    </row>
    <row r="62" spans="1:18" x14ac:dyDescent="0.25">
      <c r="A62" t="s">
        <v>10760</v>
      </c>
      <c r="C62" t="str">
        <f t="shared" si="0"/>
        <v>sz</v>
      </c>
      <c r="D62" t="str">
        <f t="shared" si="1"/>
        <v>sz000063</v>
      </c>
      <c r="E62" t="str">
        <f>VLOOKUP(A62,Table!B:C,2,0)</f>
        <v>中兴通讯</v>
      </c>
      <c r="F62" t="str">
        <f>TRIM(VLOOKUP(A62,Table!B:O,14,0))</f>
        <v>通讯行业</v>
      </c>
      <c r="G62" t="str">
        <f>VLOOKUP(F62,industry!A:C,2,0)</f>
        <v>通讯</v>
      </c>
      <c r="H62" t="str">
        <f>VLOOKUP(F62,industry!A:C,3,0)</f>
        <v>讯</v>
      </c>
      <c r="J62" s="2" t="s">
        <v>12585</v>
      </c>
      <c r="K62" t="str">
        <f t="shared" si="2"/>
        <v>sz000063</v>
      </c>
      <c r="L62" t="str">
        <f t="shared" si="3"/>
        <v>中兴通讯</v>
      </c>
      <c r="M62" t="str">
        <f t="shared" si="4"/>
        <v>通讯</v>
      </c>
      <c r="N62" t="str">
        <f t="shared" si="5"/>
        <v>讯</v>
      </c>
      <c r="P62" s="2" t="s">
        <v>12585</v>
      </c>
      <c r="Q62" t="s">
        <v>9855</v>
      </c>
      <c r="R62">
        <v>0</v>
      </c>
    </row>
    <row r="63" spans="1:18" x14ac:dyDescent="0.25">
      <c r="A63" t="s">
        <v>10761</v>
      </c>
      <c r="C63" t="str">
        <f t="shared" si="0"/>
        <v>sh</v>
      </c>
      <c r="D63" t="str">
        <f t="shared" si="1"/>
        <v>sh600048</v>
      </c>
      <c r="E63" t="str">
        <f>VLOOKUP(A63,Table!B:C,2,0)</f>
        <v>保利地产</v>
      </c>
      <c r="F63" t="str">
        <f>TRIM(VLOOKUP(A63,Table!B:O,14,0))</f>
        <v>房地产</v>
      </c>
      <c r="G63" t="str">
        <f>VLOOKUP(F63,industry!A:C,2,0)</f>
        <v>房产</v>
      </c>
      <c r="H63" t="str">
        <f>VLOOKUP(F63,industry!A:C,3,0)</f>
        <v>产</v>
      </c>
      <c r="J63" s="2" t="s">
        <v>12585</v>
      </c>
      <c r="K63" t="str">
        <f t="shared" si="2"/>
        <v>sh600048</v>
      </c>
      <c r="L63" t="str">
        <f t="shared" si="3"/>
        <v>保利地产</v>
      </c>
      <c r="M63" t="str">
        <f t="shared" si="4"/>
        <v>房产</v>
      </c>
      <c r="N63" t="str">
        <f t="shared" si="5"/>
        <v>产</v>
      </c>
      <c r="P63" s="2" t="s">
        <v>12585</v>
      </c>
      <c r="Q63" t="s">
        <v>9732</v>
      </c>
      <c r="R63">
        <v>0</v>
      </c>
    </row>
    <row r="64" spans="1:18" x14ac:dyDescent="0.25">
      <c r="A64" t="s">
        <v>10762</v>
      </c>
      <c r="C64" t="str">
        <f t="shared" si="0"/>
        <v>sh</v>
      </c>
      <c r="D64" t="str">
        <f t="shared" si="1"/>
        <v>sh600010</v>
      </c>
      <c r="E64" t="str">
        <f>VLOOKUP(A64,Table!B:C,2,0)</f>
        <v>包钢股份</v>
      </c>
      <c r="F64" t="str">
        <f>TRIM(VLOOKUP(A64,Table!B:O,14,0))</f>
        <v>钢铁行业</v>
      </c>
      <c r="G64" t="str">
        <f>VLOOKUP(F64,industry!A:C,2,0)</f>
        <v>钢铁</v>
      </c>
      <c r="H64" t="str">
        <f>VLOOKUP(F64,industry!A:C,3,0)</f>
        <v>钢</v>
      </c>
      <c r="J64" s="2" t="s">
        <v>12585</v>
      </c>
      <c r="K64" t="str">
        <f t="shared" si="2"/>
        <v>sh600010</v>
      </c>
      <c r="L64" t="str">
        <f t="shared" si="3"/>
        <v>包钢股份</v>
      </c>
      <c r="M64" t="str">
        <f t="shared" si="4"/>
        <v>钢铁</v>
      </c>
      <c r="N64" t="str">
        <f t="shared" si="5"/>
        <v>钢</v>
      </c>
      <c r="P64" s="2" t="s">
        <v>12585</v>
      </c>
      <c r="Q64" t="s">
        <v>9777</v>
      </c>
      <c r="R64">
        <v>0</v>
      </c>
    </row>
    <row r="65" spans="1:18" x14ac:dyDescent="0.25">
      <c r="A65" t="s">
        <v>10763</v>
      </c>
      <c r="C65" t="str">
        <f t="shared" si="0"/>
        <v>sh</v>
      </c>
      <c r="D65" t="str">
        <f t="shared" si="1"/>
        <v>sh601669</v>
      </c>
      <c r="E65" t="str">
        <f>VLOOKUP(A65,Table!B:C,2,0)</f>
        <v>中国电建</v>
      </c>
      <c r="F65" t="str">
        <f>TRIM(VLOOKUP(A65,Table!B:O,14,0))</f>
        <v>工程建设</v>
      </c>
      <c r="G65" t="str">
        <f>VLOOKUP(F65,industry!A:C,2,0)</f>
        <v>工建</v>
      </c>
      <c r="H65" t="str">
        <f>VLOOKUP(F65,industry!A:C,3,0)</f>
        <v>建</v>
      </c>
      <c r="J65" s="2" t="s">
        <v>12585</v>
      </c>
      <c r="K65" t="str">
        <f t="shared" si="2"/>
        <v>sh601669</v>
      </c>
      <c r="L65" t="str">
        <f t="shared" si="3"/>
        <v>中国电建</v>
      </c>
      <c r="M65" t="str">
        <f t="shared" si="4"/>
        <v>工建</v>
      </c>
      <c r="N65" t="str">
        <f t="shared" si="5"/>
        <v>建</v>
      </c>
      <c r="P65" s="2" t="s">
        <v>12585</v>
      </c>
      <c r="Q65" t="s">
        <v>9769</v>
      </c>
      <c r="R65">
        <v>0</v>
      </c>
    </row>
    <row r="66" spans="1:18" x14ac:dyDescent="0.25">
      <c r="A66" t="s">
        <v>10764</v>
      </c>
      <c r="C66" t="str">
        <f t="shared" si="0"/>
        <v>sh</v>
      </c>
      <c r="D66" t="str">
        <f t="shared" si="1"/>
        <v>sh601600</v>
      </c>
      <c r="E66" t="str">
        <f>VLOOKUP(A66,Table!B:C,2,0)</f>
        <v>中国铝业</v>
      </c>
      <c r="F66" t="str">
        <f>TRIM(VLOOKUP(A66,Table!B:O,14,0))</f>
        <v>有色金属</v>
      </c>
      <c r="G66" t="str">
        <f>VLOOKUP(F66,industry!A:C,2,0)</f>
        <v>有色</v>
      </c>
      <c r="H66" t="str">
        <f>VLOOKUP(F66,industry!A:C,3,0)</f>
        <v>色</v>
      </c>
      <c r="J66" s="2" t="s">
        <v>12585</v>
      </c>
      <c r="K66" t="str">
        <f t="shared" si="2"/>
        <v>sh601600</v>
      </c>
      <c r="L66" t="str">
        <f t="shared" si="3"/>
        <v>中国铝业</v>
      </c>
      <c r="M66" t="str">
        <f t="shared" si="4"/>
        <v>有色</v>
      </c>
      <c r="N66" t="str">
        <f t="shared" si="5"/>
        <v>色</v>
      </c>
      <c r="P66" s="2" t="s">
        <v>12585</v>
      </c>
      <c r="Q66" t="s">
        <v>9893</v>
      </c>
      <c r="R66">
        <v>0</v>
      </c>
    </row>
    <row r="67" spans="1:18" x14ac:dyDescent="0.25">
      <c r="A67" t="s">
        <v>10765</v>
      </c>
      <c r="C67" t="str">
        <f t="shared" ref="C67:C130" si="6">IF(LEFT(A67,1)="6","sh","sz")</f>
        <v>sz</v>
      </c>
      <c r="D67" t="str">
        <f t="shared" ref="D67:D130" si="7">C67 &amp; A67</f>
        <v>sz300498</v>
      </c>
      <c r="E67" t="str">
        <f>VLOOKUP(A67,Table!B:C,2,0)</f>
        <v>温氏股份</v>
      </c>
      <c r="F67" t="str">
        <f>TRIM(VLOOKUP(A67,Table!B:O,14,0))</f>
        <v>农牧饲渔</v>
      </c>
      <c r="G67" t="str">
        <f>VLOOKUP(F67,industry!A:C,2,0)</f>
        <v>农渔</v>
      </c>
      <c r="H67" t="str">
        <f>VLOOKUP(F67,industry!A:C,3,0)</f>
        <v>渔</v>
      </c>
      <c r="J67" s="2" t="s">
        <v>12585</v>
      </c>
      <c r="K67" t="str">
        <f t="shared" ref="K67:K130" si="8">D67</f>
        <v>sz300498</v>
      </c>
      <c r="L67" t="str">
        <f t="shared" ref="L67:L130" si="9">E67</f>
        <v>温氏股份</v>
      </c>
      <c r="M67" t="str">
        <f t="shared" ref="M67:M130" si="10">G67</f>
        <v>农渔</v>
      </c>
      <c r="N67" t="str">
        <f t="shared" ref="N67:N130" si="11">H67</f>
        <v>渔</v>
      </c>
      <c r="P67" s="2" t="s">
        <v>12585</v>
      </c>
      <c r="Q67" t="s">
        <v>9674</v>
      </c>
      <c r="R67">
        <v>0</v>
      </c>
    </row>
    <row r="68" spans="1:18" x14ac:dyDescent="0.25">
      <c r="A68" t="s">
        <v>10766</v>
      </c>
      <c r="C68" t="str">
        <f t="shared" si="6"/>
        <v>sh</v>
      </c>
      <c r="D68" t="str">
        <f t="shared" si="7"/>
        <v>sh600015</v>
      </c>
      <c r="E68" t="str">
        <f>VLOOKUP(A68,Table!B:C,2,0)</f>
        <v>华夏银行</v>
      </c>
      <c r="F68" t="str">
        <f>TRIM(VLOOKUP(A68,Table!B:O,14,0))</f>
        <v>银行</v>
      </c>
      <c r="G68" t="str">
        <f>VLOOKUP(F68,industry!A:C,2,0)</f>
        <v>银行</v>
      </c>
      <c r="H68" t="str">
        <f>VLOOKUP(F68,industry!A:C,3,0)</f>
        <v>银</v>
      </c>
      <c r="J68" s="2" t="s">
        <v>12585</v>
      </c>
      <c r="K68" t="str">
        <f t="shared" si="8"/>
        <v>sh600015</v>
      </c>
      <c r="L68" t="str">
        <f t="shared" si="9"/>
        <v>华夏银行</v>
      </c>
      <c r="M68" t="str">
        <f t="shared" si="10"/>
        <v>银行</v>
      </c>
      <c r="N68" t="str">
        <f t="shared" si="11"/>
        <v>银</v>
      </c>
      <c r="P68" s="2" t="s">
        <v>12585</v>
      </c>
      <c r="Q68" t="s">
        <v>9726</v>
      </c>
      <c r="R68">
        <v>0</v>
      </c>
    </row>
    <row r="69" spans="1:18" x14ac:dyDescent="0.25">
      <c r="A69" t="s">
        <v>10767</v>
      </c>
      <c r="C69" t="str">
        <f t="shared" si="6"/>
        <v>sh</v>
      </c>
      <c r="D69" t="str">
        <f t="shared" si="7"/>
        <v>sh601989</v>
      </c>
      <c r="E69" t="str">
        <f>VLOOKUP(A69,Table!B:C,2,0)</f>
        <v>中国重工</v>
      </c>
      <c r="F69" t="str">
        <f>TRIM(VLOOKUP(A69,Table!B:O,14,0))</f>
        <v>船舶制造</v>
      </c>
      <c r="G69" t="str">
        <f>VLOOKUP(F69,industry!A:C,2,0)</f>
        <v>船舶</v>
      </c>
      <c r="H69" t="str">
        <f>VLOOKUP(F69,industry!A:C,3,0)</f>
        <v>船</v>
      </c>
      <c r="J69" s="2" t="s">
        <v>12585</v>
      </c>
      <c r="K69" t="str">
        <f t="shared" si="8"/>
        <v>sh601989</v>
      </c>
      <c r="L69" t="str">
        <f t="shared" si="9"/>
        <v>中国重工</v>
      </c>
      <c r="M69" t="str">
        <f t="shared" si="10"/>
        <v>船舶</v>
      </c>
      <c r="N69" t="str">
        <f t="shared" si="11"/>
        <v>船</v>
      </c>
      <c r="P69" s="2" t="s">
        <v>12585</v>
      </c>
      <c r="Q69" t="s">
        <v>9712</v>
      </c>
      <c r="R69">
        <v>0</v>
      </c>
    </row>
    <row r="70" spans="1:18" x14ac:dyDescent="0.25">
      <c r="A70" t="s">
        <v>10768</v>
      </c>
      <c r="C70" t="str">
        <f t="shared" si="6"/>
        <v>sz</v>
      </c>
      <c r="D70" t="str">
        <f t="shared" si="7"/>
        <v>sz000166</v>
      </c>
      <c r="E70" t="str">
        <f>VLOOKUP(A70,Table!B:C,2,0)</f>
        <v>申万宏源</v>
      </c>
      <c r="F70" t="str">
        <f>TRIM(VLOOKUP(A70,Table!B:O,14,0))</f>
        <v>券商信托</v>
      </c>
      <c r="G70" t="str">
        <f>VLOOKUP(F70,industry!A:C,2,0)</f>
        <v>券商</v>
      </c>
      <c r="H70" t="str">
        <f>VLOOKUP(F70,industry!A:C,3,0)</f>
        <v>券</v>
      </c>
      <c r="J70" s="2" t="s">
        <v>12585</v>
      </c>
      <c r="K70" t="str">
        <f t="shared" si="8"/>
        <v>sz000166</v>
      </c>
      <c r="L70" t="str">
        <f t="shared" si="9"/>
        <v>申万宏源</v>
      </c>
      <c r="M70" t="str">
        <f t="shared" si="10"/>
        <v>券商</v>
      </c>
      <c r="N70" t="str">
        <f t="shared" si="11"/>
        <v>券</v>
      </c>
      <c r="P70" s="2" t="s">
        <v>12585</v>
      </c>
      <c r="Q70" t="s">
        <v>9708</v>
      </c>
      <c r="R70">
        <v>0</v>
      </c>
    </row>
    <row r="71" spans="1:18" x14ac:dyDescent="0.25">
      <c r="A71" t="s">
        <v>10769</v>
      </c>
      <c r="C71" t="str">
        <f t="shared" si="6"/>
        <v>sh</v>
      </c>
      <c r="D71" t="str">
        <f t="shared" si="7"/>
        <v>sh601985</v>
      </c>
      <c r="E71" t="str">
        <f>VLOOKUP(A71,Table!B:C,2,0)</f>
        <v>中国核电</v>
      </c>
      <c r="F71" t="str">
        <f>TRIM(VLOOKUP(A71,Table!B:O,14,0))</f>
        <v>机械行业</v>
      </c>
      <c r="G71" t="str">
        <f>VLOOKUP(F71,industry!A:C,2,0)</f>
        <v>机械</v>
      </c>
      <c r="H71" t="str">
        <f>VLOOKUP(F71,industry!A:C,3,0)</f>
        <v>械</v>
      </c>
      <c r="J71" s="2" t="s">
        <v>12585</v>
      </c>
      <c r="K71" t="str">
        <f t="shared" si="8"/>
        <v>sh601985</v>
      </c>
      <c r="L71" t="str">
        <f t="shared" si="9"/>
        <v>中国核电</v>
      </c>
      <c r="M71" t="str">
        <f t="shared" si="10"/>
        <v>机械</v>
      </c>
      <c r="N71" t="str">
        <f t="shared" si="11"/>
        <v>械</v>
      </c>
      <c r="P71" s="2" t="s">
        <v>12585</v>
      </c>
      <c r="Q71" t="s">
        <v>9747</v>
      </c>
      <c r="R71">
        <v>0</v>
      </c>
    </row>
    <row r="72" spans="1:18" x14ac:dyDescent="0.25">
      <c r="A72" t="s">
        <v>10770</v>
      </c>
      <c r="C72" t="str">
        <f t="shared" si="6"/>
        <v>sz</v>
      </c>
      <c r="D72" t="str">
        <f t="shared" si="7"/>
        <v>sz002736</v>
      </c>
      <c r="E72" t="str">
        <f>VLOOKUP(A72,Table!B:C,2,0)</f>
        <v>国信证券</v>
      </c>
      <c r="F72" t="str">
        <f>TRIM(VLOOKUP(A72,Table!B:O,14,0))</f>
        <v>券商信托</v>
      </c>
      <c r="G72" t="str">
        <f>VLOOKUP(F72,industry!A:C,2,0)</f>
        <v>券商</v>
      </c>
      <c r="H72" t="str">
        <f>VLOOKUP(F72,industry!A:C,3,0)</f>
        <v>券</v>
      </c>
      <c r="J72" s="2" t="s">
        <v>12585</v>
      </c>
      <c r="K72" t="str">
        <f t="shared" si="8"/>
        <v>sz002736</v>
      </c>
      <c r="L72" t="str">
        <f t="shared" si="9"/>
        <v>国信证券</v>
      </c>
      <c r="M72" t="str">
        <f t="shared" si="10"/>
        <v>券商</v>
      </c>
      <c r="N72" t="str">
        <f t="shared" si="11"/>
        <v>券</v>
      </c>
      <c r="P72" s="2" t="s">
        <v>12585</v>
      </c>
      <c r="Q72" t="s">
        <v>9696</v>
      </c>
      <c r="R72">
        <v>0</v>
      </c>
    </row>
    <row r="73" spans="1:18" x14ac:dyDescent="0.25">
      <c r="A73" t="s">
        <v>10771</v>
      </c>
      <c r="C73" t="str">
        <f t="shared" si="6"/>
        <v>sh</v>
      </c>
      <c r="D73" t="str">
        <f t="shared" si="7"/>
        <v>sh600309</v>
      </c>
      <c r="E73" t="str">
        <f>VLOOKUP(A73,Table!B:C,2,0)</f>
        <v>万华化学</v>
      </c>
      <c r="F73" t="str">
        <f>TRIM(VLOOKUP(A73,Table!B:O,14,0))</f>
        <v>化工行业</v>
      </c>
      <c r="G73" t="str">
        <f>VLOOKUP(F73,industry!A:C,2,0)</f>
        <v>化工</v>
      </c>
      <c r="H73" t="str">
        <f>VLOOKUP(F73,industry!A:C,3,0)</f>
        <v>化</v>
      </c>
      <c r="J73" s="2" t="s">
        <v>12585</v>
      </c>
      <c r="K73" t="str">
        <f t="shared" si="8"/>
        <v>sh600309</v>
      </c>
      <c r="L73" t="str">
        <f t="shared" si="9"/>
        <v>万华化学</v>
      </c>
      <c r="M73" t="str">
        <f t="shared" si="10"/>
        <v>化工</v>
      </c>
      <c r="N73" t="str">
        <f t="shared" si="11"/>
        <v>化</v>
      </c>
      <c r="P73" s="2" t="s">
        <v>12585</v>
      </c>
      <c r="Q73" t="s">
        <v>9969</v>
      </c>
      <c r="R73">
        <v>0</v>
      </c>
    </row>
    <row r="74" spans="1:18" x14ac:dyDescent="0.25">
      <c r="A74" t="s">
        <v>10772</v>
      </c>
      <c r="C74" t="str">
        <f t="shared" si="6"/>
        <v>sh</v>
      </c>
      <c r="D74" t="str">
        <f t="shared" si="7"/>
        <v>sh601633</v>
      </c>
      <c r="E74" t="str">
        <f>VLOOKUP(A74,Table!B:C,2,0)</f>
        <v>长城汽车</v>
      </c>
      <c r="F74" t="str">
        <f>TRIM(VLOOKUP(A74,Table!B:O,14,0))</f>
        <v>汽车行业</v>
      </c>
      <c r="G74" t="str">
        <f>VLOOKUP(F74,industry!A:C,2,0)</f>
        <v>汽车</v>
      </c>
      <c r="H74" t="str">
        <f>VLOOKUP(F74,industry!A:C,3,0)</f>
        <v>车</v>
      </c>
      <c r="J74" s="2" t="s">
        <v>12585</v>
      </c>
      <c r="K74" t="str">
        <f t="shared" si="8"/>
        <v>sh601633</v>
      </c>
      <c r="L74" t="str">
        <f t="shared" si="9"/>
        <v>长城汽车</v>
      </c>
      <c r="M74" t="str">
        <f t="shared" si="10"/>
        <v>汽车</v>
      </c>
      <c r="N74" t="str">
        <f t="shared" si="11"/>
        <v>车</v>
      </c>
      <c r="P74" s="2" t="s">
        <v>12585</v>
      </c>
      <c r="Q74" t="s">
        <v>9767</v>
      </c>
      <c r="R74">
        <v>0</v>
      </c>
    </row>
    <row r="75" spans="1:18" x14ac:dyDescent="0.25">
      <c r="A75" t="s">
        <v>10773</v>
      </c>
      <c r="C75" t="str">
        <f t="shared" si="6"/>
        <v>sh</v>
      </c>
      <c r="D75" t="str">
        <f t="shared" si="7"/>
        <v>sh601727</v>
      </c>
      <c r="E75" t="str">
        <f>VLOOKUP(A75,Table!B:C,2,0)</f>
        <v>上海电气</v>
      </c>
      <c r="F75" t="str">
        <f>TRIM(VLOOKUP(A75,Table!B:O,14,0))</f>
        <v>输配电气</v>
      </c>
      <c r="G75" t="str">
        <f>VLOOKUP(F75,industry!A:C,2,0)</f>
        <v>配电</v>
      </c>
      <c r="H75" t="str">
        <f>VLOOKUP(F75,industry!A:C,3,0)</f>
        <v>输电</v>
      </c>
      <c r="J75" s="2" t="s">
        <v>12585</v>
      </c>
      <c r="K75" t="str">
        <f t="shared" si="8"/>
        <v>sh601727</v>
      </c>
      <c r="L75" t="str">
        <f t="shared" si="9"/>
        <v>上海电气</v>
      </c>
      <c r="M75" t="str">
        <f t="shared" si="10"/>
        <v>配电</v>
      </c>
      <c r="N75" t="str">
        <f t="shared" si="11"/>
        <v>输电</v>
      </c>
      <c r="P75" s="2" t="s">
        <v>12585</v>
      </c>
      <c r="Q75" t="s">
        <v>9722</v>
      </c>
      <c r="R75">
        <v>0</v>
      </c>
    </row>
    <row r="76" spans="1:18" x14ac:dyDescent="0.25">
      <c r="A76" t="s">
        <v>10774</v>
      </c>
      <c r="C76" t="str">
        <f t="shared" si="6"/>
        <v>sh</v>
      </c>
      <c r="D76" t="str">
        <f t="shared" si="7"/>
        <v>sh601618</v>
      </c>
      <c r="E76" t="str">
        <f>VLOOKUP(A76,Table!B:C,2,0)</f>
        <v>中国中冶</v>
      </c>
      <c r="F76" t="str">
        <f>TRIM(VLOOKUP(A76,Table!B:O,14,0))</f>
        <v>工程建设</v>
      </c>
      <c r="G76" t="str">
        <f>VLOOKUP(F76,industry!A:C,2,0)</f>
        <v>工建</v>
      </c>
      <c r="H76" t="str">
        <f>VLOOKUP(F76,industry!A:C,3,0)</f>
        <v>建</v>
      </c>
      <c r="J76" s="2" t="s">
        <v>12585</v>
      </c>
      <c r="K76" t="str">
        <f t="shared" si="8"/>
        <v>sh601618</v>
      </c>
      <c r="L76" t="str">
        <f t="shared" si="9"/>
        <v>中国中冶</v>
      </c>
      <c r="M76" t="str">
        <f t="shared" si="10"/>
        <v>工建</v>
      </c>
      <c r="N76" t="str">
        <f t="shared" si="11"/>
        <v>建</v>
      </c>
      <c r="P76" s="2" t="s">
        <v>12585</v>
      </c>
      <c r="Q76" t="s">
        <v>9807</v>
      </c>
      <c r="R76">
        <v>0</v>
      </c>
    </row>
    <row r="77" spans="1:18" x14ac:dyDescent="0.25">
      <c r="A77" t="s">
        <v>10775</v>
      </c>
      <c r="C77" t="str">
        <f t="shared" si="6"/>
        <v>sh</v>
      </c>
      <c r="D77" t="str">
        <f t="shared" si="7"/>
        <v>sh600011</v>
      </c>
      <c r="E77" t="str">
        <f>VLOOKUP(A77,Table!B:C,2,0)</f>
        <v>华能国际</v>
      </c>
      <c r="F77" t="str">
        <f>TRIM(VLOOKUP(A77,Table!B:O,14,0))</f>
        <v>电力行业</v>
      </c>
      <c r="G77" t="str">
        <f>VLOOKUP(F77,industry!A:C,2,0)</f>
        <v>电力</v>
      </c>
      <c r="H77" t="str">
        <f>VLOOKUP(F77,industry!A:C,3,0)</f>
        <v>电力</v>
      </c>
      <c r="J77" s="2" t="s">
        <v>12585</v>
      </c>
      <c r="K77" t="str">
        <f t="shared" si="8"/>
        <v>sh600011</v>
      </c>
      <c r="L77" t="str">
        <f t="shared" si="9"/>
        <v>华能国际</v>
      </c>
      <c r="M77" t="str">
        <f t="shared" si="10"/>
        <v>电力</v>
      </c>
      <c r="N77" t="str">
        <f t="shared" si="11"/>
        <v>电力</v>
      </c>
      <c r="P77" s="2" t="s">
        <v>12585</v>
      </c>
      <c r="Q77" t="s">
        <v>9730</v>
      </c>
      <c r="R77">
        <v>0</v>
      </c>
    </row>
    <row r="78" spans="1:18" x14ac:dyDescent="0.25">
      <c r="A78" t="s">
        <v>10776</v>
      </c>
      <c r="C78" t="str">
        <f t="shared" si="6"/>
        <v>sz</v>
      </c>
      <c r="D78" t="str">
        <f t="shared" si="7"/>
        <v>sz000024</v>
      </c>
      <c r="E78" t="str">
        <f>VLOOKUP(A78,Table!B:C,2,0)</f>
        <v>招商地产</v>
      </c>
      <c r="F78" t="str">
        <f>TRIM(VLOOKUP(A78,Table!B:O,14,0))</f>
        <v>房地产</v>
      </c>
      <c r="G78" t="str">
        <f>VLOOKUP(F78,industry!A:C,2,0)</f>
        <v>房产</v>
      </c>
      <c r="H78" t="str">
        <f>VLOOKUP(F78,industry!A:C,3,0)</f>
        <v>产</v>
      </c>
      <c r="J78" s="2" t="s">
        <v>12585</v>
      </c>
      <c r="K78" t="str">
        <f t="shared" si="8"/>
        <v>sz000024</v>
      </c>
      <c r="L78" t="str">
        <f t="shared" si="9"/>
        <v>招商地产</v>
      </c>
      <c r="M78" t="str">
        <f t="shared" si="10"/>
        <v>房产</v>
      </c>
      <c r="N78" t="str">
        <f t="shared" si="11"/>
        <v>产</v>
      </c>
      <c r="P78" s="2" t="s">
        <v>12585</v>
      </c>
      <c r="Q78" t="s">
        <v>12590</v>
      </c>
      <c r="R78">
        <v>0</v>
      </c>
    </row>
    <row r="79" spans="1:18" x14ac:dyDescent="0.25">
      <c r="A79" t="s">
        <v>10777</v>
      </c>
      <c r="C79" t="str">
        <f t="shared" si="6"/>
        <v>sz</v>
      </c>
      <c r="D79" t="str">
        <f t="shared" si="7"/>
        <v>sz002252</v>
      </c>
      <c r="E79" t="str">
        <f>VLOOKUP(A79,Table!B:C,2,0)</f>
        <v>上海莱士</v>
      </c>
      <c r="F79" t="str">
        <f>TRIM(VLOOKUP(A79,Table!B:O,14,0))</f>
        <v>医药制造</v>
      </c>
      <c r="G79" t="str">
        <f>VLOOKUP(F79,industry!A:C,2,0)</f>
        <v>医药</v>
      </c>
      <c r="H79" t="str">
        <f>VLOOKUP(F79,industry!A:C,3,0)</f>
        <v>药</v>
      </c>
      <c r="J79" s="2" t="s">
        <v>12585</v>
      </c>
      <c r="K79" t="str">
        <f t="shared" si="8"/>
        <v>sz002252</v>
      </c>
      <c r="L79" t="str">
        <f t="shared" si="9"/>
        <v>上海莱士</v>
      </c>
      <c r="M79" t="str">
        <f t="shared" si="10"/>
        <v>医药</v>
      </c>
      <c r="N79" t="str">
        <f t="shared" si="11"/>
        <v>药</v>
      </c>
      <c r="P79" s="2" t="s">
        <v>12585</v>
      </c>
      <c r="Q79" t="s">
        <v>9741</v>
      </c>
      <c r="R79">
        <v>0</v>
      </c>
    </row>
    <row r="80" spans="1:18" x14ac:dyDescent="0.25">
      <c r="A80" t="s">
        <v>10778</v>
      </c>
      <c r="C80" t="str">
        <f t="shared" si="6"/>
        <v>sh</v>
      </c>
      <c r="D80" t="str">
        <f t="shared" si="7"/>
        <v>sh600518</v>
      </c>
      <c r="E80" t="str">
        <f>VLOOKUP(A80,Table!B:C,2,0)</f>
        <v>康美药业</v>
      </c>
      <c r="F80" t="str">
        <f>TRIM(VLOOKUP(A80,Table!B:O,14,0))</f>
        <v>医药制造</v>
      </c>
      <c r="G80" t="str">
        <f>VLOOKUP(F80,industry!A:C,2,0)</f>
        <v>医药</v>
      </c>
      <c r="H80" t="str">
        <f>VLOOKUP(F80,industry!A:C,3,0)</f>
        <v>药</v>
      </c>
      <c r="J80" s="2" t="s">
        <v>12585</v>
      </c>
      <c r="K80" t="str">
        <f t="shared" si="8"/>
        <v>sh600518</v>
      </c>
      <c r="L80" t="str">
        <f t="shared" si="9"/>
        <v>康美药业</v>
      </c>
      <c r="M80" t="str">
        <f t="shared" si="10"/>
        <v>医药</v>
      </c>
      <c r="N80" t="str">
        <f t="shared" si="11"/>
        <v>药</v>
      </c>
      <c r="P80" s="2" t="s">
        <v>12585</v>
      </c>
      <c r="Q80" t="s">
        <v>9795</v>
      </c>
      <c r="R80">
        <v>0</v>
      </c>
    </row>
    <row r="81" spans="1:18" x14ac:dyDescent="0.25">
      <c r="A81" t="s">
        <v>10779</v>
      </c>
      <c r="C81" t="str">
        <f t="shared" si="6"/>
        <v>sh</v>
      </c>
      <c r="D81" t="str">
        <f t="shared" si="7"/>
        <v>sh600958</v>
      </c>
      <c r="E81" t="str">
        <f>VLOOKUP(A81,Table!B:C,2,0)</f>
        <v>东方证券</v>
      </c>
      <c r="F81" t="str">
        <f>TRIM(VLOOKUP(A81,Table!B:O,14,0))</f>
        <v>券商信托</v>
      </c>
      <c r="G81" t="str">
        <f>VLOOKUP(F81,industry!A:C,2,0)</f>
        <v>券商</v>
      </c>
      <c r="H81" t="str">
        <f>VLOOKUP(F81,industry!A:C,3,0)</f>
        <v>券</v>
      </c>
      <c r="J81" s="2" t="s">
        <v>12585</v>
      </c>
      <c r="K81" t="str">
        <f t="shared" si="8"/>
        <v>sh600958</v>
      </c>
      <c r="L81" t="str">
        <f t="shared" si="9"/>
        <v>东方证券</v>
      </c>
      <c r="M81" t="str">
        <f t="shared" si="10"/>
        <v>券商</v>
      </c>
      <c r="N81" t="str">
        <f t="shared" si="11"/>
        <v>券</v>
      </c>
      <c r="P81" s="2" t="s">
        <v>12585</v>
      </c>
      <c r="Q81" t="s">
        <v>9761</v>
      </c>
      <c r="R81">
        <v>0</v>
      </c>
    </row>
    <row r="82" spans="1:18" x14ac:dyDescent="0.25">
      <c r="A82" t="s">
        <v>10780</v>
      </c>
      <c r="C82" t="str">
        <f t="shared" si="6"/>
        <v>sh</v>
      </c>
      <c r="D82" t="str">
        <f t="shared" si="7"/>
        <v>sh600115</v>
      </c>
      <c r="E82" t="str">
        <f>VLOOKUP(A82,Table!B:C,2,0)</f>
        <v>东方航空</v>
      </c>
      <c r="F82" t="str">
        <f>TRIM(VLOOKUP(A82,Table!B:O,14,0))</f>
        <v>民航机场</v>
      </c>
      <c r="G82" t="str">
        <f>VLOOKUP(F82,industry!A:C,2,0)</f>
        <v>民航</v>
      </c>
      <c r="H82" t="str">
        <f>VLOOKUP(F82,industry!A:C,3,0)</f>
        <v>飞</v>
      </c>
      <c r="J82" s="2" t="s">
        <v>12585</v>
      </c>
      <c r="K82" t="str">
        <f t="shared" si="8"/>
        <v>sh600115</v>
      </c>
      <c r="L82" t="str">
        <f t="shared" si="9"/>
        <v>东方航空</v>
      </c>
      <c r="M82" t="str">
        <f t="shared" si="10"/>
        <v>民航</v>
      </c>
      <c r="N82" t="str">
        <f t="shared" si="11"/>
        <v>飞</v>
      </c>
      <c r="P82" s="2" t="s">
        <v>12585</v>
      </c>
      <c r="Q82" t="s">
        <v>9779</v>
      </c>
      <c r="R82">
        <v>0</v>
      </c>
    </row>
    <row r="83" spans="1:18" x14ac:dyDescent="0.25">
      <c r="A83" t="s">
        <v>10781</v>
      </c>
      <c r="C83" t="str">
        <f t="shared" si="6"/>
        <v>sh</v>
      </c>
      <c r="D83" t="str">
        <f t="shared" si="7"/>
        <v>sh600690</v>
      </c>
      <c r="E83" t="str">
        <f>VLOOKUP(A83,Table!B:C,2,0)</f>
        <v>青岛海尔</v>
      </c>
      <c r="F83" t="str">
        <f>TRIM(VLOOKUP(A83,Table!B:O,14,0))</f>
        <v>家电行业</v>
      </c>
      <c r="G83" t="str">
        <f>VLOOKUP(F83,industry!A:C,2,0)</f>
        <v>家电</v>
      </c>
      <c r="H83" t="str">
        <f>VLOOKUP(F83,industry!A:C,3,0)</f>
        <v>家</v>
      </c>
      <c r="J83" s="2" t="s">
        <v>12585</v>
      </c>
      <c r="K83" t="str">
        <f t="shared" si="8"/>
        <v>sh600690</v>
      </c>
      <c r="L83" t="str">
        <f t="shared" si="9"/>
        <v>青岛海尔</v>
      </c>
      <c r="M83" t="str">
        <f t="shared" si="10"/>
        <v>家电</v>
      </c>
      <c r="N83" t="str">
        <f t="shared" si="11"/>
        <v>家</v>
      </c>
      <c r="P83" s="2" t="s">
        <v>12585</v>
      </c>
      <c r="Q83" t="s">
        <v>9875</v>
      </c>
      <c r="R83">
        <v>0</v>
      </c>
    </row>
    <row r="84" spans="1:18" x14ac:dyDescent="0.25">
      <c r="A84" t="s">
        <v>10782</v>
      </c>
      <c r="C84" t="str">
        <f t="shared" si="6"/>
        <v>sh</v>
      </c>
      <c r="D84" t="str">
        <f t="shared" si="7"/>
        <v>sh600919</v>
      </c>
      <c r="E84" t="str">
        <f>VLOOKUP(A84,Table!B:C,2,0)</f>
        <v>江苏银行</v>
      </c>
      <c r="F84" t="str">
        <f>TRIM(VLOOKUP(A84,Table!B:O,14,0))</f>
        <v>银行</v>
      </c>
      <c r="G84" t="str">
        <f>VLOOKUP(F84,industry!A:C,2,0)</f>
        <v>银行</v>
      </c>
      <c r="H84" t="str">
        <f>VLOOKUP(F84,industry!A:C,3,0)</f>
        <v>银</v>
      </c>
      <c r="J84" s="2" t="s">
        <v>12585</v>
      </c>
      <c r="K84" t="str">
        <f t="shared" si="8"/>
        <v>sh600919</v>
      </c>
      <c r="L84" t="str">
        <f t="shared" si="9"/>
        <v>江苏银行</v>
      </c>
      <c r="M84" t="str">
        <f t="shared" si="10"/>
        <v>银行</v>
      </c>
      <c r="N84" t="str">
        <f t="shared" si="11"/>
        <v>银</v>
      </c>
      <c r="P84" s="2" t="s">
        <v>12585</v>
      </c>
      <c r="Q84" t="s">
        <v>9720</v>
      </c>
      <c r="R84">
        <v>0</v>
      </c>
    </row>
    <row r="85" spans="1:18" x14ac:dyDescent="0.25">
      <c r="A85" t="s">
        <v>10783</v>
      </c>
      <c r="C85" t="str">
        <f t="shared" si="6"/>
        <v>sz</v>
      </c>
      <c r="D85" t="str">
        <f t="shared" si="7"/>
        <v>sz000538</v>
      </c>
      <c r="E85" t="str">
        <f>VLOOKUP(A85,Table!B:C,2,0)</f>
        <v>云南白药</v>
      </c>
      <c r="F85" t="str">
        <f>TRIM(VLOOKUP(A85,Table!B:O,14,0))</f>
        <v>医药制造</v>
      </c>
      <c r="G85" t="str">
        <f>VLOOKUP(F85,industry!A:C,2,0)</f>
        <v>医药</v>
      </c>
      <c r="H85" t="str">
        <f>VLOOKUP(F85,industry!A:C,3,0)</f>
        <v>药</v>
      </c>
      <c r="J85" s="2" t="s">
        <v>12585</v>
      </c>
      <c r="K85" t="str">
        <f t="shared" si="8"/>
        <v>sz000538</v>
      </c>
      <c r="L85" t="str">
        <f t="shared" si="9"/>
        <v>云南白药</v>
      </c>
      <c r="M85" t="str">
        <f t="shared" si="10"/>
        <v>医药</v>
      </c>
      <c r="N85" t="str">
        <f t="shared" si="11"/>
        <v>药</v>
      </c>
      <c r="P85" s="2" t="s">
        <v>12585</v>
      </c>
      <c r="Q85" t="s">
        <v>9825</v>
      </c>
      <c r="R85">
        <v>0</v>
      </c>
    </row>
    <row r="86" spans="1:18" x14ac:dyDescent="0.25">
      <c r="A86" t="s">
        <v>10784</v>
      </c>
      <c r="C86" t="str">
        <f t="shared" si="6"/>
        <v>sh</v>
      </c>
      <c r="D86" t="str">
        <f t="shared" si="7"/>
        <v>sh600703</v>
      </c>
      <c r="E86" t="str">
        <f>VLOOKUP(A86,Table!B:C,2,0)</f>
        <v>三安光电</v>
      </c>
      <c r="F86" t="str">
        <f>TRIM(VLOOKUP(A86,Table!B:O,14,0))</f>
        <v>电子元件</v>
      </c>
      <c r="G86" t="str">
        <f>VLOOKUP(F86,industry!A:C,2,0)</f>
        <v>原件</v>
      </c>
      <c r="H86" t="str">
        <f>VLOOKUP(F86,industry!A:C,3,0)</f>
        <v>元件</v>
      </c>
      <c r="J86" s="2" t="s">
        <v>12585</v>
      </c>
      <c r="K86" t="str">
        <f t="shared" si="8"/>
        <v>sh600703</v>
      </c>
      <c r="L86" t="str">
        <f t="shared" si="9"/>
        <v>三安光电</v>
      </c>
      <c r="M86" t="str">
        <f t="shared" si="10"/>
        <v>原件</v>
      </c>
      <c r="N86" t="str">
        <f t="shared" si="11"/>
        <v>元件</v>
      </c>
      <c r="P86" s="2" t="s">
        <v>12585</v>
      </c>
      <c r="Q86" t="s">
        <v>9953</v>
      </c>
      <c r="R86">
        <v>0</v>
      </c>
    </row>
    <row r="87" spans="1:18" x14ac:dyDescent="0.25">
      <c r="A87" t="s">
        <v>10785</v>
      </c>
      <c r="C87" t="str">
        <f t="shared" si="6"/>
        <v>sh</v>
      </c>
      <c r="D87" t="str">
        <f t="shared" si="7"/>
        <v>sh600606</v>
      </c>
      <c r="E87" t="str">
        <f>VLOOKUP(A87,Table!B:C,2,0)</f>
        <v>绿地控股</v>
      </c>
      <c r="F87" t="str">
        <f>TRIM(VLOOKUP(A87,Table!B:O,14,0))</f>
        <v>房地产</v>
      </c>
      <c r="G87" t="str">
        <f>VLOOKUP(F87,industry!A:C,2,0)</f>
        <v>房产</v>
      </c>
      <c r="H87" t="str">
        <f>VLOOKUP(F87,industry!A:C,3,0)</f>
        <v>产</v>
      </c>
      <c r="J87" s="2" t="s">
        <v>12585</v>
      </c>
      <c r="K87" t="str">
        <f t="shared" si="8"/>
        <v>sh600606</v>
      </c>
      <c r="L87" t="str">
        <f t="shared" si="9"/>
        <v>绿地控股</v>
      </c>
      <c r="M87" t="str">
        <f t="shared" si="10"/>
        <v>房产</v>
      </c>
      <c r="N87" t="str">
        <f t="shared" si="11"/>
        <v>产</v>
      </c>
      <c r="P87" s="2" t="s">
        <v>12585</v>
      </c>
      <c r="Q87" t="s">
        <v>9728</v>
      </c>
      <c r="R87">
        <v>0</v>
      </c>
    </row>
    <row r="88" spans="1:18" x14ac:dyDescent="0.25">
      <c r="A88" t="s">
        <v>10786</v>
      </c>
      <c r="C88" t="str">
        <f t="shared" si="6"/>
        <v>sh</v>
      </c>
      <c r="D88" t="str">
        <f t="shared" si="7"/>
        <v>sh600340</v>
      </c>
      <c r="E88" t="str">
        <f>VLOOKUP(A88,Table!B:C,2,0)</f>
        <v>华夏幸福</v>
      </c>
      <c r="F88" t="str">
        <f>TRIM(VLOOKUP(A88,Table!B:O,14,0))</f>
        <v>房地产</v>
      </c>
      <c r="G88" t="str">
        <f>VLOOKUP(F88,industry!A:C,2,0)</f>
        <v>房产</v>
      </c>
      <c r="H88" t="str">
        <f>VLOOKUP(F88,industry!A:C,3,0)</f>
        <v>产</v>
      </c>
      <c r="J88" s="2" t="s">
        <v>12585</v>
      </c>
      <c r="K88" t="str">
        <f t="shared" si="8"/>
        <v>sh600340</v>
      </c>
      <c r="L88" t="str">
        <f t="shared" si="9"/>
        <v>华夏幸福</v>
      </c>
      <c r="M88" t="str">
        <f t="shared" si="10"/>
        <v>房产</v>
      </c>
      <c r="N88" t="str">
        <f t="shared" si="11"/>
        <v>产</v>
      </c>
      <c r="P88" s="2" t="s">
        <v>12585</v>
      </c>
      <c r="Q88" t="s">
        <v>9805</v>
      </c>
      <c r="R88">
        <v>0</v>
      </c>
    </row>
    <row r="89" spans="1:18" x14ac:dyDescent="0.25">
      <c r="A89" t="s">
        <v>10787</v>
      </c>
      <c r="C89" t="str">
        <f t="shared" si="6"/>
        <v>sh</v>
      </c>
      <c r="D89" t="str">
        <f t="shared" si="7"/>
        <v>sh600196</v>
      </c>
      <c r="E89" t="str">
        <f>VLOOKUP(A89,Table!B:C,2,0)</f>
        <v>复星医药</v>
      </c>
      <c r="F89" t="str">
        <f>TRIM(VLOOKUP(A89,Table!B:O,14,0))</f>
        <v>医药制造</v>
      </c>
      <c r="G89" t="str">
        <f>VLOOKUP(F89,industry!A:C,2,0)</f>
        <v>医药</v>
      </c>
      <c r="H89" t="str">
        <f>VLOOKUP(F89,industry!A:C,3,0)</f>
        <v>药</v>
      </c>
      <c r="J89" s="2" t="s">
        <v>12585</v>
      </c>
      <c r="K89" t="str">
        <f t="shared" si="8"/>
        <v>sh600196</v>
      </c>
      <c r="L89" t="str">
        <f t="shared" si="9"/>
        <v>复星医药</v>
      </c>
      <c r="M89" t="str">
        <f t="shared" si="10"/>
        <v>医药</v>
      </c>
      <c r="N89" t="str">
        <f t="shared" si="11"/>
        <v>药</v>
      </c>
      <c r="P89" s="2" t="s">
        <v>12585</v>
      </c>
      <c r="Q89" t="s">
        <v>9913</v>
      </c>
      <c r="R89">
        <v>0</v>
      </c>
    </row>
    <row r="90" spans="1:18" x14ac:dyDescent="0.25">
      <c r="A90" t="s">
        <v>10788</v>
      </c>
      <c r="C90" t="str">
        <f t="shared" si="6"/>
        <v>sh</v>
      </c>
      <c r="D90" t="str">
        <f t="shared" si="7"/>
        <v>sh601899</v>
      </c>
      <c r="E90" t="str">
        <f>VLOOKUP(A90,Table!B:C,2,0)</f>
        <v>紫金矿业</v>
      </c>
      <c r="F90" t="str">
        <f>TRIM(VLOOKUP(A90,Table!B:O,14,0))</f>
        <v>贵金属</v>
      </c>
      <c r="G90" t="str">
        <f>VLOOKUP(F90,industry!A:C,2,0)</f>
        <v>贵金</v>
      </c>
      <c r="H90" t="str">
        <f>VLOOKUP(F90,industry!A:C,3,0)</f>
        <v>贵</v>
      </c>
      <c r="J90" s="2" t="s">
        <v>12585</v>
      </c>
      <c r="K90" t="str">
        <f t="shared" si="8"/>
        <v>sh601899</v>
      </c>
      <c r="L90" t="str">
        <f t="shared" si="9"/>
        <v>紫金矿业</v>
      </c>
      <c r="M90" t="str">
        <f t="shared" si="10"/>
        <v>贵金</v>
      </c>
      <c r="N90" t="str">
        <f t="shared" si="11"/>
        <v>贵</v>
      </c>
      <c r="P90" s="2" t="s">
        <v>12585</v>
      </c>
      <c r="Q90" t="s">
        <v>9829</v>
      </c>
      <c r="R90">
        <v>0</v>
      </c>
    </row>
    <row r="91" spans="1:18" x14ac:dyDescent="0.25">
      <c r="A91" t="s">
        <v>10789</v>
      </c>
      <c r="C91" t="str">
        <f t="shared" si="6"/>
        <v>sz</v>
      </c>
      <c r="D91" t="str">
        <f t="shared" si="7"/>
        <v>sz000568</v>
      </c>
      <c r="E91" t="str">
        <f>VLOOKUP(A91,Table!B:C,2,0)</f>
        <v>泸州老窖</v>
      </c>
      <c r="F91" t="str">
        <f>TRIM(VLOOKUP(A91,Table!B:O,14,0))</f>
        <v>酿酒行业</v>
      </c>
      <c r="G91" t="str">
        <f>VLOOKUP(F91,industry!A:C,2,0)</f>
        <v>酿酒</v>
      </c>
      <c r="H91" t="str">
        <f>VLOOKUP(F91,industry!A:C,3,0)</f>
        <v>酒</v>
      </c>
      <c r="J91" s="2" t="s">
        <v>12585</v>
      </c>
      <c r="K91" t="str">
        <f t="shared" si="8"/>
        <v>sz000568</v>
      </c>
      <c r="L91" t="str">
        <f t="shared" si="9"/>
        <v>泸州老窖</v>
      </c>
      <c r="M91" t="str">
        <f t="shared" si="10"/>
        <v>酿酒</v>
      </c>
      <c r="N91" t="str">
        <f t="shared" si="11"/>
        <v>酒</v>
      </c>
      <c r="P91" s="2" t="s">
        <v>12585</v>
      </c>
      <c r="Q91" t="s">
        <v>9955</v>
      </c>
      <c r="R91">
        <v>0</v>
      </c>
    </row>
    <row r="92" spans="1:18" x14ac:dyDescent="0.25">
      <c r="A92" t="s">
        <v>10790</v>
      </c>
      <c r="C92" t="str">
        <f t="shared" si="6"/>
        <v>sz</v>
      </c>
      <c r="D92" t="str">
        <f t="shared" si="7"/>
        <v>sz002558</v>
      </c>
      <c r="E92" t="str">
        <f>VLOOKUP(A92,Table!B:C,2,0)</f>
        <v>巨人网络</v>
      </c>
      <c r="F92" t="str">
        <f>TRIM(VLOOKUP(A92,Table!B:O,14,0))</f>
        <v>文教休闲</v>
      </c>
      <c r="G92" t="str">
        <f>VLOOKUP(F92,industry!A:C,2,0)</f>
        <v>文教</v>
      </c>
      <c r="H92" t="str">
        <f>VLOOKUP(F92,industry!A:C,3,0)</f>
        <v>文</v>
      </c>
      <c r="J92" s="2" t="s">
        <v>12585</v>
      </c>
      <c r="K92" t="str">
        <f t="shared" si="8"/>
        <v>sz002558</v>
      </c>
      <c r="L92" t="str">
        <f t="shared" si="9"/>
        <v>巨人网络</v>
      </c>
      <c r="M92" t="str">
        <f t="shared" si="10"/>
        <v>文教</v>
      </c>
      <c r="N92" t="str">
        <f t="shared" si="11"/>
        <v>文</v>
      </c>
      <c r="P92" s="2" t="s">
        <v>12585</v>
      </c>
      <c r="Q92" t="s">
        <v>9799</v>
      </c>
      <c r="R92">
        <v>0</v>
      </c>
    </row>
    <row r="93" spans="1:18" x14ac:dyDescent="0.25">
      <c r="A93" t="s">
        <v>10791</v>
      </c>
      <c r="C93" t="str">
        <f t="shared" si="6"/>
        <v>sh</v>
      </c>
      <c r="D93" t="str">
        <f t="shared" si="7"/>
        <v>sh601933</v>
      </c>
      <c r="E93" t="str">
        <f>VLOOKUP(A93,Table!B:C,2,0)</f>
        <v>永辉超市</v>
      </c>
      <c r="F93" t="str">
        <f>TRIM(VLOOKUP(A93,Table!B:O,14,0))</f>
        <v>商业百货</v>
      </c>
      <c r="G93" t="str">
        <f>VLOOKUP(F93,industry!A:C,2,0)</f>
        <v>百货</v>
      </c>
      <c r="H93" t="str">
        <f>VLOOKUP(F93,industry!A:C,3,0)</f>
        <v>商</v>
      </c>
      <c r="J93" s="2" t="s">
        <v>12585</v>
      </c>
      <c r="K93" t="str">
        <f t="shared" si="8"/>
        <v>sh601933</v>
      </c>
      <c r="L93" t="str">
        <f t="shared" si="9"/>
        <v>永辉超市</v>
      </c>
      <c r="M93" t="str">
        <f t="shared" si="10"/>
        <v>百货</v>
      </c>
      <c r="N93" t="str">
        <f t="shared" si="11"/>
        <v>商</v>
      </c>
      <c r="P93" s="2" t="s">
        <v>12585</v>
      </c>
      <c r="Q93" t="s">
        <v>10007</v>
      </c>
      <c r="R93">
        <v>0</v>
      </c>
    </row>
    <row r="94" spans="1:18" x14ac:dyDescent="0.25">
      <c r="A94" t="s">
        <v>10792</v>
      </c>
      <c r="C94" t="str">
        <f t="shared" si="6"/>
        <v>sh</v>
      </c>
      <c r="D94" t="str">
        <f t="shared" si="7"/>
        <v>sh600029</v>
      </c>
      <c r="E94" t="str">
        <f>VLOOKUP(A94,Table!B:C,2,0)</f>
        <v>南方航空</v>
      </c>
      <c r="F94" t="str">
        <f>TRIM(VLOOKUP(A94,Table!B:O,14,0))</f>
        <v>民航机场</v>
      </c>
      <c r="G94" t="str">
        <f>VLOOKUP(F94,industry!A:C,2,0)</f>
        <v>民航</v>
      </c>
      <c r="H94" t="str">
        <f>VLOOKUP(F94,industry!A:C,3,0)</f>
        <v>飞</v>
      </c>
      <c r="J94" s="2" t="s">
        <v>12585</v>
      </c>
      <c r="K94" t="str">
        <f t="shared" si="8"/>
        <v>sh600029</v>
      </c>
      <c r="L94" t="str">
        <f t="shared" si="9"/>
        <v>南方航空</v>
      </c>
      <c r="M94" t="str">
        <f t="shared" si="10"/>
        <v>民航</v>
      </c>
      <c r="N94" t="str">
        <f t="shared" si="11"/>
        <v>飞</v>
      </c>
      <c r="P94" s="2" t="s">
        <v>12585</v>
      </c>
      <c r="Q94" t="s">
        <v>9831</v>
      </c>
      <c r="R94">
        <v>0</v>
      </c>
    </row>
    <row r="95" spans="1:18" x14ac:dyDescent="0.25">
      <c r="A95" t="s">
        <v>10793</v>
      </c>
      <c r="C95" t="str">
        <f t="shared" si="6"/>
        <v>sh</v>
      </c>
      <c r="D95" t="str">
        <f t="shared" si="7"/>
        <v>sh601898</v>
      </c>
      <c r="E95" t="str">
        <f>VLOOKUP(A95,Table!B:C,2,0)</f>
        <v>中煤能源</v>
      </c>
      <c r="F95" t="str">
        <f>TRIM(VLOOKUP(A95,Table!B:O,14,0))</f>
        <v>煤炭采选</v>
      </c>
      <c r="G95" t="str">
        <f>VLOOKUP(F95,industry!A:C,2,0)</f>
        <v>煤炭</v>
      </c>
      <c r="H95" t="str">
        <f>VLOOKUP(F95,industry!A:C,3,0)</f>
        <v>煤</v>
      </c>
      <c r="J95" s="2" t="s">
        <v>12585</v>
      </c>
      <c r="K95" t="str">
        <f t="shared" si="8"/>
        <v>sh601898</v>
      </c>
      <c r="L95" t="str">
        <f t="shared" si="9"/>
        <v>中煤能源</v>
      </c>
      <c r="M95" t="str">
        <f t="shared" si="10"/>
        <v>煤炭</v>
      </c>
      <c r="N95" t="str">
        <f t="shared" si="11"/>
        <v>煤</v>
      </c>
      <c r="P95" s="2" t="s">
        <v>12585</v>
      </c>
      <c r="Q95" t="s">
        <v>9785</v>
      </c>
      <c r="R95">
        <v>0</v>
      </c>
    </row>
    <row r="96" spans="1:18" x14ac:dyDescent="0.25">
      <c r="A96" t="s">
        <v>10794</v>
      </c>
      <c r="C96" t="str">
        <f t="shared" si="6"/>
        <v>sh</v>
      </c>
      <c r="D96" t="str">
        <f t="shared" si="7"/>
        <v>sh601225</v>
      </c>
      <c r="E96" t="str">
        <f>VLOOKUP(A96,Table!B:C,2,0)</f>
        <v>陕西煤业</v>
      </c>
      <c r="F96" t="str">
        <f>TRIM(VLOOKUP(A96,Table!B:O,14,0))</f>
        <v>煤炭采选</v>
      </c>
      <c r="G96" t="str">
        <f>VLOOKUP(F96,industry!A:C,2,0)</f>
        <v>煤炭</v>
      </c>
      <c r="H96" t="str">
        <f>VLOOKUP(F96,industry!A:C,3,0)</f>
        <v>煤</v>
      </c>
      <c r="J96" s="2" t="s">
        <v>12585</v>
      </c>
      <c r="K96" t="str">
        <f t="shared" si="8"/>
        <v>sh601225</v>
      </c>
      <c r="L96" t="str">
        <f t="shared" si="9"/>
        <v>陕西煤业</v>
      </c>
      <c r="M96" t="str">
        <f t="shared" si="10"/>
        <v>煤炭</v>
      </c>
      <c r="N96" t="str">
        <f t="shared" si="11"/>
        <v>煤</v>
      </c>
      <c r="P96" s="2" t="s">
        <v>12585</v>
      </c>
      <c r="Q96" t="s">
        <v>9845</v>
      </c>
      <c r="R96">
        <v>0</v>
      </c>
    </row>
    <row r="97" spans="1:18" x14ac:dyDescent="0.25">
      <c r="A97" t="s">
        <v>10795</v>
      </c>
      <c r="C97" t="str">
        <f t="shared" si="6"/>
        <v>sz</v>
      </c>
      <c r="D97" t="str">
        <f t="shared" si="7"/>
        <v>sz002142</v>
      </c>
      <c r="E97" t="str">
        <f>VLOOKUP(A97,Table!B:C,2,0)</f>
        <v>宁波银行</v>
      </c>
      <c r="F97" t="str">
        <f>TRIM(VLOOKUP(A97,Table!B:O,14,0))</f>
        <v>银行</v>
      </c>
      <c r="G97" t="str">
        <f>VLOOKUP(F97,industry!A:C,2,0)</f>
        <v>银行</v>
      </c>
      <c r="H97" t="str">
        <f>VLOOKUP(F97,industry!A:C,3,0)</f>
        <v>银</v>
      </c>
      <c r="J97" s="2" t="s">
        <v>12585</v>
      </c>
      <c r="K97" t="str">
        <f t="shared" si="8"/>
        <v>sz002142</v>
      </c>
      <c r="L97" t="str">
        <f t="shared" si="9"/>
        <v>宁波银行</v>
      </c>
      <c r="M97" t="str">
        <f t="shared" si="10"/>
        <v>银行</v>
      </c>
      <c r="N97" t="str">
        <f t="shared" si="11"/>
        <v>银</v>
      </c>
      <c r="P97" s="2" t="s">
        <v>12585</v>
      </c>
      <c r="Q97" t="s">
        <v>9843</v>
      </c>
      <c r="R97">
        <v>0</v>
      </c>
    </row>
    <row r="98" spans="1:18" x14ac:dyDescent="0.25">
      <c r="A98" t="s">
        <v>10796</v>
      </c>
      <c r="C98" t="str">
        <f t="shared" si="6"/>
        <v>sz</v>
      </c>
      <c r="D98" t="str">
        <f t="shared" si="7"/>
        <v>sz000895</v>
      </c>
      <c r="E98" t="str">
        <f>VLOOKUP(A98,Table!B:C,2,0)</f>
        <v>双汇发展</v>
      </c>
      <c r="F98" t="str">
        <f>TRIM(VLOOKUP(A98,Table!B:O,14,0))</f>
        <v>食品饮料</v>
      </c>
      <c r="G98" t="str">
        <f>VLOOKUP(F98,industry!A:C,2,0)</f>
        <v>食品</v>
      </c>
      <c r="H98" t="str">
        <f>VLOOKUP(F98,industry!A:C,3,0)</f>
        <v>食</v>
      </c>
      <c r="J98" s="2" t="s">
        <v>12585</v>
      </c>
      <c r="K98" t="str">
        <f t="shared" si="8"/>
        <v>sz000895</v>
      </c>
      <c r="L98" t="str">
        <f t="shared" si="9"/>
        <v>双汇发展</v>
      </c>
      <c r="M98" t="str">
        <f t="shared" si="10"/>
        <v>食品</v>
      </c>
      <c r="N98" t="str">
        <f t="shared" si="11"/>
        <v>食</v>
      </c>
      <c r="P98" s="2" t="s">
        <v>12585</v>
      </c>
      <c r="Q98" t="s">
        <v>9817</v>
      </c>
      <c r="R98">
        <v>0</v>
      </c>
    </row>
    <row r="99" spans="1:18" x14ac:dyDescent="0.25">
      <c r="A99" t="s">
        <v>10797</v>
      </c>
      <c r="C99" t="str">
        <f t="shared" si="6"/>
        <v>sz</v>
      </c>
      <c r="D99" t="str">
        <f t="shared" si="7"/>
        <v>sz002450</v>
      </c>
      <c r="E99" t="str">
        <f>VLOOKUP(A99,Table!B:C,2,0)</f>
        <v>康得新</v>
      </c>
      <c r="F99" t="str">
        <f>TRIM(VLOOKUP(A99,Table!B:O,14,0))</f>
        <v>材料行业</v>
      </c>
      <c r="G99" t="str">
        <f>VLOOKUP(F99,industry!A:C,2,0)</f>
        <v>材料</v>
      </c>
      <c r="H99" t="str">
        <f>VLOOKUP(F99,industry!A:C,3,0)</f>
        <v>材</v>
      </c>
      <c r="J99" s="2" t="s">
        <v>12585</v>
      </c>
      <c r="K99" t="str">
        <f t="shared" si="8"/>
        <v>sz002450</v>
      </c>
      <c r="L99" t="str">
        <f t="shared" si="9"/>
        <v>康得新</v>
      </c>
      <c r="M99" t="str">
        <f t="shared" si="10"/>
        <v>材料</v>
      </c>
      <c r="N99" t="str">
        <f t="shared" si="11"/>
        <v>材</v>
      </c>
      <c r="P99" s="2" t="s">
        <v>12585</v>
      </c>
      <c r="Q99" t="s">
        <v>9871</v>
      </c>
      <c r="R99">
        <v>0</v>
      </c>
    </row>
    <row r="100" spans="1:18" x14ac:dyDescent="0.25">
      <c r="A100" t="s">
        <v>10798</v>
      </c>
      <c r="C100" t="str">
        <f t="shared" si="6"/>
        <v>sh</v>
      </c>
      <c r="D100" t="str">
        <f t="shared" si="7"/>
        <v>sh601018</v>
      </c>
      <c r="E100" t="str">
        <f>VLOOKUP(A100,Table!B:C,2,0)</f>
        <v>宁波港</v>
      </c>
      <c r="F100" t="str">
        <f>TRIM(VLOOKUP(A100,Table!B:O,14,0))</f>
        <v>港口水运</v>
      </c>
      <c r="G100" t="str">
        <f>VLOOKUP(F100,industry!A:C,2,0)</f>
        <v>港口</v>
      </c>
      <c r="H100" t="str">
        <f>VLOOKUP(F100,industry!A:C,3,0)</f>
        <v>港</v>
      </c>
      <c r="J100" s="2" t="s">
        <v>12585</v>
      </c>
      <c r="K100" t="str">
        <f t="shared" si="8"/>
        <v>sh601018</v>
      </c>
      <c r="L100" t="str">
        <f t="shared" si="9"/>
        <v>宁波港</v>
      </c>
      <c r="M100" t="str">
        <f t="shared" si="10"/>
        <v>港口</v>
      </c>
      <c r="N100" t="str">
        <f t="shared" si="11"/>
        <v>港</v>
      </c>
      <c r="P100" s="2" t="s">
        <v>12585</v>
      </c>
      <c r="Q100" t="s">
        <v>9833</v>
      </c>
      <c r="R100">
        <v>0</v>
      </c>
    </row>
    <row r="101" spans="1:18" x14ac:dyDescent="0.25">
      <c r="A101" t="s">
        <v>10799</v>
      </c>
      <c r="C101" t="str">
        <f t="shared" si="6"/>
        <v>sz</v>
      </c>
      <c r="D101" t="str">
        <f t="shared" si="7"/>
        <v>sz300433</v>
      </c>
      <c r="E101" t="str">
        <f>VLOOKUP(A101,Table!B:C,2,0)</f>
        <v>蓝思科技</v>
      </c>
      <c r="F101" t="str">
        <f>TRIM(VLOOKUP(A101,Table!B:O,14,0))</f>
        <v>材料行业</v>
      </c>
      <c r="G101" t="str">
        <f>VLOOKUP(F101,industry!A:C,2,0)</f>
        <v>材料</v>
      </c>
      <c r="H101" t="str">
        <f>VLOOKUP(F101,industry!A:C,3,0)</f>
        <v>材</v>
      </c>
      <c r="J101" s="2" t="s">
        <v>12585</v>
      </c>
      <c r="K101" t="str">
        <f t="shared" si="8"/>
        <v>sz300433</v>
      </c>
      <c r="L101" t="str">
        <f t="shared" si="9"/>
        <v>蓝思科技</v>
      </c>
      <c r="M101" t="str">
        <f t="shared" si="10"/>
        <v>材料</v>
      </c>
      <c r="N101" t="str">
        <f t="shared" si="11"/>
        <v>材</v>
      </c>
      <c r="P101" s="2" t="s">
        <v>12585</v>
      </c>
      <c r="Q101" t="s">
        <v>9909</v>
      </c>
      <c r="R101">
        <v>0</v>
      </c>
    </row>
    <row r="102" spans="1:18" x14ac:dyDescent="0.25">
      <c r="A102" t="s">
        <v>10800</v>
      </c>
      <c r="C102" t="str">
        <f t="shared" si="6"/>
        <v>sh</v>
      </c>
      <c r="D102" t="str">
        <f t="shared" si="7"/>
        <v>sh600009</v>
      </c>
      <c r="E102" t="str">
        <f>VLOOKUP(A102,Table!B:C,2,0)</f>
        <v>上海机场</v>
      </c>
      <c r="F102" t="str">
        <f>TRIM(VLOOKUP(A102,Table!B:O,14,0))</f>
        <v>民航机场</v>
      </c>
      <c r="G102" t="str">
        <f>VLOOKUP(F102,industry!A:C,2,0)</f>
        <v>民航</v>
      </c>
      <c r="H102" t="str">
        <f>VLOOKUP(F102,industry!A:C,3,0)</f>
        <v>飞</v>
      </c>
      <c r="J102" s="2" t="s">
        <v>12585</v>
      </c>
      <c r="K102" t="str">
        <f t="shared" si="8"/>
        <v>sh600009</v>
      </c>
      <c r="L102" t="str">
        <f t="shared" si="9"/>
        <v>上海机场</v>
      </c>
      <c r="M102" t="str">
        <f t="shared" si="10"/>
        <v>民航</v>
      </c>
      <c r="N102" t="str">
        <f t="shared" si="11"/>
        <v>飞</v>
      </c>
      <c r="P102" s="2" t="s">
        <v>12585</v>
      </c>
      <c r="Q102" t="s">
        <v>9929</v>
      </c>
      <c r="R102">
        <v>0</v>
      </c>
    </row>
    <row r="103" spans="1:18" x14ac:dyDescent="0.25">
      <c r="A103" t="s">
        <v>10801</v>
      </c>
      <c r="C103" t="str">
        <f t="shared" si="6"/>
        <v>sz</v>
      </c>
      <c r="D103" t="str">
        <f t="shared" si="7"/>
        <v>sz002230</v>
      </c>
      <c r="E103" t="str">
        <f>VLOOKUP(A103,Table!B:C,2,0)</f>
        <v>科大讯飞</v>
      </c>
      <c r="F103" t="str">
        <f>TRIM(VLOOKUP(A103,Table!B:O,14,0))</f>
        <v>软件服务</v>
      </c>
      <c r="G103" t="str">
        <f>VLOOKUP(F103,industry!A:C,2,0)</f>
        <v>软件</v>
      </c>
      <c r="H103" t="str">
        <f>VLOOKUP(F103,industry!A:C,3,0)</f>
        <v>软</v>
      </c>
      <c r="J103" s="2" t="s">
        <v>12585</v>
      </c>
      <c r="K103" t="str">
        <f t="shared" si="8"/>
        <v>sz002230</v>
      </c>
      <c r="L103" t="str">
        <f t="shared" si="9"/>
        <v>科大讯飞</v>
      </c>
      <c r="M103" t="str">
        <f t="shared" si="10"/>
        <v>软件</v>
      </c>
      <c r="N103" t="str">
        <f t="shared" si="11"/>
        <v>软</v>
      </c>
      <c r="P103" s="2" t="s">
        <v>12585</v>
      </c>
      <c r="Q103" t="s">
        <v>10073</v>
      </c>
      <c r="R103">
        <v>0</v>
      </c>
    </row>
    <row r="104" spans="1:18" x14ac:dyDescent="0.25">
      <c r="A104" t="s">
        <v>10802</v>
      </c>
      <c r="C104" t="str">
        <f t="shared" si="6"/>
        <v>sh</v>
      </c>
      <c r="D104" t="str">
        <f t="shared" si="7"/>
        <v>sh600663</v>
      </c>
      <c r="E104" t="str">
        <f>VLOOKUP(A104,Table!B:C,2,0)</f>
        <v>陆家嘴</v>
      </c>
      <c r="F104" t="str">
        <f>TRIM(VLOOKUP(A104,Table!B:O,14,0))</f>
        <v>房地产</v>
      </c>
      <c r="G104" t="str">
        <f>VLOOKUP(F104,industry!A:C,2,0)</f>
        <v>房产</v>
      </c>
      <c r="H104" t="str">
        <f>VLOOKUP(F104,industry!A:C,3,0)</f>
        <v>产</v>
      </c>
      <c r="J104" s="2" t="s">
        <v>12585</v>
      </c>
      <c r="K104" t="str">
        <f t="shared" si="8"/>
        <v>sh600663</v>
      </c>
      <c r="L104" t="str">
        <f t="shared" si="9"/>
        <v>陆家嘴</v>
      </c>
      <c r="M104" t="str">
        <f t="shared" si="10"/>
        <v>房产</v>
      </c>
      <c r="N104" t="str">
        <f t="shared" si="11"/>
        <v>产</v>
      </c>
      <c r="P104" s="2" t="s">
        <v>12585</v>
      </c>
      <c r="Q104" t="s">
        <v>9809</v>
      </c>
      <c r="R104">
        <v>0</v>
      </c>
    </row>
    <row r="105" spans="1:18" x14ac:dyDescent="0.25">
      <c r="A105" t="s">
        <v>10803</v>
      </c>
      <c r="C105" t="str">
        <f t="shared" si="6"/>
        <v>sz</v>
      </c>
      <c r="D105" t="str">
        <f t="shared" si="7"/>
        <v>sz002236</v>
      </c>
      <c r="E105" t="str">
        <f>VLOOKUP(A105,Table!B:C,2,0)</f>
        <v>大华股份</v>
      </c>
      <c r="F105" t="str">
        <f>TRIM(VLOOKUP(A105,Table!B:O,14,0))</f>
        <v>安防设备</v>
      </c>
      <c r="G105" t="str">
        <f>VLOOKUP(F105,industry!A:C,2,0)</f>
        <v>安防</v>
      </c>
      <c r="H105" t="str">
        <f>VLOOKUP(F105,industry!A:C,3,0)</f>
        <v>防</v>
      </c>
      <c r="J105" s="2" t="s">
        <v>12585</v>
      </c>
      <c r="K105" t="str">
        <f t="shared" si="8"/>
        <v>sz002236</v>
      </c>
      <c r="L105" t="str">
        <f t="shared" si="9"/>
        <v>大华股份</v>
      </c>
      <c r="M105" t="str">
        <f t="shared" si="10"/>
        <v>安防</v>
      </c>
      <c r="N105" t="str">
        <f t="shared" si="11"/>
        <v>防</v>
      </c>
      <c r="P105" s="2" t="s">
        <v>12585</v>
      </c>
      <c r="Q105" t="s">
        <v>10013</v>
      </c>
      <c r="R105">
        <v>0</v>
      </c>
    </row>
    <row r="106" spans="1:18" x14ac:dyDescent="0.25">
      <c r="A106" t="s">
        <v>10804</v>
      </c>
      <c r="C106" t="str">
        <f t="shared" si="6"/>
        <v>sh</v>
      </c>
      <c r="D106" t="str">
        <f t="shared" si="7"/>
        <v>sh600023</v>
      </c>
      <c r="E106" t="str">
        <f>VLOOKUP(A106,Table!B:C,2,0)</f>
        <v>浙能电力</v>
      </c>
      <c r="F106" t="str">
        <f>TRIM(VLOOKUP(A106,Table!B:O,14,0))</f>
        <v>电力行业</v>
      </c>
      <c r="G106" t="str">
        <f>VLOOKUP(F106,industry!A:C,2,0)</f>
        <v>电力</v>
      </c>
      <c r="H106" t="str">
        <f>VLOOKUP(F106,industry!A:C,3,0)</f>
        <v>电力</v>
      </c>
      <c r="J106" s="2" t="s">
        <v>12585</v>
      </c>
      <c r="K106" t="str">
        <f t="shared" si="8"/>
        <v>sh600023</v>
      </c>
      <c r="L106" t="str">
        <f t="shared" si="9"/>
        <v>浙能电力</v>
      </c>
      <c r="M106" t="str">
        <f t="shared" si="10"/>
        <v>电力</v>
      </c>
      <c r="N106" t="str">
        <f t="shared" si="11"/>
        <v>电力</v>
      </c>
      <c r="P106" s="2" t="s">
        <v>12585</v>
      </c>
      <c r="Q106" t="s">
        <v>9823</v>
      </c>
      <c r="R106">
        <v>0</v>
      </c>
    </row>
    <row r="107" spans="1:18" x14ac:dyDescent="0.25">
      <c r="A107" t="s">
        <v>10805</v>
      </c>
      <c r="C107" t="str">
        <f t="shared" si="6"/>
        <v>sh</v>
      </c>
      <c r="D107" t="str">
        <f t="shared" si="7"/>
        <v>sh601901</v>
      </c>
      <c r="E107" t="str">
        <f>VLOOKUP(A107,Table!B:C,2,0)</f>
        <v>方正证券</v>
      </c>
      <c r="F107" t="str">
        <f>TRIM(VLOOKUP(A107,Table!B:O,14,0))</f>
        <v>券商信托</v>
      </c>
      <c r="G107" t="str">
        <f>VLOOKUP(F107,industry!A:C,2,0)</f>
        <v>券商</v>
      </c>
      <c r="H107" t="str">
        <f>VLOOKUP(F107,industry!A:C,3,0)</f>
        <v>券</v>
      </c>
      <c r="J107" s="2" t="s">
        <v>12585</v>
      </c>
      <c r="K107" t="str">
        <f t="shared" si="8"/>
        <v>sh601901</v>
      </c>
      <c r="L107" t="str">
        <f t="shared" si="9"/>
        <v>方正证券</v>
      </c>
      <c r="M107" t="str">
        <f t="shared" si="10"/>
        <v>券商</v>
      </c>
      <c r="N107" t="str">
        <f t="shared" si="11"/>
        <v>券</v>
      </c>
      <c r="P107" s="2" t="s">
        <v>12585</v>
      </c>
      <c r="Q107" t="s">
        <v>9877</v>
      </c>
      <c r="R107">
        <v>0</v>
      </c>
    </row>
    <row r="108" spans="1:18" x14ac:dyDescent="0.25">
      <c r="A108" t="s">
        <v>10806</v>
      </c>
      <c r="C108" t="str">
        <f t="shared" si="6"/>
        <v>sh</v>
      </c>
      <c r="D108" t="str">
        <f t="shared" si="7"/>
        <v>sh600893</v>
      </c>
      <c r="E108" t="str">
        <f>VLOOKUP(A108,Table!B:C,2,0)</f>
        <v>航发动力</v>
      </c>
      <c r="F108" t="str">
        <f>TRIM(VLOOKUP(A108,Table!B:O,14,0))</f>
        <v>航天航空</v>
      </c>
      <c r="G108" t="str">
        <f>VLOOKUP(F108,industry!A:C,2,0)</f>
        <v>航空</v>
      </c>
      <c r="H108" t="str">
        <f>VLOOKUP(F108,industry!A:C,3,0)</f>
        <v>航</v>
      </c>
      <c r="J108" s="2" t="s">
        <v>12585</v>
      </c>
      <c r="K108" t="str">
        <f t="shared" si="8"/>
        <v>sh600893</v>
      </c>
      <c r="L108" t="str">
        <f t="shared" si="9"/>
        <v>航发动力</v>
      </c>
      <c r="M108" t="str">
        <f t="shared" si="10"/>
        <v>航空</v>
      </c>
      <c r="N108" t="str">
        <f t="shared" si="11"/>
        <v>航</v>
      </c>
      <c r="P108" s="2" t="s">
        <v>12585</v>
      </c>
      <c r="Q108" t="s">
        <v>9835</v>
      </c>
      <c r="R108">
        <v>0</v>
      </c>
    </row>
    <row r="109" spans="1:18" x14ac:dyDescent="0.25">
      <c r="A109" t="s">
        <v>10807</v>
      </c>
      <c r="C109" t="str">
        <f t="shared" si="6"/>
        <v>sh</v>
      </c>
      <c r="D109" t="str">
        <f t="shared" si="7"/>
        <v>sh600741</v>
      </c>
      <c r="E109" t="str">
        <f>VLOOKUP(A109,Table!B:C,2,0)</f>
        <v>华域汽车</v>
      </c>
      <c r="F109" t="str">
        <f>TRIM(VLOOKUP(A109,Table!B:O,14,0))</f>
        <v>汽车行业</v>
      </c>
      <c r="G109" t="str">
        <f>VLOOKUP(F109,industry!A:C,2,0)</f>
        <v>汽车</v>
      </c>
      <c r="H109" t="str">
        <f>VLOOKUP(F109,industry!A:C,3,0)</f>
        <v>车</v>
      </c>
      <c r="J109" s="2" t="s">
        <v>12585</v>
      </c>
      <c r="K109" t="str">
        <f t="shared" si="8"/>
        <v>sh600741</v>
      </c>
      <c r="L109" t="str">
        <f t="shared" si="9"/>
        <v>华域汽车</v>
      </c>
      <c r="M109" t="str">
        <f t="shared" si="10"/>
        <v>汽车</v>
      </c>
      <c r="N109" t="str">
        <f t="shared" si="11"/>
        <v>车</v>
      </c>
      <c r="P109" s="2" t="s">
        <v>12585</v>
      </c>
      <c r="Q109" t="s">
        <v>9939</v>
      </c>
      <c r="R109">
        <v>0</v>
      </c>
    </row>
    <row r="110" spans="1:18" x14ac:dyDescent="0.25">
      <c r="A110" t="s">
        <v>10808</v>
      </c>
      <c r="C110" t="str">
        <f t="shared" si="6"/>
        <v>sh</v>
      </c>
      <c r="D110" t="str">
        <f t="shared" si="7"/>
        <v>sh601788</v>
      </c>
      <c r="E110" t="str">
        <f>VLOOKUP(A110,Table!B:C,2,0)</f>
        <v>光大证券</v>
      </c>
      <c r="F110" t="str">
        <f>TRIM(VLOOKUP(A110,Table!B:O,14,0))</f>
        <v>券商信托</v>
      </c>
      <c r="G110" t="str">
        <f>VLOOKUP(F110,industry!A:C,2,0)</f>
        <v>券商</v>
      </c>
      <c r="H110" t="str">
        <f>VLOOKUP(F110,industry!A:C,3,0)</f>
        <v>券</v>
      </c>
      <c r="J110" s="2" t="s">
        <v>12585</v>
      </c>
      <c r="K110" t="str">
        <f t="shared" si="8"/>
        <v>sh601788</v>
      </c>
      <c r="L110" t="str">
        <f t="shared" si="9"/>
        <v>光大证券</v>
      </c>
      <c r="M110" t="str">
        <f t="shared" si="10"/>
        <v>券商</v>
      </c>
      <c r="N110" t="str">
        <f t="shared" si="11"/>
        <v>券</v>
      </c>
      <c r="P110" s="2" t="s">
        <v>12585</v>
      </c>
      <c r="Q110" t="s">
        <v>9813</v>
      </c>
      <c r="R110">
        <v>0</v>
      </c>
    </row>
    <row r="111" spans="1:18" x14ac:dyDescent="0.25">
      <c r="A111" t="s">
        <v>10809</v>
      </c>
      <c r="C111" t="str">
        <f t="shared" si="6"/>
        <v>sh</v>
      </c>
      <c r="D111" t="str">
        <f t="shared" si="7"/>
        <v>sh601888</v>
      </c>
      <c r="E111" t="str">
        <f>VLOOKUP(A111,Table!B:C,2,0)</f>
        <v>中国国旅</v>
      </c>
      <c r="F111" t="str">
        <f>TRIM(VLOOKUP(A111,Table!B:O,14,0))</f>
        <v>旅游酒店</v>
      </c>
      <c r="G111" t="str">
        <f>VLOOKUP(F111,industry!A:C,2,0)</f>
        <v>旅游</v>
      </c>
      <c r="H111" t="str">
        <f>VLOOKUP(F111,industry!A:C,3,0)</f>
        <v>旅</v>
      </c>
      <c r="J111" s="2" t="s">
        <v>12585</v>
      </c>
      <c r="K111" t="str">
        <f t="shared" si="8"/>
        <v>sh601888</v>
      </c>
      <c r="L111" t="str">
        <f t="shared" si="9"/>
        <v>中国国旅</v>
      </c>
      <c r="M111" t="str">
        <f t="shared" si="10"/>
        <v>旅游</v>
      </c>
      <c r="N111" t="str">
        <f t="shared" si="11"/>
        <v>旅</v>
      </c>
      <c r="P111" s="2" t="s">
        <v>12585</v>
      </c>
      <c r="Q111" t="s">
        <v>9995</v>
      </c>
      <c r="R111">
        <v>0</v>
      </c>
    </row>
    <row r="112" spans="1:18" x14ac:dyDescent="0.25">
      <c r="A112" t="s">
        <v>10810</v>
      </c>
      <c r="C112" t="str">
        <f t="shared" si="6"/>
        <v>sh</v>
      </c>
      <c r="D112" t="str">
        <f t="shared" si="7"/>
        <v>sh601919</v>
      </c>
      <c r="E112" t="str">
        <f>VLOOKUP(A112,Table!B:C,2,0)</f>
        <v>中远海控</v>
      </c>
      <c r="F112" t="str">
        <f>TRIM(VLOOKUP(A112,Table!B:O,14,0))</f>
        <v>港口水运</v>
      </c>
      <c r="G112" t="str">
        <f>VLOOKUP(F112,industry!A:C,2,0)</f>
        <v>港口</v>
      </c>
      <c r="H112" t="str">
        <f>VLOOKUP(F112,industry!A:C,3,0)</f>
        <v>港</v>
      </c>
      <c r="J112" s="2" t="s">
        <v>12585</v>
      </c>
      <c r="K112" t="str">
        <f t="shared" si="8"/>
        <v>sh601919</v>
      </c>
      <c r="L112" t="str">
        <f t="shared" si="9"/>
        <v>中远海控</v>
      </c>
      <c r="M112" t="str">
        <f t="shared" si="10"/>
        <v>港口</v>
      </c>
      <c r="N112" t="str">
        <f t="shared" si="11"/>
        <v>港</v>
      </c>
      <c r="P112" s="2" t="s">
        <v>12585</v>
      </c>
      <c r="Q112" t="s">
        <v>9915</v>
      </c>
      <c r="R112">
        <v>0</v>
      </c>
    </row>
    <row r="113" spans="1:18" x14ac:dyDescent="0.25">
      <c r="A113" t="s">
        <v>10811</v>
      </c>
      <c r="C113" t="str">
        <f t="shared" si="6"/>
        <v>sz</v>
      </c>
      <c r="D113" t="str">
        <f t="shared" si="7"/>
        <v>sz000069</v>
      </c>
      <c r="E113" t="str">
        <f>VLOOKUP(A113,Table!B:C,2,0)</f>
        <v>华侨城Ａ</v>
      </c>
      <c r="F113" t="str">
        <f>TRIM(VLOOKUP(A113,Table!B:O,14,0))</f>
        <v>房地产</v>
      </c>
      <c r="G113" t="str">
        <f>VLOOKUP(F113,industry!A:C,2,0)</f>
        <v>房产</v>
      </c>
      <c r="H113" t="str">
        <f>VLOOKUP(F113,industry!A:C,3,0)</f>
        <v>产</v>
      </c>
      <c r="J113" s="2" t="s">
        <v>12585</v>
      </c>
      <c r="K113" t="str">
        <f t="shared" si="8"/>
        <v>sz000069</v>
      </c>
      <c r="L113" t="str">
        <f t="shared" si="9"/>
        <v>华侨城Ａ</v>
      </c>
      <c r="M113" t="str">
        <f t="shared" si="10"/>
        <v>房产</v>
      </c>
      <c r="N113" t="str">
        <f t="shared" si="11"/>
        <v>产</v>
      </c>
      <c r="P113" s="2" t="s">
        <v>12585</v>
      </c>
      <c r="Q113" t="s">
        <v>9903</v>
      </c>
      <c r="R113">
        <v>0</v>
      </c>
    </row>
    <row r="114" spans="1:18" x14ac:dyDescent="0.25">
      <c r="A114" t="s">
        <v>10812</v>
      </c>
      <c r="C114" t="str">
        <f t="shared" si="6"/>
        <v>sh</v>
      </c>
      <c r="D114" t="str">
        <f t="shared" si="7"/>
        <v>sh601878</v>
      </c>
      <c r="E114" t="str">
        <f>VLOOKUP(A114,Table!B:C,2,0)</f>
        <v>浙商证券</v>
      </c>
      <c r="F114" t="str">
        <f>TRIM(VLOOKUP(A114,Table!B:O,14,0))</f>
        <v>券商信托</v>
      </c>
      <c r="G114" t="str">
        <f>VLOOKUP(F114,industry!A:C,2,0)</f>
        <v>券商</v>
      </c>
      <c r="H114" t="str">
        <f>VLOOKUP(F114,industry!A:C,3,0)</f>
        <v>券</v>
      </c>
      <c r="J114" s="2" t="s">
        <v>12585</v>
      </c>
      <c r="K114" t="str">
        <f t="shared" si="8"/>
        <v>sh601878</v>
      </c>
      <c r="L114" t="str">
        <f t="shared" si="9"/>
        <v>浙商证券</v>
      </c>
      <c r="M114" t="str">
        <f t="shared" si="10"/>
        <v>券商</v>
      </c>
      <c r="N114" t="str">
        <f t="shared" si="11"/>
        <v>券</v>
      </c>
      <c r="P114" s="2" t="s">
        <v>12585</v>
      </c>
      <c r="Q114" t="s">
        <v>12591</v>
      </c>
      <c r="R114">
        <v>0</v>
      </c>
    </row>
    <row r="115" spans="1:18" x14ac:dyDescent="0.25">
      <c r="A115" t="s">
        <v>10813</v>
      </c>
      <c r="C115" t="str">
        <f t="shared" si="6"/>
        <v>sz</v>
      </c>
      <c r="D115" t="str">
        <f t="shared" si="7"/>
        <v>sz000625</v>
      </c>
      <c r="E115" t="str">
        <f>VLOOKUP(A115,Table!B:C,2,0)</f>
        <v>长安汽车</v>
      </c>
      <c r="F115" t="str">
        <f>TRIM(VLOOKUP(A115,Table!B:O,14,0))</f>
        <v>汽车行业</v>
      </c>
      <c r="G115" t="str">
        <f>VLOOKUP(F115,industry!A:C,2,0)</f>
        <v>汽车</v>
      </c>
      <c r="H115" t="str">
        <f>VLOOKUP(F115,industry!A:C,3,0)</f>
        <v>车</v>
      </c>
      <c r="J115" s="2" t="s">
        <v>12585</v>
      </c>
      <c r="K115" t="str">
        <f t="shared" si="8"/>
        <v>sz000625</v>
      </c>
      <c r="L115" t="str">
        <f t="shared" si="9"/>
        <v>长安汽车</v>
      </c>
      <c r="M115" t="str">
        <f t="shared" si="10"/>
        <v>汽车</v>
      </c>
      <c r="N115" t="str">
        <f t="shared" si="11"/>
        <v>车</v>
      </c>
      <c r="P115" s="2" t="s">
        <v>12585</v>
      </c>
      <c r="Q115" t="s">
        <v>9815</v>
      </c>
      <c r="R115">
        <v>0</v>
      </c>
    </row>
    <row r="116" spans="1:18" x14ac:dyDescent="0.25">
      <c r="A116" t="s">
        <v>10814</v>
      </c>
      <c r="C116" t="str">
        <f t="shared" si="6"/>
        <v>sh</v>
      </c>
      <c r="D116" t="str">
        <f t="shared" si="7"/>
        <v>sh601009</v>
      </c>
      <c r="E116" t="str">
        <f>VLOOKUP(A116,Table!B:C,2,0)</f>
        <v>南京银行</v>
      </c>
      <c r="F116" t="str">
        <f>TRIM(VLOOKUP(A116,Table!B:O,14,0))</f>
        <v>银行</v>
      </c>
      <c r="G116" t="str">
        <f>VLOOKUP(F116,industry!A:C,2,0)</f>
        <v>银行</v>
      </c>
      <c r="H116" t="str">
        <f>VLOOKUP(F116,industry!A:C,3,0)</f>
        <v>银</v>
      </c>
      <c r="J116" s="2" t="s">
        <v>12585</v>
      </c>
      <c r="K116" t="str">
        <f t="shared" si="8"/>
        <v>sh601009</v>
      </c>
      <c r="L116" t="str">
        <f t="shared" si="9"/>
        <v>南京银行</v>
      </c>
      <c r="M116" t="str">
        <f t="shared" si="10"/>
        <v>银行</v>
      </c>
      <c r="N116" t="str">
        <f t="shared" si="11"/>
        <v>银</v>
      </c>
      <c r="P116" s="2" t="s">
        <v>12585</v>
      </c>
      <c r="Q116" t="s">
        <v>9865</v>
      </c>
      <c r="R116">
        <v>0</v>
      </c>
    </row>
    <row r="117" spans="1:18" x14ac:dyDescent="0.25">
      <c r="A117" t="s">
        <v>10815</v>
      </c>
      <c r="C117" t="str">
        <f t="shared" si="6"/>
        <v>sz</v>
      </c>
      <c r="D117" t="str">
        <f t="shared" si="7"/>
        <v>sz300676</v>
      </c>
      <c r="E117" t="str">
        <f>VLOOKUP(A117,Table!B:C,2,0)</f>
        <v>华大基因</v>
      </c>
      <c r="F117" t="str">
        <f>TRIM(VLOOKUP(A117,Table!B:O,14,0))</f>
        <v>医药制造</v>
      </c>
      <c r="G117" t="str">
        <f>VLOOKUP(F117,industry!A:C,2,0)</f>
        <v>医药</v>
      </c>
      <c r="H117" t="str">
        <f>VLOOKUP(F117,industry!A:C,3,0)</f>
        <v>药</v>
      </c>
      <c r="J117" s="2" t="s">
        <v>12585</v>
      </c>
      <c r="K117" t="str">
        <f t="shared" si="8"/>
        <v>sz300676</v>
      </c>
      <c r="L117" t="str">
        <f t="shared" si="9"/>
        <v>华大基因</v>
      </c>
      <c r="M117" t="str">
        <f t="shared" si="10"/>
        <v>医药</v>
      </c>
      <c r="N117" t="str">
        <f t="shared" si="11"/>
        <v>药</v>
      </c>
      <c r="P117" s="2" t="s">
        <v>12585</v>
      </c>
      <c r="Q117" t="s">
        <v>12592</v>
      </c>
      <c r="R117">
        <v>0</v>
      </c>
    </row>
    <row r="118" spans="1:18" x14ac:dyDescent="0.25">
      <c r="A118" t="s">
        <v>10816</v>
      </c>
      <c r="C118" t="str">
        <f t="shared" si="6"/>
        <v>sh</v>
      </c>
      <c r="D118" t="str">
        <f t="shared" si="7"/>
        <v>sh600688</v>
      </c>
      <c r="E118" t="str">
        <f>VLOOKUP(A118,Table!B:C,2,0)</f>
        <v>上海石化</v>
      </c>
      <c r="F118" t="str">
        <f>TRIM(VLOOKUP(A118,Table!B:O,14,0))</f>
        <v>石油行业</v>
      </c>
      <c r="G118" t="str">
        <f>VLOOKUP(F118,industry!A:C,2,0)</f>
        <v>石油</v>
      </c>
      <c r="H118" t="str">
        <f>VLOOKUP(F118,industry!A:C,3,0)</f>
        <v>油</v>
      </c>
      <c r="J118" s="2" t="s">
        <v>12585</v>
      </c>
      <c r="K118" t="str">
        <f t="shared" si="8"/>
        <v>sh600688</v>
      </c>
      <c r="L118" t="str">
        <f t="shared" si="9"/>
        <v>上海石化</v>
      </c>
      <c r="M118" t="str">
        <f t="shared" si="10"/>
        <v>石油</v>
      </c>
      <c r="N118" t="str">
        <f t="shared" si="11"/>
        <v>油</v>
      </c>
      <c r="P118" s="2" t="s">
        <v>12585</v>
      </c>
      <c r="Q118" t="s">
        <v>9863</v>
      </c>
      <c r="R118">
        <v>0</v>
      </c>
    </row>
    <row r="119" spans="1:18" x14ac:dyDescent="0.25">
      <c r="A119" t="s">
        <v>10817</v>
      </c>
      <c r="C119" t="str">
        <f t="shared" si="6"/>
        <v>sz</v>
      </c>
      <c r="D119" t="str">
        <f t="shared" si="7"/>
        <v>sz002466</v>
      </c>
      <c r="E119" t="str">
        <f>VLOOKUP(A119,Table!B:C,2,0)</f>
        <v>天齐锂业</v>
      </c>
      <c r="F119" t="str">
        <f>TRIM(VLOOKUP(A119,Table!B:O,14,0))</f>
        <v>化工行业</v>
      </c>
      <c r="G119" t="str">
        <f>VLOOKUP(F119,industry!A:C,2,0)</f>
        <v>化工</v>
      </c>
      <c r="H119" t="str">
        <f>VLOOKUP(F119,industry!A:C,3,0)</f>
        <v>化</v>
      </c>
      <c r="J119" s="2" t="s">
        <v>12585</v>
      </c>
      <c r="K119" t="str">
        <f t="shared" si="8"/>
        <v>sz002466</v>
      </c>
      <c r="L119" t="str">
        <f t="shared" si="9"/>
        <v>天齐锂业</v>
      </c>
      <c r="M119" t="str">
        <f t="shared" si="10"/>
        <v>化工</v>
      </c>
      <c r="N119" t="str">
        <f t="shared" si="11"/>
        <v>化</v>
      </c>
      <c r="P119" s="2" t="s">
        <v>12585</v>
      </c>
      <c r="Q119" t="s">
        <v>10067</v>
      </c>
      <c r="R119">
        <v>0</v>
      </c>
    </row>
    <row r="120" spans="1:18" x14ac:dyDescent="0.25">
      <c r="A120" t="s">
        <v>10818</v>
      </c>
      <c r="C120" t="str">
        <f t="shared" si="6"/>
        <v>sz</v>
      </c>
      <c r="D120" t="str">
        <f t="shared" si="7"/>
        <v>sz002475</v>
      </c>
      <c r="E120" t="str">
        <f>VLOOKUP(A120,Table!B:C,2,0)</f>
        <v>立讯精密</v>
      </c>
      <c r="F120" t="str">
        <f>TRIM(VLOOKUP(A120,Table!B:O,14,0))</f>
        <v>电子元件</v>
      </c>
      <c r="G120" t="str">
        <f>VLOOKUP(F120,industry!A:C,2,0)</f>
        <v>原件</v>
      </c>
      <c r="H120" t="str">
        <f>VLOOKUP(F120,industry!A:C,3,0)</f>
        <v>元件</v>
      </c>
      <c r="J120" s="2" t="s">
        <v>12585</v>
      </c>
      <c r="K120" t="str">
        <f t="shared" si="8"/>
        <v>sz002475</v>
      </c>
      <c r="L120" t="str">
        <f t="shared" si="9"/>
        <v>立讯精密</v>
      </c>
      <c r="M120" t="str">
        <f t="shared" si="10"/>
        <v>原件</v>
      </c>
      <c r="N120" t="str">
        <f t="shared" si="11"/>
        <v>元件</v>
      </c>
      <c r="P120" s="2" t="s">
        <v>12585</v>
      </c>
      <c r="Q120" t="s">
        <v>9965</v>
      </c>
      <c r="R120">
        <v>0</v>
      </c>
    </row>
    <row r="121" spans="1:18" x14ac:dyDescent="0.25">
      <c r="A121" t="s">
        <v>10819</v>
      </c>
      <c r="C121" t="str">
        <f t="shared" si="6"/>
        <v>sz</v>
      </c>
      <c r="D121" t="str">
        <f t="shared" si="7"/>
        <v>sz002241</v>
      </c>
      <c r="E121" t="str">
        <f>VLOOKUP(A121,Table!B:C,2,0)</f>
        <v>歌尔股份</v>
      </c>
      <c r="F121" t="str">
        <f>TRIM(VLOOKUP(A121,Table!B:O,14,0))</f>
        <v>电子元件</v>
      </c>
      <c r="G121" t="str">
        <f>VLOOKUP(F121,industry!A:C,2,0)</f>
        <v>原件</v>
      </c>
      <c r="H121" t="str">
        <f>VLOOKUP(F121,industry!A:C,3,0)</f>
        <v>元件</v>
      </c>
      <c r="J121" s="2" t="s">
        <v>12585</v>
      </c>
      <c r="K121" t="str">
        <f t="shared" si="8"/>
        <v>sz002241</v>
      </c>
      <c r="L121" t="str">
        <f t="shared" si="9"/>
        <v>歌尔股份</v>
      </c>
      <c r="M121" t="str">
        <f t="shared" si="10"/>
        <v>原件</v>
      </c>
      <c r="N121" t="str">
        <f t="shared" si="11"/>
        <v>元件</v>
      </c>
      <c r="P121" s="2" t="s">
        <v>12585</v>
      </c>
      <c r="Q121" t="s">
        <v>9963</v>
      </c>
      <c r="R121">
        <v>0</v>
      </c>
    </row>
    <row r="122" spans="1:18" x14ac:dyDescent="0.25">
      <c r="A122" t="s">
        <v>10820</v>
      </c>
      <c r="C122" t="str">
        <f t="shared" si="6"/>
        <v>sh</v>
      </c>
      <c r="D122" t="str">
        <f t="shared" si="7"/>
        <v>sh601992</v>
      </c>
      <c r="E122" t="str">
        <f>VLOOKUP(A122,Table!B:C,2,0)</f>
        <v>金隅股份</v>
      </c>
      <c r="F122" t="str">
        <f>TRIM(VLOOKUP(A122,Table!B:O,14,0))</f>
        <v>水泥建材</v>
      </c>
      <c r="G122" t="str">
        <f>VLOOKUP(F122,industry!A:C,2,0)</f>
        <v>水泥</v>
      </c>
      <c r="H122" t="str">
        <f>VLOOKUP(F122,industry!A:C,3,0)</f>
        <v>泥</v>
      </c>
      <c r="J122" s="2" t="s">
        <v>12585</v>
      </c>
      <c r="K122" t="str">
        <f t="shared" si="8"/>
        <v>sh601992</v>
      </c>
      <c r="L122" t="str">
        <f t="shared" si="9"/>
        <v>金隅股份</v>
      </c>
      <c r="M122" t="str">
        <f t="shared" si="10"/>
        <v>水泥</v>
      </c>
      <c r="N122" t="str">
        <f t="shared" si="11"/>
        <v>泥</v>
      </c>
      <c r="P122" s="2" t="s">
        <v>12585</v>
      </c>
      <c r="Q122" t="s">
        <v>9967</v>
      </c>
      <c r="R122">
        <v>0</v>
      </c>
    </row>
    <row r="123" spans="1:18" x14ac:dyDescent="0.25">
      <c r="A123" t="s">
        <v>10821</v>
      </c>
      <c r="C123" t="str">
        <f t="shared" si="6"/>
        <v>sz</v>
      </c>
      <c r="D123" t="str">
        <f t="shared" si="7"/>
        <v>sz300072</v>
      </c>
      <c r="E123" t="str">
        <f>VLOOKUP(A123,Table!B:C,2,0)</f>
        <v>三聚环保</v>
      </c>
      <c r="F123" t="str">
        <f>TRIM(VLOOKUP(A123,Table!B:O,14,0))</f>
        <v>化工行业</v>
      </c>
      <c r="G123" t="str">
        <f>VLOOKUP(F123,industry!A:C,2,0)</f>
        <v>化工</v>
      </c>
      <c r="H123" t="str">
        <f>VLOOKUP(F123,industry!A:C,3,0)</f>
        <v>化</v>
      </c>
      <c r="J123" s="2" t="s">
        <v>12585</v>
      </c>
      <c r="K123" t="str">
        <f t="shared" si="8"/>
        <v>sz300072</v>
      </c>
      <c r="L123" t="str">
        <f t="shared" si="9"/>
        <v>三聚环保</v>
      </c>
      <c r="M123" t="str">
        <f t="shared" si="10"/>
        <v>化工</v>
      </c>
      <c r="N123" t="str">
        <f t="shared" si="11"/>
        <v>化</v>
      </c>
      <c r="P123" s="2" t="s">
        <v>12585</v>
      </c>
      <c r="Q123" t="s">
        <v>9935</v>
      </c>
      <c r="R123">
        <v>0</v>
      </c>
    </row>
    <row r="124" spans="1:18" x14ac:dyDescent="0.25">
      <c r="A124" t="s">
        <v>10822</v>
      </c>
      <c r="C124" t="str">
        <f t="shared" si="6"/>
        <v>sh</v>
      </c>
      <c r="D124" t="str">
        <f t="shared" si="7"/>
        <v>sh601607</v>
      </c>
      <c r="E124" t="str">
        <f>VLOOKUP(A124,Table!B:C,2,0)</f>
        <v>上海医药</v>
      </c>
      <c r="F124" t="str">
        <f>TRIM(VLOOKUP(A124,Table!B:O,14,0))</f>
        <v>医药制造</v>
      </c>
      <c r="G124" t="str">
        <f>VLOOKUP(F124,industry!A:C,2,0)</f>
        <v>医药</v>
      </c>
      <c r="H124" t="str">
        <f>VLOOKUP(F124,industry!A:C,3,0)</f>
        <v>药</v>
      </c>
      <c r="J124" s="2" t="s">
        <v>12585</v>
      </c>
      <c r="K124" t="str">
        <f t="shared" si="8"/>
        <v>sh601607</v>
      </c>
      <c r="L124" t="str">
        <f t="shared" si="9"/>
        <v>上海医药</v>
      </c>
      <c r="M124" t="str">
        <f t="shared" si="10"/>
        <v>医药</v>
      </c>
      <c r="N124" t="str">
        <f t="shared" si="11"/>
        <v>药</v>
      </c>
      <c r="P124" s="2" t="s">
        <v>12585</v>
      </c>
      <c r="Q124" t="s">
        <v>9927</v>
      </c>
      <c r="R124">
        <v>0</v>
      </c>
    </row>
    <row r="125" spans="1:18" x14ac:dyDescent="0.25">
      <c r="A125" t="s">
        <v>10823</v>
      </c>
      <c r="C125" t="str">
        <f t="shared" si="6"/>
        <v>sh</v>
      </c>
      <c r="D125" t="str">
        <f t="shared" si="7"/>
        <v>sh600660</v>
      </c>
      <c r="E125" t="str">
        <f>VLOOKUP(A125,Table!B:C,2,0)</f>
        <v>福耀玻璃</v>
      </c>
      <c r="F125" t="str">
        <f>TRIM(VLOOKUP(A125,Table!B:O,14,0))</f>
        <v>玻璃陶瓷</v>
      </c>
      <c r="G125" t="str">
        <f>VLOOKUP(F125,industry!A:C,2,0)</f>
        <v>玻璃</v>
      </c>
      <c r="H125" t="str">
        <f>VLOOKUP(F125,industry!A:C,3,0)</f>
        <v>瓷</v>
      </c>
      <c r="J125" s="2" t="s">
        <v>12585</v>
      </c>
      <c r="K125" t="str">
        <f t="shared" si="8"/>
        <v>sh600660</v>
      </c>
      <c r="L125" t="str">
        <f t="shared" si="9"/>
        <v>福耀玻璃</v>
      </c>
      <c r="M125" t="str">
        <f t="shared" si="10"/>
        <v>玻璃</v>
      </c>
      <c r="N125" t="str">
        <f t="shared" si="11"/>
        <v>瓷</v>
      </c>
      <c r="P125" s="2" t="s">
        <v>12585</v>
      </c>
      <c r="Q125" t="s">
        <v>9991</v>
      </c>
      <c r="R125">
        <v>0</v>
      </c>
    </row>
    <row r="126" spans="1:18" x14ac:dyDescent="0.25">
      <c r="A126" t="s">
        <v>10824</v>
      </c>
      <c r="C126" t="str">
        <f t="shared" si="6"/>
        <v>sh</v>
      </c>
      <c r="D126" t="str">
        <f t="shared" si="7"/>
        <v>sh600795</v>
      </c>
      <c r="E126" t="str">
        <f>VLOOKUP(A126,Table!B:C,2,0)</f>
        <v>国电电力</v>
      </c>
      <c r="F126" t="str">
        <f>TRIM(VLOOKUP(A126,Table!B:O,14,0))</f>
        <v>电力行业</v>
      </c>
      <c r="G126" t="str">
        <f>VLOOKUP(F126,industry!A:C,2,0)</f>
        <v>电力</v>
      </c>
      <c r="H126" t="str">
        <f>VLOOKUP(F126,industry!A:C,3,0)</f>
        <v>电力</v>
      </c>
      <c r="J126" s="2" t="s">
        <v>12585</v>
      </c>
      <c r="K126" t="str">
        <f t="shared" si="8"/>
        <v>sh600795</v>
      </c>
      <c r="L126" t="str">
        <f t="shared" si="9"/>
        <v>国电电力</v>
      </c>
      <c r="M126" t="str">
        <f t="shared" si="10"/>
        <v>电力</v>
      </c>
      <c r="N126" t="str">
        <f t="shared" si="11"/>
        <v>电力</v>
      </c>
      <c r="P126" s="2" t="s">
        <v>12585</v>
      </c>
      <c r="Q126" t="s">
        <v>9891</v>
      </c>
      <c r="R126">
        <v>0</v>
      </c>
    </row>
    <row r="127" spans="1:18" x14ac:dyDescent="0.25">
      <c r="A127" t="s">
        <v>10825</v>
      </c>
      <c r="C127" t="str">
        <f t="shared" si="6"/>
        <v>sz</v>
      </c>
      <c r="D127" t="str">
        <f t="shared" si="7"/>
        <v>sz000938</v>
      </c>
      <c r="E127" t="str">
        <f>VLOOKUP(A127,Table!B:C,2,0)</f>
        <v>紫光股份</v>
      </c>
      <c r="F127" t="str">
        <f>TRIM(VLOOKUP(A127,Table!B:O,14,0))</f>
        <v>电子信息</v>
      </c>
      <c r="G127" t="str">
        <f>VLOOKUP(F127,industry!A:C,2,0)</f>
        <v>信息</v>
      </c>
      <c r="H127" t="str">
        <f>VLOOKUP(F127,industry!A:C,3,0)</f>
        <v>咨</v>
      </c>
      <c r="J127" s="2" t="s">
        <v>12585</v>
      </c>
      <c r="K127" t="str">
        <f t="shared" si="8"/>
        <v>sz000938</v>
      </c>
      <c r="L127" t="str">
        <f t="shared" si="9"/>
        <v>紫光股份</v>
      </c>
      <c r="M127" t="str">
        <f t="shared" si="10"/>
        <v>信息</v>
      </c>
      <c r="N127" t="str">
        <f t="shared" si="11"/>
        <v>咨</v>
      </c>
      <c r="P127" s="2" t="s">
        <v>12585</v>
      </c>
      <c r="Q127" t="s">
        <v>9861</v>
      </c>
      <c r="R127">
        <v>0</v>
      </c>
    </row>
    <row r="128" spans="1:18" x14ac:dyDescent="0.25">
      <c r="A128" t="s">
        <v>10826</v>
      </c>
      <c r="C128" t="str">
        <f t="shared" si="6"/>
        <v>sh</v>
      </c>
      <c r="D128" t="str">
        <f t="shared" si="7"/>
        <v>sh600362</v>
      </c>
      <c r="E128" t="str">
        <f>VLOOKUP(A128,Table!B:C,2,0)</f>
        <v>江西铜业</v>
      </c>
      <c r="F128" t="str">
        <f>TRIM(VLOOKUP(A128,Table!B:O,14,0))</f>
        <v>有色金属</v>
      </c>
      <c r="G128" t="str">
        <f>VLOOKUP(F128,industry!A:C,2,0)</f>
        <v>有色</v>
      </c>
      <c r="H128" t="str">
        <f>VLOOKUP(F128,industry!A:C,3,0)</f>
        <v>色</v>
      </c>
      <c r="J128" s="2" t="s">
        <v>12585</v>
      </c>
      <c r="K128" t="str">
        <f t="shared" si="8"/>
        <v>sh600362</v>
      </c>
      <c r="L128" t="str">
        <f t="shared" si="9"/>
        <v>江西铜业</v>
      </c>
      <c r="M128" t="str">
        <f t="shared" si="10"/>
        <v>有色</v>
      </c>
      <c r="N128" t="str">
        <f t="shared" si="11"/>
        <v>色</v>
      </c>
      <c r="P128" s="2" t="s">
        <v>12585</v>
      </c>
      <c r="Q128" t="s">
        <v>9943</v>
      </c>
      <c r="R128">
        <v>0</v>
      </c>
    </row>
    <row r="129" spans="1:18" x14ac:dyDescent="0.25">
      <c r="A129" t="s">
        <v>10827</v>
      </c>
      <c r="C129" t="str">
        <f t="shared" si="6"/>
        <v>sh</v>
      </c>
      <c r="D129" t="str">
        <f t="shared" si="7"/>
        <v>sh600233</v>
      </c>
      <c r="E129" t="str">
        <f>VLOOKUP(A129,Table!B:C,2,0)</f>
        <v>圆通速递</v>
      </c>
      <c r="F129" t="str">
        <f>TRIM(VLOOKUP(A129,Table!B:O,14,0))</f>
        <v>交运物流</v>
      </c>
      <c r="G129" t="str">
        <f>VLOOKUP(F129,industry!A:C,2,0)</f>
        <v>物流</v>
      </c>
      <c r="H129" t="str">
        <f>VLOOKUP(F129,industry!A:C,3,0)</f>
        <v>物</v>
      </c>
      <c r="J129" s="2" t="s">
        <v>12585</v>
      </c>
      <c r="K129" t="str">
        <f t="shared" si="8"/>
        <v>sh600233</v>
      </c>
      <c r="L129" t="str">
        <f t="shared" si="9"/>
        <v>圆通速递</v>
      </c>
      <c r="M129" t="str">
        <f t="shared" si="10"/>
        <v>物流</v>
      </c>
      <c r="N129" t="str">
        <f t="shared" si="11"/>
        <v>物</v>
      </c>
      <c r="P129" s="2" t="s">
        <v>12585</v>
      </c>
      <c r="Q129" t="s">
        <v>9771</v>
      </c>
      <c r="R129">
        <v>0</v>
      </c>
    </row>
    <row r="130" spans="1:18" x14ac:dyDescent="0.25">
      <c r="A130" t="s">
        <v>10828</v>
      </c>
      <c r="C130" t="str">
        <f t="shared" si="6"/>
        <v>sz</v>
      </c>
      <c r="D130" t="str">
        <f t="shared" si="7"/>
        <v>sz000338</v>
      </c>
      <c r="E130" t="str">
        <f>VLOOKUP(A130,Table!B:C,2,0)</f>
        <v>潍柴动力</v>
      </c>
      <c r="F130" t="str">
        <f>TRIM(VLOOKUP(A130,Table!B:O,14,0))</f>
        <v>机械行业</v>
      </c>
      <c r="G130" t="str">
        <f>VLOOKUP(F130,industry!A:C,2,0)</f>
        <v>机械</v>
      </c>
      <c r="H130" t="str">
        <f>VLOOKUP(F130,industry!A:C,3,0)</f>
        <v>械</v>
      </c>
      <c r="J130" s="2" t="s">
        <v>12585</v>
      </c>
      <c r="K130" t="str">
        <f t="shared" si="8"/>
        <v>sz000338</v>
      </c>
      <c r="L130" t="str">
        <f t="shared" si="9"/>
        <v>潍柴动力</v>
      </c>
      <c r="M130" t="str">
        <f t="shared" si="10"/>
        <v>机械</v>
      </c>
      <c r="N130" t="str">
        <f t="shared" si="11"/>
        <v>械</v>
      </c>
      <c r="P130" s="2" t="s">
        <v>12585</v>
      </c>
      <c r="Q130" t="s">
        <v>10083</v>
      </c>
      <c r="R130">
        <v>0</v>
      </c>
    </row>
    <row r="131" spans="1:18" x14ac:dyDescent="0.25">
      <c r="A131" t="s">
        <v>10829</v>
      </c>
      <c r="C131" t="str">
        <f t="shared" ref="C131:C194" si="12">IF(LEFT(A131,1)="6","sh","sz")</f>
        <v>sz</v>
      </c>
      <c r="D131" t="str">
        <f t="shared" ref="D131:D194" si="13">C131 &amp; A131</f>
        <v>sz002460</v>
      </c>
      <c r="E131" t="str">
        <f>VLOOKUP(A131,Table!B:C,2,0)</f>
        <v>赣锋锂业</v>
      </c>
      <c r="F131" t="str">
        <f>TRIM(VLOOKUP(A131,Table!B:O,14,0))</f>
        <v>有色金属</v>
      </c>
      <c r="G131" t="str">
        <f>VLOOKUP(F131,industry!A:C,2,0)</f>
        <v>有色</v>
      </c>
      <c r="H131" t="str">
        <f>VLOOKUP(F131,industry!A:C,3,0)</f>
        <v>色</v>
      </c>
      <c r="J131" s="2" t="s">
        <v>12585</v>
      </c>
      <c r="K131" t="str">
        <f t="shared" ref="K131:K194" si="14">D131</f>
        <v>sz002460</v>
      </c>
      <c r="L131" t="str">
        <f t="shared" ref="L131:L194" si="15">E131</f>
        <v>赣锋锂业</v>
      </c>
      <c r="M131" t="str">
        <f t="shared" ref="M131:M194" si="16">G131</f>
        <v>有色</v>
      </c>
      <c r="N131" t="str">
        <f t="shared" ref="N131:N194" si="17">H131</f>
        <v>色</v>
      </c>
      <c r="P131" s="2" t="s">
        <v>12585</v>
      </c>
      <c r="Q131" t="s">
        <v>10476</v>
      </c>
      <c r="R131">
        <v>0</v>
      </c>
    </row>
    <row r="132" spans="1:18" x14ac:dyDescent="0.25">
      <c r="A132" t="s">
        <v>10830</v>
      </c>
      <c r="C132" t="str">
        <f t="shared" si="12"/>
        <v>sz</v>
      </c>
      <c r="D132" t="str">
        <f t="shared" si="13"/>
        <v>sz002120</v>
      </c>
      <c r="E132" t="str">
        <f>VLOOKUP(A132,Table!B:C,2,0)</f>
        <v>韵达股份</v>
      </c>
      <c r="F132" t="str">
        <f>TRIM(VLOOKUP(A132,Table!B:O,14,0))</f>
        <v>交运物流</v>
      </c>
      <c r="G132" t="str">
        <f>VLOOKUP(F132,industry!A:C,2,0)</f>
        <v>物流</v>
      </c>
      <c r="H132" t="str">
        <f>VLOOKUP(F132,industry!A:C,3,0)</f>
        <v>物</v>
      </c>
      <c r="J132" s="2" t="s">
        <v>12585</v>
      </c>
      <c r="K132" t="str">
        <f t="shared" si="14"/>
        <v>sz002120</v>
      </c>
      <c r="L132" t="str">
        <f t="shared" si="15"/>
        <v>韵达股份</v>
      </c>
      <c r="M132" t="str">
        <f t="shared" si="16"/>
        <v>物流</v>
      </c>
      <c r="N132" t="str">
        <f t="shared" si="17"/>
        <v>物</v>
      </c>
      <c r="P132" s="2" t="s">
        <v>12585</v>
      </c>
      <c r="Q132" t="s">
        <v>12593</v>
      </c>
      <c r="R132">
        <v>0</v>
      </c>
    </row>
    <row r="133" spans="1:18" x14ac:dyDescent="0.25">
      <c r="A133" t="s">
        <v>10831</v>
      </c>
      <c r="C133" t="str">
        <f t="shared" si="12"/>
        <v>sh</v>
      </c>
      <c r="D133" t="str">
        <f t="shared" si="13"/>
        <v>sh600188</v>
      </c>
      <c r="E133" t="str">
        <f>VLOOKUP(A133,Table!B:C,2,0)</f>
        <v>兖州煤业</v>
      </c>
      <c r="F133" t="str">
        <f>TRIM(VLOOKUP(A133,Table!B:O,14,0))</f>
        <v>煤炭采选</v>
      </c>
      <c r="G133" t="str">
        <f>VLOOKUP(F133,industry!A:C,2,0)</f>
        <v>煤炭</v>
      </c>
      <c r="H133" t="str">
        <f>VLOOKUP(F133,industry!A:C,3,0)</f>
        <v>煤</v>
      </c>
      <c r="J133" s="2" t="s">
        <v>12585</v>
      </c>
      <c r="K133" t="str">
        <f t="shared" si="14"/>
        <v>sh600188</v>
      </c>
      <c r="L133" t="str">
        <f t="shared" si="15"/>
        <v>兖州煤业</v>
      </c>
      <c r="M133" t="str">
        <f t="shared" si="16"/>
        <v>煤炭</v>
      </c>
      <c r="N133" t="str">
        <f t="shared" si="17"/>
        <v>煤</v>
      </c>
      <c r="P133" s="2" t="s">
        <v>12585</v>
      </c>
      <c r="Q133" t="s">
        <v>9869</v>
      </c>
      <c r="R133">
        <v>0</v>
      </c>
    </row>
    <row r="134" spans="1:18" x14ac:dyDescent="0.25">
      <c r="A134" t="s">
        <v>10832</v>
      </c>
      <c r="C134" t="str">
        <f t="shared" si="12"/>
        <v>sz</v>
      </c>
      <c r="D134" t="str">
        <f t="shared" si="13"/>
        <v>sz300104</v>
      </c>
      <c r="E134" t="str">
        <f>VLOOKUP(A134,Table!B:C,2,0)</f>
        <v>乐视网</v>
      </c>
      <c r="F134" t="str">
        <f>TRIM(VLOOKUP(A134,Table!B:O,14,0))</f>
        <v>文化传媒</v>
      </c>
      <c r="G134" t="str">
        <f>VLOOKUP(F134,industry!A:C,2,0)</f>
        <v>传媒</v>
      </c>
      <c r="H134" t="str">
        <f>VLOOKUP(F134,industry!A:C,3,0)</f>
        <v>传</v>
      </c>
      <c r="J134" s="2" t="s">
        <v>12585</v>
      </c>
      <c r="K134" t="str">
        <f t="shared" si="14"/>
        <v>sz300104</v>
      </c>
      <c r="L134" t="str">
        <f t="shared" si="15"/>
        <v>乐视网</v>
      </c>
      <c r="M134" t="str">
        <f t="shared" si="16"/>
        <v>传媒</v>
      </c>
      <c r="N134" t="str">
        <f t="shared" si="17"/>
        <v>传</v>
      </c>
      <c r="P134" s="2" t="s">
        <v>12585</v>
      </c>
      <c r="Q134" t="s">
        <v>9787</v>
      </c>
      <c r="R134">
        <v>0</v>
      </c>
    </row>
    <row r="135" spans="1:18" x14ac:dyDescent="0.25">
      <c r="A135" t="s">
        <v>10833</v>
      </c>
      <c r="C135" t="str">
        <f t="shared" si="12"/>
        <v>sz</v>
      </c>
      <c r="D135" t="str">
        <f t="shared" si="13"/>
        <v>sz002739</v>
      </c>
      <c r="E135" t="str">
        <f>VLOOKUP(A135,Table!B:C,2,0)</f>
        <v>万达电影</v>
      </c>
      <c r="F135" t="str">
        <f>TRIM(VLOOKUP(A135,Table!B:O,14,0))</f>
        <v>文化传媒</v>
      </c>
      <c r="G135" t="str">
        <f>VLOOKUP(F135,industry!A:C,2,0)</f>
        <v>传媒</v>
      </c>
      <c r="H135" t="str">
        <f>VLOOKUP(F135,industry!A:C,3,0)</f>
        <v>传</v>
      </c>
      <c r="J135" s="2" t="s">
        <v>12585</v>
      </c>
      <c r="K135" t="str">
        <f t="shared" si="14"/>
        <v>sz002739</v>
      </c>
      <c r="L135" t="str">
        <f t="shared" si="15"/>
        <v>万达电影</v>
      </c>
      <c r="M135" t="str">
        <f t="shared" si="16"/>
        <v>传媒</v>
      </c>
      <c r="N135" t="str">
        <f t="shared" si="17"/>
        <v>传</v>
      </c>
      <c r="P135" s="2" t="s">
        <v>12585</v>
      </c>
      <c r="Q135" t="s">
        <v>9811</v>
      </c>
      <c r="R135">
        <v>0</v>
      </c>
    </row>
    <row r="136" spans="1:18" x14ac:dyDescent="0.25">
      <c r="A136" t="s">
        <v>10834</v>
      </c>
      <c r="C136" t="str">
        <f t="shared" si="12"/>
        <v>sh</v>
      </c>
      <c r="D136" t="str">
        <f t="shared" si="13"/>
        <v>sh600816</v>
      </c>
      <c r="E136" t="str">
        <f>VLOOKUP(A136,Table!B:C,2,0)</f>
        <v>安信信托</v>
      </c>
      <c r="F136" t="str">
        <f>TRIM(VLOOKUP(A136,Table!B:O,14,0))</f>
        <v>券商信托</v>
      </c>
      <c r="G136" t="str">
        <f>VLOOKUP(F136,industry!A:C,2,0)</f>
        <v>券商</v>
      </c>
      <c r="H136" t="str">
        <f>VLOOKUP(F136,industry!A:C,3,0)</f>
        <v>券</v>
      </c>
      <c r="J136" s="2" t="s">
        <v>12585</v>
      </c>
      <c r="K136" t="str">
        <f t="shared" si="14"/>
        <v>sh600816</v>
      </c>
      <c r="L136" t="str">
        <f t="shared" si="15"/>
        <v>安信信托</v>
      </c>
      <c r="M136" t="str">
        <f t="shared" si="16"/>
        <v>券商</v>
      </c>
      <c r="N136" t="str">
        <f t="shared" si="17"/>
        <v>券</v>
      </c>
      <c r="P136" s="2" t="s">
        <v>12585</v>
      </c>
      <c r="Q136" t="s">
        <v>10065</v>
      </c>
      <c r="R136">
        <v>0</v>
      </c>
    </row>
    <row r="137" spans="1:18" x14ac:dyDescent="0.25">
      <c r="A137" t="s">
        <v>10835</v>
      </c>
      <c r="C137" t="str">
        <f t="shared" si="12"/>
        <v>sh</v>
      </c>
      <c r="D137" t="str">
        <f t="shared" si="13"/>
        <v>sh601991</v>
      </c>
      <c r="E137" t="str">
        <f>VLOOKUP(A137,Table!B:C,2,0)</f>
        <v>大唐发电</v>
      </c>
      <c r="F137" t="str">
        <f>TRIM(VLOOKUP(A137,Table!B:O,14,0))</f>
        <v>电力行业</v>
      </c>
      <c r="G137" t="str">
        <f>VLOOKUP(F137,industry!A:C,2,0)</f>
        <v>电力</v>
      </c>
      <c r="H137" t="str">
        <f>VLOOKUP(F137,industry!A:C,3,0)</f>
        <v>电力</v>
      </c>
      <c r="J137" s="2" t="s">
        <v>12585</v>
      </c>
      <c r="K137" t="str">
        <f t="shared" si="14"/>
        <v>sh601991</v>
      </c>
      <c r="L137" t="str">
        <f t="shared" si="15"/>
        <v>大唐发电</v>
      </c>
      <c r="M137" t="str">
        <f t="shared" si="16"/>
        <v>电力</v>
      </c>
      <c r="N137" t="str">
        <f t="shared" si="17"/>
        <v>电力</v>
      </c>
      <c r="P137" s="2" t="s">
        <v>12585</v>
      </c>
      <c r="Q137" t="s">
        <v>9937</v>
      </c>
      <c r="R137">
        <v>0</v>
      </c>
    </row>
    <row r="138" spans="1:18" x14ac:dyDescent="0.25">
      <c r="A138" t="s">
        <v>10836</v>
      </c>
      <c r="C138" t="str">
        <f t="shared" si="12"/>
        <v>sz</v>
      </c>
      <c r="D138" t="str">
        <f t="shared" si="13"/>
        <v>sz002456</v>
      </c>
      <c r="E138" t="str">
        <f>VLOOKUP(A138,Table!B:C,2,0)</f>
        <v>欧菲光</v>
      </c>
      <c r="F138" t="str">
        <f>TRIM(VLOOKUP(A138,Table!B:O,14,0))</f>
        <v>电子元件</v>
      </c>
      <c r="G138" t="str">
        <f>VLOOKUP(F138,industry!A:C,2,0)</f>
        <v>原件</v>
      </c>
      <c r="H138" t="str">
        <f>VLOOKUP(F138,industry!A:C,3,0)</f>
        <v>元件</v>
      </c>
      <c r="J138" s="2" t="s">
        <v>12585</v>
      </c>
      <c r="K138" t="str">
        <f t="shared" si="14"/>
        <v>sz002456</v>
      </c>
      <c r="L138" t="str">
        <f t="shared" si="15"/>
        <v>欧菲光</v>
      </c>
      <c r="M138" t="str">
        <f t="shared" si="16"/>
        <v>原件</v>
      </c>
      <c r="N138" t="str">
        <f t="shared" si="17"/>
        <v>元件</v>
      </c>
      <c r="P138" s="2" t="s">
        <v>12585</v>
      </c>
      <c r="Q138" t="s">
        <v>10039</v>
      </c>
      <c r="R138">
        <v>0</v>
      </c>
    </row>
    <row r="139" spans="1:18" x14ac:dyDescent="0.25">
      <c r="A139" t="s">
        <v>10837</v>
      </c>
      <c r="C139" t="str">
        <f t="shared" si="12"/>
        <v>sz</v>
      </c>
      <c r="D139" t="str">
        <f t="shared" si="13"/>
        <v>sz300070</v>
      </c>
      <c r="E139" t="str">
        <f>VLOOKUP(A139,Table!B:C,2,0)</f>
        <v>碧水源</v>
      </c>
      <c r="F139" t="str">
        <f>TRIM(VLOOKUP(A139,Table!B:O,14,0))</f>
        <v>环保工程</v>
      </c>
      <c r="G139" t="str">
        <f>VLOOKUP(F139,industry!A:C,2,0)</f>
        <v>环保</v>
      </c>
      <c r="H139" t="str">
        <f>VLOOKUP(F139,industry!A:C,3,0)</f>
        <v>环</v>
      </c>
      <c r="J139" s="2" t="s">
        <v>12585</v>
      </c>
      <c r="K139" t="str">
        <f t="shared" si="14"/>
        <v>sz300070</v>
      </c>
      <c r="L139" t="str">
        <f t="shared" si="15"/>
        <v>碧水源</v>
      </c>
      <c r="M139" t="str">
        <f t="shared" si="16"/>
        <v>环保</v>
      </c>
      <c r="N139" t="str">
        <f t="shared" si="17"/>
        <v>环</v>
      </c>
      <c r="P139" s="2" t="s">
        <v>12585</v>
      </c>
      <c r="Q139" t="s">
        <v>9897</v>
      </c>
      <c r="R139">
        <v>0</v>
      </c>
    </row>
    <row r="140" spans="1:18" x14ac:dyDescent="0.25">
      <c r="A140" t="s">
        <v>10838</v>
      </c>
      <c r="C140" t="str">
        <f t="shared" si="12"/>
        <v>sh</v>
      </c>
      <c r="D140" t="str">
        <f t="shared" si="13"/>
        <v>sh600031</v>
      </c>
      <c r="E140" t="str">
        <f>VLOOKUP(A140,Table!B:C,2,0)</f>
        <v>三一重工</v>
      </c>
      <c r="F140" t="str">
        <f>TRIM(VLOOKUP(A140,Table!B:O,14,0))</f>
        <v>机械行业</v>
      </c>
      <c r="G140" t="str">
        <f>VLOOKUP(F140,industry!A:C,2,0)</f>
        <v>机械</v>
      </c>
      <c r="H140" t="str">
        <f>VLOOKUP(F140,industry!A:C,3,0)</f>
        <v>械</v>
      </c>
      <c r="J140" s="2" t="s">
        <v>12585</v>
      </c>
      <c r="K140" t="str">
        <f t="shared" si="14"/>
        <v>sh600031</v>
      </c>
      <c r="L140" t="str">
        <f t="shared" si="15"/>
        <v>三一重工</v>
      </c>
      <c r="M140" t="str">
        <f t="shared" si="16"/>
        <v>机械</v>
      </c>
      <c r="N140" t="str">
        <f t="shared" si="17"/>
        <v>械</v>
      </c>
      <c r="P140" s="2" t="s">
        <v>12585</v>
      </c>
      <c r="Q140" t="s">
        <v>9975</v>
      </c>
      <c r="R140">
        <v>0</v>
      </c>
    </row>
    <row r="141" spans="1:18" x14ac:dyDescent="0.25">
      <c r="A141" t="s">
        <v>10839</v>
      </c>
      <c r="C141" t="str">
        <f t="shared" si="12"/>
        <v>sz</v>
      </c>
      <c r="D141" t="str">
        <f t="shared" si="13"/>
        <v>sz300059</v>
      </c>
      <c r="E141" t="str">
        <f>VLOOKUP(A141,Table!B:C,2,0)</f>
        <v>东方财富</v>
      </c>
      <c r="F141" t="str">
        <f>TRIM(VLOOKUP(A141,Table!B:O,14,0))</f>
        <v>电子信息</v>
      </c>
      <c r="G141" t="str">
        <f>VLOOKUP(F141,industry!A:C,2,0)</f>
        <v>信息</v>
      </c>
      <c r="H141" t="str">
        <f>VLOOKUP(F141,industry!A:C,3,0)</f>
        <v>咨</v>
      </c>
      <c r="J141" s="2" t="s">
        <v>12585</v>
      </c>
      <c r="K141" t="str">
        <f t="shared" si="14"/>
        <v>sz300059</v>
      </c>
      <c r="L141" t="str">
        <f t="shared" si="15"/>
        <v>东方财富</v>
      </c>
      <c r="M141" t="str">
        <f t="shared" si="16"/>
        <v>信息</v>
      </c>
      <c r="N141" t="str">
        <f t="shared" si="17"/>
        <v>咨</v>
      </c>
      <c r="P141" s="2" t="s">
        <v>12585</v>
      </c>
      <c r="Q141" t="s">
        <v>9827</v>
      </c>
      <c r="R141">
        <v>0</v>
      </c>
    </row>
    <row r="142" spans="1:18" x14ac:dyDescent="0.25">
      <c r="A142" t="s">
        <v>10840</v>
      </c>
      <c r="C142" t="str">
        <f t="shared" si="12"/>
        <v>sh</v>
      </c>
      <c r="D142" t="str">
        <f t="shared" si="13"/>
        <v>sh601212</v>
      </c>
      <c r="E142" t="str">
        <f>VLOOKUP(A142,Table!B:C,2,0)</f>
        <v>白银有色</v>
      </c>
      <c r="F142" t="str">
        <f>TRIM(VLOOKUP(A142,Table!B:O,14,0))</f>
        <v>有色金属</v>
      </c>
      <c r="G142" t="str">
        <f>VLOOKUP(F142,industry!A:C,2,0)</f>
        <v>有色</v>
      </c>
      <c r="H142" t="str">
        <f>VLOOKUP(F142,industry!A:C,3,0)</f>
        <v>色</v>
      </c>
      <c r="J142" s="2" t="s">
        <v>12585</v>
      </c>
      <c r="K142" t="str">
        <f t="shared" si="14"/>
        <v>sh601212</v>
      </c>
      <c r="L142" t="str">
        <f t="shared" si="15"/>
        <v>白银有色</v>
      </c>
      <c r="M142" t="str">
        <f t="shared" si="16"/>
        <v>有色</v>
      </c>
      <c r="N142" t="str">
        <f t="shared" si="17"/>
        <v>色</v>
      </c>
      <c r="P142" s="2" t="s">
        <v>12585</v>
      </c>
      <c r="Q142" t="s">
        <v>12594</v>
      </c>
      <c r="R142">
        <v>0</v>
      </c>
    </row>
    <row r="143" spans="1:18" x14ac:dyDescent="0.25">
      <c r="A143" t="s">
        <v>10841</v>
      </c>
      <c r="C143" t="str">
        <f t="shared" si="12"/>
        <v>sh</v>
      </c>
      <c r="D143" t="str">
        <f t="shared" si="13"/>
        <v>sh600297</v>
      </c>
      <c r="E143" t="str">
        <f>VLOOKUP(A143,Table!B:C,2,0)</f>
        <v>广汇汽车</v>
      </c>
      <c r="F143" t="str">
        <f>TRIM(VLOOKUP(A143,Table!B:O,14,0))</f>
        <v>汽车行业</v>
      </c>
      <c r="G143" t="str">
        <f>VLOOKUP(F143,industry!A:C,2,0)</f>
        <v>汽车</v>
      </c>
      <c r="H143" t="str">
        <f>VLOOKUP(F143,industry!A:C,3,0)</f>
        <v>车</v>
      </c>
      <c r="J143" s="2" t="s">
        <v>12585</v>
      </c>
      <c r="K143" t="str">
        <f t="shared" si="14"/>
        <v>sh600297</v>
      </c>
      <c r="L143" t="str">
        <f t="shared" si="15"/>
        <v>广汇汽车</v>
      </c>
      <c r="M143" t="str">
        <f t="shared" si="16"/>
        <v>汽车</v>
      </c>
      <c r="N143" t="str">
        <f t="shared" si="17"/>
        <v>车</v>
      </c>
      <c r="P143" s="2" t="s">
        <v>12585</v>
      </c>
      <c r="Q143" t="s">
        <v>9959</v>
      </c>
      <c r="R143">
        <v>0</v>
      </c>
    </row>
    <row r="144" spans="1:18" x14ac:dyDescent="0.25">
      <c r="A144" t="s">
        <v>10842</v>
      </c>
      <c r="C144" t="str">
        <f t="shared" si="12"/>
        <v>sh</v>
      </c>
      <c r="D144" t="str">
        <f t="shared" si="13"/>
        <v>sh600061</v>
      </c>
      <c r="E144" t="str">
        <f>VLOOKUP(A144,Table!B:C,2,0)</f>
        <v>国投安信</v>
      </c>
      <c r="F144" t="str">
        <f>TRIM(VLOOKUP(A144,Table!B:O,14,0))</f>
        <v>券商信托</v>
      </c>
      <c r="G144" t="str">
        <f>VLOOKUP(F144,industry!A:C,2,0)</f>
        <v>券商</v>
      </c>
      <c r="H144" t="str">
        <f>VLOOKUP(F144,industry!A:C,3,0)</f>
        <v>券</v>
      </c>
      <c r="J144" s="2" t="s">
        <v>12585</v>
      </c>
      <c r="K144" t="str">
        <f t="shared" si="14"/>
        <v>sh600061</v>
      </c>
      <c r="L144" t="str">
        <f t="shared" si="15"/>
        <v>国投安信</v>
      </c>
      <c r="M144" t="str">
        <f t="shared" si="16"/>
        <v>券商</v>
      </c>
      <c r="N144" t="str">
        <f t="shared" si="17"/>
        <v>券</v>
      </c>
      <c r="P144" s="2" t="s">
        <v>12585</v>
      </c>
      <c r="Q144" t="s">
        <v>9887</v>
      </c>
      <c r="R144">
        <v>0</v>
      </c>
    </row>
    <row r="145" spans="1:18" x14ac:dyDescent="0.25">
      <c r="A145" t="s">
        <v>10843</v>
      </c>
      <c r="C145" t="str">
        <f t="shared" si="12"/>
        <v>sh</v>
      </c>
      <c r="D145" t="str">
        <f t="shared" si="13"/>
        <v>sh600547</v>
      </c>
      <c r="E145" t="str">
        <f>VLOOKUP(A145,Table!B:C,2,0)</f>
        <v>山东黄金</v>
      </c>
      <c r="F145" t="str">
        <f>TRIM(VLOOKUP(A145,Table!B:O,14,0))</f>
        <v>贵金属</v>
      </c>
      <c r="G145" t="str">
        <f>VLOOKUP(F145,industry!A:C,2,0)</f>
        <v>贵金</v>
      </c>
      <c r="H145" t="str">
        <f>VLOOKUP(F145,industry!A:C,3,0)</f>
        <v>贵</v>
      </c>
      <c r="J145" s="2" t="s">
        <v>12585</v>
      </c>
      <c r="K145" t="str">
        <f t="shared" si="14"/>
        <v>sh600547</v>
      </c>
      <c r="L145" t="str">
        <f t="shared" si="15"/>
        <v>山东黄金</v>
      </c>
      <c r="M145" t="str">
        <f t="shared" si="16"/>
        <v>贵金</v>
      </c>
      <c r="N145" t="str">
        <f t="shared" si="17"/>
        <v>贵</v>
      </c>
      <c r="P145" s="2" t="s">
        <v>12585</v>
      </c>
      <c r="Q145" t="s">
        <v>9819</v>
      </c>
      <c r="R145">
        <v>0</v>
      </c>
    </row>
    <row r="146" spans="1:18" x14ac:dyDescent="0.25">
      <c r="A146" t="s">
        <v>10844</v>
      </c>
      <c r="C146" t="str">
        <f t="shared" si="12"/>
        <v>sh</v>
      </c>
      <c r="D146" t="str">
        <f t="shared" si="13"/>
        <v>sh600515</v>
      </c>
      <c r="E146" t="str">
        <f>VLOOKUP(A146,Table!B:C,2,0)</f>
        <v>海航基础</v>
      </c>
      <c r="F146" t="str">
        <f>TRIM(VLOOKUP(A146,Table!B:O,14,0))</f>
        <v>房地产</v>
      </c>
      <c r="G146" t="str">
        <f>VLOOKUP(F146,industry!A:C,2,0)</f>
        <v>房产</v>
      </c>
      <c r="H146" t="str">
        <f>VLOOKUP(F146,industry!A:C,3,0)</f>
        <v>产</v>
      </c>
      <c r="J146" s="2" t="s">
        <v>12585</v>
      </c>
      <c r="K146" t="str">
        <f t="shared" si="14"/>
        <v>sh600515</v>
      </c>
      <c r="L146" t="str">
        <f t="shared" si="15"/>
        <v>海航基础</v>
      </c>
      <c r="M146" t="str">
        <f t="shared" si="16"/>
        <v>房产</v>
      </c>
      <c r="N146" t="str">
        <f t="shared" si="17"/>
        <v>产</v>
      </c>
      <c r="P146" s="2" t="s">
        <v>12585</v>
      </c>
      <c r="Q146" t="s">
        <v>9945</v>
      </c>
      <c r="R146">
        <v>0</v>
      </c>
    </row>
    <row r="147" spans="1:18" x14ac:dyDescent="0.25">
      <c r="A147" t="s">
        <v>10845</v>
      </c>
      <c r="C147" t="str">
        <f t="shared" si="12"/>
        <v>sh</v>
      </c>
      <c r="D147" t="str">
        <f t="shared" si="13"/>
        <v>sh601012</v>
      </c>
      <c r="E147" t="str">
        <f>VLOOKUP(A147,Table!B:C,2,0)</f>
        <v>隆基股份</v>
      </c>
      <c r="F147" t="str">
        <f>TRIM(VLOOKUP(A147,Table!B:O,14,0))</f>
        <v>材料行业</v>
      </c>
      <c r="G147" t="str">
        <f>VLOOKUP(F147,industry!A:C,2,0)</f>
        <v>材料</v>
      </c>
      <c r="H147" t="str">
        <f>VLOOKUP(F147,industry!A:C,3,0)</f>
        <v>材</v>
      </c>
      <c r="J147" s="2" t="s">
        <v>12585</v>
      </c>
      <c r="K147" t="str">
        <f t="shared" si="14"/>
        <v>sh601012</v>
      </c>
      <c r="L147" t="str">
        <f t="shared" si="15"/>
        <v>隆基股份</v>
      </c>
      <c r="M147" t="str">
        <f t="shared" si="16"/>
        <v>材料</v>
      </c>
      <c r="N147" t="str">
        <f t="shared" si="17"/>
        <v>材</v>
      </c>
      <c r="P147" s="2" t="s">
        <v>12585</v>
      </c>
      <c r="Q147" t="s">
        <v>10314</v>
      </c>
      <c r="R147">
        <v>0</v>
      </c>
    </row>
    <row r="148" spans="1:18" x14ac:dyDescent="0.25">
      <c r="A148" t="s">
        <v>10846</v>
      </c>
      <c r="C148" t="str">
        <f t="shared" si="12"/>
        <v>sz</v>
      </c>
      <c r="D148" t="str">
        <f t="shared" si="13"/>
        <v>sz002310</v>
      </c>
      <c r="E148" t="str">
        <f>VLOOKUP(A148,Table!B:C,2,0)</f>
        <v>东方园林</v>
      </c>
      <c r="F148" t="str">
        <f>TRIM(VLOOKUP(A148,Table!B:O,14,0))</f>
        <v>园林工程</v>
      </c>
      <c r="G148" t="str">
        <f>VLOOKUP(F148,industry!A:C,2,0)</f>
        <v>园林</v>
      </c>
      <c r="H148" t="str">
        <f>VLOOKUP(F148,industry!A:C,3,0)</f>
        <v>园</v>
      </c>
      <c r="J148" s="2" t="s">
        <v>12585</v>
      </c>
      <c r="K148" t="str">
        <f t="shared" si="14"/>
        <v>sz002310</v>
      </c>
      <c r="L148" t="str">
        <f t="shared" si="15"/>
        <v>东方园林</v>
      </c>
      <c r="M148" t="str">
        <f t="shared" si="16"/>
        <v>园林</v>
      </c>
      <c r="N148" t="str">
        <f t="shared" si="17"/>
        <v>园</v>
      </c>
      <c r="P148" s="2" t="s">
        <v>12585</v>
      </c>
      <c r="Q148" t="s">
        <v>10079</v>
      </c>
      <c r="R148">
        <v>0</v>
      </c>
    </row>
    <row r="149" spans="1:18" x14ac:dyDescent="0.25">
      <c r="A149" t="s">
        <v>10847</v>
      </c>
      <c r="C149" t="str">
        <f t="shared" si="12"/>
        <v>sz</v>
      </c>
      <c r="D149" t="str">
        <f t="shared" si="13"/>
        <v>sz000039</v>
      </c>
      <c r="E149" t="str">
        <f>VLOOKUP(A149,Table!B:C,2,0)</f>
        <v>中集集团</v>
      </c>
      <c r="F149" t="str">
        <f>TRIM(VLOOKUP(A149,Table!B:O,14,0))</f>
        <v>金属制品</v>
      </c>
      <c r="G149" t="str">
        <f>VLOOKUP(F149,industry!A:C,2,0)</f>
        <v>金属</v>
      </c>
      <c r="H149" t="str">
        <f>VLOOKUP(F149,industry!A:C,3,0)</f>
        <v>金</v>
      </c>
      <c r="J149" s="2" t="s">
        <v>12585</v>
      </c>
      <c r="K149" t="str">
        <f t="shared" si="14"/>
        <v>sz000039</v>
      </c>
      <c r="L149" t="str">
        <f t="shared" si="15"/>
        <v>中集集团</v>
      </c>
      <c r="M149" t="str">
        <f t="shared" si="16"/>
        <v>金属</v>
      </c>
      <c r="N149" t="str">
        <f t="shared" si="17"/>
        <v>金</v>
      </c>
      <c r="P149" s="2" t="s">
        <v>12585</v>
      </c>
      <c r="Q149" t="s">
        <v>10023</v>
      </c>
      <c r="R149">
        <v>0</v>
      </c>
    </row>
    <row r="150" spans="1:18" x14ac:dyDescent="0.25">
      <c r="A150" t="s">
        <v>10848</v>
      </c>
      <c r="C150" t="str">
        <f t="shared" si="12"/>
        <v>sz</v>
      </c>
      <c r="D150" t="str">
        <f t="shared" si="13"/>
        <v>sz002673</v>
      </c>
      <c r="E150" t="str">
        <f>VLOOKUP(A150,Table!B:C,2,0)</f>
        <v>西部证券</v>
      </c>
      <c r="F150" t="str">
        <f>TRIM(VLOOKUP(A150,Table!B:O,14,0))</f>
        <v>券商信托</v>
      </c>
      <c r="G150" t="str">
        <f>VLOOKUP(F150,industry!A:C,2,0)</f>
        <v>券商</v>
      </c>
      <c r="H150" t="str">
        <f>VLOOKUP(F150,industry!A:C,3,0)</f>
        <v>券</v>
      </c>
      <c r="J150" s="2" t="s">
        <v>12585</v>
      </c>
      <c r="K150" t="str">
        <f t="shared" si="14"/>
        <v>sz002673</v>
      </c>
      <c r="L150" t="str">
        <f t="shared" si="15"/>
        <v>西部证券</v>
      </c>
      <c r="M150" t="str">
        <f t="shared" si="16"/>
        <v>券商</v>
      </c>
      <c r="N150" t="str">
        <f t="shared" si="17"/>
        <v>券</v>
      </c>
      <c r="P150" s="2" t="s">
        <v>12585</v>
      </c>
      <c r="Q150" t="s">
        <v>9839</v>
      </c>
      <c r="R150">
        <v>0</v>
      </c>
    </row>
    <row r="151" spans="1:18" x14ac:dyDescent="0.25">
      <c r="A151" t="s">
        <v>10849</v>
      </c>
      <c r="C151" t="str">
        <f t="shared" si="12"/>
        <v>sh</v>
      </c>
      <c r="D151" t="str">
        <f t="shared" si="13"/>
        <v>sh601377</v>
      </c>
      <c r="E151" t="str">
        <f>VLOOKUP(A151,Table!B:C,2,0)</f>
        <v>兴业证券</v>
      </c>
      <c r="F151" t="str">
        <f>TRIM(VLOOKUP(A151,Table!B:O,14,0))</f>
        <v>券商信托</v>
      </c>
      <c r="G151" t="str">
        <f>VLOOKUP(F151,industry!A:C,2,0)</f>
        <v>券商</v>
      </c>
      <c r="H151" t="str">
        <f>VLOOKUP(F151,industry!A:C,3,0)</f>
        <v>券</v>
      </c>
      <c r="J151" s="2" t="s">
        <v>12585</v>
      </c>
      <c r="K151" t="str">
        <f t="shared" si="14"/>
        <v>sh601377</v>
      </c>
      <c r="L151" t="str">
        <f t="shared" si="15"/>
        <v>兴业证券</v>
      </c>
      <c r="M151" t="str">
        <f t="shared" si="16"/>
        <v>券商</v>
      </c>
      <c r="N151" t="str">
        <f t="shared" si="17"/>
        <v>券</v>
      </c>
      <c r="P151" s="2" t="s">
        <v>12585</v>
      </c>
      <c r="Q151" t="s">
        <v>9931</v>
      </c>
      <c r="R151">
        <v>0</v>
      </c>
    </row>
    <row r="152" spans="1:18" x14ac:dyDescent="0.25">
      <c r="A152" t="s">
        <v>10850</v>
      </c>
      <c r="C152" t="str">
        <f t="shared" si="12"/>
        <v>sh</v>
      </c>
      <c r="D152" t="str">
        <f t="shared" si="13"/>
        <v>sh600111</v>
      </c>
      <c r="E152" t="str">
        <f>VLOOKUP(A152,Table!B:C,2,0)</f>
        <v>北方稀土</v>
      </c>
      <c r="F152" t="str">
        <f>TRIM(VLOOKUP(A152,Table!B:O,14,0))</f>
        <v>有色金属</v>
      </c>
      <c r="G152" t="str">
        <f>VLOOKUP(F152,industry!A:C,2,0)</f>
        <v>有色</v>
      </c>
      <c r="H152" t="str">
        <f>VLOOKUP(F152,industry!A:C,3,0)</f>
        <v>色</v>
      </c>
      <c r="J152" s="2" t="s">
        <v>12585</v>
      </c>
      <c r="K152" t="str">
        <f t="shared" si="14"/>
        <v>sh600111</v>
      </c>
      <c r="L152" t="str">
        <f t="shared" si="15"/>
        <v>北方稀土</v>
      </c>
      <c r="M152" t="str">
        <f t="shared" si="16"/>
        <v>有色</v>
      </c>
      <c r="N152" t="str">
        <f t="shared" si="17"/>
        <v>色</v>
      </c>
      <c r="P152" s="2" t="s">
        <v>12585</v>
      </c>
      <c r="Q152" t="s">
        <v>9977</v>
      </c>
      <c r="R152">
        <v>0</v>
      </c>
    </row>
    <row r="153" spans="1:18" x14ac:dyDescent="0.25">
      <c r="A153" t="s">
        <v>10851</v>
      </c>
      <c r="C153" t="str">
        <f t="shared" si="12"/>
        <v>sh</v>
      </c>
      <c r="D153" t="str">
        <f t="shared" si="13"/>
        <v>sh600066</v>
      </c>
      <c r="E153" t="str">
        <f>VLOOKUP(A153,Table!B:C,2,0)</f>
        <v>宇通客车</v>
      </c>
      <c r="F153" t="str">
        <f>TRIM(VLOOKUP(A153,Table!B:O,14,0))</f>
        <v>汽车行业</v>
      </c>
      <c r="G153" t="str">
        <f>VLOOKUP(F153,industry!A:C,2,0)</f>
        <v>汽车</v>
      </c>
      <c r="H153" t="str">
        <f>VLOOKUP(F153,industry!A:C,3,0)</f>
        <v>车</v>
      </c>
      <c r="J153" s="2" t="s">
        <v>12585</v>
      </c>
      <c r="K153" t="str">
        <f t="shared" si="14"/>
        <v>sh600066</v>
      </c>
      <c r="L153" t="str">
        <f t="shared" si="15"/>
        <v>宇通客车</v>
      </c>
      <c r="M153" t="str">
        <f t="shared" si="16"/>
        <v>汽车</v>
      </c>
      <c r="N153" t="str">
        <f t="shared" si="17"/>
        <v>车</v>
      </c>
      <c r="P153" s="2" t="s">
        <v>12585</v>
      </c>
      <c r="Q153" t="s">
        <v>9961</v>
      </c>
      <c r="R153">
        <v>0</v>
      </c>
    </row>
    <row r="154" spans="1:18" x14ac:dyDescent="0.25">
      <c r="A154" t="s">
        <v>10852</v>
      </c>
      <c r="C154" t="str">
        <f t="shared" si="12"/>
        <v>sz</v>
      </c>
      <c r="D154" t="str">
        <f t="shared" si="13"/>
        <v>sz000413</v>
      </c>
      <c r="E154" t="str">
        <f>VLOOKUP(A154,Table!B:C,2,0)</f>
        <v>东旭光电</v>
      </c>
      <c r="F154" t="str">
        <f>TRIM(VLOOKUP(A154,Table!B:O,14,0))</f>
        <v>电子元件</v>
      </c>
      <c r="G154" t="str">
        <f>VLOOKUP(F154,industry!A:C,2,0)</f>
        <v>原件</v>
      </c>
      <c r="H154" t="str">
        <f>VLOOKUP(F154,industry!A:C,3,0)</f>
        <v>元件</v>
      </c>
      <c r="J154" s="2" t="s">
        <v>12585</v>
      </c>
      <c r="K154" t="str">
        <f t="shared" si="14"/>
        <v>sz000413</v>
      </c>
      <c r="L154" t="str">
        <f t="shared" si="15"/>
        <v>东旭光电</v>
      </c>
      <c r="M154" t="str">
        <f t="shared" si="16"/>
        <v>原件</v>
      </c>
      <c r="N154" t="str">
        <f t="shared" si="17"/>
        <v>元件</v>
      </c>
      <c r="P154" s="2" t="s">
        <v>12585</v>
      </c>
      <c r="Q154" t="s">
        <v>9841</v>
      </c>
      <c r="R154">
        <v>0</v>
      </c>
    </row>
    <row r="155" spans="1:18" x14ac:dyDescent="0.25">
      <c r="A155" t="s">
        <v>10853</v>
      </c>
      <c r="C155" t="str">
        <f t="shared" si="12"/>
        <v>sh</v>
      </c>
      <c r="D155" t="str">
        <f t="shared" si="13"/>
        <v>sh600221</v>
      </c>
      <c r="E155" t="str">
        <f>VLOOKUP(A155,Table!B:C,2,0)</f>
        <v>海航控股</v>
      </c>
      <c r="F155" t="str">
        <f>TRIM(VLOOKUP(A155,Table!B:O,14,0))</f>
        <v>民航机场</v>
      </c>
      <c r="G155" t="str">
        <f>VLOOKUP(F155,industry!A:C,2,0)</f>
        <v>民航</v>
      </c>
      <c r="H155" t="str">
        <f>VLOOKUP(F155,industry!A:C,3,0)</f>
        <v>飞</v>
      </c>
      <c r="J155" s="2" t="s">
        <v>12585</v>
      </c>
      <c r="K155" t="str">
        <f t="shared" si="14"/>
        <v>sh600221</v>
      </c>
      <c r="L155" t="str">
        <f t="shared" si="15"/>
        <v>海航控股</v>
      </c>
      <c r="M155" t="str">
        <f t="shared" si="16"/>
        <v>民航</v>
      </c>
      <c r="N155" t="str">
        <f t="shared" si="17"/>
        <v>飞</v>
      </c>
      <c r="P155" s="2" t="s">
        <v>12585</v>
      </c>
      <c r="Q155" t="s">
        <v>9917</v>
      </c>
      <c r="R155">
        <v>0</v>
      </c>
    </row>
    <row r="156" spans="1:18" x14ac:dyDescent="0.25">
      <c r="A156" t="s">
        <v>10854</v>
      </c>
      <c r="C156" t="str">
        <f t="shared" si="12"/>
        <v>sh</v>
      </c>
      <c r="D156" t="str">
        <f t="shared" si="13"/>
        <v>sh600637</v>
      </c>
      <c r="E156" t="str">
        <f>VLOOKUP(A156,Table!B:C,2,0)</f>
        <v>东方明珠</v>
      </c>
      <c r="F156" t="str">
        <f>TRIM(VLOOKUP(A156,Table!B:O,14,0))</f>
        <v>文化传媒</v>
      </c>
      <c r="G156" t="str">
        <f>VLOOKUP(F156,industry!A:C,2,0)</f>
        <v>传媒</v>
      </c>
      <c r="H156" t="str">
        <f>VLOOKUP(F156,industry!A:C,3,0)</f>
        <v>传</v>
      </c>
      <c r="J156" s="2" t="s">
        <v>12585</v>
      </c>
      <c r="K156" t="str">
        <f t="shared" si="14"/>
        <v>sh600637</v>
      </c>
      <c r="L156" t="str">
        <f t="shared" si="15"/>
        <v>东方明珠</v>
      </c>
      <c r="M156" t="str">
        <f t="shared" si="16"/>
        <v>传媒</v>
      </c>
      <c r="N156" t="str">
        <f t="shared" si="17"/>
        <v>传</v>
      </c>
      <c r="P156" s="2" t="s">
        <v>12585</v>
      </c>
      <c r="Q156" t="s">
        <v>9867</v>
      </c>
      <c r="R156">
        <v>0</v>
      </c>
    </row>
    <row r="157" spans="1:18" x14ac:dyDescent="0.25">
      <c r="A157" t="s">
        <v>10855</v>
      </c>
      <c r="C157" t="str">
        <f t="shared" si="12"/>
        <v>sh</v>
      </c>
      <c r="D157" t="str">
        <f t="shared" si="13"/>
        <v>sh601808</v>
      </c>
      <c r="E157" t="str">
        <f>VLOOKUP(A157,Table!B:C,2,0)</f>
        <v>中海油服</v>
      </c>
      <c r="F157" t="str">
        <f>TRIM(VLOOKUP(A157,Table!B:O,14,0))</f>
        <v>石油行业</v>
      </c>
      <c r="G157" t="str">
        <f>VLOOKUP(F157,industry!A:C,2,0)</f>
        <v>石油</v>
      </c>
      <c r="H157" t="str">
        <f>VLOOKUP(F157,industry!A:C,3,0)</f>
        <v>油</v>
      </c>
      <c r="J157" s="2" t="s">
        <v>12585</v>
      </c>
      <c r="K157" t="str">
        <f t="shared" si="14"/>
        <v>sh601808</v>
      </c>
      <c r="L157" t="str">
        <f t="shared" si="15"/>
        <v>中海油服</v>
      </c>
      <c r="M157" t="str">
        <f t="shared" si="16"/>
        <v>石油</v>
      </c>
      <c r="N157" t="str">
        <f t="shared" si="17"/>
        <v>油</v>
      </c>
      <c r="P157" s="2" t="s">
        <v>12585</v>
      </c>
      <c r="Q157" t="s">
        <v>9895</v>
      </c>
      <c r="R157">
        <v>0</v>
      </c>
    </row>
    <row r="158" spans="1:18" x14ac:dyDescent="0.25">
      <c r="A158" t="s">
        <v>10856</v>
      </c>
      <c r="C158" t="str">
        <f t="shared" si="12"/>
        <v>sz</v>
      </c>
      <c r="D158" t="str">
        <f t="shared" si="13"/>
        <v>sz000768</v>
      </c>
      <c r="E158" t="str">
        <f>VLOOKUP(A158,Table!B:C,2,0)</f>
        <v>中航飞机</v>
      </c>
      <c r="F158" t="str">
        <f>TRIM(VLOOKUP(A158,Table!B:O,14,0))</f>
        <v>航天航空</v>
      </c>
      <c r="G158" t="str">
        <f>VLOOKUP(F158,industry!A:C,2,0)</f>
        <v>航空</v>
      </c>
      <c r="H158" t="str">
        <f>VLOOKUP(F158,industry!A:C,3,0)</f>
        <v>航</v>
      </c>
      <c r="J158" s="2" t="s">
        <v>12585</v>
      </c>
      <c r="K158" t="str">
        <f t="shared" si="14"/>
        <v>sz000768</v>
      </c>
      <c r="L158" t="str">
        <f t="shared" si="15"/>
        <v>中航飞机</v>
      </c>
      <c r="M158" t="str">
        <f t="shared" si="16"/>
        <v>航空</v>
      </c>
      <c r="N158" t="str">
        <f t="shared" si="17"/>
        <v>航</v>
      </c>
      <c r="P158" s="2" t="s">
        <v>12585</v>
      </c>
      <c r="Q158" t="s">
        <v>9879</v>
      </c>
      <c r="R158">
        <v>0</v>
      </c>
    </row>
    <row r="159" spans="1:18" x14ac:dyDescent="0.25">
      <c r="A159" t="s">
        <v>10857</v>
      </c>
      <c r="C159" t="str">
        <f t="shared" si="12"/>
        <v>sz</v>
      </c>
      <c r="D159" t="str">
        <f t="shared" si="13"/>
        <v>sz000783</v>
      </c>
      <c r="E159" t="str">
        <f>VLOOKUP(A159,Table!B:C,2,0)</f>
        <v>长江证券</v>
      </c>
      <c r="F159" t="str">
        <f>TRIM(VLOOKUP(A159,Table!B:O,14,0))</f>
        <v>券商信托</v>
      </c>
      <c r="G159" t="str">
        <f>VLOOKUP(F159,industry!A:C,2,0)</f>
        <v>券商</v>
      </c>
      <c r="H159" t="str">
        <f>VLOOKUP(F159,industry!A:C,3,0)</f>
        <v>券</v>
      </c>
      <c r="J159" s="2" t="s">
        <v>12585</v>
      </c>
      <c r="K159" t="str">
        <f t="shared" si="14"/>
        <v>sz000783</v>
      </c>
      <c r="L159" t="str">
        <f t="shared" si="15"/>
        <v>长江证券</v>
      </c>
      <c r="M159" t="str">
        <f t="shared" si="16"/>
        <v>券商</v>
      </c>
      <c r="N159" t="str">
        <f t="shared" si="17"/>
        <v>券</v>
      </c>
      <c r="P159" s="2" t="s">
        <v>12585</v>
      </c>
      <c r="Q159" t="s">
        <v>9881</v>
      </c>
      <c r="R159">
        <v>0</v>
      </c>
    </row>
    <row r="160" spans="1:18" x14ac:dyDescent="0.25">
      <c r="A160" t="s">
        <v>10858</v>
      </c>
      <c r="C160" t="str">
        <f t="shared" si="12"/>
        <v>sh</v>
      </c>
      <c r="D160" t="str">
        <f t="shared" si="13"/>
        <v>sh600705</v>
      </c>
      <c r="E160" t="str">
        <f>VLOOKUP(A160,Table!B:C,2,0)</f>
        <v>中航资本</v>
      </c>
      <c r="F160" t="str">
        <f>TRIM(VLOOKUP(A160,Table!B:O,14,0))</f>
        <v>多元金融</v>
      </c>
      <c r="G160" t="str">
        <f>VLOOKUP(F160,industry!A:C,2,0)</f>
        <v>多元</v>
      </c>
      <c r="H160" t="str">
        <f>VLOOKUP(F160,industry!A:C,3,0)</f>
        <v>融</v>
      </c>
      <c r="J160" s="2" t="s">
        <v>12585</v>
      </c>
      <c r="K160" t="str">
        <f t="shared" si="14"/>
        <v>sh600705</v>
      </c>
      <c r="L160" t="str">
        <f t="shared" si="15"/>
        <v>中航资本</v>
      </c>
      <c r="M160" t="str">
        <f t="shared" si="16"/>
        <v>多元</v>
      </c>
      <c r="N160" t="str">
        <f t="shared" si="17"/>
        <v>融</v>
      </c>
      <c r="P160" s="2" t="s">
        <v>12585</v>
      </c>
      <c r="Q160" t="s">
        <v>9883</v>
      </c>
      <c r="R160">
        <v>0</v>
      </c>
    </row>
    <row r="161" spans="1:18" x14ac:dyDescent="0.25">
      <c r="A161" t="s">
        <v>10859</v>
      </c>
      <c r="C161" t="str">
        <f t="shared" si="12"/>
        <v>sz</v>
      </c>
      <c r="D161" t="str">
        <f t="shared" si="13"/>
        <v>sz002010</v>
      </c>
      <c r="E161" t="str">
        <f>VLOOKUP(A161,Table!B:C,2,0)</f>
        <v>传化智联</v>
      </c>
      <c r="F161" t="str">
        <f>TRIM(VLOOKUP(A161,Table!B:O,14,0))</f>
        <v>化工行业</v>
      </c>
      <c r="G161" t="str">
        <f>VLOOKUP(F161,industry!A:C,2,0)</f>
        <v>化工</v>
      </c>
      <c r="H161" t="str">
        <f>VLOOKUP(F161,industry!A:C,3,0)</f>
        <v>化</v>
      </c>
      <c r="J161" s="2" t="s">
        <v>12585</v>
      </c>
      <c r="K161" t="str">
        <f t="shared" si="14"/>
        <v>sz002010</v>
      </c>
      <c r="L161" t="str">
        <f t="shared" si="15"/>
        <v>传化智联</v>
      </c>
      <c r="M161" t="str">
        <f t="shared" si="16"/>
        <v>化工</v>
      </c>
      <c r="N161" t="str">
        <f t="shared" si="17"/>
        <v>化</v>
      </c>
      <c r="P161" s="2" t="s">
        <v>12585</v>
      </c>
      <c r="Q161" t="s">
        <v>9847</v>
      </c>
      <c r="R161">
        <v>0</v>
      </c>
    </row>
    <row r="162" spans="1:18" x14ac:dyDescent="0.25">
      <c r="A162" t="s">
        <v>10860</v>
      </c>
      <c r="C162" t="str">
        <f t="shared" si="12"/>
        <v>sh</v>
      </c>
      <c r="D162" t="str">
        <f t="shared" si="13"/>
        <v>sh600383</v>
      </c>
      <c r="E162" t="str">
        <f>VLOOKUP(A162,Table!B:C,2,0)</f>
        <v>金地集团</v>
      </c>
      <c r="F162" t="str">
        <f>TRIM(VLOOKUP(A162,Table!B:O,14,0))</f>
        <v>房地产</v>
      </c>
      <c r="G162" t="str">
        <f>VLOOKUP(F162,industry!A:C,2,0)</f>
        <v>房产</v>
      </c>
      <c r="H162" t="str">
        <f>VLOOKUP(F162,industry!A:C,3,0)</f>
        <v>产</v>
      </c>
      <c r="J162" s="2" t="s">
        <v>12585</v>
      </c>
      <c r="K162" t="str">
        <f t="shared" si="14"/>
        <v>sh600383</v>
      </c>
      <c r="L162" t="str">
        <f t="shared" si="15"/>
        <v>金地集团</v>
      </c>
      <c r="M162" t="str">
        <f t="shared" si="16"/>
        <v>房产</v>
      </c>
      <c r="N162" t="str">
        <f t="shared" si="17"/>
        <v>产</v>
      </c>
      <c r="P162" s="2" t="s">
        <v>12585</v>
      </c>
      <c r="Q162" t="s">
        <v>9919</v>
      </c>
      <c r="R162">
        <v>0</v>
      </c>
    </row>
    <row r="163" spans="1:18" x14ac:dyDescent="0.25">
      <c r="A163" t="s">
        <v>10861</v>
      </c>
      <c r="C163" t="str">
        <f t="shared" si="12"/>
        <v>sz</v>
      </c>
      <c r="D163" t="str">
        <f t="shared" si="13"/>
        <v>sz000963</v>
      </c>
      <c r="E163" t="str">
        <f>VLOOKUP(A163,Table!B:C,2,0)</f>
        <v>华东医药</v>
      </c>
      <c r="F163" t="str">
        <f>TRIM(VLOOKUP(A163,Table!B:O,14,0))</f>
        <v>医药制造</v>
      </c>
      <c r="G163" t="str">
        <f>VLOOKUP(F163,industry!A:C,2,0)</f>
        <v>医药</v>
      </c>
      <c r="H163" t="str">
        <f>VLOOKUP(F163,industry!A:C,3,0)</f>
        <v>药</v>
      </c>
      <c r="J163" s="2" t="s">
        <v>12585</v>
      </c>
      <c r="K163" t="str">
        <f t="shared" si="14"/>
        <v>sz000963</v>
      </c>
      <c r="L163" t="str">
        <f t="shared" si="15"/>
        <v>华东医药</v>
      </c>
      <c r="M163" t="str">
        <f t="shared" si="16"/>
        <v>医药</v>
      </c>
      <c r="N163" t="str">
        <f t="shared" si="17"/>
        <v>药</v>
      </c>
      <c r="P163" s="2" t="s">
        <v>12585</v>
      </c>
      <c r="Q163" t="s">
        <v>10127</v>
      </c>
      <c r="R163">
        <v>0</v>
      </c>
    </row>
    <row r="164" spans="1:18" x14ac:dyDescent="0.25">
      <c r="A164" t="s">
        <v>10862</v>
      </c>
      <c r="C164" t="str">
        <f t="shared" si="12"/>
        <v>sh</v>
      </c>
      <c r="D164" t="str">
        <f t="shared" si="13"/>
        <v>sh600886</v>
      </c>
      <c r="E164" t="str">
        <f>VLOOKUP(A164,Table!B:C,2,0)</f>
        <v>国投电力</v>
      </c>
      <c r="F164" t="str">
        <f>TRIM(VLOOKUP(A164,Table!B:O,14,0))</f>
        <v>电力行业</v>
      </c>
      <c r="G164" t="str">
        <f>VLOOKUP(F164,industry!A:C,2,0)</f>
        <v>电力</v>
      </c>
      <c r="H164" t="str">
        <f>VLOOKUP(F164,industry!A:C,3,0)</f>
        <v>电力</v>
      </c>
      <c r="J164" s="2" t="s">
        <v>12585</v>
      </c>
      <c r="K164" t="str">
        <f t="shared" si="14"/>
        <v>sh600886</v>
      </c>
      <c r="L164" t="str">
        <f t="shared" si="15"/>
        <v>国投电力</v>
      </c>
      <c r="M164" t="str">
        <f t="shared" si="16"/>
        <v>电力</v>
      </c>
      <c r="N164" t="str">
        <f t="shared" si="17"/>
        <v>电力</v>
      </c>
      <c r="P164" s="2" t="s">
        <v>12585</v>
      </c>
      <c r="Q164" t="s">
        <v>9979</v>
      </c>
      <c r="R164">
        <v>0</v>
      </c>
    </row>
    <row r="165" spans="1:18" x14ac:dyDescent="0.25">
      <c r="A165" t="s">
        <v>10863</v>
      </c>
      <c r="C165" t="str">
        <f t="shared" si="12"/>
        <v>sz</v>
      </c>
      <c r="D165" t="str">
        <f t="shared" si="13"/>
        <v>sz002555</v>
      </c>
      <c r="E165" t="str">
        <f>VLOOKUP(A165,Table!B:C,2,0)</f>
        <v>三七互娱</v>
      </c>
      <c r="F165" t="str">
        <f>TRIM(VLOOKUP(A165,Table!B:O,14,0))</f>
        <v>电子信息</v>
      </c>
      <c r="G165" t="str">
        <f>VLOOKUP(F165,industry!A:C,2,0)</f>
        <v>信息</v>
      </c>
      <c r="H165" t="str">
        <f>VLOOKUP(F165,industry!A:C,3,0)</f>
        <v>咨</v>
      </c>
      <c r="J165" s="2" t="s">
        <v>12585</v>
      </c>
      <c r="K165" t="str">
        <f t="shared" si="14"/>
        <v>sz002555</v>
      </c>
      <c r="L165" t="str">
        <f t="shared" si="15"/>
        <v>三七互娱</v>
      </c>
      <c r="M165" t="str">
        <f t="shared" si="16"/>
        <v>信息</v>
      </c>
      <c r="N165" t="str">
        <f t="shared" si="17"/>
        <v>咨</v>
      </c>
      <c r="P165" s="2" t="s">
        <v>12585</v>
      </c>
      <c r="Q165" t="s">
        <v>10057</v>
      </c>
      <c r="R165">
        <v>0</v>
      </c>
    </row>
    <row r="166" spans="1:18" x14ac:dyDescent="0.25">
      <c r="A166" t="s">
        <v>10864</v>
      </c>
      <c r="C166" t="str">
        <f t="shared" si="12"/>
        <v>sh</v>
      </c>
      <c r="D166" t="str">
        <f t="shared" si="13"/>
        <v>sh600926</v>
      </c>
      <c r="E166" t="str">
        <f>VLOOKUP(A166,Table!B:C,2,0)</f>
        <v>杭州银行</v>
      </c>
      <c r="F166" t="str">
        <f>TRIM(VLOOKUP(A166,Table!B:O,14,0))</f>
        <v>银行</v>
      </c>
      <c r="G166" t="str">
        <f>VLOOKUP(F166,industry!A:C,2,0)</f>
        <v>银行</v>
      </c>
      <c r="H166" t="str">
        <f>VLOOKUP(F166,industry!A:C,3,0)</f>
        <v>银</v>
      </c>
      <c r="J166" s="2" t="s">
        <v>12585</v>
      </c>
      <c r="K166" t="str">
        <f t="shared" si="14"/>
        <v>sh600926</v>
      </c>
      <c r="L166" t="str">
        <f t="shared" si="15"/>
        <v>杭州银行</v>
      </c>
      <c r="M166" t="str">
        <f t="shared" si="16"/>
        <v>银行</v>
      </c>
      <c r="N166" t="str">
        <f t="shared" si="17"/>
        <v>银</v>
      </c>
      <c r="P166" s="2" t="s">
        <v>12585</v>
      </c>
      <c r="Q166" t="s">
        <v>9889</v>
      </c>
      <c r="R166">
        <v>0</v>
      </c>
    </row>
    <row r="167" spans="1:18" x14ac:dyDescent="0.25">
      <c r="A167" t="s">
        <v>10865</v>
      </c>
      <c r="C167" t="str">
        <f t="shared" si="12"/>
        <v>sh</v>
      </c>
      <c r="D167" t="str">
        <f t="shared" si="13"/>
        <v>sh600377</v>
      </c>
      <c r="E167" t="str">
        <f>VLOOKUP(A167,Table!B:C,2,0)</f>
        <v>宁沪高速</v>
      </c>
      <c r="F167" t="str">
        <f>TRIM(VLOOKUP(A167,Table!B:O,14,0))</f>
        <v>高速公路</v>
      </c>
      <c r="G167" t="str">
        <f>VLOOKUP(F167,industry!A:C,2,0)</f>
        <v>高速</v>
      </c>
      <c r="H167" t="str">
        <f>VLOOKUP(F167,industry!A:C,3,0)</f>
        <v>速</v>
      </c>
      <c r="J167" s="2" t="s">
        <v>12585</v>
      </c>
      <c r="K167" t="str">
        <f t="shared" si="14"/>
        <v>sh600377</v>
      </c>
      <c r="L167" t="str">
        <f t="shared" si="15"/>
        <v>宁沪高速</v>
      </c>
      <c r="M167" t="str">
        <f t="shared" si="16"/>
        <v>高速</v>
      </c>
      <c r="N167" t="str">
        <f t="shared" si="17"/>
        <v>速</v>
      </c>
      <c r="P167" s="2" t="s">
        <v>12585</v>
      </c>
      <c r="Q167" t="s">
        <v>9971</v>
      </c>
      <c r="R167">
        <v>0</v>
      </c>
    </row>
    <row r="168" spans="1:18" x14ac:dyDescent="0.25">
      <c r="A168" t="s">
        <v>10866</v>
      </c>
      <c r="C168" t="str">
        <f t="shared" si="12"/>
        <v>sh</v>
      </c>
      <c r="D168" t="str">
        <f t="shared" si="13"/>
        <v>sh601877</v>
      </c>
      <c r="E168" t="str">
        <f>VLOOKUP(A168,Table!B:C,2,0)</f>
        <v>正泰电器</v>
      </c>
      <c r="F168" t="str">
        <f>TRIM(VLOOKUP(A168,Table!B:O,14,0))</f>
        <v>输配电气</v>
      </c>
      <c r="G168" t="str">
        <f>VLOOKUP(F168,industry!A:C,2,0)</f>
        <v>配电</v>
      </c>
      <c r="H168" t="str">
        <f>VLOOKUP(F168,industry!A:C,3,0)</f>
        <v>输电</v>
      </c>
      <c r="J168" s="2" t="s">
        <v>12585</v>
      </c>
      <c r="K168" t="str">
        <f t="shared" si="14"/>
        <v>sh601877</v>
      </c>
      <c r="L168" t="str">
        <f t="shared" si="15"/>
        <v>正泰电器</v>
      </c>
      <c r="M168" t="str">
        <f t="shared" si="16"/>
        <v>配电</v>
      </c>
      <c r="N168" t="str">
        <f t="shared" si="17"/>
        <v>输电</v>
      </c>
      <c r="P168" s="2" t="s">
        <v>12585</v>
      </c>
      <c r="Q168" t="s">
        <v>10288</v>
      </c>
      <c r="R168">
        <v>0</v>
      </c>
    </row>
    <row r="169" spans="1:18" x14ac:dyDescent="0.25">
      <c r="A169" t="s">
        <v>10867</v>
      </c>
      <c r="C169" t="str">
        <f t="shared" si="12"/>
        <v>sh</v>
      </c>
      <c r="D169" t="str">
        <f t="shared" si="13"/>
        <v>sh600516</v>
      </c>
      <c r="E169" t="str">
        <f>VLOOKUP(A169,Table!B:C,2,0)</f>
        <v>方大炭素</v>
      </c>
      <c r="F169" t="str">
        <f>TRIM(VLOOKUP(A169,Table!B:O,14,0))</f>
        <v>材料行业</v>
      </c>
      <c r="G169" t="str">
        <f>VLOOKUP(F169,industry!A:C,2,0)</f>
        <v>材料</v>
      </c>
      <c r="H169" t="str">
        <f>VLOOKUP(F169,industry!A:C,3,0)</f>
        <v>材</v>
      </c>
      <c r="J169" s="2" t="s">
        <v>12585</v>
      </c>
      <c r="K169" t="str">
        <f t="shared" si="14"/>
        <v>sh600516</v>
      </c>
      <c r="L169" t="str">
        <f t="shared" si="15"/>
        <v>方大炭素</v>
      </c>
      <c r="M169" t="str">
        <f t="shared" si="16"/>
        <v>材料</v>
      </c>
      <c r="N169" t="str">
        <f t="shared" si="17"/>
        <v>材</v>
      </c>
      <c r="P169" s="2" t="s">
        <v>12585</v>
      </c>
      <c r="Q169" t="s">
        <v>11901</v>
      </c>
      <c r="R169">
        <v>0</v>
      </c>
    </row>
    <row r="170" spans="1:18" x14ac:dyDescent="0.25">
      <c r="A170" t="s">
        <v>10868</v>
      </c>
      <c r="C170" t="str">
        <f t="shared" si="12"/>
        <v>sz</v>
      </c>
      <c r="D170" t="str">
        <f t="shared" si="13"/>
        <v>sz300124</v>
      </c>
      <c r="E170" t="str">
        <f>VLOOKUP(A170,Table!B:C,2,0)</f>
        <v>汇川技术</v>
      </c>
      <c r="F170" t="str">
        <f>TRIM(VLOOKUP(A170,Table!B:O,14,0))</f>
        <v>仪器仪表</v>
      </c>
      <c r="G170" t="str">
        <f>VLOOKUP(F170,industry!A:C,2,0)</f>
        <v>仪表</v>
      </c>
      <c r="H170" t="str">
        <f>VLOOKUP(F170,industry!A:C,3,0)</f>
        <v>表</v>
      </c>
      <c r="J170" s="2" t="s">
        <v>12585</v>
      </c>
      <c r="K170" t="str">
        <f t="shared" si="14"/>
        <v>sz300124</v>
      </c>
      <c r="L170" t="str">
        <f t="shared" si="15"/>
        <v>汇川技术</v>
      </c>
      <c r="M170" t="str">
        <f t="shared" si="16"/>
        <v>仪表</v>
      </c>
      <c r="N170" t="str">
        <f t="shared" si="17"/>
        <v>表</v>
      </c>
      <c r="P170" s="2" t="s">
        <v>12585</v>
      </c>
      <c r="Q170" t="s">
        <v>10181</v>
      </c>
      <c r="R170">
        <v>0</v>
      </c>
    </row>
    <row r="171" spans="1:18" x14ac:dyDescent="0.25">
      <c r="A171" t="s">
        <v>10869</v>
      </c>
      <c r="C171" t="str">
        <f t="shared" si="12"/>
        <v>sh</v>
      </c>
      <c r="D171" t="str">
        <f t="shared" si="13"/>
        <v>sh601198</v>
      </c>
      <c r="E171" t="str">
        <f>VLOOKUP(A171,Table!B:C,2,0)</f>
        <v>东兴证券</v>
      </c>
      <c r="F171" t="str">
        <f>TRIM(VLOOKUP(A171,Table!B:O,14,0))</f>
        <v>券商信托</v>
      </c>
      <c r="G171" t="str">
        <f>VLOOKUP(F171,industry!A:C,2,0)</f>
        <v>券商</v>
      </c>
      <c r="H171" t="str">
        <f>VLOOKUP(F171,industry!A:C,3,0)</f>
        <v>券</v>
      </c>
      <c r="J171" s="2" t="s">
        <v>12585</v>
      </c>
      <c r="K171" t="str">
        <f t="shared" si="14"/>
        <v>sh601198</v>
      </c>
      <c r="L171" t="str">
        <f t="shared" si="15"/>
        <v>东兴证券</v>
      </c>
      <c r="M171" t="str">
        <f t="shared" si="16"/>
        <v>券商</v>
      </c>
      <c r="N171" t="str">
        <f t="shared" si="17"/>
        <v>券</v>
      </c>
      <c r="P171" s="2" t="s">
        <v>12585</v>
      </c>
      <c r="Q171" t="s">
        <v>9859</v>
      </c>
      <c r="R171">
        <v>0</v>
      </c>
    </row>
    <row r="172" spans="1:18" x14ac:dyDescent="0.25">
      <c r="A172" t="s">
        <v>10870</v>
      </c>
      <c r="C172" t="str">
        <f t="shared" si="12"/>
        <v>sh</v>
      </c>
      <c r="D172" t="str">
        <f t="shared" si="13"/>
        <v>sh600068</v>
      </c>
      <c r="E172" t="str">
        <f>VLOOKUP(A172,Table!B:C,2,0)</f>
        <v>葛洲坝</v>
      </c>
      <c r="F172" t="str">
        <f>TRIM(VLOOKUP(A172,Table!B:O,14,0))</f>
        <v>工程建设</v>
      </c>
      <c r="G172" t="str">
        <f>VLOOKUP(F172,industry!A:C,2,0)</f>
        <v>工建</v>
      </c>
      <c r="H172" t="str">
        <f>VLOOKUP(F172,industry!A:C,3,0)</f>
        <v>建</v>
      </c>
      <c r="J172" s="2" t="s">
        <v>12585</v>
      </c>
      <c r="K172" t="str">
        <f t="shared" si="14"/>
        <v>sh600068</v>
      </c>
      <c r="L172" t="str">
        <f t="shared" si="15"/>
        <v>葛洲坝</v>
      </c>
      <c r="M172" t="str">
        <f t="shared" si="16"/>
        <v>工建</v>
      </c>
      <c r="N172" t="str">
        <f t="shared" si="17"/>
        <v>建</v>
      </c>
      <c r="P172" s="2" t="s">
        <v>12585</v>
      </c>
      <c r="Q172" t="s">
        <v>10069</v>
      </c>
      <c r="R172">
        <v>0</v>
      </c>
    </row>
    <row r="173" spans="1:18" x14ac:dyDescent="0.25">
      <c r="A173" t="s">
        <v>10871</v>
      </c>
      <c r="C173" t="str">
        <f t="shared" si="12"/>
        <v>sh</v>
      </c>
      <c r="D173" t="str">
        <f t="shared" si="13"/>
        <v>sh600390</v>
      </c>
      <c r="E173" t="str">
        <f>VLOOKUP(A173,Table!B:C,2,0)</f>
        <v>五矿资本</v>
      </c>
      <c r="F173" t="str">
        <f>TRIM(VLOOKUP(A173,Table!B:O,14,0))</f>
        <v>多元金融</v>
      </c>
      <c r="G173" t="str">
        <f>VLOOKUP(F173,industry!A:C,2,0)</f>
        <v>多元</v>
      </c>
      <c r="H173" t="str">
        <f>VLOOKUP(F173,industry!A:C,3,0)</f>
        <v>融</v>
      </c>
      <c r="J173" s="2" t="s">
        <v>12585</v>
      </c>
      <c r="K173" t="str">
        <f t="shared" si="14"/>
        <v>sh600390</v>
      </c>
      <c r="L173" t="str">
        <f t="shared" si="15"/>
        <v>五矿资本</v>
      </c>
      <c r="M173" t="str">
        <f t="shared" si="16"/>
        <v>多元</v>
      </c>
      <c r="N173" t="str">
        <f t="shared" si="17"/>
        <v>融</v>
      </c>
      <c r="P173" s="2" t="s">
        <v>12585</v>
      </c>
      <c r="Q173" t="s">
        <v>12595</v>
      </c>
      <c r="R173">
        <v>0</v>
      </c>
    </row>
    <row r="174" spans="1:18" x14ac:dyDescent="0.25">
      <c r="A174" t="s">
        <v>10872</v>
      </c>
      <c r="C174" t="str">
        <f t="shared" si="12"/>
        <v>sh</v>
      </c>
      <c r="D174" t="str">
        <f t="shared" si="13"/>
        <v>sh603799</v>
      </c>
      <c r="E174" t="str">
        <f>VLOOKUP(A174,Table!B:C,2,0)</f>
        <v>华友钴业</v>
      </c>
      <c r="F174" t="str">
        <f>TRIM(VLOOKUP(A174,Table!B:O,14,0))</f>
        <v>有色金属</v>
      </c>
      <c r="G174" t="str">
        <f>VLOOKUP(F174,industry!A:C,2,0)</f>
        <v>有色</v>
      </c>
      <c r="H174" t="str">
        <f>VLOOKUP(F174,industry!A:C,3,0)</f>
        <v>色</v>
      </c>
      <c r="J174" s="2" t="s">
        <v>12585</v>
      </c>
      <c r="K174" t="str">
        <f t="shared" si="14"/>
        <v>sh603799</v>
      </c>
      <c r="L174" t="str">
        <f t="shared" si="15"/>
        <v>华友钴业</v>
      </c>
      <c r="M174" t="str">
        <f t="shared" si="16"/>
        <v>有色</v>
      </c>
      <c r="N174" t="str">
        <f t="shared" si="17"/>
        <v>色</v>
      </c>
      <c r="P174" s="2" t="s">
        <v>12585</v>
      </c>
      <c r="Q174" t="s">
        <v>12596</v>
      </c>
      <c r="R174">
        <v>0</v>
      </c>
    </row>
    <row r="175" spans="1:18" x14ac:dyDescent="0.25">
      <c r="A175" t="s">
        <v>10873</v>
      </c>
      <c r="C175" t="str">
        <f t="shared" si="12"/>
        <v>sz</v>
      </c>
      <c r="D175" t="str">
        <f t="shared" si="13"/>
        <v>sz002202</v>
      </c>
      <c r="E175" t="str">
        <f>VLOOKUP(A175,Table!B:C,2,0)</f>
        <v>金风科技</v>
      </c>
      <c r="F175" t="str">
        <f>TRIM(VLOOKUP(A175,Table!B:O,14,0))</f>
        <v>输配电气</v>
      </c>
      <c r="G175" t="str">
        <f>VLOOKUP(F175,industry!A:C,2,0)</f>
        <v>配电</v>
      </c>
      <c r="H175" t="str">
        <f>VLOOKUP(F175,industry!A:C,3,0)</f>
        <v>输电</v>
      </c>
      <c r="J175" s="2" t="s">
        <v>12585</v>
      </c>
      <c r="K175" t="str">
        <f t="shared" si="14"/>
        <v>sz002202</v>
      </c>
      <c r="L175" t="str">
        <f t="shared" si="15"/>
        <v>金风科技</v>
      </c>
      <c r="M175" t="str">
        <f t="shared" si="16"/>
        <v>配电</v>
      </c>
      <c r="N175" t="str">
        <f t="shared" si="17"/>
        <v>输电</v>
      </c>
      <c r="P175" s="2" t="s">
        <v>12585</v>
      </c>
      <c r="Q175" t="s">
        <v>9989</v>
      </c>
      <c r="R175">
        <v>0</v>
      </c>
    </row>
    <row r="176" spans="1:18" x14ac:dyDescent="0.25">
      <c r="A176" t="s">
        <v>10874</v>
      </c>
      <c r="C176" t="str">
        <f t="shared" si="12"/>
        <v>sh</v>
      </c>
      <c r="D176" t="str">
        <f t="shared" si="13"/>
        <v>sh603858</v>
      </c>
      <c r="E176" t="str">
        <f>VLOOKUP(A176,Table!B:C,2,0)</f>
        <v>步长制药</v>
      </c>
      <c r="F176" t="str">
        <f>TRIM(VLOOKUP(A176,Table!B:O,14,0))</f>
        <v>医药制造</v>
      </c>
      <c r="G176" t="str">
        <f>VLOOKUP(F176,industry!A:C,2,0)</f>
        <v>医药</v>
      </c>
      <c r="H176" t="str">
        <f>VLOOKUP(F176,industry!A:C,3,0)</f>
        <v>药</v>
      </c>
      <c r="J176" s="2" t="s">
        <v>12585</v>
      </c>
      <c r="K176" t="str">
        <f t="shared" si="14"/>
        <v>sh603858</v>
      </c>
      <c r="L176" t="str">
        <f t="shared" si="15"/>
        <v>步长制药</v>
      </c>
      <c r="M176" t="str">
        <f t="shared" si="16"/>
        <v>医药</v>
      </c>
      <c r="N176" t="str">
        <f t="shared" si="17"/>
        <v>药</v>
      </c>
      <c r="P176" s="2" t="s">
        <v>12585</v>
      </c>
      <c r="Q176" t="s">
        <v>12597</v>
      </c>
      <c r="R176">
        <v>0</v>
      </c>
    </row>
    <row r="177" spans="1:18" x14ac:dyDescent="0.25">
      <c r="A177" t="s">
        <v>10875</v>
      </c>
      <c r="C177" t="str">
        <f t="shared" si="12"/>
        <v>sz</v>
      </c>
      <c r="D177" t="str">
        <f t="shared" si="13"/>
        <v>sz000898</v>
      </c>
      <c r="E177" t="str">
        <f>VLOOKUP(A177,Table!B:C,2,0)</f>
        <v>鞍钢股份</v>
      </c>
      <c r="F177" t="str">
        <f>TRIM(VLOOKUP(A177,Table!B:O,14,0))</f>
        <v>钢铁行业</v>
      </c>
      <c r="G177" t="str">
        <f>VLOOKUP(F177,industry!A:C,2,0)</f>
        <v>钢铁</v>
      </c>
      <c r="H177" t="str">
        <f>VLOOKUP(F177,industry!A:C,3,0)</f>
        <v>钢</v>
      </c>
      <c r="J177" s="2" t="s">
        <v>12585</v>
      </c>
      <c r="K177" t="str">
        <f t="shared" si="14"/>
        <v>sz000898</v>
      </c>
      <c r="L177" t="str">
        <f t="shared" si="15"/>
        <v>鞍钢股份</v>
      </c>
      <c r="M177" t="str">
        <f t="shared" si="16"/>
        <v>钢铁</v>
      </c>
      <c r="N177" t="str">
        <f t="shared" si="17"/>
        <v>钢</v>
      </c>
      <c r="P177" s="2" t="s">
        <v>12585</v>
      </c>
      <c r="Q177" t="s">
        <v>10177</v>
      </c>
      <c r="R177">
        <v>0</v>
      </c>
    </row>
    <row r="178" spans="1:18" x14ac:dyDescent="0.25">
      <c r="A178" t="s">
        <v>10876</v>
      </c>
      <c r="C178" t="str">
        <f t="shared" si="12"/>
        <v>sz</v>
      </c>
      <c r="D178" t="str">
        <f t="shared" si="13"/>
        <v>sz002008</v>
      </c>
      <c r="E178" t="str">
        <f>VLOOKUP(A178,Table!B:C,2,0)</f>
        <v>大族激光</v>
      </c>
      <c r="F178" t="str">
        <f>TRIM(VLOOKUP(A178,Table!B:O,14,0))</f>
        <v>机械行业</v>
      </c>
      <c r="G178" t="str">
        <f>VLOOKUP(F178,industry!A:C,2,0)</f>
        <v>机械</v>
      </c>
      <c r="H178" t="str">
        <f>VLOOKUP(F178,industry!A:C,3,0)</f>
        <v>械</v>
      </c>
      <c r="J178" s="2" t="s">
        <v>12585</v>
      </c>
      <c r="K178" t="str">
        <f t="shared" si="14"/>
        <v>sz002008</v>
      </c>
      <c r="L178" t="str">
        <f t="shared" si="15"/>
        <v>大族激光</v>
      </c>
      <c r="M178" t="str">
        <f t="shared" si="16"/>
        <v>机械</v>
      </c>
      <c r="N178" t="str">
        <f t="shared" si="17"/>
        <v>械</v>
      </c>
      <c r="P178" s="2" t="s">
        <v>12585</v>
      </c>
      <c r="Q178" t="s">
        <v>10438</v>
      </c>
      <c r="R178">
        <v>0</v>
      </c>
    </row>
    <row r="179" spans="1:18" x14ac:dyDescent="0.25">
      <c r="A179" t="s">
        <v>10877</v>
      </c>
      <c r="C179" t="str">
        <f t="shared" si="12"/>
        <v>sh</v>
      </c>
      <c r="D179" t="str">
        <f t="shared" si="13"/>
        <v>sh600487</v>
      </c>
      <c r="E179" t="str">
        <f>VLOOKUP(A179,Table!B:C,2,0)</f>
        <v>亨通光电</v>
      </c>
      <c r="F179" t="str">
        <f>TRIM(VLOOKUP(A179,Table!B:O,14,0))</f>
        <v>通讯行业</v>
      </c>
      <c r="G179" t="str">
        <f>VLOOKUP(F179,industry!A:C,2,0)</f>
        <v>通讯</v>
      </c>
      <c r="H179" t="str">
        <f>VLOOKUP(F179,industry!A:C,3,0)</f>
        <v>讯</v>
      </c>
      <c r="J179" s="2" t="s">
        <v>12585</v>
      </c>
      <c r="K179" t="str">
        <f t="shared" si="14"/>
        <v>sh600487</v>
      </c>
      <c r="L179" t="str">
        <f t="shared" si="15"/>
        <v>亨通光电</v>
      </c>
      <c r="M179" t="str">
        <f t="shared" si="16"/>
        <v>通讯</v>
      </c>
      <c r="N179" t="str">
        <f t="shared" si="17"/>
        <v>讯</v>
      </c>
      <c r="P179" s="2" t="s">
        <v>12585</v>
      </c>
      <c r="Q179" t="s">
        <v>10402</v>
      </c>
      <c r="R179">
        <v>0</v>
      </c>
    </row>
    <row r="180" spans="1:18" x14ac:dyDescent="0.25">
      <c r="A180" t="s">
        <v>10878</v>
      </c>
      <c r="C180" t="str">
        <f t="shared" si="12"/>
        <v>sh</v>
      </c>
      <c r="D180" t="str">
        <f t="shared" si="13"/>
        <v>sh600809</v>
      </c>
      <c r="E180" t="str">
        <f>VLOOKUP(A180,Table!B:C,2,0)</f>
        <v>山西汾酒</v>
      </c>
      <c r="F180" t="str">
        <f>TRIM(VLOOKUP(A180,Table!B:O,14,0))</f>
        <v>酿酒行业</v>
      </c>
      <c r="G180" t="str">
        <f>VLOOKUP(F180,industry!A:C,2,0)</f>
        <v>酿酒</v>
      </c>
      <c r="H180" t="str">
        <f>VLOOKUP(F180,industry!A:C,3,0)</f>
        <v>酒</v>
      </c>
      <c r="J180" s="2" t="s">
        <v>12585</v>
      </c>
      <c r="K180" t="str">
        <f t="shared" si="14"/>
        <v>sh600809</v>
      </c>
      <c r="L180" t="str">
        <f t="shared" si="15"/>
        <v>山西汾酒</v>
      </c>
      <c r="M180" t="str">
        <f t="shared" si="16"/>
        <v>酿酒</v>
      </c>
      <c r="N180" t="str">
        <f t="shared" si="17"/>
        <v>酒</v>
      </c>
      <c r="P180" s="2" t="s">
        <v>12585</v>
      </c>
      <c r="Q180" t="s">
        <v>12247</v>
      </c>
      <c r="R180">
        <v>0</v>
      </c>
    </row>
    <row r="181" spans="1:18" x14ac:dyDescent="0.25">
      <c r="A181" t="s">
        <v>10879</v>
      </c>
      <c r="C181" t="str">
        <f t="shared" si="12"/>
        <v>sh</v>
      </c>
      <c r="D181" t="str">
        <f t="shared" si="13"/>
        <v>sh600398</v>
      </c>
      <c r="E181" t="str">
        <f>VLOOKUP(A181,Table!B:C,2,0)</f>
        <v>海澜之家</v>
      </c>
      <c r="F181" t="str">
        <f>TRIM(VLOOKUP(A181,Table!B:O,14,0))</f>
        <v>纺织服装</v>
      </c>
      <c r="G181" t="str">
        <f>VLOOKUP(F181,industry!A:C,2,0)</f>
        <v>纺织</v>
      </c>
      <c r="H181" t="str">
        <f>VLOOKUP(F181,industry!A:C,3,0)</f>
        <v>纺</v>
      </c>
      <c r="J181" s="2" t="s">
        <v>12585</v>
      </c>
      <c r="K181" t="str">
        <f t="shared" si="14"/>
        <v>sh600398</v>
      </c>
      <c r="L181" t="str">
        <f t="shared" si="15"/>
        <v>海澜之家</v>
      </c>
      <c r="M181" t="str">
        <f t="shared" si="16"/>
        <v>纺织</v>
      </c>
      <c r="N181" t="str">
        <f t="shared" si="17"/>
        <v>纺</v>
      </c>
      <c r="P181" s="2" t="s">
        <v>12585</v>
      </c>
      <c r="Q181" t="s">
        <v>9947</v>
      </c>
      <c r="R181">
        <v>0</v>
      </c>
    </row>
    <row r="182" spans="1:18" x14ac:dyDescent="0.25">
      <c r="A182" t="s">
        <v>10880</v>
      </c>
      <c r="C182" t="str">
        <f t="shared" si="12"/>
        <v>sh</v>
      </c>
      <c r="D182" t="str">
        <f t="shared" si="13"/>
        <v>sh601326</v>
      </c>
      <c r="E182" t="str">
        <f>VLOOKUP(A182,Table!B:C,2,0)</f>
        <v>秦港股份</v>
      </c>
      <c r="F182" t="str">
        <f>TRIM(VLOOKUP(A182,Table!B:O,14,0))</f>
        <v>港口水运</v>
      </c>
      <c r="G182" t="str">
        <f>VLOOKUP(F182,industry!A:C,2,0)</f>
        <v>港口</v>
      </c>
      <c r="H182" t="str">
        <f>VLOOKUP(F182,industry!A:C,3,0)</f>
        <v>港</v>
      </c>
      <c r="J182" s="2" t="s">
        <v>12585</v>
      </c>
      <c r="K182" t="str">
        <f t="shared" si="14"/>
        <v>sh601326</v>
      </c>
      <c r="L182" t="str">
        <f t="shared" si="15"/>
        <v>秦港股份</v>
      </c>
      <c r="M182" t="str">
        <f t="shared" si="16"/>
        <v>港口</v>
      </c>
      <c r="N182" t="str">
        <f t="shared" si="17"/>
        <v>港</v>
      </c>
      <c r="P182" s="2" t="s">
        <v>12585</v>
      </c>
      <c r="Q182" t="s">
        <v>12598</v>
      </c>
      <c r="R182">
        <v>0</v>
      </c>
    </row>
    <row r="183" spans="1:18" x14ac:dyDescent="0.25">
      <c r="A183" t="s">
        <v>10881</v>
      </c>
      <c r="C183" t="str">
        <f t="shared" si="12"/>
        <v>sz</v>
      </c>
      <c r="D183" t="str">
        <f t="shared" si="13"/>
        <v>sz000709</v>
      </c>
      <c r="E183" t="str">
        <f>VLOOKUP(A183,Table!B:C,2,0)</f>
        <v>河钢股份</v>
      </c>
      <c r="F183" t="str">
        <f>TRIM(VLOOKUP(A183,Table!B:O,14,0))</f>
        <v>钢铁行业</v>
      </c>
      <c r="G183" t="str">
        <f>VLOOKUP(F183,industry!A:C,2,0)</f>
        <v>钢铁</v>
      </c>
      <c r="H183" t="str">
        <f>VLOOKUP(F183,industry!A:C,3,0)</f>
        <v>钢</v>
      </c>
      <c r="J183" s="2" t="s">
        <v>12585</v>
      </c>
      <c r="K183" t="str">
        <f t="shared" si="14"/>
        <v>sz000709</v>
      </c>
      <c r="L183" t="str">
        <f t="shared" si="15"/>
        <v>河钢股份</v>
      </c>
      <c r="M183" t="str">
        <f t="shared" si="16"/>
        <v>钢铁</v>
      </c>
      <c r="N183" t="str">
        <f t="shared" si="17"/>
        <v>钢</v>
      </c>
      <c r="P183" s="2" t="s">
        <v>12585</v>
      </c>
      <c r="Q183" t="s">
        <v>10175</v>
      </c>
      <c r="R183">
        <v>0</v>
      </c>
    </row>
    <row r="184" spans="1:18" x14ac:dyDescent="0.25">
      <c r="A184" t="s">
        <v>10882</v>
      </c>
      <c r="C184" t="str">
        <f t="shared" si="12"/>
        <v>sh</v>
      </c>
      <c r="D184" t="str">
        <f t="shared" si="13"/>
        <v>sh600332</v>
      </c>
      <c r="E184" t="str">
        <f>VLOOKUP(A184,Table!B:C,2,0)</f>
        <v>白云山</v>
      </c>
      <c r="F184" t="str">
        <f>TRIM(VLOOKUP(A184,Table!B:O,14,0))</f>
        <v>医药制造</v>
      </c>
      <c r="G184" t="str">
        <f>VLOOKUP(F184,industry!A:C,2,0)</f>
        <v>医药</v>
      </c>
      <c r="H184" t="str">
        <f>VLOOKUP(F184,industry!A:C,3,0)</f>
        <v>药</v>
      </c>
      <c r="J184" s="2" t="s">
        <v>12585</v>
      </c>
      <c r="K184" t="str">
        <f t="shared" si="14"/>
        <v>sh600332</v>
      </c>
      <c r="L184" t="str">
        <f t="shared" si="15"/>
        <v>白云山</v>
      </c>
      <c r="M184" t="str">
        <f t="shared" si="16"/>
        <v>医药</v>
      </c>
      <c r="N184" t="str">
        <f t="shared" si="17"/>
        <v>药</v>
      </c>
      <c r="P184" s="2" t="s">
        <v>12585</v>
      </c>
      <c r="Q184" t="s">
        <v>10035</v>
      </c>
      <c r="R184">
        <v>0</v>
      </c>
    </row>
    <row r="185" spans="1:18" x14ac:dyDescent="0.25">
      <c r="A185" t="s">
        <v>10883</v>
      </c>
      <c r="C185" t="str">
        <f t="shared" si="12"/>
        <v>sh</v>
      </c>
      <c r="D185" t="str">
        <f t="shared" si="13"/>
        <v>sh603833</v>
      </c>
      <c r="E185" t="str">
        <f>VLOOKUP(A185,Table!B:C,2,0)</f>
        <v>欧派家居</v>
      </c>
      <c r="F185" t="str">
        <f>TRIM(VLOOKUP(A185,Table!B:O,14,0))</f>
        <v>木业家具</v>
      </c>
      <c r="G185" t="str">
        <f>VLOOKUP(F185,industry!A:C,2,0)</f>
        <v>木业</v>
      </c>
      <c r="H185" t="str">
        <f>VLOOKUP(F185,industry!A:C,3,0)</f>
        <v>木</v>
      </c>
      <c r="J185" s="2" t="s">
        <v>12585</v>
      </c>
      <c r="K185" t="str">
        <f t="shared" si="14"/>
        <v>sh603833</v>
      </c>
      <c r="L185" t="str">
        <f t="shared" si="15"/>
        <v>欧派家居</v>
      </c>
      <c r="M185" t="str">
        <f t="shared" si="16"/>
        <v>木业</v>
      </c>
      <c r="N185" t="str">
        <f t="shared" si="17"/>
        <v>木</v>
      </c>
      <c r="P185" s="2" t="s">
        <v>12585</v>
      </c>
      <c r="Q185" t="s">
        <v>12599</v>
      </c>
      <c r="R185">
        <v>0</v>
      </c>
    </row>
    <row r="186" spans="1:18" x14ac:dyDescent="0.25">
      <c r="A186" t="s">
        <v>10884</v>
      </c>
      <c r="C186" t="str">
        <f t="shared" si="12"/>
        <v>sz</v>
      </c>
      <c r="D186" t="str">
        <f t="shared" si="13"/>
        <v>sz000792</v>
      </c>
      <c r="E186" t="str">
        <f>VLOOKUP(A186,Table!B:C,2,0)</f>
        <v>盐湖股份</v>
      </c>
      <c r="F186" t="str">
        <f>TRIM(VLOOKUP(A186,Table!B:O,14,0))</f>
        <v>化工行业</v>
      </c>
      <c r="G186" t="str">
        <f>VLOOKUP(F186,industry!A:C,2,0)</f>
        <v>化工</v>
      </c>
      <c r="H186" t="str">
        <f>VLOOKUP(F186,industry!A:C,3,0)</f>
        <v>化</v>
      </c>
      <c r="J186" s="2" t="s">
        <v>12585</v>
      </c>
      <c r="K186" t="str">
        <f t="shared" si="14"/>
        <v>sz000792</v>
      </c>
      <c r="L186" t="str">
        <f t="shared" si="15"/>
        <v>盐湖股份</v>
      </c>
      <c r="M186" t="str">
        <f t="shared" si="16"/>
        <v>化工</v>
      </c>
      <c r="N186" t="str">
        <f t="shared" si="17"/>
        <v>化</v>
      </c>
      <c r="P186" s="2" t="s">
        <v>12585</v>
      </c>
      <c r="Q186" t="s">
        <v>10125</v>
      </c>
      <c r="R186">
        <v>0</v>
      </c>
    </row>
    <row r="187" spans="1:18" x14ac:dyDescent="0.25">
      <c r="A187" t="s">
        <v>10885</v>
      </c>
      <c r="C187" t="str">
        <f t="shared" si="12"/>
        <v>sz</v>
      </c>
      <c r="D187" t="str">
        <f t="shared" si="13"/>
        <v>sz002625</v>
      </c>
      <c r="E187" t="str">
        <f>VLOOKUP(A187,Table!B:C,2,0)</f>
        <v>光启技术</v>
      </c>
      <c r="F187" t="str">
        <f>TRIM(VLOOKUP(A187,Table!B:O,14,0))</f>
        <v>汽车行业</v>
      </c>
      <c r="G187" t="str">
        <f>VLOOKUP(F187,industry!A:C,2,0)</f>
        <v>汽车</v>
      </c>
      <c r="H187" t="str">
        <f>VLOOKUP(F187,industry!A:C,3,0)</f>
        <v>车</v>
      </c>
      <c r="J187" s="2" t="s">
        <v>12585</v>
      </c>
      <c r="K187" t="str">
        <f t="shared" si="14"/>
        <v>sz002625</v>
      </c>
      <c r="L187" t="str">
        <f t="shared" si="15"/>
        <v>光启技术</v>
      </c>
      <c r="M187" t="str">
        <f t="shared" si="16"/>
        <v>汽车</v>
      </c>
      <c r="N187" t="str">
        <f t="shared" si="17"/>
        <v>车</v>
      </c>
      <c r="P187" s="2" t="s">
        <v>12585</v>
      </c>
      <c r="Q187" t="s">
        <v>12600</v>
      </c>
      <c r="R187">
        <v>0</v>
      </c>
    </row>
    <row r="188" spans="1:18" x14ac:dyDescent="0.25">
      <c r="A188" t="s">
        <v>10886</v>
      </c>
      <c r="C188" t="str">
        <f t="shared" si="12"/>
        <v>sz</v>
      </c>
      <c r="D188" t="str">
        <f t="shared" si="13"/>
        <v>sz000100</v>
      </c>
      <c r="E188" t="str">
        <f>VLOOKUP(A188,Table!B:C,2,0)</f>
        <v>TCL 集团</v>
      </c>
      <c r="F188" t="str">
        <f>TRIM(VLOOKUP(A188,Table!B:O,14,0))</f>
        <v>家电行业</v>
      </c>
      <c r="G188" t="str">
        <f>VLOOKUP(F188,industry!A:C,2,0)</f>
        <v>家电</v>
      </c>
      <c r="H188" t="str">
        <f>VLOOKUP(F188,industry!A:C,3,0)</f>
        <v>家</v>
      </c>
      <c r="J188" s="2" t="s">
        <v>12585</v>
      </c>
      <c r="K188" t="str">
        <f t="shared" si="14"/>
        <v>sz000100</v>
      </c>
      <c r="L188" t="str">
        <f t="shared" si="15"/>
        <v>TCL 集团</v>
      </c>
      <c r="M188" t="str">
        <f t="shared" si="16"/>
        <v>家电</v>
      </c>
      <c r="N188" t="str">
        <f t="shared" si="17"/>
        <v>家</v>
      </c>
      <c r="P188" s="2" t="s">
        <v>12585</v>
      </c>
      <c r="Q188" t="s">
        <v>10027</v>
      </c>
      <c r="R188">
        <v>0</v>
      </c>
    </row>
    <row r="189" spans="1:18" x14ac:dyDescent="0.25">
      <c r="A189" t="s">
        <v>10887</v>
      </c>
      <c r="C189" t="str">
        <f t="shared" si="12"/>
        <v>sz</v>
      </c>
      <c r="D189" t="str">
        <f t="shared" si="13"/>
        <v>sz002797</v>
      </c>
      <c r="E189" t="str">
        <f>VLOOKUP(A189,Table!B:C,2,0)</f>
        <v>第一创业</v>
      </c>
      <c r="F189" t="str">
        <f>TRIM(VLOOKUP(A189,Table!B:O,14,0))</f>
        <v>券商信托</v>
      </c>
      <c r="G189" t="str">
        <f>VLOOKUP(F189,industry!A:C,2,0)</f>
        <v>券商</v>
      </c>
      <c r="H189" t="str">
        <f>VLOOKUP(F189,industry!A:C,3,0)</f>
        <v>券</v>
      </c>
      <c r="J189" s="2" t="s">
        <v>12585</v>
      </c>
      <c r="K189" t="str">
        <f t="shared" si="14"/>
        <v>sz002797</v>
      </c>
      <c r="L189" t="str">
        <f t="shared" si="15"/>
        <v>第一创业</v>
      </c>
      <c r="M189" t="str">
        <f t="shared" si="16"/>
        <v>券商</v>
      </c>
      <c r="N189" t="str">
        <f t="shared" si="17"/>
        <v>券</v>
      </c>
      <c r="P189" s="2" t="s">
        <v>12585</v>
      </c>
      <c r="Q189" t="s">
        <v>9803</v>
      </c>
      <c r="R189">
        <v>0</v>
      </c>
    </row>
    <row r="190" spans="1:18" x14ac:dyDescent="0.25">
      <c r="A190" t="s">
        <v>10888</v>
      </c>
      <c r="C190" t="str">
        <f t="shared" si="12"/>
        <v>sz</v>
      </c>
      <c r="D190" t="str">
        <f t="shared" si="13"/>
        <v>sz002624</v>
      </c>
      <c r="E190" t="str">
        <f>VLOOKUP(A190,Table!B:C,2,0)</f>
        <v>完美世界</v>
      </c>
      <c r="F190" t="str">
        <f>TRIM(VLOOKUP(A190,Table!B:O,14,0))</f>
        <v>文化传媒</v>
      </c>
      <c r="G190" t="str">
        <f>VLOOKUP(F190,industry!A:C,2,0)</f>
        <v>传媒</v>
      </c>
      <c r="H190" t="str">
        <f>VLOOKUP(F190,industry!A:C,3,0)</f>
        <v>传</v>
      </c>
      <c r="J190" s="2" t="s">
        <v>12585</v>
      </c>
      <c r="K190" t="str">
        <f t="shared" si="14"/>
        <v>sz002624</v>
      </c>
      <c r="L190" t="str">
        <f t="shared" si="15"/>
        <v>完美世界</v>
      </c>
      <c r="M190" t="str">
        <f t="shared" si="16"/>
        <v>传媒</v>
      </c>
      <c r="N190" t="str">
        <f t="shared" si="17"/>
        <v>传</v>
      </c>
      <c r="P190" s="2" t="s">
        <v>12585</v>
      </c>
      <c r="Q190" t="s">
        <v>9983</v>
      </c>
      <c r="R190">
        <v>0</v>
      </c>
    </row>
    <row r="191" spans="1:18" x14ac:dyDescent="0.25">
      <c r="A191" t="s">
        <v>10889</v>
      </c>
      <c r="C191" t="str">
        <f t="shared" si="12"/>
        <v>sz</v>
      </c>
      <c r="D191" t="str">
        <f t="shared" si="13"/>
        <v>sz300136</v>
      </c>
      <c r="E191" t="str">
        <f>VLOOKUP(A191,Table!B:C,2,0)</f>
        <v>信维通信</v>
      </c>
      <c r="F191" t="str">
        <f>TRIM(VLOOKUP(A191,Table!B:O,14,0))</f>
        <v>通讯行业</v>
      </c>
      <c r="G191" t="str">
        <f>VLOOKUP(F191,industry!A:C,2,0)</f>
        <v>通讯</v>
      </c>
      <c r="H191" t="str">
        <f>VLOOKUP(F191,industry!A:C,3,0)</f>
        <v>讯</v>
      </c>
      <c r="J191" s="2" t="s">
        <v>12585</v>
      </c>
      <c r="K191" t="str">
        <f t="shared" si="14"/>
        <v>sz300136</v>
      </c>
      <c r="L191" t="str">
        <f t="shared" si="15"/>
        <v>信维通信</v>
      </c>
      <c r="M191" t="str">
        <f t="shared" si="16"/>
        <v>通讯</v>
      </c>
      <c r="N191" t="str">
        <f t="shared" si="17"/>
        <v>讯</v>
      </c>
      <c r="P191" s="2" t="s">
        <v>12585</v>
      </c>
      <c r="Q191" t="s">
        <v>10446</v>
      </c>
      <c r="R191">
        <v>0</v>
      </c>
    </row>
    <row r="192" spans="1:18" x14ac:dyDescent="0.25">
      <c r="A192" t="s">
        <v>10890</v>
      </c>
      <c r="C192" t="str">
        <f t="shared" si="12"/>
        <v>sh</v>
      </c>
      <c r="D192" t="str">
        <f t="shared" si="13"/>
        <v>sh601866</v>
      </c>
      <c r="E192" t="str">
        <f>VLOOKUP(A192,Table!B:C,2,0)</f>
        <v>中远海发</v>
      </c>
      <c r="F192" t="str">
        <f>TRIM(VLOOKUP(A192,Table!B:O,14,0))</f>
        <v>港口水运</v>
      </c>
      <c r="G192" t="str">
        <f>VLOOKUP(F192,industry!A:C,2,0)</f>
        <v>港口</v>
      </c>
      <c r="H192" t="str">
        <f>VLOOKUP(F192,industry!A:C,3,0)</f>
        <v>港</v>
      </c>
      <c r="J192" s="2" t="s">
        <v>12585</v>
      </c>
      <c r="K192" t="str">
        <f t="shared" si="14"/>
        <v>sh601866</v>
      </c>
      <c r="L192" t="str">
        <f t="shared" si="15"/>
        <v>中远海发</v>
      </c>
      <c r="M192" t="str">
        <f t="shared" si="16"/>
        <v>港口</v>
      </c>
      <c r="N192" t="str">
        <f t="shared" si="17"/>
        <v>港</v>
      </c>
      <c r="P192" s="2" t="s">
        <v>12585</v>
      </c>
      <c r="Q192" t="s">
        <v>9957</v>
      </c>
      <c r="R192">
        <v>0</v>
      </c>
    </row>
    <row r="193" spans="1:18" x14ac:dyDescent="0.25">
      <c r="A193" t="s">
        <v>10891</v>
      </c>
      <c r="C193" t="str">
        <f t="shared" si="12"/>
        <v>sz</v>
      </c>
      <c r="D193" t="str">
        <f t="shared" si="13"/>
        <v>sz300122</v>
      </c>
      <c r="E193" t="str">
        <f>VLOOKUP(A193,Table!B:C,2,0)</f>
        <v>智飞生物</v>
      </c>
      <c r="F193" t="str">
        <f>TRIM(VLOOKUP(A193,Table!B:O,14,0))</f>
        <v>医药制造</v>
      </c>
      <c r="G193" t="str">
        <f>VLOOKUP(F193,industry!A:C,2,0)</f>
        <v>医药</v>
      </c>
      <c r="H193" t="str">
        <f>VLOOKUP(F193,industry!A:C,3,0)</f>
        <v>药</v>
      </c>
      <c r="J193" s="2" t="s">
        <v>12585</v>
      </c>
      <c r="K193" t="str">
        <f t="shared" si="14"/>
        <v>sz300122</v>
      </c>
      <c r="L193" t="str">
        <f t="shared" si="15"/>
        <v>智飞生物</v>
      </c>
      <c r="M193" t="str">
        <f t="shared" si="16"/>
        <v>医药</v>
      </c>
      <c r="N193" t="str">
        <f t="shared" si="17"/>
        <v>药</v>
      </c>
      <c r="P193" s="2" t="s">
        <v>12585</v>
      </c>
      <c r="Q193" t="s">
        <v>10280</v>
      </c>
      <c r="R193">
        <v>0</v>
      </c>
    </row>
    <row r="194" spans="1:18" x14ac:dyDescent="0.25">
      <c r="A194" t="s">
        <v>10892</v>
      </c>
      <c r="C194" t="str">
        <f t="shared" si="12"/>
        <v>sh</v>
      </c>
      <c r="D194" t="str">
        <f t="shared" si="13"/>
        <v>sh600482</v>
      </c>
      <c r="E194" t="str">
        <f>VLOOKUP(A194,Table!B:C,2,0)</f>
        <v>中国动力</v>
      </c>
      <c r="F194" t="str">
        <f>TRIM(VLOOKUP(A194,Table!B:O,14,0))</f>
        <v>机械行业</v>
      </c>
      <c r="G194" t="str">
        <f>VLOOKUP(F194,industry!A:C,2,0)</f>
        <v>机械</v>
      </c>
      <c r="H194" t="str">
        <f>VLOOKUP(F194,industry!A:C,3,0)</f>
        <v>械</v>
      </c>
      <c r="J194" s="2" t="s">
        <v>12585</v>
      </c>
      <c r="K194" t="str">
        <f t="shared" si="14"/>
        <v>sh600482</v>
      </c>
      <c r="L194" t="str">
        <f t="shared" si="15"/>
        <v>中国动力</v>
      </c>
      <c r="M194" t="str">
        <f t="shared" si="16"/>
        <v>机械</v>
      </c>
      <c r="N194" t="str">
        <f t="shared" si="17"/>
        <v>械</v>
      </c>
      <c r="P194" s="2" t="s">
        <v>12585</v>
      </c>
      <c r="Q194" t="s">
        <v>9901</v>
      </c>
      <c r="R194">
        <v>0</v>
      </c>
    </row>
    <row r="195" spans="1:18" x14ac:dyDescent="0.25">
      <c r="A195" t="s">
        <v>10893</v>
      </c>
      <c r="C195" t="str">
        <f t="shared" ref="C195:C258" si="18">IF(LEFT(A195,1)="6","sh","sz")</f>
        <v>sz</v>
      </c>
      <c r="D195" t="str">
        <f t="shared" ref="D195:D258" si="19">C195 &amp; A195</f>
        <v>sz002508</v>
      </c>
      <c r="E195" t="str">
        <f>VLOOKUP(A195,Table!B:C,2,0)</f>
        <v>老板电器</v>
      </c>
      <c r="F195" t="str">
        <f>TRIM(VLOOKUP(A195,Table!B:O,14,0))</f>
        <v>家电行业</v>
      </c>
      <c r="G195" t="str">
        <f>VLOOKUP(F195,industry!A:C,2,0)</f>
        <v>家电</v>
      </c>
      <c r="H195" t="str">
        <f>VLOOKUP(F195,industry!A:C,3,0)</f>
        <v>家</v>
      </c>
      <c r="J195" s="2" t="s">
        <v>12585</v>
      </c>
      <c r="K195" t="str">
        <f t="shared" ref="K195:K258" si="20">D195</f>
        <v>sz002508</v>
      </c>
      <c r="L195" t="str">
        <f t="shared" ref="L195:L258" si="21">E195</f>
        <v>老板电器</v>
      </c>
      <c r="M195" t="str">
        <f t="shared" ref="M195:M258" si="22">G195</f>
        <v>家电</v>
      </c>
      <c r="N195" t="str">
        <f t="shared" ref="N195:N258" si="23">H195</f>
        <v>家</v>
      </c>
      <c r="P195" s="2" t="s">
        <v>12585</v>
      </c>
      <c r="Q195" t="s">
        <v>10304</v>
      </c>
      <c r="R195">
        <v>0</v>
      </c>
    </row>
    <row r="196" spans="1:18" x14ac:dyDescent="0.25">
      <c r="A196" t="s">
        <v>10894</v>
      </c>
      <c r="C196" t="str">
        <f t="shared" si="18"/>
        <v>sz</v>
      </c>
      <c r="D196" t="str">
        <f t="shared" si="19"/>
        <v>sz002044</v>
      </c>
      <c r="E196" t="str">
        <f>VLOOKUP(A196,Table!B:C,2,0)</f>
        <v>美年健康</v>
      </c>
      <c r="F196" t="str">
        <f>TRIM(VLOOKUP(A196,Table!B:O,14,0))</f>
        <v>医疗行业</v>
      </c>
      <c r="G196" t="str">
        <f>VLOOKUP(F196,industry!A:C,2,0)</f>
        <v>医疗</v>
      </c>
      <c r="H196" t="str">
        <f>VLOOKUP(F196,industry!A:C,3,0)</f>
        <v>疗</v>
      </c>
      <c r="J196" s="2" t="s">
        <v>12585</v>
      </c>
      <c r="K196" t="str">
        <f t="shared" si="20"/>
        <v>sz002044</v>
      </c>
      <c r="L196" t="str">
        <f t="shared" si="21"/>
        <v>美年健康</v>
      </c>
      <c r="M196" t="str">
        <f t="shared" si="22"/>
        <v>医疗</v>
      </c>
      <c r="N196" t="str">
        <f t="shared" si="23"/>
        <v>疗</v>
      </c>
      <c r="P196" s="2" t="s">
        <v>12585</v>
      </c>
      <c r="Q196" t="s">
        <v>10171</v>
      </c>
      <c r="R196">
        <v>0</v>
      </c>
    </row>
    <row r="197" spans="1:18" x14ac:dyDescent="0.25">
      <c r="A197" t="s">
        <v>10895</v>
      </c>
      <c r="C197" t="str">
        <f t="shared" si="18"/>
        <v>sh</v>
      </c>
      <c r="D197" t="str">
        <f t="shared" si="19"/>
        <v>sh600157</v>
      </c>
      <c r="E197" t="str">
        <f>VLOOKUP(A197,Table!B:C,2,0)</f>
        <v>永泰能源</v>
      </c>
      <c r="F197" t="str">
        <f>TRIM(VLOOKUP(A197,Table!B:O,14,0))</f>
        <v>煤炭采选</v>
      </c>
      <c r="G197" t="str">
        <f>VLOOKUP(F197,industry!A:C,2,0)</f>
        <v>煤炭</v>
      </c>
      <c r="H197" t="str">
        <f>VLOOKUP(F197,industry!A:C,3,0)</f>
        <v>煤</v>
      </c>
      <c r="J197" s="2" t="s">
        <v>12585</v>
      </c>
      <c r="K197" t="str">
        <f t="shared" si="20"/>
        <v>sh600157</v>
      </c>
      <c r="L197" t="str">
        <f t="shared" si="21"/>
        <v>永泰能源</v>
      </c>
      <c r="M197" t="str">
        <f t="shared" si="22"/>
        <v>煤炭</v>
      </c>
      <c r="N197" t="str">
        <f t="shared" si="23"/>
        <v>煤</v>
      </c>
      <c r="P197" s="2" t="s">
        <v>12585</v>
      </c>
      <c r="Q197" t="s">
        <v>9933</v>
      </c>
      <c r="R197">
        <v>0</v>
      </c>
    </row>
    <row r="198" spans="1:18" x14ac:dyDescent="0.25">
      <c r="A198" t="s">
        <v>10896</v>
      </c>
      <c r="C198" t="str">
        <f t="shared" si="18"/>
        <v>sh</v>
      </c>
      <c r="D198" t="str">
        <f t="shared" si="19"/>
        <v>sh600085</v>
      </c>
      <c r="E198" t="str">
        <f>VLOOKUP(A198,Table!B:C,2,0)</f>
        <v>同仁堂</v>
      </c>
      <c r="F198" t="str">
        <f>TRIM(VLOOKUP(A198,Table!B:O,14,0))</f>
        <v>医药制造</v>
      </c>
      <c r="G198" t="str">
        <f>VLOOKUP(F198,industry!A:C,2,0)</f>
        <v>医药</v>
      </c>
      <c r="H198" t="str">
        <f>VLOOKUP(F198,industry!A:C,3,0)</f>
        <v>药</v>
      </c>
      <c r="J198" s="2" t="s">
        <v>12585</v>
      </c>
      <c r="K198" t="str">
        <f t="shared" si="20"/>
        <v>sh600085</v>
      </c>
      <c r="L198" t="str">
        <f t="shared" si="21"/>
        <v>同仁堂</v>
      </c>
      <c r="M198" t="str">
        <f t="shared" si="22"/>
        <v>医药</v>
      </c>
      <c r="N198" t="str">
        <f t="shared" si="23"/>
        <v>药</v>
      </c>
      <c r="P198" s="2" t="s">
        <v>12585</v>
      </c>
      <c r="Q198" t="s">
        <v>10005</v>
      </c>
      <c r="R198">
        <v>0</v>
      </c>
    </row>
    <row r="199" spans="1:18" x14ac:dyDescent="0.25">
      <c r="A199" t="s">
        <v>10897</v>
      </c>
      <c r="C199" t="str">
        <f t="shared" si="18"/>
        <v>sz</v>
      </c>
      <c r="D199" t="str">
        <f t="shared" si="19"/>
        <v>sz002714</v>
      </c>
      <c r="E199" t="str">
        <f>VLOOKUP(A199,Table!B:C,2,0)</f>
        <v>牧原股份</v>
      </c>
      <c r="F199" t="str">
        <f>TRIM(VLOOKUP(A199,Table!B:O,14,0))</f>
        <v>农牧饲渔</v>
      </c>
      <c r="G199" t="str">
        <f>VLOOKUP(F199,industry!A:C,2,0)</f>
        <v>农渔</v>
      </c>
      <c r="H199" t="str">
        <f>VLOOKUP(F199,industry!A:C,3,0)</f>
        <v>渔</v>
      </c>
      <c r="J199" s="2" t="s">
        <v>12585</v>
      </c>
      <c r="K199" t="str">
        <f t="shared" si="20"/>
        <v>sz002714</v>
      </c>
      <c r="L199" t="str">
        <f t="shared" si="21"/>
        <v>牧原股份</v>
      </c>
      <c r="M199" t="str">
        <f t="shared" si="22"/>
        <v>农渔</v>
      </c>
      <c r="N199" t="str">
        <f t="shared" si="23"/>
        <v>渔</v>
      </c>
      <c r="P199" s="2" t="s">
        <v>12585</v>
      </c>
      <c r="Q199" t="s">
        <v>10382</v>
      </c>
      <c r="R199">
        <v>0</v>
      </c>
    </row>
    <row r="200" spans="1:18" x14ac:dyDescent="0.25">
      <c r="A200" t="s">
        <v>10898</v>
      </c>
      <c r="C200" t="str">
        <f t="shared" si="18"/>
        <v>sh</v>
      </c>
      <c r="D200" t="str">
        <f t="shared" si="19"/>
        <v>sh600871</v>
      </c>
      <c r="E200" t="str">
        <f>VLOOKUP(A200,Table!B:C,2,0)</f>
        <v>石化油服</v>
      </c>
      <c r="F200" t="str">
        <f>TRIM(VLOOKUP(A200,Table!B:O,14,0))</f>
        <v>石油行业</v>
      </c>
      <c r="G200" t="str">
        <f>VLOOKUP(F200,industry!A:C,2,0)</f>
        <v>石油</v>
      </c>
      <c r="H200" t="str">
        <f>VLOOKUP(F200,industry!A:C,3,0)</f>
        <v>油</v>
      </c>
      <c r="J200" s="2" t="s">
        <v>12585</v>
      </c>
      <c r="K200" t="str">
        <f t="shared" si="20"/>
        <v>sh600871</v>
      </c>
      <c r="L200" t="str">
        <f t="shared" si="21"/>
        <v>石化油服</v>
      </c>
      <c r="M200" t="str">
        <f t="shared" si="22"/>
        <v>石油</v>
      </c>
      <c r="N200" t="str">
        <f t="shared" si="23"/>
        <v>油</v>
      </c>
      <c r="P200" s="2" t="s">
        <v>12585</v>
      </c>
      <c r="Q200" t="s">
        <v>9907</v>
      </c>
      <c r="R200">
        <v>0</v>
      </c>
    </row>
    <row r="201" spans="1:18" x14ac:dyDescent="0.25">
      <c r="A201" t="s">
        <v>10899</v>
      </c>
      <c r="C201" t="str">
        <f t="shared" si="18"/>
        <v>sh</v>
      </c>
      <c r="D201" t="str">
        <f t="shared" si="19"/>
        <v>sh600600</v>
      </c>
      <c r="E201" t="str">
        <f>VLOOKUP(A201,Table!B:C,2,0)</f>
        <v>青岛啤酒</v>
      </c>
      <c r="F201" t="str">
        <f>TRIM(VLOOKUP(A201,Table!B:O,14,0))</f>
        <v>酿酒行业</v>
      </c>
      <c r="G201" t="str">
        <f>VLOOKUP(F201,industry!A:C,2,0)</f>
        <v>酿酒</v>
      </c>
      <c r="H201" t="str">
        <f>VLOOKUP(F201,industry!A:C,3,0)</f>
        <v>酒</v>
      </c>
      <c r="J201" s="2" t="s">
        <v>12585</v>
      </c>
      <c r="K201" t="str">
        <f t="shared" si="20"/>
        <v>sh600600</v>
      </c>
      <c r="L201" t="str">
        <f t="shared" si="21"/>
        <v>青岛啤酒</v>
      </c>
      <c r="M201" t="str">
        <f t="shared" si="22"/>
        <v>酿酒</v>
      </c>
      <c r="N201" t="str">
        <f t="shared" si="23"/>
        <v>酒</v>
      </c>
      <c r="P201" s="2" t="s">
        <v>12585</v>
      </c>
      <c r="Q201" t="s">
        <v>10019</v>
      </c>
      <c r="R201">
        <v>0</v>
      </c>
    </row>
    <row r="202" spans="1:18" x14ac:dyDescent="0.25">
      <c r="A202" t="s">
        <v>10900</v>
      </c>
      <c r="C202" t="str">
        <f t="shared" si="18"/>
        <v>sh</v>
      </c>
      <c r="D202" t="str">
        <f t="shared" si="19"/>
        <v>sh600027</v>
      </c>
      <c r="E202" t="str">
        <f>VLOOKUP(A202,Table!B:C,2,0)</f>
        <v>华电国际</v>
      </c>
      <c r="F202" t="str">
        <f>TRIM(VLOOKUP(A202,Table!B:O,14,0))</f>
        <v>电力行业</v>
      </c>
      <c r="G202" t="str">
        <f>VLOOKUP(F202,industry!A:C,2,0)</f>
        <v>电力</v>
      </c>
      <c r="H202" t="str">
        <f>VLOOKUP(F202,industry!A:C,3,0)</f>
        <v>电力</v>
      </c>
      <c r="J202" s="2" t="s">
        <v>12585</v>
      </c>
      <c r="K202" t="str">
        <f t="shared" si="20"/>
        <v>sh600027</v>
      </c>
      <c r="L202" t="str">
        <f t="shared" si="21"/>
        <v>华电国际</v>
      </c>
      <c r="M202" t="str">
        <f t="shared" si="22"/>
        <v>电力</v>
      </c>
      <c r="N202" t="str">
        <f t="shared" si="23"/>
        <v>电力</v>
      </c>
      <c r="P202" s="2" t="s">
        <v>12585</v>
      </c>
      <c r="Q202" t="s">
        <v>9951</v>
      </c>
      <c r="R202">
        <v>0</v>
      </c>
    </row>
    <row r="203" spans="1:18" x14ac:dyDescent="0.25">
      <c r="A203" t="s">
        <v>10901</v>
      </c>
      <c r="C203" t="str">
        <f t="shared" si="18"/>
        <v>sz</v>
      </c>
      <c r="D203" t="str">
        <f t="shared" si="19"/>
        <v>sz000423</v>
      </c>
      <c r="E203" t="str">
        <f>VLOOKUP(A203,Table!B:C,2,0)</f>
        <v>东阿阿胶</v>
      </c>
      <c r="F203" t="str">
        <f>TRIM(VLOOKUP(A203,Table!B:O,14,0))</f>
        <v>医药制造</v>
      </c>
      <c r="G203" t="str">
        <f>VLOOKUP(F203,industry!A:C,2,0)</f>
        <v>医药</v>
      </c>
      <c r="H203" t="str">
        <f>VLOOKUP(F203,industry!A:C,3,0)</f>
        <v>药</v>
      </c>
      <c r="J203" s="2" t="s">
        <v>12585</v>
      </c>
      <c r="K203" t="str">
        <f t="shared" si="20"/>
        <v>sz000423</v>
      </c>
      <c r="L203" t="str">
        <f t="shared" si="21"/>
        <v>东阿阿胶</v>
      </c>
      <c r="M203" t="str">
        <f t="shared" si="22"/>
        <v>医药</v>
      </c>
      <c r="N203" t="str">
        <f t="shared" si="23"/>
        <v>药</v>
      </c>
      <c r="P203" s="2" t="s">
        <v>12585</v>
      </c>
      <c r="Q203" t="s">
        <v>10085</v>
      </c>
      <c r="R203">
        <v>0</v>
      </c>
    </row>
    <row r="204" spans="1:18" x14ac:dyDescent="0.25">
      <c r="A204" t="s">
        <v>10902</v>
      </c>
      <c r="C204" t="str">
        <f t="shared" si="18"/>
        <v>sh</v>
      </c>
      <c r="D204" t="str">
        <f t="shared" si="19"/>
        <v>sh603160</v>
      </c>
      <c r="E204" t="str">
        <f>VLOOKUP(A204,Table!B:C,2,0)</f>
        <v>汇顶科技</v>
      </c>
      <c r="F204" t="str">
        <f>TRIM(VLOOKUP(A204,Table!B:O,14,0))</f>
        <v>电子元件</v>
      </c>
      <c r="G204" t="str">
        <f>VLOOKUP(F204,industry!A:C,2,0)</f>
        <v>原件</v>
      </c>
      <c r="H204" t="str">
        <f>VLOOKUP(F204,industry!A:C,3,0)</f>
        <v>元件</v>
      </c>
      <c r="J204" s="2" t="s">
        <v>12585</v>
      </c>
      <c r="K204" t="str">
        <f t="shared" si="20"/>
        <v>sh603160</v>
      </c>
      <c r="L204" t="str">
        <f t="shared" si="21"/>
        <v>汇顶科技</v>
      </c>
      <c r="M204" t="str">
        <f t="shared" si="22"/>
        <v>原件</v>
      </c>
      <c r="N204" t="str">
        <f t="shared" si="23"/>
        <v>元件</v>
      </c>
      <c r="P204" s="2" t="s">
        <v>12585</v>
      </c>
      <c r="Q204" t="s">
        <v>10266</v>
      </c>
      <c r="R204">
        <v>0</v>
      </c>
    </row>
    <row r="205" spans="1:18" x14ac:dyDescent="0.25">
      <c r="A205" t="s">
        <v>10903</v>
      </c>
      <c r="C205" t="str">
        <f t="shared" si="18"/>
        <v>sz</v>
      </c>
      <c r="D205" t="str">
        <f t="shared" si="19"/>
        <v>sz000839</v>
      </c>
      <c r="E205" t="str">
        <f>VLOOKUP(A205,Table!B:C,2,0)</f>
        <v>中信国安</v>
      </c>
      <c r="F205" t="str">
        <f>TRIM(VLOOKUP(A205,Table!B:O,14,0))</f>
        <v>电子信息</v>
      </c>
      <c r="G205" t="str">
        <f>VLOOKUP(F205,industry!A:C,2,0)</f>
        <v>信息</v>
      </c>
      <c r="H205" t="str">
        <f>VLOOKUP(F205,industry!A:C,3,0)</f>
        <v>咨</v>
      </c>
      <c r="J205" s="2" t="s">
        <v>12585</v>
      </c>
      <c r="K205" t="str">
        <f t="shared" si="20"/>
        <v>sz000839</v>
      </c>
      <c r="L205" t="str">
        <f t="shared" si="21"/>
        <v>中信国安</v>
      </c>
      <c r="M205" t="str">
        <f t="shared" si="22"/>
        <v>信息</v>
      </c>
      <c r="N205" t="str">
        <f t="shared" si="23"/>
        <v>咨</v>
      </c>
      <c r="P205" s="2" t="s">
        <v>12585</v>
      </c>
      <c r="Q205" t="s">
        <v>9999</v>
      </c>
      <c r="R205">
        <v>0</v>
      </c>
    </row>
    <row r="206" spans="1:18" x14ac:dyDescent="0.25">
      <c r="A206" t="s">
        <v>10904</v>
      </c>
      <c r="C206" t="str">
        <f t="shared" si="18"/>
        <v>sh</v>
      </c>
      <c r="D206" t="str">
        <f t="shared" si="19"/>
        <v>sh600682</v>
      </c>
      <c r="E206" t="str">
        <f>VLOOKUP(A206,Table!B:C,2,0)</f>
        <v>南京新百</v>
      </c>
      <c r="F206" t="str">
        <f>TRIM(VLOOKUP(A206,Table!B:O,14,0))</f>
        <v>商业百货</v>
      </c>
      <c r="G206" t="str">
        <f>VLOOKUP(F206,industry!A:C,2,0)</f>
        <v>百货</v>
      </c>
      <c r="H206" t="str">
        <f>VLOOKUP(F206,industry!A:C,3,0)</f>
        <v>商</v>
      </c>
      <c r="J206" s="2" t="s">
        <v>12585</v>
      </c>
      <c r="K206" t="str">
        <f t="shared" si="20"/>
        <v>sh600682</v>
      </c>
      <c r="L206" t="str">
        <f t="shared" si="21"/>
        <v>南京新百</v>
      </c>
      <c r="M206" t="str">
        <f t="shared" si="22"/>
        <v>百货</v>
      </c>
      <c r="N206" t="str">
        <f t="shared" si="23"/>
        <v>商</v>
      </c>
      <c r="P206" s="2" t="s">
        <v>12585</v>
      </c>
      <c r="Q206" t="s">
        <v>10448</v>
      </c>
      <c r="R206">
        <v>0</v>
      </c>
    </row>
    <row r="207" spans="1:18" x14ac:dyDescent="0.25">
      <c r="A207" t="s">
        <v>10905</v>
      </c>
      <c r="C207" t="str">
        <f t="shared" si="18"/>
        <v>sz</v>
      </c>
      <c r="D207" t="str">
        <f t="shared" si="19"/>
        <v>sz002468</v>
      </c>
      <c r="E207" t="str">
        <f>VLOOKUP(A207,Table!B:C,2,0)</f>
        <v>申通快递</v>
      </c>
      <c r="F207" t="str">
        <f>TRIM(VLOOKUP(A207,Table!B:O,14,0))</f>
        <v>交运物流</v>
      </c>
      <c r="G207" t="str">
        <f>VLOOKUP(F207,industry!A:C,2,0)</f>
        <v>物流</v>
      </c>
      <c r="H207" t="str">
        <f>VLOOKUP(F207,industry!A:C,3,0)</f>
        <v>物</v>
      </c>
      <c r="J207" s="2" t="s">
        <v>12585</v>
      </c>
      <c r="K207" t="str">
        <f t="shared" si="20"/>
        <v>sz002468</v>
      </c>
      <c r="L207" t="str">
        <f t="shared" si="21"/>
        <v>申通快递</v>
      </c>
      <c r="M207" t="str">
        <f t="shared" si="22"/>
        <v>物流</v>
      </c>
      <c r="N207" t="str">
        <f t="shared" si="23"/>
        <v>物</v>
      </c>
      <c r="P207" s="2" t="s">
        <v>12585</v>
      </c>
      <c r="Q207" t="s">
        <v>12601</v>
      </c>
      <c r="R207">
        <v>0</v>
      </c>
    </row>
    <row r="208" spans="1:18" x14ac:dyDescent="0.25">
      <c r="A208" t="s">
        <v>10906</v>
      </c>
      <c r="C208" t="str">
        <f t="shared" si="18"/>
        <v>sh</v>
      </c>
      <c r="D208" t="str">
        <f t="shared" si="19"/>
        <v>sh601228</v>
      </c>
      <c r="E208" t="str">
        <f>VLOOKUP(A208,Table!B:C,2,0)</f>
        <v>广州港</v>
      </c>
      <c r="F208" t="str">
        <f>TRIM(VLOOKUP(A208,Table!B:O,14,0))</f>
        <v>港口水运</v>
      </c>
      <c r="G208" t="str">
        <f>VLOOKUP(F208,industry!A:C,2,0)</f>
        <v>港口</v>
      </c>
      <c r="H208" t="str">
        <f>VLOOKUP(F208,industry!A:C,3,0)</f>
        <v>港</v>
      </c>
      <c r="J208" s="2" t="s">
        <v>12585</v>
      </c>
      <c r="K208" t="str">
        <f t="shared" si="20"/>
        <v>sh601228</v>
      </c>
      <c r="L208" t="str">
        <f t="shared" si="21"/>
        <v>广州港</v>
      </c>
      <c r="M208" t="str">
        <f t="shared" si="22"/>
        <v>港口</v>
      </c>
      <c r="N208" t="str">
        <f t="shared" si="23"/>
        <v>港</v>
      </c>
      <c r="P208" s="2" t="s">
        <v>12585</v>
      </c>
      <c r="Q208" t="s">
        <v>12602</v>
      </c>
      <c r="R208">
        <v>0</v>
      </c>
    </row>
    <row r="209" spans="1:18" x14ac:dyDescent="0.25">
      <c r="A209" t="s">
        <v>10907</v>
      </c>
      <c r="C209" t="str">
        <f t="shared" si="18"/>
        <v>sh</v>
      </c>
      <c r="D209" t="str">
        <f t="shared" si="19"/>
        <v>sh601216</v>
      </c>
      <c r="E209" t="str">
        <f>VLOOKUP(A209,Table!B:C,2,0)</f>
        <v>君正集团</v>
      </c>
      <c r="F209" t="str">
        <f>TRIM(VLOOKUP(A209,Table!B:O,14,0))</f>
        <v>化工行业</v>
      </c>
      <c r="G209" t="str">
        <f>VLOOKUP(F209,industry!A:C,2,0)</f>
        <v>化工</v>
      </c>
      <c r="H209" t="str">
        <f>VLOOKUP(F209,industry!A:C,3,0)</f>
        <v>化</v>
      </c>
      <c r="J209" s="2" t="s">
        <v>12585</v>
      </c>
      <c r="K209" t="str">
        <f t="shared" si="20"/>
        <v>sh601216</v>
      </c>
      <c r="L209" t="str">
        <f t="shared" si="21"/>
        <v>君正集团</v>
      </c>
      <c r="M209" t="str">
        <f t="shared" si="22"/>
        <v>化工</v>
      </c>
      <c r="N209" t="str">
        <f t="shared" si="23"/>
        <v>化</v>
      </c>
      <c r="P209" s="2" t="s">
        <v>12585</v>
      </c>
      <c r="Q209" t="s">
        <v>10001</v>
      </c>
      <c r="R209">
        <v>0</v>
      </c>
    </row>
    <row r="210" spans="1:18" x14ac:dyDescent="0.25">
      <c r="A210" t="s">
        <v>10908</v>
      </c>
      <c r="C210" t="str">
        <f t="shared" si="18"/>
        <v>sz</v>
      </c>
      <c r="D210" t="str">
        <f t="shared" si="19"/>
        <v>sz300408</v>
      </c>
      <c r="E210" t="str">
        <f>VLOOKUP(A210,Table!B:C,2,0)</f>
        <v>三环集团</v>
      </c>
      <c r="F210" t="str">
        <f>TRIM(VLOOKUP(A210,Table!B:O,14,0))</f>
        <v>电子元件</v>
      </c>
      <c r="G210" t="str">
        <f>VLOOKUP(F210,industry!A:C,2,0)</f>
        <v>原件</v>
      </c>
      <c r="H210" t="str">
        <f>VLOOKUP(F210,industry!A:C,3,0)</f>
        <v>元件</v>
      </c>
      <c r="J210" s="2" t="s">
        <v>12585</v>
      </c>
      <c r="K210" t="str">
        <f t="shared" si="20"/>
        <v>sz300408</v>
      </c>
      <c r="L210" t="str">
        <f t="shared" si="21"/>
        <v>三环集团</v>
      </c>
      <c r="M210" t="str">
        <f t="shared" si="22"/>
        <v>原件</v>
      </c>
      <c r="N210" t="str">
        <f t="shared" si="23"/>
        <v>元件</v>
      </c>
      <c r="P210" s="2" t="s">
        <v>12585</v>
      </c>
      <c r="Q210" t="s">
        <v>10220</v>
      </c>
      <c r="R210">
        <v>0</v>
      </c>
    </row>
    <row r="211" spans="1:18" x14ac:dyDescent="0.25">
      <c r="A211" t="s">
        <v>10909</v>
      </c>
      <c r="C211" t="str">
        <f t="shared" si="18"/>
        <v>sh</v>
      </c>
      <c r="D211" t="str">
        <f t="shared" si="19"/>
        <v>sh600485</v>
      </c>
      <c r="E211" t="str">
        <f>VLOOKUP(A211,Table!B:C,2,0)</f>
        <v>信威集团</v>
      </c>
      <c r="F211" t="str">
        <f>TRIM(VLOOKUP(A211,Table!B:O,14,0))</f>
        <v>通讯行业</v>
      </c>
      <c r="G211" t="str">
        <f>VLOOKUP(F211,industry!A:C,2,0)</f>
        <v>通讯</v>
      </c>
      <c r="H211" t="str">
        <f>VLOOKUP(F211,industry!A:C,3,0)</f>
        <v>讯</v>
      </c>
      <c r="J211" s="2" t="s">
        <v>12585</v>
      </c>
      <c r="K211" t="str">
        <f t="shared" si="20"/>
        <v>sh600485</v>
      </c>
      <c r="L211" t="str">
        <f t="shared" si="21"/>
        <v>信威集团</v>
      </c>
      <c r="M211" t="str">
        <f t="shared" si="22"/>
        <v>通讯</v>
      </c>
      <c r="N211" t="str">
        <f t="shared" si="23"/>
        <v>讯</v>
      </c>
      <c r="P211" s="2" t="s">
        <v>12585</v>
      </c>
      <c r="Q211" t="s">
        <v>9925</v>
      </c>
      <c r="R211">
        <v>0</v>
      </c>
    </row>
    <row r="212" spans="1:18" x14ac:dyDescent="0.25">
      <c r="A212" t="s">
        <v>10910</v>
      </c>
      <c r="C212" t="str">
        <f t="shared" si="18"/>
        <v>sh</v>
      </c>
      <c r="D212" t="str">
        <f t="shared" si="19"/>
        <v>sh600674</v>
      </c>
      <c r="E212" t="str">
        <f>VLOOKUP(A212,Table!B:C,2,0)</f>
        <v>川投能源</v>
      </c>
      <c r="F212" t="str">
        <f>TRIM(VLOOKUP(A212,Table!B:O,14,0))</f>
        <v>电力行业</v>
      </c>
      <c r="G212" t="str">
        <f>VLOOKUP(F212,industry!A:C,2,0)</f>
        <v>电力</v>
      </c>
      <c r="H212" t="str">
        <f>VLOOKUP(F212,industry!A:C,3,0)</f>
        <v>电力</v>
      </c>
      <c r="J212" s="2" t="s">
        <v>12585</v>
      </c>
      <c r="K212" t="str">
        <f t="shared" si="20"/>
        <v>sh600674</v>
      </c>
      <c r="L212" t="str">
        <f t="shared" si="21"/>
        <v>川投能源</v>
      </c>
      <c r="M212" t="str">
        <f t="shared" si="22"/>
        <v>电力</v>
      </c>
      <c r="N212" t="str">
        <f t="shared" si="23"/>
        <v>电力</v>
      </c>
      <c r="P212" s="2" t="s">
        <v>12585</v>
      </c>
      <c r="Q212" t="s">
        <v>10077</v>
      </c>
      <c r="R212">
        <v>0</v>
      </c>
    </row>
    <row r="213" spans="1:18" x14ac:dyDescent="0.25">
      <c r="A213" t="s">
        <v>10911</v>
      </c>
      <c r="C213" t="str">
        <f t="shared" si="18"/>
        <v>sz</v>
      </c>
      <c r="D213" t="str">
        <f t="shared" si="19"/>
        <v>sz000046</v>
      </c>
      <c r="E213" t="str">
        <f>VLOOKUP(A213,Table!B:C,2,0)</f>
        <v>泛海控股</v>
      </c>
      <c r="F213" t="str">
        <f>TRIM(VLOOKUP(A213,Table!B:O,14,0))</f>
        <v>房地产</v>
      </c>
      <c r="G213" t="str">
        <f>VLOOKUP(F213,industry!A:C,2,0)</f>
        <v>房产</v>
      </c>
      <c r="H213" t="str">
        <f>VLOOKUP(F213,industry!A:C,3,0)</f>
        <v>产</v>
      </c>
      <c r="J213" s="2" t="s">
        <v>12585</v>
      </c>
      <c r="K213" t="str">
        <f t="shared" si="20"/>
        <v>sz000046</v>
      </c>
      <c r="L213" t="str">
        <f t="shared" si="21"/>
        <v>泛海控股</v>
      </c>
      <c r="M213" t="str">
        <f t="shared" si="22"/>
        <v>房产</v>
      </c>
      <c r="N213" t="str">
        <f t="shared" si="23"/>
        <v>产</v>
      </c>
      <c r="P213" s="2" t="s">
        <v>12585</v>
      </c>
      <c r="Q213" t="s">
        <v>9921</v>
      </c>
      <c r="R213">
        <v>0</v>
      </c>
    </row>
    <row r="214" spans="1:18" x14ac:dyDescent="0.25">
      <c r="A214" t="s">
        <v>10912</v>
      </c>
      <c r="C214" t="str">
        <f t="shared" si="18"/>
        <v>sh</v>
      </c>
      <c r="D214" t="str">
        <f t="shared" si="19"/>
        <v>sh600959</v>
      </c>
      <c r="E214" t="str">
        <f>VLOOKUP(A214,Table!B:C,2,0)</f>
        <v>江苏有线</v>
      </c>
      <c r="F214" t="str">
        <f>TRIM(VLOOKUP(A214,Table!B:O,14,0))</f>
        <v>文化传媒</v>
      </c>
      <c r="G214" t="str">
        <f>VLOOKUP(F214,industry!A:C,2,0)</f>
        <v>传媒</v>
      </c>
      <c r="H214" t="str">
        <f>VLOOKUP(F214,industry!A:C,3,0)</f>
        <v>传</v>
      </c>
      <c r="J214" s="2" t="s">
        <v>12585</v>
      </c>
      <c r="K214" t="str">
        <f t="shared" si="20"/>
        <v>sh600959</v>
      </c>
      <c r="L214" t="str">
        <f t="shared" si="21"/>
        <v>江苏有线</v>
      </c>
      <c r="M214" t="str">
        <f t="shared" si="22"/>
        <v>传媒</v>
      </c>
      <c r="N214" t="str">
        <f t="shared" si="23"/>
        <v>传</v>
      </c>
      <c r="P214" s="2" t="s">
        <v>12585</v>
      </c>
      <c r="Q214" t="s">
        <v>10041</v>
      </c>
      <c r="R214">
        <v>0</v>
      </c>
    </row>
    <row r="215" spans="1:18" x14ac:dyDescent="0.25">
      <c r="A215" t="s">
        <v>10913</v>
      </c>
      <c r="C215" t="str">
        <f t="shared" si="18"/>
        <v>sz</v>
      </c>
      <c r="D215" t="str">
        <f t="shared" si="19"/>
        <v>sz002146</v>
      </c>
      <c r="E215" t="str">
        <f>VLOOKUP(A215,Table!B:C,2,0)</f>
        <v>荣盛发展</v>
      </c>
      <c r="F215" t="str">
        <f>TRIM(VLOOKUP(A215,Table!B:O,14,0))</f>
        <v>房地产</v>
      </c>
      <c r="G215" t="str">
        <f>VLOOKUP(F215,industry!A:C,2,0)</f>
        <v>房产</v>
      </c>
      <c r="H215" t="str">
        <f>VLOOKUP(F215,industry!A:C,3,0)</f>
        <v>产</v>
      </c>
      <c r="J215" s="2" t="s">
        <v>12585</v>
      </c>
      <c r="K215" t="str">
        <f t="shared" si="20"/>
        <v>sz002146</v>
      </c>
      <c r="L215" t="str">
        <f t="shared" si="21"/>
        <v>荣盛发展</v>
      </c>
      <c r="M215" t="str">
        <f t="shared" si="22"/>
        <v>房产</v>
      </c>
      <c r="N215" t="str">
        <f t="shared" si="23"/>
        <v>产</v>
      </c>
      <c r="P215" s="2" t="s">
        <v>12585</v>
      </c>
      <c r="Q215" t="s">
        <v>10137</v>
      </c>
      <c r="R215">
        <v>0</v>
      </c>
    </row>
    <row r="216" spans="1:18" x14ac:dyDescent="0.25">
      <c r="A216" t="s">
        <v>10914</v>
      </c>
      <c r="C216" t="str">
        <f t="shared" si="18"/>
        <v>sh</v>
      </c>
      <c r="D216" t="str">
        <f t="shared" si="19"/>
        <v>sh600715</v>
      </c>
      <c r="E216" t="str">
        <f>VLOOKUP(A216,Table!B:C,2,0)</f>
        <v>文投控股</v>
      </c>
      <c r="F216" t="str">
        <f>TRIM(VLOOKUP(A216,Table!B:O,14,0))</f>
        <v>文化传媒</v>
      </c>
      <c r="G216" t="str">
        <f>VLOOKUP(F216,industry!A:C,2,0)</f>
        <v>传媒</v>
      </c>
      <c r="H216" t="str">
        <f>VLOOKUP(F216,industry!A:C,3,0)</f>
        <v>传</v>
      </c>
      <c r="J216" s="2" t="s">
        <v>12585</v>
      </c>
      <c r="K216" t="str">
        <f t="shared" si="20"/>
        <v>sh600715</v>
      </c>
      <c r="L216" t="str">
        <f t="shared" si="21"/>
        <v>文投控股</v>
      </c>
      <c r="M216" t="str">
        <f t="shared" si="22"/>
        <v>传媒</v>
      </c>
      <c r="N216" t="str">
        <f t="shared" si="23"/>
        <v>传</v>
      </c>
      <c r="P216" s="2" t="s">
        <v>12585</v>
      </c>
      <c r="Q216" t="s">
        <v>10059</v>
      </c>
      <c r="R216">
        <v>0</v>
      </c>
    </row>
    <row r="217" spans="1:18" x14ac:dyDescent="0.25">
      <c r="A217" t="s">
        <v>10915</v>
      </c>
      <c r="C217" t="str">
        <f t="shared" si="18"/>
        <v>sh</v>
      </c>
      <c r="D217" t="str">
        <f t="shared" si="19"/>
        <v>sh600522</v>
      </c>
      <c r="E217" t="str">
        <f>VLOOKUP(A217,Table!B:C,2,0)</f>
        <v>中天科技</v>
      </c>
      <c r="F217" t="str">
        <f>TRIM(VLOOKUP(A217,Table!B:O,14,0))</f>
        <v>通讯行业</v>
      </c>
      <c r="G217" t="str">
        <f>VLOOKUP(F217,industry!A:C,2,0)</f>
        <v>通讯</v>
      </c>
      <c r="H217" t="str">
        <f>VLOOKUP(F217,industry!A:C,3,0)</f>
        <v>讯</v>
      </c>
      <c r="J217" s="2" t="s">
        <v>12585</v>
      </c>
      <c r="K217" t="str">
        <f t="shared" si="20"/>
        <v>sh600522</v>
      </c>
      <c r="L217" t="str">
        <f t="shared" si="21"/>
        <v>中天科技</v>
      </c>
      <c r="M217" t="str">
        <f t="shared" si="22"/>
        <v>通讯</v>
      </c>
      <c r="N217" t="str">
        <f t="shared" si="23"/>
        <v>讯</v>
      </c>
      <c r="P217" s="2" t="s">
        <v>12585</v>
      </c>
      <c r="Q217" t="s">
        <v>10286</v>
      </c>
      <c r="R217">
        <v>0</v>
      </c>
    </row>
    <row r="218" spans="1:18" x14ac:dyDescent="0.25">
      <c r="A218" t="s">
        <v>10916</v>
      </c>
      <c r="C218" t="str">
        <f t="shared" si="18"/>
        <v>sz</v>
      </c>
      <c r="D218" t="str">
        <f t="shared" si="19"/>
        <v>sz002411</v>
      </c>
      <c r="E218" t="str">
        <f>VLOOKUP(A218,Table!B:C,2,0)</f>
        <v>必康股份</v>
      </c>
      <c r="F218" t="str">
        <f>TRIM(VLOOKUP(A218,Table!B:O,14,0))</f>
        <v>医药制造</v>
      </c>
      <c r="G218" t="str">
        <f>VLOOKUP(F218,industry!A:C,2,0)</f>
        <v>医药</v>
      </c>
      <c r="H218" t="str">
        <f>VLOOKUP(F218,industry!A:C,3,0)</f>
        <v>药</v>
      </c>
      <c r="J218" s="2" t="s">
        <v>12585</v>
      </c>
      <c r="K218" t="str">
        <f t="shared" si="20"/>
        <v>sz002411</v>
      </c>
      <c r="L218" t="str">
        <f t="shared" si="21"/>
        <v>必康股份</v>
      </c>
      <c r="M218" t="str">
        <f t="shared" si="22"/>
        <v>医药</v>
      </c>
      <c r="N218" t="str">
        <f t="shared" si="23"/>
        <v>药</v>
      </c>
      <c r="P218" s="2" t="s">
        <v>12585</v>
      </c>
      <c r="Q218" t="s">
        <v>10037</v>
      </c>
      <c r="R218">
        <v>0</v>
      </c>
    </row>
    <row r="219" spans="1:18" x14ac:dyDescent="0.25">
      <c r="A219" t="s">
        <v>10917</v>
      </c>
      <c r="C219" t="str">
        <f t="shared" si="18"/>
        <v>sz</v>
      </c>
      <c r="D219" t="str">
        <f t="shared" si="19"/>
        <v>sz000415</v>
      </c>
      <c r="E219" t="str">
        <f>VLOOKUP(A219,Table!B:C,2,0)</f>
        <v>渤海金控</v>
      </c>
      <c r="F219" t="str">
        <f>TRIM(VLOOKUP(A219,Table!B:O,14,0))</f>
        <v>多元金融</v>
      </c>
      <c r="G219" t="str">
        <f>VLOOKUP(F219,industry!A:C,2,0)</f>
        <v>多元</v>
      </c>
      <c r="H219" t="str">
        <f>VLOOKUP(F219,industry!A:C,3,0)</f>
        <v>融</v>
      </c>
      <c r="J219" s="2" t="s">
        <v>12585</v>
      </c>
      <c r="K219" t="str">
        <f t="shared" si="20"/>
        <v>sz000415</v>
      </c>
      <c r="L219" t="str">
        <f t="shared" si="21"/>
        <v>渤海金控</v>
      </c>
      <c r="M219" t="str">
        <f t="shared" si="22"/>
        <v>多元</v>
      </c>
      <c r="N219" t="str">
        <f t="shared" si="23"/>
        <v>融</v>
      </c>
      <c r="P219" s="2" t="s">
        <v>12585</v>
      </c>
      <c r="Q219" t="s">
        <v>9981</v>
      </c>
      <c r="R219">
        <v>0</v>
      </c>
    </row>
    <row r="220" spans="1:18" x14ac:dyDescent="0.25">
      <c r="A220" t="s">
        <v>10918</v>
      </c>
      <c r="C220" t="str">
        <f t="shared" si="18"/>
        <v>sz</v>
      </c>
      <c r="D220" t="str">
        <f t="shared" si="19"/>
        <v>sz000728</v>
      </c>
      <c r="E220" t="str">
        <f>VLOOKUP(A220,Table!B:C,2,0)</f>
        <v>国元证券</v>
      </c>
      <c r="F220" t="str">
        <f>TRIM(VLOOKUP(A220,Table!B:O,14,0))</f>
        <v>券商信托</v>
      </c>
      <c r="G220" t="str">
        <f>VLOOKUP(F220,industry!A:C,2,0)</f>
        <v>券商</v>
      </c>
      <c r="H220" t="str">
        <f>VLOOKUP(F220,industry!A:C,3,0)</f>
        <v>券</v>
      </c>
      <c r="J220" s="2" t="s">
        <v>12585</v>
      </c>
      <c r="K220" t="str">
        <f t="shared" si="20"/>
        <v>sz000728</v>
      </c>
      <c r="L220" t="str">
        <f t="shared" si="21"/>
        <v>国元证券</v>
      </c>
      <c r="M220" t="str">
        <f t="shared" si="22"/>
        <v>券商</v>
      </c>
      <c r="N220" t="str">
        <f t="shared" si="23"/>
        <v>券</v>
      </c>
      <c r="P220" s="2" t="s">
        <v>12585</v>
      </c>
      <c r="Q220" t="s">
        <v>10011</v>
      </c>
      <c r="R220">
        <v>0</v>
      </c>
    </row>
    <row r="221" spans="1:18" x14ac:dyDescent="0.25">
      <c r="A221" t="s">
        <v>10919</v>
      </c>
      <c r="C221" t="str">
        <f t="shared" si="18"/>
        <v>sh</v>
      </c>
      <c r="D221" t="str">
        <f t="shared" si="19"/>
        <v>sh600406</v>
      </c>
      <c r="E221" t="str">
        <f>VLOOKUP(A221,Table!B:C,2,0)</f>
        <v>国电南瑞</v>
      </c>
      <c r="F221" t="str">
        <f>TRIM(VLOOKUP(A221,Table!B:O,14,0))</f>
        <v>输配电气</v>
      </c>
      <c r="G221" t="str">
        <f>VLOOKUP(F221,industry!A:C,2,0)</f>
        <v>配电</v>
      </c>
      <c r="H221" t="str">
        <f>VLOOKUP(F221,industry!A:C,3,0)</f>
        <v>输电</v>
      </c>
      <c r="J221" s="2" t="s">
        <v>12585</v>
      </c>
      <c r="K221" t="str">
        <f t="shared" si="20"/>
        <v>sh600406</v>
      </c>
      <c r="L221" t="str">
        <f t="shared" si="21"/>
        <v>国电南瑞</v>
      </c>
      <c r="M221" t="str">
        <f t="shared" si="22"/>
        <v>配电</v>
      </c>
      <c r="N221" t="str">
        <f t="shared" si="23"/>
        <v>输电</v>
      </c>
      <c r="P221" s="2" t="s">
        <v>12585</v>
      </c>
      <c r="Q221" t="s">
        <v>10051</v>
      </c>
      <c r="R221">
        <v>0</v>
      </c>
    </row>
    <row r="222" spans="1:18" x14ac:dyDescent="0.25">
      <c r="A222" t="s">
        <v>10920</v>
      </c>
      <c r="C222" t="str">
        <f t="shared" si="18"/>
        <v>sz</v>
      </c>
      <c r="D222" t="str">
        <f t="shared" si="19"/>
        <v>sz300015</v>
      </c>
      <c r="E222" t="str">
        <f>VLOOKUP(A222,Table!B:C,2,0)</f>
        <v>爱尔眼科</v>
      </c>
      <c r="F222" t="str">
        <f>TRIM(VLOOKUP(A222,Table!B:O,14,0))</f>
        <v>医药制造</v>
      </c>
      <c r="G222" t="str">
        <f>VLOOKUP(F222,industry!A:C,2,0)</f>
        <v>医药</v>
      </c>
      <c r="H222" t="str">
        <f>VLOOKUP(F222,industry!A:C,3,0)</f>
        <v>药</v>
      </c>
      <c r="J222" s="2" t="s">
        <v>12585</v>
      </c>
      <c r="K222" t="str">
        <f t="shared" si="20"/>
        <v>sz300015</v>
      </c>
      <c r="L222" t="str">
        <f t="shared" si="21"/>
        <v>爱尔眼科</v>
      </c>
      <c r="M222" t="str">
        <f t="shared" si="22"/>
        <v>医药</v>
      </c>
      <c r="N222" t="str">
        <f t="shared" si="23"/>
        <v>药</v>
      </c>
      <c r="P222" s="2" t="s">
        <v>12585</v>
      </c>
      <c r="Q222" t="s">
        <v>10151</v>
      </c>
      <c r="R222">
        <v>0</v>
      </c>
    </row>
    <row r="223" spans="1:18" x14ac:dyDescent="0.25">
      <c r="A223" t="s">
        <v>10921</v>
      </c>
      <c r="C223" t="str">
        <f t="shared" si="18"/>
        <v>sz</v>
      </c>
      <c r="D223" t="str">
        <f t="shared" si="19"/>
        <v>sz300003</v>
      </c>
      <c r="E223" t="str">
        <f>VLOOKUP(A223,Table!B:C,2,0)</f>
        <v>乐普医疗</v>
      </c>
      <c r="F223" t="str">
        <f>TRIM(VLOOKUP(A223,Table!B:O,14,0))</f>
        <v>医疗行业</v>
      </c>
      <c r="G223" t="str">
        <f>VLOOKUP(F223,industry!A:C,2,0)</f>
        <v>医疗</v>
      </c>
      <c r="H223" t="str">
        <f>VLOOKUP(F223,industry!A:C,3,0)</f>
        <v>疗</v>
      </c>
      <c r="J223" s="2" t="s">
        <v>12585</v>
      </c>
      <c r="K223" t="str">
        <f t="shared" si="20"/>
        <v>sz300003</v>
      </c>
      <c r="L223" t="str">
        <f t="shared" si="21"/>
        <v>乐普医疗</v>
      </c>
      <c r="M223" t="str">
        <f t="shared" si="22"/>
        <v>医疗</v>
      </c>
      <c r="N223" t="str">
        <f t="shared" si="23"/>
        <v>疗</v>
      </c>
      <c r="P223" s="2" t="s">
        <v>12585</v>
      </c>
      <c r="Q223" t="s">
        <v>10201</v>
      </c>
      <c r="R223">
        <v>0</v>
      </c>
    </row>
    <row r="224" spans="1:18" x14ac:dyDescent="0.25">
      <c r="A224" t="s">
        <v>10922</v>
      </c>
      <c r="C224" t="str">
        <f t="shared" si="18"/>
        <v>sh</v>
      </c>
      <c r="D224" t="str">
        <f t="shared" si="19"/>
        <v>sh601155</v>
      </c>
      <c r="E224" t="str">
        <f>VLOOKUP(A224,Table!B:C,2,0)</f>
        <v>新城控股</v>
      </c>
      <c r="F224" t="str">
        <f>TRIM(VLOOKUP(A224,Table!B:O,14,0))</f>
        <v>房地产</v>
      </c>
      <c r="G224" t="str">
        <f>VLOOKUP(F224,industry!A:C,2,0)</f>
        <v>房产</v>
      </c>
      <c r="H224" t="str">
        <f>VLOOKUP(F224,industry!A:C,3,0)</f>
        <v>产</v>
      </c>
      <c r="J224" s="2" t="s">
        <v>12585</v>
      </c>
      <c r="K224" t="str">
        <f t="shared" si="20"/>
        <v>sh601155</v>
      </c>
      <c r="L224" t="str">
        <f t="shared" si="21"/>
        <v>新城控股</v>
      </c>
      <c r="M224" t="str">
        <f t="shared" si="22"/>
        <v>房产</v>
      </c>
      <c r="N224" t="str">
        <f t="shared" si="23"/>
        <v>产</v>
      </c>
      <c r="P224" s="2" t="s">
        <v>12585</v>
      </c>
      <c r="Q224" t="s">
        <v>10406</v>
      </c>
      <c r="R224">
        <v>0</v>
      </c>
    </row>
    <row r="225" spans="1:18" x14ac:dyDescent="0.25">
      <c r="A225" t="s">
        <v>10923</v>
      </c>
      <c r="C225" t="str">
        <f t="shared" si="18"/>
        <v>sh</v>
      </c>
      <c r="D225" t="str">
        <f t="shared" si="19"/>
        <v>sh600535</v>
      </c>
      <c r="E225" t="str">
        <f>VLOOKUP(A225,Table!B:C,2,0)</f>
        <v>天士力</v>
      </c>
      <c r="F225" t="str">
        <f>TRIM(VLOOKUP(A225,Table!B:O,14,0))</f>
        <v>医药制造</v>
      </c>
      <c r="G225" t="str">
        <f>VLOOKUP(F225,industry!A:C,2,0)</f>
        <v>医药</v>
      </c>
      <c r="H225" t="str">
        <f>VLOOKUP(F225,industry!A:C,3,0)</f>
        <v>药</v>
      </c>
      <c r="J225" s="2" t="s">
        <v>12585</v>
      </c>
      <c r="K225" t="str">
        <f t="shared" si="20"/>
        <v>sh600535</v>
      </c>
      <c r="L225" t="str">
        <f t="shared" si="21"/>
        <v>天士力</v>
      </c>
      <c r="M225" t="str">
        <f t="shared" si="22"/>
        <v>医药</v>
      </c>
      <c r="N225" t="str">
        <f t="shared" si="23"/>
        <v>药</v>
      </c>
      <c r="P225" s="2" t="s">
        <v>12585</v>
      </c>
      <c r="Q225" t="s">
        <v>9985</v>
      </c>
      <c r="R225">
        <v>0</v>
      </c>
    </row>
    <row r="226" spans="1:18" x14ac:dyDescent="0.25">
      <c r="A226" t="s">
        <v>10924</v>
      </c>
      <c r="C226" t="str">
        <f t="shared" si="18"/>
        <v>sz</v>
      </c>
      <c r="D226" t="str">
        <f t="shared" si="19"/>
        <v>sz002085</v>
      </c>
      <c r="E226" t="str">
        <f>VLOOKUP(A226,Table!B:C,2,0)</f>
        <v>万丰奥威</v>
      </c>
      <c r="F226" t="str">
        <f>TRIM(VLOOKUP(A226,Table!B:O,14,0))</f>
        <v>汽车行业</v>
      </c>
      <c r="G226" t="str">
        <f>VLOOKUP(F226,industry!A:C,2,0)</f>
        <v>汽车</v>
      </c>
      <c r="H226" t="str">
        <f>VLOOKUP(F226,industry!A:C,3,0)</f>
        <v>车</v>
      </c>
      <c r="J226" s="2" t="s">
        <v>12585</v>
      </c>
      <c r="K226" t="str">
        <f t="shared" si="20"/>
        <v>sz002085</v>
      </c>
      <c r="L226" t="str">
        <f t="shared" si="21"/>
        <v>万丰奥威</v>
      </c>
      <c r="M226" t="str">
        <f t="shared" si="22"/>
        <v>汽车</v>
      </c>
      <c r="N226" t="str">
        <f t="shared" si="23"/>
        <v>车</v>
      </c>
      <c r="P226" s="2" t="s">
        <v>12585</v>
      </c>
      <c r="Q226" t="s">
        <v>10061</v>
      </c>
      <c r="R226">
        <v>0</v>
      </c>
    </row>
    <row r="227" spans="1:18" x14ac:dyDescent="0.25">
      <c r="A227" t="s">
        <v>10925</v>
      </c>
      <c r="C227" t="str">
        <f t="shared" si="18"/>
        <v>sz</v>
      </c>
      <c r="D227" t="str">
        <f t="shared" si="19"/>
        <v>sz000627</v>
      </c>
      <c r="E227" t="str">
        <f>VLOOKUP(A227,Table!B:C,2,0)</f>
        <v>天茂集团</v>
      </c>
      <c r="F227" t="str">
        <f>TRIM(VLOOKUP(A227,Table!B:O,14,0))</f>
        <v>保险</v>
      </c>
      <c r="G227" t="str">
        <f>VLOOKUP(F227,industry!A:C,2,0)</f>
        <v>保险</v>
      </c>
      <c r="H227" t="str">
        <f>VLOOKUP(F227,industry!A:C,3,0)</f>
        <v>险</v>
      </c>
      <c r="J227" s="2" t="s">
        <v>12585</v>
      </c>
      <c r="K227" t="str">
        <f t="shared" si="20"/>
        <v>sz000627</v>
      </c>
      <c r="L227" t="str">
        <f t="shared" si="21"/>
        <v>天茂集团</v>
      </c>
      <c r="M227" t="str">
        <f t="shared" si="22"/>
        <v>保险</v>
      </c>
      <c r="N227" t="str">
        <f t="shared" si="23"/>
        <v>险</v>
      </c>
      <c r="P227" s="2" t="s">
        <v>12585</v>
      </c>
      <c r="Q227" t="s">
        <v>10145</v>
      </c>
      <c r="R227">
        <v>0</v>
      </c>
    </row>
    <row r="228" spans="1:18" x14ac:dyDescent="0.25">
      <c r="A228" t="s">
        <v>10926</v>
      </c>
      <c r="C228" t="str">
        <f t="shared" si="18"/>
        <v>sh</v>
      </c>
      <c r="D228" t="str">
        <f t="shared" si="19"/>
        <v>sh600339</v>
      </c>
      <c r="E228" t="str">
        <f>VLOOKUP(A228,Table!B:C,2,0)</f>
        <v>中油工程</v>
      </c>
      <c r="F228" t="str">
        <f>TRIM(VLOOKUP(A228,Table!B:O,14,0))</f>
        <v>工程建设</v>
      </c>
      <c r="G228" t="str">
        <f>VLOOKUP(F228,industry!A:C,2,0)</f>
        <v>工建</v>
      </c>
      <c r="H228" t="str">
        <f>VLOOKUP(F228,industry!A:C,3,0)</f>
        <v>建</v>
      </c>
      <c r="J228" s="2" t="s">
        <v>12585</v>
      </c>
      <c r="K228" t="str">
        <f t="shared" si="20"/>
        <v>sh600339</v>
      </c>
      <c r="L228" t="str">
        <f t="shared" si="21"/>
        <v>中油工程</v>
      </c>
      <c r="M228" t="str">
        <f t="shared" si="22"/>
        <v>工建</v>
      </c>
      <c r="N228" t="str">
        <f t="shared" si="23"/>
        <v>建</v>
      </c>
      <c r="P228" s="2" t="s">
        <v>12585</v>
      </c>
      <c r="Q228" t="s">
        <v>12603</v>
      </c>
      <c r="R228">
        <v>0</v>
      </c>
    </row>
    <row r="229" spans="1:18" x14ac:dyDescent="0.25">
      <c r="A229" t="s">
        <v>10927</v>
      </c>
      <c r="C229" t="str">
        <f t="shared" si="18"/>
        <v>sh</v>
      </c>
      <c r="D229" t="str">
        <f t="shared" si="19"/>
        <v>sh600909</v>
      </c>
      <c r="E229" t="str">
        <f>VLOOKUP(A229,Table!B:C,2,0)</f>
        <v>华安证券</v>
      </c>
      <c r="F229" t="str">
        <f>TRIM(VLOOKUP(A229,Table!B:O,14,0))</f>
        <v>券商信托</v>
      </c>
      <c r="G229" t="str">
        <f>VLOOKUP(F229,industry!A:C,2,0)</f>
        <v>券商</v>
      </c>
      <c r="H229" t="str">
        <f>VLOOKUP(F229,industry!A:C,3,0)</f>
        <v>券</v>
      </c>
      <c r="J229" s="2" t="s">
        <v>12585</v>
      </c>
      <c r="K229" t="str">
        <f t="shared" si="20"/>
        <v>sh600909</v>
      </c>
      <c r="L229" t="str">
        <f t="shared" si="21"/>
        <v>华安证券</v>
      </c>
      <c r="M229" t="str">
        <f t="shared" si="22"/>
        <v>券商</v>
      </c>
      <c r="N229" t="str">
        <f t="shared" si="23"/>
        <v>券</v>
      </c>
      <c r="P229" s="2" t="s">
        <v>12585</v>
      </c>
      <c r="Q229" t="s">
        <v>12604</v>
      </c>
      <c r="R229">
        <v>0</v>
      </c>
    </row>
    <row r="230" spans="1:18" x14ac:dyDescent="0.25">
      <c r="A230" t="s">
        <v>10928</v>
      </c>
      <c r="C230" t="str">
        <f t="shared" si="18"/>
        <v>sh</v>
      </c>
      <c r="D230" t="str">
        <f t="shared" si="19"/>
        <v>sh600415</v>
      </c>
      <c r="E230" t="str">
        <f>VLOOKUP(A230,Table!B:C,2,0)</f>
        <v>小商品城</v>
      </c>
      <c r="F230" t="str">
        <f>TRIM(VLOOKUP(A230,Table!B:O,14,0))</f>
        <v>商业百货</v>
      </c>
      <c r="G230" t="str">
        <f>VLOOKUP(F230,industry!A:C,2,0)</f>
        <v>百货</v>
      </c>
      <c r="H230" t="str">
        <f>VLOOKUP(F230,industry!A:C,3,0)</f>
        <v>商</v>
      </c>
      <c r="J230" s="2" t="s">
        <v>12585</v>
      </c>
      <c r="K230" t="str">
        <f t="shared" si="20"/>
        <v>sh600415</v>
      </c>
      <c r="L230" t="str">
        <f t="shared" si="21"/>
        <v>小商品城</v>
      </c>
      <c r="M230" t="str">
        <f t="shared" si="22"/>
        <v>百货</v>
      </c>
      <c r="N230" t="str">
        <f t="shared" si="23"/>
        <v>商</v>
      </c>
      <c r="P230" s="2" t="s">
        <v>12585</v>
      </c>
      <c r="Q230" t="s">
        <v>10017</v>
      </c>
      <c r="R230">
        <v>0</v>
      </c>
    </row>
    <row r="231" spans="1:18" x14ac:dyDescent="0.25">
      <c r="A231" t="s">
        <v>10929</v>
      </c>
      <c r="C231" t="str">
        <f t="shared" si="18"/>
        <v>sz</v>
      </c>
      <c r="D231" t="str">
        <f t="shared" si="19"/>
        <v>sz002601</v>
      </c>
      <c r="E231" t="str">
        <f>VLOOKUP(A231,Table!B:C,2,0)</f>
        <v>龙蟒佰利</v>
      </c>
      <c r="F231" t="str">
        <f>TRIM(VLOOKUP(A231,Table!B:O,14,0))</f>
        <v>化工行业</v>
      </c>
      <c r="G231" t="str">
        <f>VLOOKUP(F231,industry!A:C,2,0)</f>
        <v>化工</v>
      </c>
      <c r="H231" t="str">
        <f>VLOOKUP(F231,industry!A:C,3,0)</f>
        <v>化</v>
      </c>
      <c r="J231" s="2" t="s">
        <v>12585</v>
      </c>
      <c r="K231" t="str">
        <f t="shared" si="20"/>
        <v>sz002601</v>
      </c>
      <c r="L231" t="str">
        <f t="shared" si="21"/>
        <v>龙蟒佰利</v>
      </c>
      <c r="M231" t="str">
        <f t="shared" si="22"/>
        <v>化工</v>
      </c>
      <c r="N231" t="str">
        <f t="shared" si="23"/>
        <v>化</v>
      </c>
      <c r="P231" s="2" t="s">
        <v>12585</v>
      </c>
      <c r="Q231" t="s">
        <v>10276</v>
      </c>
      <c r="R231">
        <v>0</v>
      </c>
    </row>
    <row r="232" spans="1:18" x14ac:dyDescent="0.25">
      <c r="A232" t="s">
        <v>10930</v>
      </c>
      <c r="C232" t="str">
        <f t="shared" si="18"/>
        <v>sz</v>
      </c>
      <c r="D232" t="str">
        <f t="shared" si="19"/>
        <v>sz000826</v>
      </c>
      <c r="E232" t="str">
        <f>VLOOKUP(A232,Table!B:C,2,0)</f>
        <v>启迪桑德</v>
      </c>
      <c r="F232" t="str">
        <f>TRIM(VLOOKUP(A232,Table!B:O,14,0))</f>
        <v>环保工程</v>
      </c>
      <c r="G232" t="str">
        <f>VLOOKUP(F232,industry!A:C,2,0)</f>
        <v>环保</v>
      </c>
      <c r="H232" t="str">
        <f>VLOOKUP(F232,industry!A:C,3,0)</f>
        <v>环</v>
      </c>
      <c r="J232" s="2" t="s">
        <v>12585</v>
      </c>
      <c r="K232" t="str">
        <f t="shared" si="20"/>
        <v>sz000826</v>
      </c>
      <c r="L232" t="str">
        <f t="shared" si="21"/>
        <v>启迪桑德</v>
      </c>
      <c r="M232" t="str">
        <f t="shared" si="22"/>
        <v>环保</v>
      </c>
      <c r="N232" t="str">
        <f t="shared" si="23"/>
        <v>环</v>
      </c>
      <c r="P232" s="2" t="s">
        <v>12585</v>
      </c>
      <c r="Q232" t="s">
        <v>10278</v>
      </c>
      <c r="R232">
        <v>0</v>
      </c>
    </row>
    <row r="233" spans="1:18" x14ac:dyDescent="0.25">
      <c r="A233" t="s">
        <v>10931</v>
      </c>
      <c r="C233" t="str">
        <f t="shared" si="18"/>
        <v>sh</v>
      </c>
      <c r="D233" t="str">
        <f t="shared" si="19"/>
        <v>sh600438</v>
      </c>
      <c r="E233" t="str">
        <f>VLOOKUP(A233,Table!B:C,2,0)</f>
        <v>通威股份</v>
      </c>
      <c r="F233" t="str">
        <f>TRIM(VLOOKUP(A233,Table!B:O,14,0))</f>
        <v>农牧饲渔</v>
      </c>
      <c r="G233" t="str">
        <f>VLOOKUP(F233,industry!A:C,2,0)</f>
        <v>农渔</v>
      </c>
      <c r="H233" t="str">
        <f>VLOOKUP(F233,industry!A:C,3,0)</f>
        <v>渔</v>
      </c>
      <c r="J233" s="2" t="s">
        <v>12585</v>
      </c>
      <c r="K233" t="str">
        <f t="shared" si="20"/>
        <v>sh600438</v>
      </c>
      <c r="L233" t="str">
        <f t="shared" si="21"/>
        <v>通威股份</v>
      </c>
      <c r="M233" t="str">
        <f t="shared" si="22"/>
        <v>农渔</v>
      </c>
      <c r="N233" t="str">
        <f t="shared" si="23"/>
        <v>渔</v>
      </c>
      <c r="P233" s="2" t="s">
        <v>12585</v>
      </c>
      <c r="Q233" t="s">
        <v>10678</v>
      </c>
      <c r="R233">
        <v>0</v>
      </c>
    </row>
    <row r="234" spans="1:18" x14ac:dyDescent="0.25">
      <c r="A234" t="s">
        <v>10932</v>
      </c>
      <c r="C234" t="str">
        <f t="shared" si="18"/>
        <v>sh</v>
      </c>
      <c r="D234" t="str">
        <f t="shared" si="19"/>
        <v>sh600867</v>
      </c>
      <c r="E234" t="str">
        <f>VLOOKUP(A234,Table!B:C,2,0)</f>
        <v>通化东宝</v>
      </c>
      <c r="F234" t="str">
        <f>TRIM(VLOOKUP(A234,Table!B:O,14,0))</f>
        <v>医药制造</v>
      </c>
      <c r="G234" t="str">
        <f>VLOOKUP(F234,industry!A:C,2,0)</f>
        <v>医药</v>
      </c>
      <c r="H234" t="str">
        <f>VLOOKUP(F234,industry!A:C,3,0)</f>
        <v>药</v>
      </c>
      <c r="J234" s="2" t="s">
        <v>12585</v>
      </c>
      <c r="K234" t="str">
        <f t="shared" si="20"/>
        <v>sh600867</v>
      </c>
      <c r="L234" t="str">
        <f t="shared" si="21"/>
        <v>通化东宝</v>
      </c>
      <c r="M234" t="str">
        <f t="shared" si="22"/>
        <v>医药</v>
      </c>
      <c r="N234" t="str">
        <f t="shared" si="23"/>
        <v>药</v>
      </c>
      <c r="P234" s="2" t="s">
        <v>12585</v>
      </c>
      <c r="Q234" t="s">
        <v>10153</v>
      </c>
      <c r="R234">
        <v>0</v>
      </c>
    </row>
    <row r="235" spans="1:18" x14ac:dyDescent="0.25">
      <c r="A235" t="s">
        <v>10933</v>
      </c>
      <c r="C235" t="str">
        <f t="shared" si="18"/>
        <v>sh</v>
      </c>
      <c r="D235" t="str">
        <f t="shared" si="19"/>
        <v>sh601880</v>
      </c>
      <c r="E235" t="str">
        <f>VLOOKUP(A235,Table!B:C,2,0)</f>
        <v>大连港</v>
      </c>
      <c r="F235" t="str">
        <f>TRIM(VLOOKUP(A235,Table!B:O,14,0))</f>
        <v>港口水运</v>
      </c>
      <c r="G235" t="str">
        <f>VLOOKUP(F235,industry!A:C,2,0)</f>
        <v>港口</v>
      </c>
      <c r="H235" t="str">
        <f>VLOOKUP(F235,industry!A:C,3,0)</f>
        <v>港</v>
      </c>
      <c r="J235" s="2" t="s">
        <v>12585</v>
      </c>
      <c r="K235" t="str">
        <f t="shared" si="20"/>
        <v>sh601880</v>
      </c>
      <c r="L235" t="str">
        <f t="shared" si="21"/>
        <v>大连港</v>
      </c>
      <c r="M235" t="str">
        <f t="shared" si="22"/>
        <v>港口</v>
      </c>
      <c r="N235" t="str">
        <f t="shared" si="23"/>
        <v>港</v>
      </c>
      <c r="P235" s="2" t="s">
        <v>12585</v>
      </c>
      <c r="Q235" t="s">
        <v>10212</v>
      </c>
      <c r="R235">
        <v>0</v>
      </c>
    </row>
    <row r="236" spans="1:18" x14ac:dyDescent="0.25">
      <c r="A236" t="s">
        <v>10934</v>
      </c>
      <c r="C236" t="str">
        <f t="shared" si="18"/>
        <v>sz</v>
      </c>
      <c r="D236" t="str">
        <f t="shared" si="19"/>
        <v>sz002773</v>
      </c>
      <c r="E236" t="str">
        <f>VLOOKUP(A236,Table!B:C,2,0)</f>
        <v>康弘药业</v>
      </c>
      <c r="F236" t="str">
        <f>TRIM(VLOOKUP(A236,Table!B:O,14,0))</f>
        <v>医药制造</v>
      </c>
      <c r="G236" t="str">
        <f>VLOOKUP(F236,industry!A:C,2,0)</f>
        <v>医药</v>
      </c>
      <c r="H236" t="str">
        <f>VLOOKUP(F236,industry!A:C,3,0)</f>
        <v>药</v>
      </c>
      <c r="J236" s="2" t="s">
        <v>12585</v>
      </c>
      <c r="K236" t="str">
        <f t="shared" si="20"/>
        <v>sz002773</v>
      </c>
      <c r="L236" t="str">
        <f t="shared" si="21"/>
        <v>康弘药业</v>
      </c>
      <c r="M236" t="str">
        <f t="shared" si="22"/>
        <v>医药</v>
      </c>
      <c r="N236" t="str">
        <f t="shared" si="23"/>
        <v>药</v>
      </c>
      <c r="P236" s="2" t="s">
        <v>12585</v>
      </c>
      <c r="Q236" t="s">
        <v>10109</v>
      </c>
      <c r="R236">
        <v>0</v>
      </c>
    </row>
    <row r="237" spans="1:18" x14ac:dyDescent="0.25">
      <c r="A237" t="s">
        <v>10935</v>
      </c>
      <c r="C237" t="str">
        <f t="shared" si="18"/>
        <v>sz</v>
      </c>
      <c r="D237" t="str">
        <f t="shared" si="19"/>
        <v>sz002493</v>
      </c>
      <c r="E237" t="str">
        <f>VLOOKUP(A237,Table!B:C,2,0)</f>
        <v>荣盛石化</v>
      </c>
      <c r="F237" t="str">
        <f>TRIM(VLOOKUP(A237,Table!B:O,14,0))</f>
        <v>化纤行业</v>
      </c>
      <c r="G237" t="str">
        <f>VLOOKUP(F237,industry!A:C,2,0)</f>
        <v>化纤</v>
      </c>
      <c r="H237" t="str">
        <f>VLOOKUP(F237,industry!A:C,3,0)</f>
        <v>纤</v>
      </c>
      <c r="J237" s="2" t="s">
        <v>12585</v>
      </c>
      <c r="K237" t="str">
        <f t="shared" si="20"/>
        <v>sz002493</v>
      </c>
      <c r="L237" t="str">
        <f t="shared" si="21"/>
        <v>荣盛石化</v>
      </c>
      <c r="M237" t="str">
        <f t="shared" si="22"/>
        <v>化纤</v>
      </c>
      <c r="N237" t="str">
        <f t="shared" si="23"/>
        <v>纤</v>
      </c>
      <c r="P237" s="2" t="s">
        <v>12585</v>
      </c>
      <c r="Q237" t="s">
        <v>10089</v>
      </c>
      <c r="R237">
        <v>0</v>
      </c>
    </row>
    <row r="238" spans="1:18" x14ac:dyDescent="0.25">
      <c r="A238" t="s">
        <v>10936</v>
      </c>
      <c r="C238" t="str">
        <f t="shared" si="18"/>
        <v>sz</v>
      </c>
      <c r="D238" t="str">
        <f t="shared" si="19"/>
        <v>sz002608</v>
      </c>
      <c r="E238" t="str">
        <f>VLOOKUP(A238,Table!B:C,2,0)</f>
        <v>江苏国信</v>
      </c>
      <c r="F238" t="str">
        <f>TRIM(VLOOKUP(A238,Table!B:O,14,0))</f>
        <v>电力行业</v>
      </c>
      <c r="G238" t="str">
        <f>VLOOKUP(F238,industry!A:C,2,0)</f>
        <v>电力</v>
      </c>
      <c r="H238" t="str">
        <f>VLOOKUP(F238,industry!A:C,3,0)</f>
        <v>电力</v>
      </c>
      <c r="J238" s="2" t="s">
        <v>12585</v>
      </c>
      <c r="K238" t="str">
        <f t="shared" si="20"/>
        <v>sz002608</v>
      </c>
      <c r="L238" t="str">
        <f t="shared" si="21"/>
        <v>江苏国信</v>
      </c>
      <c r="M238" t="str">
        <f t="shared" si="22"/>
        <v>电力</v>
      </c>
      <c r="N238" t="str">
        <f t="shared" si="23"/>
        <v>电力</v>
      </c>
      <c r="P238" s="2" t="s">
        <v>12585</v>
      </c>
      <c r="Q238" t="s">
        <v>12605</v>
      </c>
      <c r="R238">
        <v>0</v>
      </c>
    </row>
    <row r="239" spans="1:18" x14ac:dyDescent="0.25">
      <c r="A239" t="s">
        <v>10937</v>
      </c>
      <c r="C239" t="str">
        <f t="shared" si="18"/>
        <v>sh</v>
      </c>
      <c r="D239" t="str">
        <f t="shared" si="19"/>
        <v>sh600685</v>
      </c>
      <c r="E239" t="str">
        <f>VLOOKUP(A239,Table!B:C,2,0)</f>
        <v>中船防务</v>
      </c>
      <c r="F239" t="str">
        <f>TRIM(VLOOKUP(A239,Table!B:O,14,0))</f>
        <v>船舶制造</v>
      </c>
      <c r="G239" t="str">
        <f>VLOOKUP(F239,industry!A:C,2,0)</f>
        <v>船舶</v>
      </c>
      <c r="H239" t="str">
        <f>VLOOKUP(F239,industry!A:C,3,0)</f>
        <v>船</v>
      </c>
      <c r="J239" s="2" t="s">
        <v>12585</v>
      </c>
      <c r="K239" t="str">
        <f t="shared" si="20"/>
        <v>sh600685</v>
      </c>
      <c r="L239" t="str">
        <f t="shared" si="21"/>
        <v>中船防务</v>
      </c>
      <c r="M239" t="str">
        <f t="shared" si="22"/>
        <v>船舶</v>
      </c>
      <c r="N239" t="str">
        <f t="shared" si="23"/>
        <v>船</v>
      </c>
      <c r="P239" s="2" t="s">
        <v>12585</v>
      </c>
      <c r="Q239" t="s">
        <v>10043</v>
      </c>
      <c r="R239">
        <v>0</v>
      </c>
    </row>
    <row r="240" spans="1:18" x14ac:dyDescent="0.25">
      <c r="A240" t="s">
        <v>10938</v>
      </c>
      <c r="C240" t="str">
        <f t="shared" si="18"/>
        <v>sh</v>
      </c>
      <c r="D240" t="str">
        <f t="shared" si="19"/>
        <v>sh600089</v>
      </c>
      <c r="E240" t="str">
        <f>VLOOKUP(A240,Table!B:C,2,0)</f>
        <v>特变电工</v>
      </c>
      <c r="F240" t="str">
        <f>TRIM(VLOOKUP(A240,Table!B:O,14,0))</f>
        <v>输配电气</v>
      </c>
      <c r="G240" t="str">
        <f>VLOOKUP(F240,industry!A:C,2,0)</f>
        <v>配电</v>
      </c>
      <c r="H240" t="str">
        <f>VLOOKUP(F240,industry!A:C,3,0)</f>
        <v>输电</v>
      </c>
      <c r="J240" s="2" t="s">
        <v>12585</v>
      </c>
      <c r="K240" t="str">
        <f t="shared" si="20"/>
        <v>sh600089</v>
      </c>
      <c r="L240" t="str">
        <f t="shared" si="21"/>
        <v>特变电工</v>
      </c>
      <c r="M240" t="str">
        <f t="shared" si="22"/>
        <v>配电</v>
      </c>
      <c r="N240" t="str">
        <f t="shared" si="23"/>
        <v>输电</v>
      </c>
      <c r="P240" s="2" t="s">
        <v>12585</v>
      </c>
      <c r="Q240" t="s">
        <v>10284</v>
      </c>
      <c r="R240">
        <v>0</v>
      </c>
    </row>
    <row r="241" spans="1:18" x14ac:dyDescent="0.25">
      <c r="A241" t="s">
        <v>10939</v>
      </c>
      <c r="C241" t="str">
        <f t="shared" si="18"/>
        <v>sz</v>
      </c>
      <c r="D241" t="str">
        <f t="shared" si="19"/>
        <v>sz002572</v>
      </c>
      <c r="E241" t="str">
        <f>VLOOKUP(A241,Table!B:C,2,0)</f>
        <v>索菲亚</v>
      </c>
      <c r="F241" t="str">
        <f>TRIM(VLOOKUP(A241,Table!B:O,14,0))</f>
        <v>木业家具</v>
      </c>
      <c r="G241" t="str">
        <f>VLOOKUP(F241,industry!A:C,2,0)</f>
        <v>木业</v>
      </c>
      <c r="H241" t="str">
        <f>VLOOKUP(F241,industry!A:C,3,0)</f>
        <v>木</v>
      </c>
      <c r="J241" s="2" t="s">
        <v>12585</v>
      </c>
      <c r="K241" t="str">
        <f t="shared" si="20"/>
        <v>sz002572</v>
      </c>
      <c r="L241" t="str">
        <f t="shared" si="21"/>
        <v>索菲亚</v>
      </c>
      <c r="M241" t="str">
        <f t="shared" si="22"/>
        <v>木业</v>
      </c>
      <c r="N241" t="str">
        <f t="shared" si="23"/>
        <v>木</v>
      </c>
      <c r="P241" s="2" t="s">
        <v>12585</v>
      </c>
      <c r="Q241" t="s">
        <v>10322</v>
      </c>
      <c r="R241">
        <v>0</v>
      </c>
    </row>
    <row r="242" spans="1:18" x14ac:dyDescent="0.25">
      <c r="A242" t="s">
        <v>10940</v>
      </c>
      <c r="C242" t="str">
        <f t="shared" si="18"/>
        <v>sh</v>
      </c>
      <c r="D242" t="str">
        <f t="shared" si="19"/>
        <v>sh601718</v>
      </c>
      <c r="E242" t="str">
        <f>VLOOKUP(A242,Table!B:C,2,0)</f>
        <v>际华集团</v>
      </c>
      <c r="F242" t="str">
        <f>TRIM(VLOOKUP(A242,Table!B:O,14,0))</f>
        <v>纺织服装</v>
      </c>
      <c r="G242" t="str">
        <f>VLOOKUP(F242,industry!A:C,2,0)</f>
        <v>纺织</v>
      </c>
      <c r="H242" t="str">
        <f>VLOOKUP(F242,industry!A:C,3,0)</f>
        <v>纺</v>
      </c>
      <c r="J242" s="2" t="s">
        <v>12585</v>
      </c>
      <c r="K242" t="str">
        <f t="shared" si="20"/>
        <v>sh601718</v>
      </c>
      <c r="L242" t="str">
        <f t="shared" si="21"/>
        <v>际华集团</v>
      </c>
      <c r="M242" t="str">
        <f t="shared" si="22"/>
        <v>纺织</v>
      </c>
      <c r="N242" t="str">
        <f t="shared" si="23"/>
        <v>纺</v>
      </c>
      <c r="P242" s="2" t="s">
        <v>12585</v>
      </c>
      <c r="Q242" t="s">
        <v>10195</v>
      </c>
      <c r="R242">
        <v>0</v>
      </c>
    </row>
    <row r="243" spans="1:18" x14ac:dyDescent="0.25">
      <c r="A243" t="s">
        <v>10941</v>
      </c>
      <c r="C243" t="str">
        <f t="shared" si="18"/>
        <v>sh</v>
      </c>
      <c r="D243" t="str">
        <f t="shared" si="19"/>
        <v>sh600208</v>
      </c>
      <c r="E243" t="str">
        <f>VLOOKUP(A243,Table!B:C,2,0)</f>
        <v>新湖中宝</v>
      </c>
      <c r="F243" t="str">
        <f>TRIM(VLOOKUP(A243,Table!B:O,14,0))</f>
        <v>房地产</v>
      </c>
      <c r="G243" t="str">
        <f>VLOOKUP(F243,industry!A:C,2,0)</f>
        <v>房产</v>
      </c>
      <c r="H243" t="str">
        <f>VLOOKUP(F243,industry!A:C,3,0)</f>
        <v>产</v>
      </c>
      <c r="J243" s="2" t="s">
        <v>12585</v>
      </c>
      <c r="K243" t="str">
        <f t="shared" si="20"/>
        <v>sh600208</v>
      </c>
      <c r="L243" t="str">
        <f t="shared" si="21"/>
        <v>新湖中宝</v>
      </c>
      <c r="M243" t="str">
        <f t="shared" si="22"/>
        <v>房产</v>
      </c>
      <c r="N243" t="str">
        <f t="shared" si="23"/>
        <v>产</v>
      </c>
      <c r="P243" s="2" t="s">
        <v>12585</v>
      </c>
      <c r="Q243" t="s">
        <v>10049</v>
      </c>
      <c r="R243">
        <v>0</v>
      </c>
    </row>
    <row r="244" spans="1:18" x14ac:dyDescent="0.25">
      <c r="A244" t="s">
        <v>10942</v>
      </c>
      <c r="C244" t="str">
        <f t="shared" si="18"/>
        <v>sh</v>
      </c>
      <c r="D244" t="str">
        <f t="shared" si="19"/>
        <v>sh600236</v>
      </c>
      <c r="E244" t="str">
        <f>VLOOKUP(A244,Table!B:C,2,0)</f>
        <v>桂冠电力</v>
      </c>
      <c r="F244" t="str">
        <f>TRIM(VLOOKUP(A244,Table!B:O,14,0))</f>
        <v>电力行业</v>
      </c>
      <c r="G244" t="str">
        <f>VLOOKUP(F244,industry!A:C,2,0)</f>
        <v>电力</v>
      </c>
      <c r="H244" t="str">
        <f>VLOOKUP(F244,industry!A:C,3,0)</f>
        <v>电力</v>
      </c>
      <c r="J244" s="2" t="s">
        <v>12585</v>
      </c>
      <c r="K244" t="str">
        <f t="shared" si="20"/>
        <v>sh600236</v>
      </c>
      <c r="L244" t="str">
        <f t="shared" si="21"/>
        <v>桂冠电力</v>
      </c>
      <c r="M244" t="str">
        <f t="shared" si="22"/>
        <v>电力</v>
      </c>
      <c r="N244" t="str">
        <f t="shared" si="23"/>
        <v>电力</v>
      </c>
      <c r="P244" s="2" t="s">
        <v>12585</v>
      </c>
      <c r="Q244" t="s">
        <v>10055</v>
      </c>
      <c r="R244">
        <v>0</v>
      </c>
    </row>
    <row r="245" spans="1:18" x14ac:dyDescent="0.25">
      <c r="A245" t="s">
        <v>10943</v>
      </c>
      <c r="C245" t="str">
        <f t="shared" si="18"/>
        <v>sz</v>
      </c>
      <c r="D245" t="str">
        <f t="shared" si="19"/>
        <v>sz000959</v>
      </c>
      <c r="E245" t="str">
        <f>VLOOKUP(A245,Table!B:C,2,0)</f>
        <v>首钢股份</v>
      </c>
      <c r="F245" t="str">
        <f>TRIM(VLOOKUP(A245,Table!B:O,14,0))</f>
        <v>钢铁行业</v>
      </c>
      <c r="G245" t="str">
        <f>VLOOKUP(F245,industry!A:C,2,0)</f>
        <v>钢铁</v>
      </c>
      <c r="H245" t="str">
        <f>VLOOKUP(F245,industry!A:C,3,0)</f>
        <v>钢</v>
      </c>
      <c r="J245" s="2" t="s">
        <v>12585</v>
      </c>
      <c r="K245" t="str">
        <f t="shared" si="20"/>
        <v>sz000959</v>
      </c>
      <c r="L245" t="str">
        <f t="shared" si="21"/>
        <v>首钢股份</v>
      </c>
      <c r="M245" t="str">
        <f t="shared" si="22"/>
        <v>钢铁</v>
      </c>
      <c r="N245" t="str">
        <f t="shared" si="23"/>
        <v>钢</v>
      </c>
      <c r="P245" s="2" t="s">
        <v>12585</v>
      </c>
      <c r="Q245" t="s">
        <v>10161</v>
      </c>
      <c r="R245">
        <v>0</v>
      </c>
    </row>
    <row r="246" spans="1:18" x14ac:dyDescent="0.25">
      <c r="A246" t="s">
        <v>10944</v>
      </c>
      <c r="C246" t="str">
        <f t="shared" si="18"/>
        <v>sh</v>
      </c>
      <c r="D246" t="str">
        <f t="shared" si="19"/>
        <v>sh600489</v>
      </c>
      <c r="E246" t="str">
        <f>VLOOKUP(A246,Table!B:C,2,0)</f>
        <v>中金黄金</v>
      </c>
      <c r="F246" t="str">
        <f>TRIM(VLOOKUP(A246,Table!B:O,14,0))</f>
        <v>贵金属</v>
      </c>
      <c r="G246" t="str">
        <f>VLOOKUP(F246,industry!A:C,2,0)</f>
        <v>贵金</v>
      </c>
      <c r="H246" t="str">
        <f>VLOOKUP(F246,industry!A:C,3,0)</f>
        <v>贵</v>
      </c>
      <c r="J246" s="2" t="s">
        <v>12585</v>
      </c>
      <c r="K246" t="str">
        <f t="shared" si="20"/>
        <v>sh600489</v>
      </c>
      <c r="L246" t="str">
        <f t="shared" si="21"/>
        <v>中金黄金</v>
      </c>
      <c r="M246" t="str">
        <f t="shared" si="22"/>
        <v>贵金</v>
      </c>
      <c r="N246" t="str">
        <f t="shared" si="23"/>
        <v>贵</v>
      </c>
      <c r="P246" s="2" t="s">
        <v>12585</v>
      </c>
      <c r="Q246" t="s">
        <v>10021</v>
      </c>
      <c r="R246">
        <v>0</v>
      </c>
    </row>
    <row r="247" spans="1:18" x14ac:dyDescent="0.25">
      <c r="A247" t="s">
        <v>10945</v>
      </c>
      <c r="C247" t="str">
        <f t="shared" si="18"/>
        <v>sh</v>
      </c>
      <c r="D247" t="str">
        <f t="shared" si="19"/>
        <v>sh600100</v>
      </c>
      <c r="E247" t="str">
        <f>VLOOKUP(A247,Table!B:C,2,0)</f>
        <v>同方股份</v>
      </c>
      <c r="F247" t="str">
        <f>TRIM(VLOOKUP(A247,Table!B:O,14,0))</f>
        <v>电子信息</v>
      </c>
      <c r="G247" t="str">
        <f>VLOOKUP(F247,industry!A:C,2,0)</f>
        <v>信息</v>
      </c>
      <c r="H247" t="str">
        <f>VLOOKUP(F247,industry!A:C,3,0)</f>
        <v>咨</v>
      </c>
      <c r="J247" s="2" t="s">
        <v>12585</v>
      </c>
      <c r="K247" t="str">
        <f t="shared" si="20"/>
        <v>sh600100</v>
      </c>
      <c r="L247" t="str">
        <f t="shared" si="21"/>
        <v>同方股份</v>
      </c>
      <c r="M247" t="str">
        <f t="shared" si="22"/>
        <v>信息</v>
      </c>
      <c r="N247" t="str">
        <f t="shared" si="23"/>
        <v>咨</v>
      </c>
      <c r="P247" s="2" t="s">
        <v>12585</v>
      </c>
      <c r="Q247" t="s">
        <v>10015</v>
      </c>
      <c r="R247">
        <v>0</v>
      </c>
    </row>
    <row r="248" spans="1:18" x14ac:dyDescent="0.25">
      <c r="A248" t="s">
        <v>10946</v>
      </c>
      <c r="C248" t="str">
        <f t="shared" si="18"/>
        <v>sh</v>
      </c>
      <c r="D248" t="str">
        <f t="shared" si="19"/>
        <v>sh601375</v>
      </c>
      <c r="E248" t="str">
        <f>VLOOKUP(A248,Table!B:C,2,0)</f>
        <v>中原证券</v>
      </c>
      <c r="F248" t="str">
        <f>TRIM(VLOOKUP(A248,Table!B:O,14,0))</f>
        <v>券商信托</v>
      </c>
      <c r="G248" t="str">
        <f>VLOOKUP(F248,industry!A:C,2,0)</f>
        <v>券商</v>
      </c>
      <c r="H248" t="str">
        <f>VLOOKUP(F248,industry!A:C,3,0)</f>
        <v>券</v>
      </c>
      <c r="J248" s="2" t="s">
        <v>12585</v>
      </c>
      <c r="K248" t="str">
        <f t="shared" si="20"/>
        <v>sh601375</v>
      </c>
      <c r="L248" t="str">
        <f t="shared" si="21"/>
        <v>中原证券</v>
      </c>
      <c r="M248" t="str">
        <f t="shared" si="22"/>
        <v>券商</v>
      </c>
      <c r="N248" t="str">
        <f t="shared" si="23"/>
        <v>券</v>
      </c>
      <c r="P248" s="2" t="s">
        <v>12585</v>
      </c>
      <c r="Q248" t="s">
        <v>12606</v>
      </c>
      <c r="R248">
        <v>0</v>
      </c>
    </row>
    <row r="249" spans="1:18" x14ac:dyDescent="0.25">
      <c r="A249" t="s">
        <v>10947</v>
      </c>
      <c r="C249" t="str">
        <f t="shared" si="18"/>
        <v>sz</v>
      </c>
      <c r="D249" t="str">
        <f t="shared" si="19"/>
        <v>sz000723</v>
      </c>
      <c r="E249" t="str">
        <f>VLOOKUP(A249,Table!B:C,2,0)</f>
        <v>美锦能源</v>
      </c>
      <c r="F249" t="str">
        <f>TRIM(VLOOKUP(A249,Table!B:O,14,0))</f>
        <v>煤炭采选</v>
      </c>
      <c r="G249" t="str">
        <f>VLOOKUP(F249,industry!A:C,2,0)</f>
        <v>煤炭</v>
      </c>
      <c r="H249" t="str">
        <f>VLOOKUP(F249,industry!A:C,3,0)</f>
        <v>煤</v>
      </c>
      <c r="J249" s="2" t="s">
        <v>12585</v>
      </c>
      <c r="K249" t="str">
        <f t="shared" si="20"/>
        <v>sz000723</v>
      </c>
      <c r="L249" t="str">
        <f t="shared" si="21"/>
        <v>美锦能源</v>
      </c>
      <c r="M249" t="str">
        <f t="shared" si="22"/>
        <v>煤炭</v>
      </c>
      <c r="N249" t="str">
        <f t="shared" si="23"/>
        <v>煤</v>
      </c>
      <c r="P249" s="2" t="s">
        <v>12585</v>
      </c>
      <c r="Q249" t="s">
        <v>10053</v>
      </c>
      <c r="R249">
        <v>0</v>
      </c>
    </row>
    <row r="250" spans="1:18" x14ac:dyDescent="0.25">
      <c r="A250" t="s">
        <v>10948</v>
      </c>
      <c r="C250" t="str">
        <f t="shared" si="18"/>
        <v>sz</v>
      </c>
      <c r="D250" t="str">
        <f t="shared" si="19"/>
        <v>sz000488</v>
      </c>
      <c r="E250" t="str">
        <f>VLOOKUP(A250,Table!B:C,2,0)</f>
        <v>晨鸣纸业</v>
      </c>
      <c r="F250" t="str">
        <f>TRIM(VLOOKUP(A250,Table!B:O,14,0))</f>
        <v>造纸印刷</v>
      </c>
      <c r="G250" t="str">
        <f>VLOOKUP(F250,industry!A:C,2,0)</f>
        <v>造纸</v>
      </c>
      <c r="H250" t="str">
        <f>VLOOKUP(F250,industry!A:C,3,0)</f>
        <v>纸</v>
      </c>
      <c r="J250" s="2" t="s">
        <v>12585</v>
      </c>
      <c r="K250" t="str">
        <f t="shared" si="20"/>
        <v>sz000488</v>
      </c>
      <c r="L250" t="str">
        <f t="shared" si="21"/>
        <v>晨鸣纸业</v>
      </c>
      <c r="M250" t="str">
        <f t="shared" si="22"/>
        <v>造纸</v>
      </c>
      <c r="N250" t="str">
        <f t="shared" si="23"/>
        <v>纸</v>
      </c>
      <c r="P250" s="2" t="s">
        <v>12585</v>
      </c>
      <c r="Q250" t="s">
        <v>11839</v>
      </c>
      <c r="R250">
        <v>0</v>
      </c>
    </row>
    <row r="251" spans="1:18" x14ac:dyDescent="0.25">
      <c r="A251" t="s">
        <v>10949</v>
      </c>
      <c r="C251" t="str">
        <f t="shared" si="18"/>
        <v>sh</v>
      </c>
      <c r="D251" t="str">
        <f t="shared" si="19"/>
        <v>sh601555</v>
      </c>
      <c r="E251" t="str">
        <f>VLOOKUP(A251,Table!B:C,2,0)</f>
        <v>东吴证券</v>
      </c>
      <c r="F251" t="str">
        <f>TRIM(VLOOKUP(A251,Table!B:O,14,0))</f>
        <v>券商信托</v>
      </c>
      <c r="G251" t="str">
        <f>VLOOKUP(F251,industry!A:C,2,0)</f>
        <v>券商</v>
      </c>
      <c r="H251" t="str">
        <f>VLOOKUP(F251,industry!A:C,3,0)</f>
        <v>券</v>
      </c>
      <c r="J251" s="2" t="s">
        <v>12585</v>
      </c>
      <c r="K251" t="str">
        <f t="shared" si="20"/>
        <v>sh601555</v>
      </c>
      <c r="L251" t="str">
        <f t="shared" si="21"/>
        <v>东吴证券</v>
      </c>
      <c r="M251" t="str">
        <f t="shared" si="22"/>
        <v>券商</v>
      </c>
      <c r="N251" t="str">
        <f t="shared" si="23"/>
        <v>券</v>
      </c>
      <c r="P251" s="2" t="s">
        <v>12585</v>
      </c>
      <c r="Q251" t="s">
        <v>10009</v>
      </c>
      <c r="R251">
        <v>0</v>
      </c>
    </row>
    <row r="252" spans="1:18" x14ac:dyDescent="0.25">
      <c r="A252" t="s">
        <v>10950</v>
      </c>
      <c r="C252" t="str">
        <f t="shared" si="18"/>
        <v>sh</v>
      </c>
      <c r="D252" t="str">
        <f t="shared" si="19"/>
        <v>sh600998</v>
      </c>
      <c r="E252" t="str">
        <f>VLOOKUP(A252,Table!B:C,2,0)</f>
        <v>九州通</v>
      </c>
      <c r="F252" t="str">
        <f>TRIM(VLOOKUP(A252,Table!B:O,14,0))</f>
        <v>医药制造</v>
      </c>
      <c r="G252" t="str">
        <f>VLOOKUP(F252,industry!A:C,2,0)</f>
        <v>医药</v>
      </c>
      <c r="H252" t="str">
        <f>VLOOKUP(F252,industry!A:C,3,0)</f>
        <v>药</v>
      </c>
      <c r="J252" s="2" t="s">
        <v>12585</v>
      </c>
      <c r="K252" t="str">
        <f t="shared" si="20"/>
        <v>sh600998</v>
      </c>
      <c r="L252" t="str">
        <f t="shared" si="21"/>
        <v>九州通</v>
      </c>
      <c r="M252" t="str">
        <f t="shared" si="22"/>
        <v>医药</v>
      </c>
      <c r="N252" t="str">
        <f t="shared" si="23"/>
        <v>药</v>
      </c>
      <c r="P252" s="2" t="s">
        <v>12585</v>
      </c>
      <c r="Q252" t="s">
        <v>10117</v>
      </c>
      <c r="R252">
        <v>0</v>
      </c>
    </row>
    <row r="253" spans="1:18" x14ac:dyDescent="0.25">
      <c r="A253" t="s">
        <v>10951</v>
      </c>
      <c r="C253" t="str">
        <f t="shared" si="18"/>
        <v>sz</v>
      </c>
      <c r="D253" t="str">
        <f t="shared" si="19"/>
        <v>sz002050</v>
      </c>
      <c r="E253" t="str">
        <f>VLOOKUP(A253,Table!B:C,2,0)</f>
        <v>三花智控</v>
      </c>
      <c r="F253" t="str">
        <f>TRIM(VLOOKUP(A253,Table!B:O,14,0))</f>
        <v>家电行业</v>
      </c>
      <c r="G253" t="str">
        <f>VLOOKUP(F253,industry!A:C,2,0)</f>
        <v>家电</v>
      </c>
      <c r="H253" t="str">
        <f>VLOOKUP(F253,industry!A:C,3,0)</f>
        <v>家</v>
      </c>
      <c r="J253" s="2" t="s">
        <v>12585</v>
      </c>
      <c r="K253" t="str">
        <f t="shared" si="20"/>
        <v>sz002050</v>
      </c>
      <c r="L253" t="str">
        <f t="shared" si="21"/>
        <v>三花智控</v>
      </c>
      <c r="M253" t="str">
        <f t="shared" si="22"/>
        <v>家电</v>
      </c>
      <c r="N253" t="str">
        <f t="shared" si="23"/>
        <v>家</v>
      </c>
      <c r="P253" s="2" t="s">
        <v>12585</v>
      </c>
      <c r="Q253" t="s">
        <v>12237</v>
      </c>
      <c r="R253">
        <v>0</v>
      </c>
    </row>
    <row r="254" spans="1:18" x14ac:dyDescent="0.25">
      <c r="A254" t="s">
        <v>10952</v>
      </c>
      <c r="C254" t="str">
        <f t="shared" si="18"/>
        <v>sh</v>
      </c>
      <c r="D254" t="str">
        <f t="shared" si="19"/>
        <v>sh600498</v>
      </c>
      <c r="E254" t="str">
        <f>VLOOKUP(A254,Table!B:C,2,0)</f>
        <v>烽火通信</v>
      </c>
      <c r="F254" t="str">
        <f>TRIM(VLOOKUP(A254,Table!B:O,14,0))</f>
        <v>通讯行业</v>
      </c>
      <c r="G254" t="str">
        <f>VLOOKUP(F254,industry!A:C,2,0)</f>
        <v>通讯</v>
      </c>
      <c r="H254" t="str">
        <f>VLOOKUP(F254,industry!A:C,3,0)</f>
        <v>讯</v>
      </c>
      <c r="J254" s="2" t="s">
        <v>12585</v>
      </c>
      <c r="K254" t="str">
        <f t="shared" si="20"/>
        <v>sh600498</v>
      </c>
      <c r="L254" t="str">
        <f t="shared" si="21"/>
        <v>烽火通信</v>
      </c>
      <c r="M254" t="str">
        <f t="shared" si="22"/>
        <v>通讯</v>
      </c>
      <c r="N254" t="str">
        <f t="shared" si="23"/>
        <v>讯</v>
      </c>
      <c r="P254" s="2" t="s">
        <v>12585</v>
      </c>
      <c r="Q254" t="s">
        <v>10272</v>
      </c>
      <c r="R254">
        <v>0</v>
      </c>
    </row>
    <row r="255" spans="1:18" x14ac:dyDescent="0.25">
      <c r="A255" t="s">
        <v>10953</v>
      </c>
      <c r="C255" t="str">
        <f t="shared" si="18"/>
        <v>sz</v>
      </c>
      <c r="D255" t="str">
        <f t="shared" si="19"/>
        <v>sz000402</v>
      </c>
      <c r="E255" t="str">
        <f>VLOOKUP(A255,Table!B:C,2,0)</f>
        <v>金 融 街</v>
      </c>
      <c r="F255" t="str">
        <f>TRIM(VLOOKUP(A255,Table!B:O,14,0))</f>
        <v>房地产</v>
      </c>
      <c r="G255" t="str">
        <f>VLOOKUP(F255,industry!A:C,2,0)</f>
        <v>房产</v>
      </c>
      <c r="H255" t="str">
        <f>VLOOKUP(F255,industry!A:C,3,0)</f>
        <v>产</v>
      </c>
      <c r="J255" s="2" t="s">
        <v>12585</v>
      </c>
      <c r="K255" t="str">
        <f t="shared" si="20"/>
        <v>sz000402</v>
      </c>
      <c r="L255" t="str">
        <f t="shared" si="21"/>
        <v>金 融 街</v>
      </c>
      <c r="M255" t="str">
        <f t="shared" si="22"/>
        <v>房产</v>
      </c>
      <c r="N255" t="str">
        <f t="shared" si="23"/>
        <v>产</v>
      </c>
      <c r="P255" s="2" t="s">
        <v>12585</v>
      </c>
      <c r="Q255" t="s">
        <v>10169</v>
      </c>
      <c r="R255">
        <v>0</v>
      </c>
    </row>
    <row r="256" spans="1:18" x14ac:dyDescent="0.25">
      <c r="A256" t="s">
        <v>10954</v>
      </c>
      <c r="C256" t="str">
        <f t="shared" si="18"/>
        <v>sz</v>
      </c>
      <c r="D256" t="str">
        <f t="shared" si="19"/>
        <v>sz000157</v>
      </c>
      <c r="E256" t="str">
        <f>VLOOKUP(A256,Table!B:C,2,0)</f>
        <v>中联重科</v>
      </c>
      <c r="F256" t="str">
        <f>TRIM(VLOOKUP(A256,Table!B:O,14,0))</f>
        <v>机械行业</v>
      </c>
      <c r="G256" t="str">
        <f>VLOOKUP(F256,industry!A:C,2,0)</f>
        <v>机械</v>
      </c>
      <c r="H256" t="str">
        <f>VLOOKUP(F256,industry!A:C,3,0)</f>
        <v>械</v>
      </c>
      <c r="J256" s="2" t="s">
        <v>12585</v>
      </c>
      <c r="K256" t="str">
        <f t="shared" si="20"/>
        <v>sz000157</v>
      </c>
      <c r="L256" t="str">
        <f t="shared" si="21"/>
        <v>中联重科</v>
      </c>
      <c r="M256" t="str">
        <f t="shared" si="22"/>
        <v>机械</v>
      </c>
      <c r="N256" t="str">
        <f t="shared" si="23"/>
        <v>械</v>
      </c>
      <c r="P256" s="2" t="s">
        <v>12585</v>
      </c>
      <c r="Q256" t="s">
        <v>10149</v>
      </c>
      <c r="R256">
        <v>0</v>
      </c>
    </row>
    <row r="257" spans="1:18" x14ac:dyDescent="0.25">
      <c r="A257" t="s">
        <v>10955</v>
      </c>
      <c r="C257" t="str">
        <f t="shared" si="18"/>
        <v>sz</v>
      </c>
      <c r="D257" t="str">
        <f t="shared" si="19"/>
        <v>sz300296</v>
      </c>
      <c r="E257" t="str">
        <f>VLOOKUP(A257,Table!B:C,2,0)</f>
        <v>利亚德</v>
      </c>
      <c r="F257" t="str">
        <f>TRIM(VLOOKUP(A257,Table!B:O,14,0))</f>
        <v>电子元件</v>
      </c>
      <c r="G257" t="str">
        <f>VLOOKUP(F257,industry!A:C,2,0)</f>
        <v>原件</v>
      </c>
      <c r="H257" t="str">
        <f>VLOOKUP(F257,industry!A:C,3,0)</f>
        <v>元件</v>
      </c>
      <c r="J257" s="2" t="s">
        <v>12585</v>
      </c>
      <c r="K257" t="str">
        <f t="shared" si="20"/>
        <v>sz300296</v>
      </c>
      <c r="L257" t="str">
        <f t="shared" si="21"/>
        <v>利亚德</v>
      </c>
      <c r="M257" t="str">
        <f t="shared" si="22"/>
        <v>原件</v>
      </c>
      <c r="N257" t="str">
        <f t="shared" si="23"/>
        <v>元件</v>
      </c>
      <c r="P257" s="2" t="s">
        <v>12585</v>
      </c>
      <c r="Q257" t="s">
        <v>10366</v>
      </c>
      <c r="R257">
        <v>0</v>
      </c>
    </row>
    <row r="258" spans="1:18" x14ac:dyDescent="0.25">
      <c r="A258" t="s">
        <v>10956</v>
      </c>
      <c r="C258" t="str">
        <f t="shared" si="18"/>
        <v>sh</v>
      </c>
      <c r="D258" t="str">
        <f t="shared" si="19"/>
        <v>sh600219</v>
      </c>
      <c r="E258" t="str">
        <f>VLOOKUP(A258,Table!B:C,2,0)</f>
        <v>南山铝业</v>
      </c>
      <c r="F258" t="str">
        <f>TRIM(VLOOKUP(A258,Table!B:O,14,0))</f>
        <v>有色金属</v>
      </c>
      <c r="G258" t="str">
        <f>VLOOKUP(F258,industry!A:C,2,0)</f>
        <v>有色</v>
      </c>
      <c r="H258" t="str">
        <f>VLOOKUP(F258,industry!A:C,3,0)</f>
        <v>色</v>
      </c>
      <c r="J258" s="2" t="s">
        <v>12585</v>
      </c>
      <c r="K258" t="str">
        <f t="shared" si="20"/>
        <v>sh600219</v>
      </c>
      <c r="L258" t="str">
        <f t="shared" si="21"/>
        <v>南山铝业</v>
      </c>
      <c r="M258" t="str">
        <f t="shared" si="22"/>
        <v>有色</v>
      </c>
      <c r="N258" t="str">
        <f t="shared" si="23"/>
        <v>色</v>
      </c>
      <c r="P258" s="2" t="s">
        <v>12585</v>
      </c>
      <c r="Q258" t="s">
        <v>10555</v>
      </c>
      <c r="R258">
        <v>0</v>
      </c>
    </row>
    <row r="259" spans="1:18" x14ac:dyDescent="0.25">
      <c r="A259" t="s">
        <v>10957</v>
      </c>
      <c r="C259" t="str">
        <f t="shared" ref="C259:C322" si="24">IF(LEFT(A259,1)="6","sh","sz")</f>
        <v>sz</v>
      </c>
      <c r="D259" t="str">
        <f t="shared" ref="D259:D322" si="25">C259 &amp; A259</f>
        <v>sz000408</v>
      </c>
      <c r="E259" t="str">
        <f>VLOOKUP(A259,Table!B:C,2,0)</f>
        <v>藏格控股</v>
      </c>
      <c r="F259" t="str">
        <f>TRIM(VLOOKUP(A259,Table!B:O,14,0))</f>
        <v>化肥行业</v>
      </c>
      <c r="G259" t="str">
        <f>VLOOKUP(F259,industry!A:C,2,0)</f>
        <v>化肥</v>
      </c>
      <c r="H259" t="str">
        <f>VLOOKUP(F259,industry!A:C,3,0)</f>
        <v>肥</v>
      </c>
      <c r="J259" s="2" t="s">
        <v>12585</v>
      </c>
      <c r="K259" t="str">
        <f t="shared" ref="K259:K322" si="26">D259</f>
        <v>sz000408</v>
      </c>
      <c r="L259" t="str">
        <f t="shared" ref="L259:L322" si="27">E259</f>
        <v>藏格控股</v>
      </c>
      <c r="M259" t="str">
        <f t="shared" ref="M259:M322" si="28">G259</f>
        <v>化肥</v>
      </c>
      <c r="N259" t="str">
        <f t="shared" ref="N259:N322" si="29">H259</f>
        <v>肥</v>
      </c>
      <c r="P259" s="2" t="s">
        <v>12585</v>
      </c>
      <c r="Q259" t="s">
        <v>10133</v>
      </c>
      <c r="R259">
        <v>0</v>
      </c>
    </row>
    <row r="260" spans="1:18" x14ac:dyDescent="0.25">
      <c r="A260" t="s">
        <v>10958</v>
      </c>
      <c r="C260" t="str">
        <f t="shared" si="24"/>
        <v>sz</v>
      </c>
      <c r="D260" t="str">
        <f t="shared" si="25"/>
        <v>sz002065</v>
      </c>
      <c r="E260" t="str">
        <f>VLOOKUP(A260,Table!B:C,2,0)</f>
        <v>东华软件</v>
      </c>
      <c r="F260" t="str">
        <f>TRIM(VLOOKUP(A260,Table!B:O,14,0))</f>
        <v>软件服务</v>
      </c>
      <c r="G260" t="str">
        <f>VLOOKUP(F260,industry!A:C,2,0)</f>
        <v>软件</v>
      </c>
      <c r="H260" t="str">
        <f>VLOOKUP(F260,industry!A:C,3,0)</f>
        <v>软</v>
      </c>
      <c r="J260" s="2" t="s">
        <v>12585</v>
      </c>
      <c r="K260" t="str">
        <f t="shared" si="26"/>
        <v>sz002065</v>
      </c>
      <c r="L260" t="str">
        <f t="shared" si="27"/>
        <v>东华软件</v>
      </c>
      <c r="M260" t="str">
        <f t="shared" si="28"/>
        <v>软件</v>
      </c>
      <c r="N260" t="str">
        <f t="shared" si="29"/>
        <v>软</v>
      </c>
      <c r="P260" s="2" t="s">
        <v>12585</v>
      </c>
      <c r="Q260" t="s">
        <v>10159</v>
      </c>
      <c r="R260">
        <v>0</v>
      </c>
    </row>
    <row r="261" spans="1:18" x14ac:dyDescent="0.25">
      <c r="A261" t="s">
        <v>10959</v>
      </c>
      <c r="C261" t="str">
        <f t="shared" si="24"/>
        <v>sh</v>
      </c>
      <c r="D261" t="str">
        <f t="shared" si="25"/>
        <v>sh600436</v>
      </c>
      <c r="E261" t="str">
        <f>VLOOKUP(A261,Table!B:C,2,0)</f>
        <v>片仔癀</v>
      </c>
      <c r="F261" t="str">
        <f>TRIM(VLOOKUP(A261,Table!B:O,14,0))</f>
        <v>医药制造</v>
      </c>
      <c r="G261" t="str">
        <f>VLOOKUP(F261,industry!A:C,2,0)</f>
        <v>医药</v>
      </c>
      <c r="H261" t="str">
        <f>VLOOKUP(F261,industry!A:C,3,0)</f>
        <v>药</v>
      </c>
      <c r="J261" s="2" t="s">
        <v>12585</v>
      </c>
      <c r="K261" t="str">
        <f t="shared" si="26"/>
        <v>sh600436</v>
      </c>
      <c r="L261" t="str">
        <f t="shared" si="27"/>
        <v>片仔癀</v>
      </c>
      <c r="M261" t="str">
        <f t="shared" si="28"/>
        <v>医药</v>
      </c>
      <c r="N261" t="str">
        <f t="shared" si="29"/>
        <v>药</v>
      </c>
      <c r="P261" s="2" t="s">
        <v>12585</v>
      </c>
      <c r="Q261" t="s">
        <v>10274</v>
      </c>
      <c r="R261">
        <v>0</v>
      </c>
    </row>
    <row r="262" spans="1:18" x14ac:dyDescent="0.25">
      <c r="A262" t="s">
        <v>10960</v>
      </c>
      <c r="C262" t="str">
        <f t="shared" si="24"/>
        <v>sh</v>
      </c>
      <c r="D262" t="str">
        <f t="shared" si="25"/>
        <v>sh601333</v>
      </c>
      <c r="E262" t="str">
        <f>VLOOKUP(A262,Table!B:C,2,0)</f>
        <v>广深铁路</v>
      </c>
      <c r="F262" t="str">
        <f>TRIM(VLOOKUP(A262,Table!B:O,14,0))</f>
        <v>交运物流</v>
      </c>
      <c r="G262" t="str">
        <f>VLOOKUP(F262,industry!A:C,2,0)</f>
        <v>物流</v>
      </c>
      <c r="H262" t="str">
        <f>VLOOKUP(F262,industry!A:C,3,0)</f>
        <v>物</v>
      </c>
      <c r="J262" s="2" t="s">
        <v>12585</v>
      </c>
      <c r="K262" t="str">
        <f t="shared" si="26"/>
        <v>sh601333</v>
      </c>
      <c r="L262" t="str">
        <f t="shared" si="27"/>
        <v>广深铁路</v>
      </c>
      <c r="M262" t="str">
        <f t="shared" si="28"/>
        <v>物流</v>
      </c>
      <c r="N262" t="str">
        <f t="shared" si="29"/>
        <v>物</v>
      </c>
      <c r="P262" s="2" t="s">
        <v>12585</v>
      </c>
      <c r="Q262" t="s">
        <v>10218</v>
      </c>
      <c r="R262">
        <v>0</v>
      </c>
    </row>
    <row r="263" spans="1:18" x14ac:dyDescent="0.25">
      <c r="A263" t="s">
        <v>10961</v>
      </c>
      <c r="C263" t="str">
        <f t="shared" si="24"/>
        <v>sh</v>
      </c>
      <c r="D263" t="str">
        <f t="shared" si="25"/>
        <v>sh600271</v>
      </c>
      <c r="E263" t="str">
        <f>VLOOKUP(A263,Table!B:C,2,0)</f>
        <v>航天信息</v>
      </c>
      <c r="F263" t="str">
        <f>TRIM(VLOOKUP(A263,Table!B:O,14,0))</f>
        <v>软件服务</v>
      </c>
      <c r="G263" t="str">
        <f>VLOOKUP(F263,industry!A:C,2,0)</f>
        <v>软件</v>
      </c>
      <c r="H263" t="str">
        <f>VLOOKUP(F263,industry!A:C,3,0)</f>
        <v>软</v>
      </c>
      <c r="J263" s="2" t="s">
        <v>12585</v>
      </c>
      <c r="K263" t="str">
        <f t="shared" si="26"/>
        <v>sh600271</v>
      </c>
      <c r="L263" t="str">
        <f t="shared" si="27"/>
        <v>航天信息</v>
      </c>
      <c r="M263" t="str">
        <f t="shared" si="28"/>
        <v>软件</v>
      </c>
      <c r="N263" t="str">
        <f t="shared" si="29"/>
        <v>软</v>
      </c>
      <c r="P263" s="2" t="s">
        <v>12585</v>
      </c>
      <c r="Q263" t="s">
        <v>10033</v>
      </c>
      <c r="R263">
        <v>0</v>
      </c>
    </row>
    <row r="264" spans="1:18" x14ac:dyDescent="0.25">
      <c r="A264" t="s">
        <v>10962</v>
      </c>
      <c r="C264" t="str">
        <f t="shared" si="24"/>
        <v>sz</v>
      </c>
      <c r="D264" t="str">
        <f t="shared" si="25"/>
        <v>sz002075</v>
      </c>
      <c r="E264" t="str">
        <f>VLOOKUP(A264,Table!B:C,2,0)</f>
        <v>沙钢股份</v>
      </c>
      <c r="F264" t="str">
        <f>TRIM(VLOOKUP(A264,Table!B:O,14,0))</f>
        <v>钢铁行业</v>
      </c>
      <c r="G264" t="str">
        <f>VLOOKUP(F264,industry!A:C,2,0)</f>
        <v>钢铁</v>
      </c>
      <c r="H264" t="str">
        <f>VLOOKUP(F264,industry!A:C,3,0)</f>
        <v>钢</v>
      </c>
      <c r="J264" s="2" t="s">
        <v>12585</v>
      </c>
      <c r="K264" t="str">
        <f t="shared" si="26"/>
        <v>sz002075</v>
      </c>
      <c r="L264" t="str">
        <f t="shared" si="27"/>
        <v>沙钢股份</v>
      </c>
      <c r="M264" t="str">
        <f t="shared" si="28"/>
        <v>钢铁</v>
      </c>
      <c r="N264" t="str">
        <f t="shared" si="29"/>
        <v>钢</v>
      </c>
      <c r="P264" s="2" t="s">
        <v>12585</v>
      </c>
      <c r="Q264" t="s">
        <v>10123</v>
      </c>
      <c r="R264">
        <v>0</v>
      </c>
    </row>
    <row r="265" spans="1:18" x14ac:dyDescent="0.25">
      <c r="A265" t="s">
        <v>10963</v>
      </c>
      <c r="C265" t="str">
        <f t="shared" si="24"/>
        <v>sh</v>
      </c>
      <c r="D265" t="str">
        <f t="shared" si="25"/>
        <v>sh600109</v>
      </c>
      <c r="E265" t="str">
        <f>VLOOKUP(A265,Table!B:C,2,0)</f>
        <v>国金证券</v>
      </c>
      <c r="F265" t="str">
        <f>TRIM(VLOOKUP(A265,Table!B:O,14,0))</f>
        <v>券商信托</v>
      </c>
      <c r="G265" t="str">
        <f>VLOOKUP(F265,industry!A:C,2,0)</f>
        <v>券商</v>
      </c>
      <c r="H265" t="str">
        <f>VLOOKUP(F265,industry!A:C,3,0)</f>
        <v>券</v>
      </c>
      <c r="J265" s="2" t="s">
        <v>12585</v>
      </c>
      <c r="K265" t="str">
        <f t="shared" si="26"/>
        <v>sh600109</v>
      </c>
      <c r="L265" t="str">
        <f t="shared" si="27"/>
        <v>国金证券</v>
      </c>
      <c r="M265" t="str">
        <f t="shared" si="28"/>
        <v>券商</v>
      </c>
      <c r="N265" t="str">
        <f t="shared" si="29"/>
        <v>券</v>
      </c>
      <c r="P265" s="2" t="s">
        <v>12585</v>
      </c>
      <c r="Q265" t="s">
        <v>10045</v>
      </c>
      <c r="R265">
        <v>0</v>
      </c>
    </row>
    <row r="266" spans="1:18" x14ac:dyDescent="0.25">
      <c r="A266" t="s">
        <v>10964</v>
      </c>
      <c r="C266" t="str">
        <f t="shared" si="24"/>
        <v>sh</v>
      </c>
      <c r="D266" t="str">
        <f t="shared" si="25"/>
        <v>sh600177</v>
      </c>
      <c r="E266" t="str">
        <f>VLOOKUP(A266,Table!B:C,2,0)</f>
        <v>雅戈尔</v>
      </c>
      <c r="F266" t="str">
        <f>TRIM(VLOOKUP(A266,Table!B:O,14,0))</f>
        <v>房地产</v>
      </c>
      <c r="G266" t="str">
        <f>VLOOKUP(F266,industry!A:C,2,0)</f>
        <v>房产</v>
      </c>
      <c r="H266" t="str">
        <f>VLOOKUP(F266,industry!A:C,3,0)</f>
        <v>产</v>
      </c>
      <c r="J266" s="2" t="s">
        <v>12585</v>
      </c>
      <c r="K266" t="str">
        <f t="shared" si="26"/>
        <v>sh600177</v>
      </c>
      <c r="L266" t="str">
        <f t="shared" si="27"/>
        <v>雅戈尔</v>
      </c>
      <c r="M266" t="str">
        <f t="shared" si="28"/>
        <v>房产</v>
      </c>
      <c r="N266" t="str">
        <f t="shared" si="29"/>
        <v>产</v>
      </c>
      <c r="P266" s="2" t="s">
        <v>12585</v>
      </c>
      <c r="Q266" t="s">
        <v>10105</v>
      </c>
      <c r="R266">
        <v>0</v>
      </c>
    </row>
    <row r="267" spans="1:18" x14ac:dyDescent="0.25">
      <c r="A267" t="s">
        <v>10965</v>
      </c>
      <c r="C267" t="str">
        <f t="shared" si="24"/>
        <v>sz</v>
      </c>
      <c r="D267" t="str">
        <f t="shared" si="25"/>
        <v>sz000564</v>
      </c>
      <c r="E267" t="str">
        <f>VLOOKUP(A267,Table!B:C,2,0)</f>
        <v>供销大集</v>
      </c>
      <c r="F267" t="str">
        <f>TRIM(VLOOKUP(A267,Table!B:O,14,0))</f>
        <v>商业百货</v>
      </c>
      <c r="G267" t="str">
        <f>VLOOKUP(F267,industry!A:C,2,0)</f>
        <v>百货</v>
      </c>
      <c r="H267" t="str">
        <f>VLOOKUP(F267,industry!A:C,3,0)</f>
        <v>商</v>
      </c>
      <c r="J267" s="2" t="s">
        <v>12585</v>
      </c>
      <c r="K267" t="str">
        <f t="shared" si="26"/>
        <v>sz000564</v>
      </c>
      <c r="L267" t="str">
        <f t="shared" si="27"/>
        <v>供销大集</v>
      </c>
      <c r="M267" t="str">
        <f t="shared" si="28"/>
        <v>百货</v>
      </c>
      <c r="N267" t="str">
        <f t="shared" si="29"/>
        <v>商</v>
      </c>
      <c r="P267" s="2" t="s">
        <v>12585</v>
      </c>
      <c r="Q267" t="s">
        <v>9905</v>
      </c>
      <c r="R267">
        <v>0</v>
      </c>
    </row>
    <row r="268" spans="1:18" x14ac:dyDescent="0.25">
      <c r="A268" t="s">
        <v>10966</v>
      </c>
      <c r="C268" t="str">
        <f t="shared" si="24"/>
        <v>sz</v>
      </c>
      <c r="D268" t="str">
        <f t="shared" si="25"/>
        <v>sz002271</v>
      </c>
      <c r="E268" t="str">
        <f>VLOOKUP(A268,Table!B:C,2,0)</f>
        <v>东方雨虹</v>
      </c>
      <c r="F268" t="str">
        <f>TRIM(VLOOKUP(A268,Table!B:O,14,0))</f>
        <v>水泥建材</v>
      </c>
      <c r="G268" t="str">
        <f>VLOOKUP(F268,industry!A:C,2,0)</f>
        <v>水泥</v>
      </c>
      <c r="H268" t="str">
        <f>VLOOKUP(F268,industry!A:C,3,0)</f>
        <v>泥</v>
      </c>
      <c r="J268" s="2" t="s">
        <v>12585</v>
      </c>
      <c r="K268" t="str">
        <f t="shared" si="26"/>
        <v>sz002271</v>
      </c>
      <c r="L268" t="str">
        <f t="shared" si="27"/>
        <v>东方雨虹</v>
      </c>
      <c r="M268" t="str">
        <f t="shared" si="28"/>
        <v>水泥</v>
      </c>
      <c r="N268" t="str">
        <f t="shared" si="29"/>
        <v>泥</v>
      </c>
      <c r="P268" s="2" t="s">
        <v>12585</v>
      </c>
      <c r="Q268" t="s">
        <v>10644</v>
      </c>
      <c r="R268">
        <v>0</v>
      </c>
    </row>
    <row r="269" spans="1:18" x14ac:dyDescent="0.25">
      <c r="A269" t="s">
        <v>10967</v>
      </c>
      <c r="C269" t="str">
        <f t="shared" si="24"/>
        <v>sh</v>
      </c>
      <c r="D269" t="str">
        <f t="shared" si="25"/>
        <v>sh600176</v>
      </c>
      <c r="E269" t="str">
        <f>VLOOKUP(A269,Table!B:C,2,0)</f>
        <v>中国巨石</v>
      </c>
      <c r="F269" t="str">
        <f>TRIM(VLOOKUP(A269,Table!B:O,14,0))</f>
        <v>玻璃陶瓷</v>
      </c>
      <c r="G269" t="str">
        <f>VLOOKUP(F269,industry!A:C,2,0)</f>
        <v>玻璃</v>
      </c>
      <c r="H269" t="str">
        <f>VLOOKUP(F269,industry!A:C,3,0)</f>
        <v>瓷</v>
      </c>
      <c r="J269" s="2" t="s">
        <v>12585</v>
      </c>
      <c r="K269" t="str">
        <f t="shared" si="26"/>
        <v>sh600176</v>
      </c>
      <c r="L269" t="str">
        <f t="shared" si="27"/>
        <v>中国巨石</v>
      </c>
      <c r="M269" t="str">
        <f t="shared" si="28"/>
        <v>玻璃</v>
      </c>
      <c r="N269" t="str">
        <f t="shared" si="29"/>
        <v>瓷</v>
      </c>
      <c r="P269" s="2" t="s">
        <v>12585</v>
      </c>
      <c r="Q269" t="s">
        <v>10354</v>
      </c>
      <c r="R269">
        <v>0</v>
      </c>
    </row>
    <row r="270" spans="1:18" x14ac:dyDescent="0.25">
      <c r="A270" t="s">
        <v>10968</v>
      </c>
      <c r="C270" t="str">
        <f t="shared" si="24"/>
        <v>sh</v>
      </c>
      <c r="D270" t="str">
        <f t="shared" si="25"/>
        <v>sh600699</v>
      </c>
      <c r="E270" t="str">
        <f>VLOOKUP(A270,Table!B:C,2,0)</f>
        <v>均胜电子</v>
      </c>
      <c r="F270" t="str">
        <f>TRIM(VLOOKUP(A270,Table!B:O,14,0))</f>
        <v>汽车行业</v>
      </c>
      <c r="G270" t="str">
        <f>VLOOKUP(F270,industry!A:C,2,0)</f>
        <v>汽车</v>
      </c>
      <c r="H270" t="str">
        <f>VLOOKUP(F270,industry!A:C,3,0)</f>
        <v>车</v>
      </c>
      <c r="J270" s="2" t="s">
        <v>12585</v>
      </c>
      <c r="K270" t="str">
        <f t="shared" si="26"/>
        <v>sh600699</v>
      </c>
      <c r="L270" t="str">
        <f t="shared" si="27"/>
        <v>均胜电子</v>
      </c>
      <c r="M270" t="str">
        <f t="shared" si="28"/>
        <v>汽车</v>
      </c>
      <c r="N270" t="str">
        <f t="shared" si="29"/>
        <v>车</v>
      </c>
      <c r="P270" s="2" t="s">
        <v>12585</v>
      </c>
      <c r="Q270" t="s">
        <v>10502</v>
      </c>
      <c r="R270">
        <v>0</v>
      </c>
    </row>
    <row r="271" spans="1:18" x14ac:dyDescent="0.25">
      <c r="A271" t="s">
        <v>10969</v>
      </c>
      <c r="C271" t="str">
        <f t="shared" si="24"/>
        <v>sh</v>
      </c>
      <c r="D271" t="str">
        <f t="shared" si="25"/>
        <v>sh600704</v>
      </c>
      <c r="E271" t="str">
        <f>VLOOKUP(A271,Table!B:C,2,0)</f>
        <v>物产中大</v>
      </c>
      <c r="F271" t="str">
        <f>TRIM(VLOOKUP(A271,Table!B:O,14,0))</f>
        <v>国际贸易</v>
      </c>
      <c r="G271" t="str">
        <f>VLOOKUP(F271,industry!A:C,2,0)</f>
        <v>国贸</v>
      </c>
      <c r="H271" t="str">
        <f>VLOOKUP(F271,industry!A:C,3,0)</f>
        <v>贸</v>
      </c>
      <c r="J271" s="2" t="s">
        <v>12585</v>
      </c>
      <c r="K271" t="str">
        <f t="shared" si="26"/>
        <v>sh600704</v>
      </c>
      <c r="L271" t="str">
        <f t="shared" si="27"/>
        <v>物产中大</v>
      </c>
      <c r="M271" t="str">
        <f t="shared" si="28"/>
        <v>国贸</v>
      </c>
      <c r="N271" t="str">
        <f t="shared" si="29"/>
        <v>贸</v>
      </c>
      <c r="P271" s="2" t="s">
        <v>12585</v>
      </c>
      <c r="Q271" t="s">
        <v>10256</v>
      </c>
      <c r="R271">
        <v>0</v>
      </c>
    </row>
    <row r="272" spans="1:18" x14ac:dyDescent="0.25">
      <c r="A272" t="s">
        <v>10970</v>
      </c>
      <c r="C272" t="str">
        <f t="shared" si="24"/>
        <v>sz</v>
      </c>
      <c r="D272" t="str">
        <f t="shared" si="25"/>
        <v>sz300024</v>
      </c>
      <c r="E272" t="str">
        <f>VLOOKUP(A272,Table!B:C,2,0)</f>
        <v>机器人</v>
      </c>
      <c r="F272" t="str">
        <f>TRIM(VLOOKUP(A272,Table!B:O,14,0))</f>
        <v>机械行业</v>
      </c>
      <c r="G272" t="str">
        <f>VLOOKUP(F272,industry!A:C,2,0)</f>
        <v>机械</v>
      </c>
      <c r="H272" t="str">
        <f>VLOOKUP(F272,industry!A:C,3,0)</f>
        <v>械</v>
      </c>
      <c r="J272" s="2" t="s">
        <v>12585</v>
      </c>
      <c r="K272" t="str">
        <f t="shared" si="26"/>
        <v>sz300024</v>
      </c>
      <c r="L272" t="str">
        <f t="shared" si="27"/>
        <v>机器人</v>
      </c>
      <c r="M272" t="str">
        <f t="shared" si="28"/>
        <v>机械</v>
      </c>
      <c r="N272" t="str">
        <f t="shared" si="29"/>
        <v>械</v>
      </c>
      <c r="P272" s="2" t="s">
        <v>12585</v>
      </c>
      <c r="Q272" t="s">
        <v>10107</v>
      </c>
      <c r="R272">
        <v>0</v>
      </c>
    </row>
    <row r="273" spans="1:18" x14ac:dyDescent="0.25">
      <c r="A273" t="s">
        <v>10971</v>
      </c>
      <c r="C273" t="str">
        <f t="shared" si="24"/>
        <v>sh</v>
      </c>
      <c r="D273" t="str">
        <f t="shared" si="25"/>
        <v>sh600808</v>
      </c>
      <c r="E273" t="str">
        <f>VLOOKUP(A273,Table!B:C,2,0)</f>
        <v>马钢股份</v>
      </c>
      <c r="F273" t="str">
        <f>TRIM(VLOOKUP(A273,Table!B:O,14,0))</f>
        <v>钢铁行业</v>
      </c>
      <c r="G273" t="str">
        <f>VLOOKUP(F273,industry!A:C,2,0)</f>
        <v>钢铁</v>
      </c>
      <c r="H273" t="str">
        <f>VLOOKUP(F273,industry!A:C,3,0)</f>
        <v>钢</v>
      </c>
      <c r="J273" s="2" t="s">
        <v>12585</v>
      </c>
      <c r="K273" t="str">
        <f t="shared" si="26"/>
        <v>sh600808</v>
      </c>
      <c r="L273" t="str">
        <f t="shared" si="27"/>
        <v>马钢股份</v>
      </c>
      <c r="M273" t="str">
        <f t="shared" si="28"/>
        <v>钢铁</v>
      </c>
      <c r="N273" t="str">
        <f t="shared" si="29"/>
        <v>钢</v>
      </c>
      <c r="P273" s="2" t="s">
        <v>12585</v>
      </c>
      <c r="Q273" t="s">
        <v>10599</v>
      </c>
      <c r="R273">
        <v>0</v>
      </c>
    </row>
    <row r="274" spans="1:18" x14ac:dyDescent="0.25">
      <c r="A274" t="s">
        <v>10972</v>
      </c>
      <c r="C274" t="str">
        <f t="shared" si="24"/>
        <v>sz</v>
      </c>
      <c r="D274" t="str">
        <f t="shared" si="25"/>
        <v>sz000050</v>
      </c>
      <c r="E274" t="str">
        <f>VLOOKUP(A274,Table!B:C,2,0)</f>
        <v>深天马Ａ</v>
      </c>
      <c r="F274" t="str">
        <f>TRIM(VLOOKUP(A274,Table!B:O,14,0))</f>
        <v>电子元件</v>
      </c>
      <c r="G274" t="str">
        <f>VLOOKUP(F274,industry!A:C,2,0)</f>
        <v>原件</v>
      </c>
      <c r="H274" t="str">
        <f>VLOOKUP(F274,industry!A:C,3,0)</f>
        <v>元件</v>
      </c>
      <c r="J274" s="2" t="s">
        <v>12585</v>
      </c>
      <c r="K274" t="str">
        <f t="shared" si="26"/>
        <v>sz000050</v>
      </c>
      <c r="L274" t="str">
        <f t="shared" si="27"/>
        <v>深天马Ａ</v>
      </c>
      <c r="M274" t="str">
        <f t="shared" si="28"/>
        <v>原件</v>
      </c>
      <c r="N274" t="str">
        <f t="shared" si="29"/>
        <v>元件</v>
      </c>
      <c r="P274" s="2" t="s">
        <v>12585</v>
      </c>
      <c r="Q274" t="s">
        <v>10352</v>
      </c>
      <c r="R274">
        <v>0</v>
      </c>
    </row>
    <row r="275" spans="1:18" x14ac:dyDescent="0.25">
      <c r="A275" t="s">
        <v>10973</v>
      </c>
      <c r="C275" t="str">
        <f t="shared" si="24"/>
        <v>sz</v>
      </c>
      <c r="D275" t="str">
        <f t="shared" si="25"/>
        <v>sz300033</v>
      </c>
      <c r="E275" t="str">
        <f>VLOOKUP(A275,Table!B:C,2,0)</f>
        <v>同花顺</v>
      </c>
      <c r="F275" t="str">
        <f>TRIM(VLOOKUP(A275,Table!B:O,14,0))</f>
        <v>软件服务</v>
      </c>
      <c r="G275" t="str">
        <f>VLOOKUP(F275,industry!A:C,2,0)</f>
        <v>软件</v>
      </c>
      <c r="H275" t="str">
        <f>VLOOKUP(F275,industry!A:C,3,0)</f>
        <v>软</v>
      </c>
      <c r="J275" s="2" t="s">
        <v>12585</v>
      </c>
      <c r="K275" t="str">
        <f t="shared" si="26"/>
        <v>sz300033</v>
      </c>
      <c r="L275" t="str">
        <f t="shared" si="27"/>
        <v>同花顺</v>
      </c>
      <c r="M275" t="str">
        <f t="shared" si="28"/>
        <v>软件</v>
      </c>
      <c r="N275" t="str">
        <f t="shared" si="29"/>
        <v>软</v>
      </c>
      <c r="P275" s="2" t="s">
        <v>12585</v>
      </c>
      <c r="Q275" t="s">
        <v>10075</v>
      </c>
      <c r="R275">
        <v>0</v>
      </c>
    </row>
    <row r="276" spans="1:18" x14ac:dyDescent="0.25">
      <c r="A276" t="s">
        <v>10974</v>
      </c>
      <c r="C276" t="str">
        <f t="shared" si="24"/>
        <v>sz</v>
      </c>
      <c r="D276" t="str">
        <f t="shared" si="25"/>
        <v>sz000596</v>
      </c>
      <c r="E276" t="str">
        <f>VLOOKUP(A276,Table!B:C,2,0)</f>
        <v>古井贡酒</v>
      </c>
      <c r="F276" t="str">
        <f>TRIM(VLOOKUP(A276,Table!B:O,14,0))</f>
        <v>酿酒行业</v>
      </c>
      <c r="G276" t="str">
        <f>VLOOKUP(F276,industry!A:C,2,0)</f>
        <v>酿酒</v>
      </c>
      <c r="H276" t="str">
        <f>VLOOKUP(F276,industry!A:C,3,0)</f>
        <v>酒</v>
      </c>
      <c r="J276" s="2" t="s">
        <v>12585</v>
      </c>
      <c r="K276" t="str">
        <f t="shared" si="26"/>
        <v>sz000596</v>
      </c>
      <c r="L276" t="str">
        <f t="shared" si="27"/>
        <v>古井贡酒</v>
      </c>
      <c r="M276" t="str">
        <f t="shared" si="28"/>
        <v>酿酒</v>
      </c>
      <c r="N276" t="str">
        <f t="shared" si="29"/>
        <v>酒</v>
      </c>
      <c r="P276" s="2" t="s">
        <v>12585</v>
      </c>
      <c r="Q276" t="s">
        <v>10440</v>
      </c>
      <c r="R276">
        <v>0</v>
      </c>
    </row>
    <row r="277" spans="1:18" x14ac:dyDescent="0.25">
      <c r="A277" t="s">
        <v>10975</v>
      </c>
      <c r="C277" t="str">
        <f t="shared" si="24"/>
        <v>sh</v>
      </c>
      <c r="D277" t="str">
        <f t="shared" si="25"/>
        <v>sh600588</v>
      </c>
      <c r="E277" t="str">
        <f>VLOOKUP(A277,Table!B:C,2,0)</f>
        <v>用友网络</v>
      </c>
      <c r="F277" t="str">
        <f>TRIM(VLOOKUP(A277,Table!B:O,14,0))</f>
        <v>软件服务</v>
      </c>
      <c r="G277" t="str">
        <f>VLOOKUP(F277,industry!A:C,2,0)</f>
        <v>软件</v>
      </c>
      <c r="H277" t="str">
        <f>VLOOKUP(F277,industry!A:C,3,0)</f>
        <v>软</v>
      </c>
      <c r="J277" s="2" t="s">
        <v>12585</v>
      </c>
      <c r="K277" t="str">
        <f t="shared" si="26"/>
        <v>sh600588</v>
      </c>
      <c r="L277" t="str">
        <f t="shared" si="27"/>
        <v>用友网络</v>
      </c>
      <c r="M277" t="str">
        <f t="shared" si="28"/>
        <v>软件</v>
      </c>
      <c r="N277" t="str">
        <f t="shared" si="29"/>
        <v>软</v>
      </c>
      <c r="P277" s="2" t="s">
        <v>12585</v>
      </c>
      <c r="Q277" t="s">
        <v>10165</v>
      </c>
      <c r="R277">
        <v>0</v>
      </c>
    </row>
    <row r="278" spans="1:18" x14ac:dyDescent="0.25">
      <c r="A278" t="s">
        <v>10976</v>
      </c>
      <c r="C278" t="str">
        <f t="shared" si="24"/>
        <v>sz</v>
      </c>
      <c r="D278" t="str">
        <f t="shared" si="25"/>
        <v>sz000786</v>
      </c>
      <c r="E278" t="str">
        <f>VLOOKUP(A278,Table!B:C,2,0)</f>
        <v>北新建材</v>
      </c>
      <c r="F278" t="str">
        <f>TRIM(VLOOKUP(A278,Table!B:O,14,0))</f>
        <v>水泥建材</v>
      </c>
      <c r="G278" t="str">
        <f>VLOOKUP(F278,industry!A:C,2,0)</f>
        <v>水泥</v>
      </c>
      <c r="H278" t="str">
        <f>VLOOKUP(F278,industry!A:C,3,0)</f>
        <v>泥</v>
      </c>
      <c r="J278" s="2" t="s">
        <v>12585</v>
      </c>
      <c r="K278" t="str">
        <f t="shared" si="26"/>
        <v>sz000786</v>
      </c>
      <c r="L278" t="str">
        <f t="shared" si="27"/>
        <v>北新建材</v>
      </c>
      <c r="M278" t="str">
        <f t="shared" si="28"/>
        <v>水泥</v>
      </c>
      <c r="N278" t="str">
        <f t="shared" si="29"/>
        <v>泥</v>
      </c>
      <c r="P278" s="2" t="s">
        <v>12585</v>
      </c>
      <c r="Q278" t="s">
        <v>11823</v>
      </c>
      <c r="R278">
        <v>0</v>
      </c>
    </row>
    <row r="279" spans="1:18" x14ac:dyDescent="0.25">
      <c r="A279" t="s">
        <v>10977</v>
      </c>
      <c r="C279" t="str">
        <f t="shared" si="24"/>
        <v>sz</v>
      </c>
      <c r="D279" t="str">
        <f t="shared" si="25"/>
        <v>sz000540</v>
      </c>
      <c r="E279" t="str">
        <f>VLOOKUP(A279,Table!B:C,2,0)</f>
        <v>中天金融</v>
      </c>
      <c r="F279" t="str">
        <f>TRIM(VLOOKUP(A279,Table!B:O,14,0))</f>
        <v>房地产</v>
      </c>
      <c r="G279" t="str">
        <f>VLOOKUP(F279,industry!A:C,2,0)</f>
        <v>房产</v>
      </c>
      <c r="H279" t="str">
        <f>VLOOKUP(F279,industry!A:C,3,0)</f>
        <v>产</v>
      </c>
      <c r="J279" s="2" t="s">
        <v>12585</v>
      </c>
      <c r="K279" t="str">
        <f t="shared" si="26"/>
        <v>sz000540</v>
      </c>
      <c r="L279" t="str">
        <f t="shared" si="27"/>
        <v>中天金融</v>
      </c>
      <c r="M279" t="str">
        <f t="shared" si="28"/>
        <v>房产</v>
      </c>
      <c r="N279" t="str">
        <f t="shared" si="29"/>
        <v>产</v>
      </c>
      <c r="P279" s="2" t="s">
        <v>12585</v>
      </c>
      <c r="Q279" t="s">
        <v>10216</v>
      </c>
      <c r="R279">
        <v>0</v>
      </c>
    </row>
    <row r="280" spans="1:18" x14ac:dyDescent="0.25">
      <c r="A280" t="s">
        <v>10978</v>
      </c>
      <c r="C280" t="str">
        <f t="shared" si="24"/>
        <v>sh</v>
      </c>
      <c r="D280" t="str">
        <f t="shared" si="25"/>
        <v>sh601117</v>
      </c>
      <c r="E280" t="str">
        <f>VLOOKUP(A280,Table!B:C,2,0)</f>
        <v>中国化学</v>
      </c>
      <c r="F280" t="str">
        <f>TRIM(VLOOKUP(A280,Table!B:O,14,0))</f>
        <v>工程建设</v>
      </c>
      <c r="G280" t="str">
        <f>VLOOKUP(F280,industry!A:C,2,0)</f>
        <v>工建</v>
      </c>
      <c r="H280" t="str">
        <f>VLOOKUP(F280,industry!A:C,3,0)</f>
        <v>建</v>
      </c>
      <c r="J280" s="2" t="s">
        <v>12585</v>
      </c>
      <c r="K280" t="str">
        <f t="shared" si="26"/>
        <v>sh601117</v>
      </c>
      <c r="L280" t="str">
        <f t="shared" si="27"/>
        <v>中国化学</v>
      </c>
      <c r="M280" t="str">
        <f t="shared" si="28"/>
        <v>工建</v>
      </c>
      <c r="N280" t="str">
        <f t="shared" si="29"/>
        <v>建</v>
      </c>
      <c r="P280" s="2" t="s">
        <v>12585</v>
      </c>
      <c r="Q280" t="s">
        <v>10264</v>
      </c>
      <c r="R280">
        <v>0</v>
      </c>
    </row>
    <row r="281" spans="1:18" x14ac:dyDescent="0.25">
      <c r="A281" t="s">
        <v>10979</v>
      </c>
      <c r="C281" t="str">
        <f t="shared" si="24"/>
        <v>sz</v>
      </c>
      <c r="D281" t="str">
        <f t="shared" si="25"/>
        <v>sz002217</v>
      </c>
      <c r="E281" t="str">
        <f>VLOOKUP(A281,Table!B:C,2,0)</f>
        <v>合力泰</v>
      </c>
      <c r="F281" t="str">
        <f>TRIM(VLOOKUP(A281,Table!B:O,14,0))</f>
        <v>电子元件</v>
      </c>
      <c r="G281" t="str">
        <f>VLOOKUP(F281,industry!A:C,2,0)</f>
        <v>原件</v>
      </c>
      <c r="H281" t="str">
        <f>VLOOKUP(F281,industry!A:C,3,0)</f>
        <v>元件</v>
      </c>
      <c r="J281" s="2" t="s">
        <v>12585</v>
      </c>
      <c r="K281" t="str">
        <f t="shared" si="26"/>
        <v>sz002217</v>
      </c>
      <c r="L281" t="str">
        <f t="shared" si="27"/>
        <v>合力泰</v>
      </c>
      <c r="M281" t="str">
        <f t="shared" si="28"/>
        <v>原件</v>
      </c>
      <c r="N281" t="str">
        <f t="shared" si="29"/>
        <v>元件</v>
      </c>
      <c r="P281" s="2" t="s">
        <v>12585</v>
      </c>
      <c r="Q281" t="s">
        <v>10496</v>
      </c>
      <c r="R281">
        <v>0</v>
      </c>
    </row>
    <row r="282" spans="1:18" x14ac:dyDescent="0.25">
      <c r="A282" t="s">
        <v>10980</v>
      </c>
      <c r="C282" t="str">
        <f t="shared" si="24"/>
        <v>sz</v>
      </c>
      <c r="D282" t="str">
        <f t="shared" si="25"/>
        <v>sz002405</v>
      </c>
      <c r="E282" t="str">
        <f>VLOOKUP(A282,Table!B:C,2,0)</f>
        <v>四维图新</v>
      </c>
      <c r="F282" t="str">
        <f>TRIM(VLOOKUP(A282,Table!B:O,14,0))</f>
        <v>软件服务</v>
      </c>
      <c r="G282" t="str">
        <f>VLOOKUP(F282,industry!A:C,2,0)</f>
        <v>软件</v>
      </c>
      <c r="H282" t="str">
        <f>VLOOKUP(F282,industry!A:C,3,0)</f>
        <v>软</v>
      </c>
      <c r="J282" s="2" t="s">
        <v>12585</v>
      </c>
      <c r="K282" t="str">
        <f t="shared" si="26"/>
        <v>sz002405</v>
      </c>
      <c r="L282" t="str">
        <f t="shared" si="27"/>
        <v>四维图新</v>
      </c>
      <c r="M282" t="str">
        <f t="shared" si="28"/>
        <v>软件</v>
      </c>
      <c r="N282" t="str">
        <f t="shared" si="29"/>
        <v>软</v>
      </c>
      <c r="P282" s="2" t="s">
        <v>12585</v>
      </c>
      <c r="Q282" t="s">
        <v>10478</v>
      </c>
      <c r="R282">
        <v>0</v>
      </c>
    </row>
    <row r="283" spans="1:18" x14ac:dyDescent="0.25">
      <c r="A283" t="s">
        <v>10981</v>
      </c>
      <c r="C283" t="str">
        <f t="shared" si="24"/>
        <v>sz</v>
      </c>
      <c r="D283" t="str">
        <f t="shared" si="25"/>
        <v>sz000553</v>
      </c>
      <c r="E283" t="str">
        <f>VLOOKUP(A283,Table!B:C,2,0)</f>
        <v>沙隆达Ａ</v>
      </c>
      <c r="F283" t="str">
        <f>TRIM(VLOOKUP(A283,Table!B:O,14,0))</f>
        <v>农药兽药</v>
      </c>
      <c r="G283" t="str">
        <f>VLOOKUP(F283,industry!A:C,2,0)</f>
        <v>农药</v>
      </c>
      <c r="H283" t="str">
        <f>VLOOKUP(F283,industry!A:C,3,0)</f>
        <v>兽</v>
      </c>
      <c r="J283" s="2" t="s">
        <v>12585</v>
      </c>
      <c r="K283" t="str">
        <f t="shared" si="26"/>
        <v>sz000553</v>
      </c>
      <c r="L283" t="str">
        <f t="shared" si="27"/>
        <v>沙隆达Ａ</v>
      </c>
      <c r="M283" t="str">
        <f t="shared" si="28"/>
        <v>农药</v>
      </c>
      <c r="N283" t="str">
        <f t="shared" si="29"/>
        <v>兽</v>
      </c>
      <c r="P283" s="2" t="s">
        <v>12585</v>
      </c>
      <c r="Q283" t="s">
        <v>12607</v>
      </c>
      <c r="R283">
        <v>0</v>
      </c>
    </row>
    <row r="284" spans="1:18" x14ac:dyDescent="0.25">
      <c r="A284" t="s">
        <v>10982</v>
      </c>
      <c r="C284" t="str">
        <f t="shared" si="24"/>
        <v>sz</v>
      </c>
      <c r="D284" t="str">
        <f t="shared" si="25"/>
        <v>sz002294</v>
      </c>
      <c r="E284" t="str">
        <f>VLOOKUP(A284,Table!B:C,2,0)</f>
        <v>信立泰</v>
      </c>
      <c r="F284" t="str">
        <f>TRIM(VLOOKUP(A284,Table!B:O,14,0))</f>
        <v>医药制造</v>
      </c>
      <c r="G284" t="str">
        <f>VLOOKUP(F284,industry!A:C,2,0)</f>
        <v>医药</v>
      </c>
      <c r="H284" t="str">
        <f>VLOOKUP(F284,industry!A:C,3,0)</f>
        <v>药</v>
      </c>
      <c r="J284" s="2" t="s">
        <v>12585</v>
      </c>
      <c r="K284" t="str">
        <f t="shared" si="26"/>
        <v>sz002294</v>
      </c>
      <c r="L284" t="str">
        <f t="shared" si="27"/>
        <v>信立泰</v>
      </c>
      <c r="M284" t="str">
        <f t="shared" si="28"/>
        <v>医药</v>
      </c>
      <c r="N284" t="str">
        <f t="shared" si="29"/>
        <v>药</v>
      </c>
      <c r="P284" s="2" t="s">
        <v>12585</v>
      </c>
      <c r="Q284" t="s">
        <v>10222</v>
      </c>
      <c r="R284">
        <v>0</v>
      </c>
    </row>
    <row r="285" spans="1:18" x14ac:dyDescent="0.25">
      <c r="A285" t="s">
        <v>10983</v>
      </c>
      <c r="C285" t="str">
        <f t="shared" si="24"/>
        <v>sh</v>
      </c>
      <c r="D285" t="str">
        <f t="shared" si="25"/>
        <v>sh601997</v>
      </c>
      <c r="E285" t="str">
        <f>VLOOKUP(A285,Table!B:C,2,0)</f>
        <v>贵阳银行</v>
      </c>
      <c r="F285" t="str">
        <f>TRIM(VLOOKUP(A285,Table!B:O,14,0))</f>
        <v>银行</v>
      </c>
      <c r="G285" t="str">
        <f>VLOOKUP(F285,industry!A:C,2,0)</f>
        <v>银行</v>
      </c>
      <c r="H285" t="str">
        <f>VLOOKUP(F285,industry!A:C,3,0)</f>
        <v>银</v>
      </c>
      <c r="J285" s="2" t="s">
        <v>12585</v>
      </c>
      <c r="K285" t="str">
        <f t="shared" si="26"/>
        <v>sh601997</v>
      </c>
      <c r="L285" t="str">
        <f t="shared" si="27"/>
        <v>贵阳银行</v>
      </c>
      <c r="M285" t="str">
        <f t="shared" si="28"/>
        <v>银行</v>
      </c>
      <c r="N285" t="str">
        <f t="shared" si="29"/>
        <v>银</v>
      </c>
      <c r="P285" s="2" t="s">
        <v>12585</v>
      </c>
      <c r="Q285" t="s">
        <v>10115</v>
      </c>
      <c r="R285">
        <v>0</v>
      </c>
    </row>
    <row r="286" spans="1:18" x14ac:dyDescent="0.25">
      <c r="A286" t="s">
        <v>10984</v>
      </c>
      <c r="C286" t="str">
        <f t="shared" si="24"/>
        <v>sh</v>
      </c>
      <c r="D286" t="str">
        <f t="shared" si="25"/>
        <v>sh600170</v>
      </c>
      <c r="E286" t="str">
        <f>VLOOKUP(A286,Table!B:C,2,0)</f>
        <v>上海建工</v>
      </c>
      <c r="F286" t="str">
        <f>TRIM(VLOOKUP(A286,Table!B:O,14,0))</f>
        <v>工程建设</v>
      </c>
      <c r="G286" t="str">
        <f>VLOOKUP(F286,industry!A:C,2,0)</f>
        <v>工建</v>
      </c>
      <c r="H286" t="str">
        <f>VLOOKUP(F286,industry!A:C,3,0)</f>
        <v>建</v>
      </c>
      <c r="J286" s="2" t="s">
        <v>12585</v>
      </c>
      <c r="K286" t="str">
        <f t="shared" si="26"/>
        <v>sh600170</v>
      </c>
      <c r="L286" t="str">
        <f t="shared" si="27"/>
        <v>上海建工</v>
      </c>
      <c r="M286" t="str">
        <f t="shared" si="28"/>
        <v>工建</v>
      </c>
      <c r="N286" t="str">
        <f t="shared" si="29"/>
        <v>建</v>
      </c>
      <c r="P286" s="2" t="s">
        <v>12585</v>
      </c>
      <c r="Q286" t="s">
        <v>10204</v>
      </c>
      <c r="R286">
        <v>0</v>
      </c>
    </row>
    <row r="287" spans="1:18" x14ac:dyDescent="0.25">
      <c r="A287" t="s">
        <v>10985</v>
      </c>
      <c r="C287" t="str">
        <f t="shared" si="24"/>
        <v>sh</v>
      </c>
      <c r="D287" t="str">
        <f t="shared" si="25"/>
        <v>sh600150</v>
      </c>
      <c r="E287" t="str">
        <f>VLOOKUP(A287,Table!B:C,2,0)</f>
        <v>中国船舶</v>
      </c>
      <c r="F287" t="str">
        <f>TRIM(VLOOKUP(A287,Table!B:O,14,0))</f>
        <v>船舶制造</v>
      </c>
      <c r="G287" t="str">
        <f>VLOOKUP(F287,industry!A:C,2,0)</f>
        <v>船舶</v>
      </c>
      <c r="H287" t="str">
        <f>VLOOKUP(F287,industry!A:C,3,0)</f>
        <v>船</v>
      </c>
      <c r="J287" s="2" t="s">
        <v>12585</v>
      </c>
      <c r="K287" t="str">
        <f t="shared" si="26"/>
        <v>sh600150</v>
      </c>
      <c r="L287" t="str">
        <f t="shared" si="27"/>
        <v>中国船舶</v>
      </c>
      <c r="M287" t="str">
        <f t="shared" si="28"/>
        <v>船舶</v>
      </c>
      <c r="N287" t="str">
        <f t="shared" si="29"/>
        <v>船</v>
      </c>
      <c r="P287" s="2" t="s">
        <v>12585</v>
      </c>
      <c r="Q287" t="s">
        <v>10203</v>
      </c>
      <c r="R287">
        <v>0</v>
      </c>
    </row>
    <row r="288" spans="1:18" x14ac:dyDescent="0.25">
      <c r="A288" t="s">
        <v>10986</v>
      </c>
      <c r="C288" t="str">
        <f t="shared" si="24"/>
        <v>sh</v>
      </c>
      <c r="D288" t="str">
        <f t="shared" si="25"/>
        <v>sh601158</v>
      </c>
      <c r="E288" t="str">
        <f>VLOOKUP(A288,Table!B:C,2,0)</f>
        <v>重庆水务</v>
      </c>
      <c r="F288" t="str">
        <f>TRIM(VLOOKUP(A288,Table!B:O,14,0))</f>
        <v>公用事业</v>
      </c>
      <c r="G288" t="str">
        <f>VLOOKUP(F288,industry!A:C,2,0)</f>
        <v>公用</v>
      </c>
      <c r="H288" t="str">
        <f>VLOOKUP(F288,industry!A:C,3,0)</f>
        <v>公</v>
      </c>
      <c r="J288" s="2" t="s">
        <v>12585</v>
      </c>
      <c r="K288" t="str">
        <f t="shared" si="26"/>
        <v>sh601158</v>
      </c>
      <c r="L288" t="str">
        <f t="shared" si="27"/>
        <v>重庆水务</v>
      </c>
      <c r="M288" t="str">
        <f t="shared" si="28"/>
        <v>公用</v>
      </c>
      <c r="N288" t="str">
        <f t="shared" si="29"/>
        <v>公</v>
      </c>
      <c r="P288" s="2" t="s">
        <v>12585</v>
      </c>
      <c r="Q288" t="s">
        <v>10101</v>
      </c>
      <c r="R288">
        <v>0</v>
      </c>
    </row>
    <row r="289" spans="1:18" x14ac:dyDescent="0.25">
      <c r="A289" t="s">
        <v>10987</v>
      </c>
      <c r="C289" t="str">
        <f t="shared" si="24"/>
        <v>sh</v>
      </c>
      <c r="D289" t="str">
        <f t="shared" si="25"/>
        <v>sh600338</v>
      </c>
      <c r="E289" t="str">
        <f>VLOOKUP(A289,Table!B:C,2,0)</f>
        <v>西藏珠峰</v>
      </c>
      <c r="F289" t="str">
        <f>TRIM(VLOOKUP(A289,Table!B:O,14,0))</f>
        <v>有色金属</v>
      </c>
      <c r="G289" t="str">
        <f>VLOOKUP(F289,industry!A:C,2,0)</f>
        <v>有色</v>
      </c>
      <c r="H289" t="str">
        <f>VLOOKUP(F289,industry!A:C,3,0)</f>
        <v>色</v>
      </c>
      <c r="J289" s="2" t="s">
        <v>12585</v>
      </c>
      <c r="K289" t="str">
        <f t="shared" si="26"/>
        <v>sh600338</v>
      </c>
      <c r="L289" t="str">
        <f t="shared" si="27"/>
        <v>西藏珠峰</v>
      </c>
      <c r="M289" t="str">
        <f t="shared" si="28"/>
        <v>有色</v>
      </c>
      <c r="N289" t="str">
        <f t="shared" si="29"/>
        <v>色</v>
      </c>
      <c r="P289" s="2" t="s">
        <v>12585</v>
      </c>
      <c r="Q289" t="s">
        <v>12385</v>
      </c>
      <c r="R289">
        <v>0</v>
      </c>
    </row>
    <row r="290" spans="1:18" x14ac:dyDescent="0.25">
      <c r="A290" t="s">
        <v>10988</v>
      </c>
      <c r="C290" t="str">
        <f t="shared" si="24"/>
        <v>sz</v>
      </c>
      <c r="D290" t="str">
        <f t="shared" si="25"/>
        <v>sz002032</v>
      </c>
      <c r="E290" t="str">
        <f>VLOOKUP(A290,Table!B:C,2,0)</f>
        <v>苏 泊 尔</v>
      </c>
      <c r="F290" t="str">
        <f>TRIM(VLOOKUP(A290,Table!B:O,14,0))</f>
        <v>家电行业</v>
      </c>
      <c r="G290" t="str">
        <f>VLOOKUP(F290,industry!A:C,2,0)</f>
        <v>家电</v>
      </c>
      <c r="H290" t="str">
        <f>VLOOKUP(F290,industry!A:C,3,0)</f>
        <v>家</v>
      </c>
      <c r="J290" s="2" t="s">
        <v>12585</v>
      </c>
      <c r="K290" t="str">
        <f t="shared" si="26"/>
        <v>sz002032</v>
      </c>
      <c r="L290" t="str">
        <f t="shared" si="27"/>
        <v>苏 泊 尔</v>
      </c>
      <c r="M290" t="str">
        <f t="shared" si="28"/>
        <v>家电</v>
      </c>
      <c r="N290" t="str">
        <f t="shared" si="29"/>
        <v>家</v>
      </c>
      <c r="P290" s="2" t="s">
        <v>12585</v>
      </c>
      <c r="Q290" t="s">
        <v>10512</v>
      </c>
      <c r="R290">
        <v>0</v>
      </c>
    </row>
    <row r="291" spans="1:18" x14ac:dyDescent="0.25">
      <c r="A291" t="s">
        <v>10989</v>
      </c>
      <c r="C291" t="str">
        <f t="shared" si="24"/>
        <v>sz</v>
      </c>
      <c r="D291" t="str">
        <f t="shared" si="25"/>
        <v>sz002640</v>
      </c>
      <c r="E291" t="str">
        <f>VLOOKUP(A291,Table!B:C,2,0)</f>
        <v>跨境通</v>
      </c>
      <c r="F291" t="str">
        <f>TRIM(VLOOKUP(A291,Table!B:O,14,0))</f>
        <v>国际贸易</v>
      </c>
      <c r="G291" t="str">
        <f>VLOOKUP(F291,industry!A:C,2,0)</f>
        <v>国贸</v>
      </c>
      <c r="H291" t="str">
        <f>VLOOKUP(F291,industry!A:C,3,0)</f>
        <v>贸</v>
      </c>
      <c r="J291" s="2" t="s">
        <v>12585</v>
      </c>
      <c r="K291" t="str">
        <f t="shared" si="26"/>
        <v>sz002640</v>
      </c>
      <c r="L291" t="str">
        <f t="shared" si="27"/>
        <v>跨境通</v>
      </c>
      <c r="M291" t="str">
        <f t="shared" si="28"/>
        <v>国贸</v>
      </c>
      <c r="N291" t="str">
        <f t="shared" si="29"/>
        <v>贸</v>
      </c>
      <c r="P291" s="2" t="s">
        <v>12585</v>
      </c>
      <c r="Q291" t="s">
        <v>10282</v>
      </c>
      <c r="R291">
        <v>0</v>
      </c>
    </row>
    <row r="292" spans="1:18" x14ac:dyDescent="0.25">
      <c r="A292" t="s">
        <v>10990</v>
      </c>
      <c r="C292" t="str">
        <f t="shared" si="24"/>
        <v>sh</v>
      </c>
      <c r="D292" t="str">
        <f t="shared" si="25"/>
        <v>sh600153</v>
      </c>
      <c r="E292" t="str">
        <f>VLOOKUP(A292,Table!B:C,2,0)</f>
        <v>建发股份</v>
      </c>
      <c r="F292" t="str">
        <f>TRIM(VLOOKUP(A292,Table!B:O,14,0))</f>
        <v>交运物流</v>
      </c>
      <c r="G292" t="str">
        <f>VLOOKUP(F292,industry!A:C,2,0)</f>
        <v>物流</v>
      </c>
      <c r="H292" t="str">
        <f>VLOOKUP(F292,industry!A:C,3,0)</f>
        <v>物</v>
      </c>
      <c r="J292" s="2" t="s">
        <v>12585</v>
      </c>
      <c r="K292" t="str">
        <f t="shared" si="26"/>
        <v>sh600153</v>
      </c>
      <c r="L292" t="str">
        <f t="shared" si="27"/>
        <v>建发股份</v>
      </c>
      <c r="M292" t="str">
        <f t="shared" si="28"/>
        <v>物流</v>
      </c>
      <c r="N292" t="str">
        <f t="shared" si="29"/>
        <v>物</v>
      </c>
      <c r="P292" s="2" t="s">
        <v>12585</v>
      </c>
      <c r="Q292" t="s">
        <v>10214</v>
      </c>
      <c r="R292">
        <v>0</v>
      </c>
    </row>
    <row r="293" spans="1:18" x14ac:dyDescent="0.25">
      <c r="A293" t="s">
        <v>10991</v>
      </c>
      <c r="C293" t="str">
        <f t="shared" si="24"/>
        <v>sh</v>
      </c>
      <c r="D293" t="str">
        <f t="shared" si="25"/>
        <v>sh600352</v>
      </c>
      <c r="E293" t="str">
        <f>VLOOKUP(A293,Table!B:C,2,0)</f>
        <v>浙江龙盛</v>
      </c>
      <c r="F293" t="str">
        <f>TRIM(VLOOKUP(A293,Table!B:O,14,0))</f>
        <v>化工行业</v>
      </c>
      <c r="G293" t="str">
        <f>VLOOKUP(F293,industry!A:C,2,0)</f>
        <v>化工</v>
      </c>
      <c r="H293" t="str">
        <f>VLOOKUP(F293,industry!A:C,3,0)</f>
        <v>化</v>
      </c>
      <c r="J293" s="2" t="s">
        <v>12585</v>
      </c>
      <c r="K293" t="str">
        <f t="shared" si="26"/>
        <v>sh600352</v>
      </c>
      <c r="L293" t="str">
        <f t="shared" si="27"/>
        <v>浙江龙盛</v>
      </c>
      <c r="M293" t="str">
        <f t="shared" si="28"/>
        <v>化工</v>
      </c>
      <c r="N293" t="str">
        <f t="shared" si="29"/>
        <v>化</v>
      </c>
      <c r="P293" s="2" t="s">
        <v>12585</v>
      </c>
      <c r="Q293" t="s">
        <v>10250</v>
      </c>
      <c r="R293">
        <v>0</v>
      </c>
    </row>
    <row r="294" spans="1:18" x14ac:dyDescent="0.25">
      <c r="A294" t="s">
        <v>10992</v>
      </c>
      <c r="C294" t="str">
        <f t="shared" si="24"/>
        <v>sh</v>
      </c>
      <c r="D294" t="str">
        <f t="shared" si="25"/>
        <v>sh600549</v>
      </c>
      <c r="E294" t="str">
        <f>VLOOKUP(A294,Table!B:C,2,0)</f>
        <v>厦门钨业</v>
      </c>
      <c r="F294" t="str">
        <f>TRIM(VLOOKUP(A294,Table!B:O,14,0))</f>
        <v>有色金属</v>
      </c>
      <c r="G294" t="str">
        <f>VLOOKUP(F294,industry!A:C,2,0)</f>
        <v>有色</v>
      </c>
      <c r="H294" t="str">
        <f>VLOOKUP(F294,industry!A:C,3,0)</f>
        <v>色</v>
      </c>
      <c r="J294" s="2" t="s">
        <v>12585</v>
      </c>
      <c r="K294" t="str">
        <f t="shared" si="26"/>
        <v>sh600549</v>
      </c>
      <c r="L294" t="str">
        <f t="shared" si="27"/>
        <v>厦门钨业</v>
      </c>
      <c r="M294" t="str">
        <f t="shared" si="28"/>
        <v>有色</v>
      </c>
      <c r="N294" t="str">
        <f t="shared" si="29"/>
        <v>色</v>
      </c>
      <c r="P294" s="2" t="s">
        <v>12585</v>
      </c>
      <c r="Q294" t="s">
        <v>10300</v>
      </c>
      <c r="R294">
        <v>0</v>
      </c>
    </row>
    <row r="295" spans="1:18" x14ac:dyDescent="0.25">
      <c r="A295" t="s">
        <v>10993</v>
      </c>
      <c r="C295" t="str">
        <f t="shared" si="24"/>
        <v>sh</v>
      </c>
      <c r="D295" t="str">
        <f t="shared" si="25"/>
        <v>sh600977</v>
      </c>
      <c r="E295" t="str">
        <f>VLOOKUP(A295,Table!B:C,2,0)</f>
        <v>中国电影</v>
      </c>
      <c r="F295" t="str">
        <f>TRIM(VLOOKUP(A295,Table!B:O,14,0))</f>
        <v>文化传媒</v>
      </c>
      <c r="G295" t="str">
        <f>VLOOKUP(F295,industry!A:C,2,0)</f>
        <v>传媒</v>
      </c>
      <c r="H295" t="str">
        <f>VLOOKUP(F295,industry!A:C,3,0)</f>
        <v>传</v>
      </c>
      <c r="J295" s="2" t="s">
        <v>12585</v>
      </c>
      <c r="K295" t="str">
        <f t="shared" si="26"/>
        <v>sh600977</v>
      </c>
      <c r="L295" t="str">
        <f t="shared" si="27"/>
        <v>中国电影</v>
      </c>
      <c r="M295" t="str">
        <f t="shared" si="28"/>
        <v>传媒</v>
      </c>
      <c r="N295" t="str">
        <f t="shared" si="29"/>
        <v>传</v>
      </c>
      <c r="P295" s="2" t="s">
        <v>12585</v>
      </c>
      <c r="Q295" t="s">
        <v>9923</v>
      </c>
      <c r="R295">
        <v>0</v>
      </c>
    </row>
    <row r="296" spans="1:18" x14ac:dyDescent="0.25">
      <c r="A296" t="s">
        <v>10994</v>
      </c>
      <c r="C296" t="str">
        <f t="shared" si="24"/>
        <v>sh</v>
      </c>
      <c r="D296" t="str">
        <f t="shared" si="25"/>
        <v>sh600570</v>
      </c>
      <c r="E296" t="str">
        <f>VLOOKUP(A296,Table!B:C,2,0)</f>
        <v>恒生电子</v>
      </c>
      <c r="F296" t="str">
        <f>TRIM(VLOOKUP(A296,Table!B:O,14,0))</f>
        <v>软件服务</v>
      </c>
      <c r="G296" t="str">
        <f>VLOOKUP(F296,industry!A:C,2,0)</f>
        <v>软件</v>
      </c>
      <c r="H296" t="str">
        <f>VLOOKUP(F296,industry!A:C,3,0)</f>
        <v>软</v>
      </c>
      <c r="J296" s="2" t="s">
        <v>12585</v>
      </c>
      <c r="K296" t="str">
        <f t="shared" si="26"/>
        <v>sh600570</v>
      </c>
      <c r="L296" t="str">
        <f t="shared" si="27"/>
        <v>恒生电子</v>
      </c>
      <c r="M296" t="str">
        <f t="shared" si="28"/>
        <v>软件</v>
      </c>
      <c r="N296" t="str">
        <f t="shared" si="29"/>
        <v>软</v>
      </c>
      <c r="P296" s="2" t="s">
        <v>12585</v>
      </c>
      <c r="Q296" t="s">
        <v>10111</v>
      </c>
      <c r="R296">
        <v>0</v>
      </c>
    </row>
    <row r="297" spans="1:18" x14ac:dyDescent="0.25">
      <c r="A297" t="s">
        <v>10995</v>
      </c>
      <c r="C297" t="str">
        <f t="shared" si="24"/>
        <v>sh</v>
      </c>
      <c r="D297" t="str">
        <f t="shared" si="25"/>
        <v>sh600118</v>
      </c>
      <c r="E297" t="str">
        <f>VLOOKUP(A297,Table!B:C,2,0)</f>
        <v>中国卫星</v>
      </c>
      <c r="F297" t="str">
        <f>TRIM(VLOOKUP(A297,Table!B:O,14,0))</f>
        <v>航天航空</v>
      </c>
      <c r="G297" t="str">
        <f>VLOOKUP(F297,industry!A:C,2,0)</f>
        <v>航空</v>
      </c>
      <c r="H297" t="str">
        <f>VLOOKUP(F297,industry!A:C,3,0)</f>
        <v>航</v>
      </c>
      <c r="J297" s="2" t="s">
        <v>12585</v>
      </c>
      <c r="K297" t="str">
        <f t="shared" si="26"/>
        <v>sh600118</v>
      </c>
      <c r="L297" t="str">
        <f t="shared" si="27"/>
        <v>中国卫星</v>
      </c>
      <c r="M297" t="str">
        <f t="shared" si="28"/>
        <v>航空</v>
      </c>
      <c r="N297" t="str">
        <f t="shared" si="29"/>
        <v>航</v>
      </c>
      <c r="P297" s="2" t="s">
        <v>12585</v>
      </c>
      <c r="Q297" t="s">
        <v>10087</v>
      </c>
      <c r="R297">
        <v>0</v>
      </c>
    </row>
    <row r="298" spans="1:18" x14ac:dyDescent="0.25">
      <c r="A298" t="s">
        <v>10996</v>
      </c>
      <c r="C298" t="str">
        <f t="shared" si="24"/>
        <v>sz</v>
      </c>
      <c r="D298" t="str">
        <f t="shared" si="25"/>
        <v>sz002602</v>
      </c>
      <c r="E298" t="str">
        <f>VLOOKUP(A298,Table!B:C,2,0)</f>
        <v>世纪华通</v>
      </c>
      <c r="F298" t="str">
        <f>TRIM(VLOOKUP(A298,Table!B:O,14,0))</f>
        <v>塑胶制品</v>
      </c>
      <c r="G298" t="str">
        <f>VLOOKUP(F298,industry!A:C,2,0)</f>
        <v>塑胶</v>
      </c>
      <c r="H298" t="str">
        <f>VLOOKUP(F298,industry!A:C,3,0)</f>
        <v>塑</v>
      </c>
      <c r="J298" s="2" t="s">
        <v>12585</v>
      </c>
      <c r="K298" t="str">
        <f t="shared" si="26"/>
        <v>sz002602</v>
      </c>
      <c r="L298" t="str">
        <f t="shared" si="27"/>
        <v>世纪华通</v>
      </c>
      <c r="M298" t="str">
        <f t="shared" si="28"/>
        <v>塑胶</v>
      </c>
      <c r="N298" t="str">
        <f t="shared" si="29"/>
        <v>塑</v>
      </c>
      <c r="P298" s="2" t="s">
        <v>12585</v>
      </c>
      <c r="Q298" t="s">
        <v>10320</v>
      </c>
      <c r="R298">
        <v>0</v>
      </c>
    </row>
    <row r="299" spans="1:18" x14ac:dyDescent="0.25">
      <c r="A299" t="s">
        <v>10997</v>
      </c>
      <c r="C299" t="str">
        <f t="shared" si="24"/>
        <v>sz</v>
      </c>
      <c r="D299" t="str">
        <f t="shared" si="25"/>
        <v>sz000807</v>
      </c>
      <c r="E299" t="str">
        <f>VLOOKUP(A299,Table!B:C,2,0)</f>
        <v>云铝股份</v>
      </c>
      <c r="F299" t="str">
        <f>TRIM(VLOOKUP(A299,Table!B:O,14,0))</f>
        <v>有色金属</v>
      </c>
      <c r="G299" t="str">
        <f>VLOOKUP(F299,industry!A:C,2,0)</f>
        <v>有色</v>
      </c>
      <c r="H299" t="str">
        <f>VLOOKUP(F299,industry!A:C,3,0)</f>
        <v>色</v>
      </c>
      <c r="J299" s="2" t="s">
        <v>12585</v>
      </c>
      <c r="K299" t="str">
        <f t="shared" si="26"/>
        <v>sz000807</v>
      </c>
      <c r="L299" t="str">
        <f t="shared" si="27"/>
        <v>云铝股份</v>
      </c>
      <c r="M299" t="str">
        <f t="shared" si="28"/>
        <v>有色</v>
      </c>
      <c r="N299" t="str">
        <f t="shared" si="29"/>
        <v>色</v>
      </c>
      <c r="P299" s="2" t="s">
        <v>12585</v>
      </c>
      <c r="Q299" t="s">
        <v>12608</v>
      </c>
      <c r="R299">
        <v>0</v>
      </c>
    </row>
    <row r="300" spans="1:18" x14ac:dyDescent="0.25">
      <c r="A300" t="s">
        <v>10998</v>
      </c>
      <c r="C300" t="str">
        <f t="shared" si="24"/>
        <v>sh</v>
      </c>
      <c r="D300" t="str">
        <f t="shared" si="25"/>
        <v>sh600369</v>
      </c>
      <c r="E300" t="str">
        <f>VLOOKUP(A300,Table!B:C,2,0)</f>
        <v>西南证券</v>
      </c>
      <c r="F300" t="str">
        <f>TRIM(VLOOKUP(A300,Table!B:O,14,0))</f>
        <v>券商信托</v>
      </c>
      <c r="G300" t="str">
        <f>VLOOKUP(F300,industry!A:C,2,0)</f>
        <v>券商</v>
      </c>
      <c r="H300" t="str">
        <f>VLOOKUP(F300,industry!A:C,3,0)</f>
        <v>券</v>
      </c>
      <c r="J300" s="2" t="s">
        <v>12585</v>
      </c>
      <c r="K300" t="str">
        <f t="shared" si="26"/>
        <v>sh600369</v>
      </c>
      <c r="L300" t="str">
        <f t="shared" si="27"/>
        <v>西南证券</v>
      </c>
      <c r="M300" t="str">
        <f t="shared" si="28"/>
        <v>券商</v>
      </c>
      <c r="N300" t="str">
        <f t="shared" si="29"/>
        <v>券</v>
      </c>
      <c r="P300" s="2" t="s">
        <v>12585</v>
      </c>
      <c r="Q300" t="s">
        <v>10029</v>
      </c>
      <c r="R300">
        <v>0</v>
      </c>
    </row>
    <row r="301" spans="1:18" x14ac:dyDescent="0.25">
      <c r="A301" t="s">
        <v>10999</v>
      </c>
      <c r="C301" t="str">
        <f t="shared" si="24"/>
        <v>sz</v>
      </c>
      <c r="D301" t="str">
        <f t="shared" si="25"/>
        <v>sz000998</v>
      </c>
      <c r="E301" t="str">
        <f>VLOOKUP(A301,Table!B:C,2,0)</f>
        <v>隆平高科</v>
      </c>
      <c r="F301" t="str">
        <f>TRIM(VLOOKUP(A301,Table!B:O,14,0))</f>
        <v>农牧饲渔</v>
      </c>
      <c r="G301" t="str">
        <f>VLOOKUP(F301,industry!A:C,2,0)</f>
        <v>农渔</v>
      </c>
      <c r="H301" t="str">
        <f>VLOOKUP(F301,industry!A:C,3,0)</f>
        <v>渔</v>
      </c>
      <c r="J301" s="2" t="s">
        <v>12585</v>
      </c>
      <c r="K301" t="str">
        <f t="shared" si="26"/>
        <v>sz000998</v>
      </c>
      <c r="L301" t="str">
        <f t="shared" si="27"/>
        <v>隆平高科</v>
      </c>
      <c r="M301" t="str">
        <f t="shared" si="28"/>
        <v>农渔</v>
      </c>
      <c r="N301" t="str">
        <f t="shared" si="29"/>
        <v>渔</v>
      </c>
      <c r="P301" s="2" t="s">
        <v>12585</v>
      </c>
      <c r="Q301" t="s">
        <v>10426</v>
      </c>
      <c r="R301">
        <v>0</v>
      </c>
    </row>
    <row r="302" spans="1:18" x14ac:dyDescent="0.25">
      <c r="A302" t="s">
        <v>11000</v>
      </c>
      <c r="C302" t="str">
        <f t="shared" si="24"/>
        <v>sz</v>
      </c>
      <c r="D302" t="str">
        <f t="shared" si="25"/>
        <v>sz000559</v>
      </c>
      <c r="E302" t="str">
        <f>VLOOKUP(A302,Table!B:C,2,0)</f>
        <v>万向钱潮</v>
      </c>
      <c r="F302" t="str">
        <f>TRIM(VLOOKUP(A302,Table!B:O,14,0))</f>
        <v>汽车行业</v>
      </c>
      <c r="G302" t="str">
        <f>VLOOKUP(F302,industry!A:C,2,0)</f>
        <v>汽车</v>
      </c>
      <c r="H302" t="str">
        <f>VLOOKUP(F302,industry!A:C,3,0)</f>
        <v>车</v>
      </c>
      <c r="J302" s="2" t="s">
        <v>12585</v>
      </c>
      <c r="K302" t="str">
        <f t="shared" si="26"/>
        <v>sz000559</v>
      </c>
      <c r="L302" t="str">
        <f t="shared" si="27"/>
        <v>万向钱潮</v>
      </c>
      <c r="M302" t="str">
        <f t="shared" si="28"/>
        <v>汽车</v>
      </c>
      <c r="N302" t="str">
        <f t="shared" si="29"/>
        <v>车</v>
      </c>
      <c r="P302" s="2" t="s">
        <v>12585</v>
      </c>
      <c r="Q302" t="s">
        <v>10157</v>
      </c>
      <c r="R302">
        <v>0</v>
      </c>
    </row>
    <row r="303" spans="1:18" x14ac:dyDescent="0.25">
      <c r="A303" t="s">
        <v>11001</v>
      </c>
      <c r="C303" t="str">
        <f t="shared" si="24"/>
        <v>sz</v>
      </c>
      <c r="D303" t="str">
        <f t="shared" si="25"/>
        <v>sz000883</v>
      </c>
      <c r="E303" t="str">
        <f>VLOOKUP(A303,Table!B:C,2,0)</f>
        <v>湖北能源</v>
      </c>
      <c r="F303" t="str">
        <f>TRIM(VLOOKUP(A303,Table!B:O,14,0))</f>
        <v>电力行业</v>
      </c>
      <c r="G303" t="str">
        <f>VLOOKUP(F303,industry!A:C,2,0)</f>
        <v>电力</v>
      </c>
      <c r="H303" t="str">
        <f>VLOOKUP(F303,industry!A:C,3,0)</f>
        <v>电力</v>
      </c>
      <c r="J303" s="2" t="s">
        <v>12585</v>
      </c>
      <c r="K303" t="str">
        <f t="shared" si="26"/>
        <v>sz000883</v>
      </c>
      <c r="L303" t="str">
        <f t="shared" si="27"/>
        <v>湖北能源</v>
      </c>
      <c r="M303" t="str">
        <f t="shared" si="28"/>
        <v>电力</v>
      </c>
      <c r="N303" t="str">
        <f t="shared" si="29"/>
        <v>电力</v>
      </c>
      <c r="P303" s="2" t="s">
        <v>12585</v>
      </c>
      <c r="Q303" t="s">
        <v>10228</v>
      </c>
      <c r="R303">
        <v>0</v>
      </c>
    </row>
    <row r="304" spans="1:18" x14ac:dyDescent="0.25">
      <c r="A304" t="s">
        <v>11002</v>
      </c>
      <c r="C304" t="str">
        <f t="shared" si="24"/>
        <v>sz</v>
      </c>
      <c r="D304" t="str">
        <f t="shared" si="25"/>
        <v>sz000983</v>
      </c>
      <c r="E304" t="str">
        <f>VLOOKUP(A304,Table!B:C,2,0)</f>
        <v>西山煤电</v>
      </c>
      <c r="F304" t="str">
        <f>TRIM(VLOOKUP(A304,Table!B:O,14,0))</f>
        <v>煤炭采选</v>
      </c>
      <c r="G304" t="str">
        <f>VLOOKUP(F304,industry!A:C,2,0)</f>
        <v>煤炭</v>
      </c>
      <c r="H304" t="str">
        <f>VLOOKUP(F304,industry!A:C,3,0)</f>
        <v>煤</v>
      </c>
      <c r="J304" s="2" t="s">
        <v>12585</v>
      </c>
      <c r="K304" t="str">
        <f t="shared" si="26"/>
        <v>sz000983</v>
      </c>
      <c r="L304" t="str">
        <f t="shared" si="27"/>
        <v>西山煤电</v>
      </c>
      <c r="M304" t="str">
        <f t="shared" si="28"/>
        <v>煤炭</v>
      </c>
      <c r="N304" t="str">
        <f t="shared" si="29"/>
        <v>煤</v>
      </c>
      <c r="P304" s="2" t="s">
        <v>12585</v>
      </c>
      <c r="Q304" t="s">
        <v>10208</v>
      </c>
      <c r="R304">
        <v>0</v>
      </c>
    </row>
    <row r="305" spans="1:18" x14ac:dyDescent="0.25">
      <c r="A305" t="s">
        <v>11003</v>
      </c>
      <c r="C305" t="str">
        <f t="shared" si="24"/>
        <v>sh</v>
      </c>
      <c r="D305" t="str">
        <f t="shared" si="25"/>
        <v>sh600373</v>
      </c>
      <c r="E305" t="str">
        <f>VLOOKUP(A305,Table!B:C,2,0)</f>
        <v>中文传媒</v>
      </c>
      <c r="F305" t="str">
        <f>TRIM(VLOOKUP(A305,Table!B:O,14,0))</f>
        <v>文化传媒</v>
      </c>
      <c r="G305" t="str">
        <f>VLOOKUP(F305,industry!A:C,2,0)</f>
        <v>传媒</v>
      </c>
      <c r="H305" t="str">
        <f>VLOOKUP(F305,industry!A:C,3,0)</f>
        <v>传</v>
      </c>
      <c r="J305" s="2" t="s">
        <v>12585</v>
      </c>
      <c r="K305" t="str">
        <f t="shared" si="26"/>
        <v>sh600373</v>
      </c>
      <c r="L305" t="str">
        <f t="shared" si="27"/>
        <v>中文传媒</v>
      </c>
      <c r="M305" t="str">
        <f t="shared" si="28"/>
        <v>传媒</v>
      </c>
      <c r="N305" t="str">
        <f t="shared" si="29"/>
        <v>传</v>
      </c>
      <c r="P305" s="2" t="s">
        <v>12585</v>
      </c>
      <c r="Q305" t="s">
        <v>10210</v>
      </c>
      <c r="R305">
        <v>0</v>
      </c>
    </row>
    <row r="306" spans="1:18" x14ac:dyDescent="0.25">
      <c r="A306" t="s">
        <v>11004</v>
      </c>
      <c r="C306" t="str">
        <f t="shared" si="24"/>
        <v>sh</v>
      </c>
      <c r="D306" t="str">
        <f t="shared" si="25"/>
        <v>sh600497</v>
      </c>
      <c r="E306" t="str">
        <f>VLOOKUP(A306,Table!B:C,2,0)</f>
        <v>驰宏锌锗</v>
      </c>
      <c r="F306" t="str">
        <f>TRIM(VLOOKUP(A306,Table!B:O,14,0))</f>
        <v>有色金属</v>
      </c>
      <c r="G306" t="str">
        <f>VLOOKUP(F306,industry!A:C,2,0)</f>
        <v>有色</v>
      </c>
      <c r="H306" t="str">
        <f>VLOOKUP(F306,industry!A:C,3,0)</f>
        <v>色</v>
      </c>
      <c r="J306" s="2" t="s">
        <v>12585</v>
      </c>
      <c r="K306" t="str">
        <f t="shared" si="26"/>
        <v>sh600497</v>
      </c>
      <c r="L306" t="str">
        <f t="shared" si="27"/>
        <v>驰宏锌锗</v>
      </c>
      <c r="M306" t="str">
        <f t="shared" si="28"/>
        <v>有色</v>
      </c>
      <c r="N306" t="str">
        <f t="shared" si="29"/>
        <v>色</v>
      </c>
      <c r="P306" s="2" t="s">
        <v>12585</v>
      </c>
      <c r="Q306" t="s">
        <v>10380</v>
      </c>
      <c r="R306">
        <v>0</v>
      </c>
    </row>
    <row r="307" spans="1:18" x14ac:dyDescent="0.25">
      <c r="A307" t="s">
        <v>11005</v>
      </c>
      <c r="C307" t="str">
        <f t="shared" si="24"/>
        <v>sz</v>
      </c>
      <c r="D307" t="str">
        <f t="shared" si="25"/>
        <v>sz000513</v>
      </c>
      <c r="E307" t="str">
        <f>VLOOKUP(A307,Table!B:C,2,0)</f>
        <v>丽珠集团</v>
      </c>
      <c r="F307" t="str">
        <f>TRIM(VLOOKUP(A307,Table!B:O,14,0))</f>
        <v>医药制造</v>
      </c>
      <c r="G307" t="str">
        <f>VLOOKUP(F307,industry!A:C,2,0)</f>
        <v>医药</v>
      </c>
      <c r="H307" t="str">
        <f>VLOOKUP(F307,industry!A:C,3,0)</f>
        <v>药</v>
      </c>
      <c r="J307" s="2" t="s">
        <v>12585</v>
      </c>
      <c r="K307" t="str">
        <f t="shared" si="26"/>
        <v>sz000513</v>
      </c>
      <c r="L307" t="str">
        <f t="shared" si="27"/>
        <v>丽珠集团</v>
      </c>
      <c r="M307" t="str">
        <f t="shared" si="28"/>
        <v>医药</v>
      </c>
      <c r="N307" t="str">
        <f t="shared" si="29"/>
        <v>药</v>
      </c>
      <c r="P307" s="2" t="s">
        <v>12585</v>
      </c>
      <c r="Q307" t="s">
        <v>10432</v>
      </c>
      <c r="R307">
        <v>0</v>
      </c>
    </row>
    <row r="308" spans="1:18" x14ac:dyDescent="0.25">
      <c r="A308" t="s">
        <v>11006</v>
      </c>
      <c r="C308" t="str">
        <f t="shared" si="24"/>
        <v>sh</v>
      </c>
      <c r="D308" t="str">
        <f t="shared" si="25"/>
        <v>sh601611</v>
      </c>
      <c r="E308" t="str">
        <f>VLOOKUP(A308,Table!B:C,2,0)</f>
        <v>中国核建</v>
      </c>
      <c r="F308" t="str">
        <f>TRIM(VLOOKUP(A308,Table!B:O,14,0))</f>
        <v>工程建设</v>
      </c>
      <c r="G308" t="str">
        <f>VLOOKUP(F308,industry!A:C,2,0)</f>
        <v>工建</v>
      </c>
      <c r="H308" t="str">
        <f>VLOOKUP(F308,industry!A:C,3,0)</f>
        <v>建</v>
      </c>
      <c r="J308" s="2" t="s">
        <v>12585</v>
      </c>
      <c r="K308" t="str">
        <f t="shared" si="26"/>
        <v>sh601611</v>
      </c>
      <c r="L308" t="str">
        <f t="shared" si="27"/>
        <v>中国核建</v>
      </c>
      <c r="M308" t="str">
        <f t="shared" si="28"/>
        <v>工建</v>
      </c>
      <c r="N308" t="str">
        <f t="shared" si="29"/>
        <v>建</v>
      </c>
      <c r="P308" s="2" t="s">
        <v>12585</v>
      </c>
      <c r="Q308" t="s">
        <v>10003</v>
      </c>
      <c r="R308">
        <v>0</v>
      </c>
    </row>
    <row r="309" spans="1:18" x14ac:dyDescent="0.25">
      <c r="A309" t="s">
        <v>11007</v>
      </c>
      <c r="C309" t="str">
        <f t="shared" si="24"/>
        <v>sz</v>
      </c>
      <c r="D309" t="str">
        <f t="shared" si="25"/>
        <v>sz000630</v>
      </c>
      <c r="E309" t="str">
        <f>VLOOKUP(A309,Table!B:C,2,0)</f>
        <v>铜陵有色</v>
      </c>
      <c r="F309" t="str">
        <f>TRIM(VLOOKUP(A309,Table!B:O,14,0))</f>
        <v>有色金属</v>
      </c>
      <c r="G309" t="str">
        <f>VLOOKUP(F309,industry!A:C,2,0)</f>
        <v>有色</v>
      </c>
      <c r="H309" t="str">
        <f>VLOOKUP(F309,industry!A:C,3,0)</f>
        <v>色</v>
      </c>
      <c r="J309" s="2" t="s">
        <v>12585</v>
      </c>
      <c r="K309" t="str">
        <f t="shared" si="26"/>
        <v>sz000630</v>
      </c>
      <c r="L309" t="str">
        <f t="shared" si="27"/>
        <v>铜陵有色</v>
      </c>
      <c r="M309" t="str">
        <f t="shared" si="28"/>
        <v>有色</v>
      </c>
      <c r="N309" t="str">
        <f t="shared" si="29"/>
        <v>色</v>
      </c>
      <c r="P309" s="2" t="s">
        <v>12585</v>
      </c>
      <c r="Q309" t="s">
        <v>10372</v>
      </c>
      <c r="R309">
        <v>0</v>
      </c>
    </row>
    <row r="310" spans="1:18" x14ac:dyDescent="0.25">
      <c r="A310" t="s">
        <v>11008</v>
      </c>
      <c r="C310" t="str">
        <f t="shared" si="24"/>
        <v>sz</v>
      </c>
      <c r="D310" t="str">
        <f t="shared" si="25"/>
        <v>sz002180</v>
      </c>
      <c r="E310" t="str">
        <f>VLOOKUP(A310,Table!B:C,2,0)</f>
        <v>纳思达</v>
      </c>
      <c r="F310" t="str">
        <f>TRIM(VLOOKUP(A310,Table!B:O,14,0))</f>
        <v>电子元件</v>
      </c>
      <c r="G310" t="str">
        <f>VLOOKUP(F310,industry!A:C,2,0)</f>
        <v>原件</v>
      </c>
      <c r="H310" t="str">
        <f>VLOOKUP(F310,industry!A:C,3,0)</f>
        <v>元件</v>
      </c>
      <c r="J310" s="2" t="s">
        <v>12585</v>
      </c>
      <c r="K310" t="str">
        <f t="shared" si="26"/>
        <v>sz002180</v>
      </c>
      <c r="L310" t="str">
        <f t="shared" si="27"/>
        <v>纳思达</v>
      </c>
      <c r="M310" t="str">
        <f t="shared" si="28"/>
        <v>原件</v>
      </c>
      <c r="N310" t="str">
        <f t="shared" si="29"/>
        <v>元件</v>
      </c>
      <c r="P310" s="2" t="s">
        <v>12585</v>
      </c>
      <c r="Q310" t="s">
        <v>10139</v>
      </c>
      <c r="R310">
        <v>0</v>
      </c>
    </row>
    <row r="311" spans="1:18" x14ac:dyDescent="0.25">
      <c r="A311" t="s">
        <v>11009</v>
      </c>
      <c r="C311" t="str">
        <f t="shared" si="24"/>
        <v>sz</v>
      </c>
      <c r="D311" t="str">
        <f t="shared" si="25"/>
        <v>sz002092</v>
      </c>
      <c r="E311" t="str">
        <f>VLOOKUP(A311,Table!B:C,2,0)</f>
        <v>中泰化学</v>
      </c>
      <c r="F311" t="str">
        <f>TRIM(VLOOKUP(A311,Table!B:O,14,0))</f>
        <v>化工行业</v>
      </c>
      <c r="G311" t="str">
        <f>VLOOKUP(F311,industry!A:C,2,0)</f>
        <v>化工</v>
      </c>
      <c r="H311" t="str">
        <f>VLOOKUP(F311,industry!A:C,3,0)</f>
        <v>化</v>
      </c>
      <c r="J311" s="2" t="s">
        <v>12585</v>
      </c>
      <c r="K311" t="str">
        <f t="shared" si="26"/>
        <v>sz002092</v>
      </c>
      <c r="L311" t="str">
        <f t="shared" si="27"/>
        <v>中泰化学</v>
      </c>
      <c r="M311" t="str">
        <f t="shared" si="28"/>
        <v>化工</v>
      </c>
      <c r="N311" t="str">
        <f t="shared" si="29"/>
        <v>化</v>
      </c>
      <c r="P311" s="2" t="s">
        <v>12585</v>
      </c>
      <c r="Q311" t="s">
        <v>10562</v>
      </c>
      <c r="R311">
        <v>0</v>
      </c>
    </row>
    <row r="312" spans="1:18" x14ac:dyDescent="0.25">
      <c r="A312" t="s">
        <v>11010</v>
      </c>
      <c r="C312" t="str">
        <f t="shared" si="24"/>
        <v>sz</v>
      </c>
      <c r="D312" t="str">
        <f t="shared" si="25"/>
        <v>sz002340</v>
      </c>
      <c r="E312" t="str">
        <f>VLOOKUP(A312,Table!B:C,2,0)</f>
        <v>格林美</v>
      </c>
      <c r="F312" t="str">
        <f>TRIM(VLOOKUP(A312,Table!B:O,14,0))</f>
        <v>材料行业</v>
      </c>
      <c r="G312" t="str">
        <f>VLOOKUP(F312,industry!A:C,2,0)</f>
        <v>材料</v>
      </c>
      <c r="H312" t="str">
        <f>VLOOKUP(F312,industry!A:C,3,0)</f>
        <v>材</v>
      </c>
      <c r="J312" s="2" t="s">
        <v>12585</v>
      </c>
      <c r="K312" t="str">
        <f t="shared" si="26"/>
        <v>sz002340</v>
      </c>
      <c r="L312" t="str">
        <f t="shared" si="27"/>
        <v>格林美</v>
      </c>
      <c r="M312" t="str">
        <f t="shared" si="28"/>
        <v>材料</v>
      </c>
      <c r="N312" t="str">
        <f t="shared" si="29"/>
        <v>材</v>
      </c>
      <c r="P312" s="2" t="s">
        <v>12585</v>
      </c>
      <c r="Q312" t="s">
        <v>10660</v>
      </c>
      <c r="R312">
        <v>0</v>
      </c>
    </row>
    <row r="313" spans="1:18" x14ac:dyDescent="0.25">
      <c r="A313" t="s">
        <v>11011</v>
      </c>
      <c r="C313" t="str">
        <f t="shared" si="24"/>
        <v>sz</v>
      </c>
      <c r="D313" t="str">
        <f t="shared" si="25"/>
        <v>sz002500</v>
      </c>
      <c r="E313" t="str">
        <f>VLOOKUP(A313,Table!B:C,2,0)</f>
        <v>山西证券</v>
      </c>
      <c r="F313" t="str">
        <f>TRIM(VLOOKUP(A313,Table!B:O,14,0))</f>
        <v>券商信托</v>
      </c>
      <c r="G313" t="str">
        <f>VLOOKUP(F313,industry!A:C,2,0)</f>
        <v>券商</v>
      </c>
      <c r="H313" t="str">
        <f>VLOOKUP(F313,industry!A:C,3,0)</f>
        <v>券</v>
      </c>
      <c r="J313" s="2" t="s">
        <v>12585</v>
      </c>
      <c r="K313" t="str">
        <f t="shared" si="26"/>
        <v>sz002500</v>
      </c>
      <c r="L313" t="str">
        <f t="shared" si="27"/>
        <v>山西证券</v>
      </c>
      <c r="M313" t="str">
        <f t="shared" si="28"/>
        <v>券商</v>
      </c>
      <c r="N313" t="str">
        <f t="shared" si="29"/>
        <v>券</v>
      </c>
      <c r="P313" s="2" t="s">
        <v>12585</v>
      </c>
      <c r="Q313" t="s">
        <v>10063</v>
      </c>
      <c r="R313">
        <v>0</v>
      </c>
    </row>
    <row r="314" spans="1:18" x14ac:dyDescent="0.25">
      <c r="A314" t="s">
        <v>11012</v>
      </c>
      <c r="C314" t="str">
        <f t="shared" si="24"/>
        <v>sz</v>
      </c>
      <c r="D314" t="str">
        <f t="shared" si="25"/>
        <v>sz002384</v>
      </c>
      <c r="E314" t="str">
        <f>VLOOKUP(A314,Table!B:C,2,0)</f>
        <v>东山精密</v>
      </c>
      <c r="F314" t="str">
        <f>TRIM(VLOOKUP(A314,Table!B:O,14,0))</f>
        <v>金属制品</v>
      </c>
      <c r="G314" t="str">
        <f>VLOOKUP(F314,industry!A:C,2,0)</f>
        <v>金属</v>
      </c>
      <c r="H314" t="str">
        <f>VLOOKUP(F314,industry!A:C,3,0)</f>
        <v>金</v>
      </c>
      <c r="J314" s="2" t="s">
        <v>12585</v>
      </c>
      <c r="K314" t="str">
        <f t="shared" si="26"/>
        <v>sz002384</v>
      </c>
      <c r="L314" t="str">
        <f t="shared" si="27"/>
        <v>东山精密</v>
      </c>
      <c r="M314" t="str">
        <f t="shared" si="28"/>
        <v>金属</v>
      </c>
      <c r="N314" t="str">
        <f t="shared" si="29"/>
        <v>金</v>
      </c>
      <c r="P314" s="2" t="s">
        <v>12585</v>
      </c>
      <c r="Q314" t="s">
        <v>11889</v>
      </c>
      <c r="R314">
        <v>0</v>
      </c>
    </row>
    <row r="315" spans="1:18" x14ac:dyDescent="0.25">
      <c r="A315" t="s">
        <v>11013</v>
      </c>
      <c r="C315" t="str">
        <f t="shared" si="24"/>
        <v>sz</v>
      </c>
      <c r="D315" t="str">
        <f t="shared" si="25"/>
        <v>sz002841</v>
      </c>
      <c r="E315" t="str">
        <f>VLOOKUP(A315,Table!B:C,2,0)</f>
        <v>视源股份</v>
      </c>
      <c r="F315" t="str">
        <f>TRIM(VLOOKUP(A315,Table!B:O,14,0))</f>
        <v>电子元件</v>
      </c>
      <c r="G315" t="str">
        <f>VLOOKUP(F315,industry!A:C,2,0)</f>
        <v>原件</v>
      </c>
      <c r="H315" t="str">
        <f>VLOOKUP(F315,industry!A:C,3,0)</f>
        <v>元件</v>
      </c>
      <c r="J315" s="2" t="s">
        <v>12585</v>
      </c>
      <c r="K315" t="str">
        <f t="shared" si="26"/>
        <v>sz002841</v>
      </c>
      <c r="L315" t="str">
        <f t="shared" si="27"/>
        <v>视源股份</v>
      </c>
      <c r="M315" t="str">
        <f t="shared" si="28"/>
        <v>原件</v>
      </c>
      <c r="N315" t="str">
        <f t="shared" si="29"/>
        <v>元件</v>
      </c>
      <c r="P315" s="2" t="s">
        <v>12585</v>
      </c>
      <c r="Q315" t="s">
        <v>12609</v>
      </c>
      <c r="R315">
        <v>0</v>
      </c>
    </row>
    <row r="316" spans="1:18" x14ac:dyDescent="0.25">
      <c r="A316" t="s">
        <v>11014</v>
      </c>
      <c r="C316" t="str">
        <f t="shared" si="24"/>
        <v>sz</v>
      </c>
      <c r="D316" t="str">
        <f t="shared" si="25"/>
        <v>sz300418</v>
      </c>
      <c r="E316" t="str">
        <f>VLOOKUP(A316,Table!B:C,2,0)</f>
        <v>昆仑万维</v>
      </c>
      <c r="F316" t="str">
        <f>TRIM(VLOOKUP(A316,Table!B:O,14,0))</f>
        <v>文教休闲</v>
      </c>
      <c r="G316" t="str">
        <f>VLOOKUP(F316,industry!A:C,2,0)</f>
        <v>文教</v>
      </c>
      <c r="H316" t="str">
        <f>VLOOKUP(F316,industry!A:C,3,0)</f>
        <v>文</v>
      </c>
      <c r="J316" s="2" t="s">
        <v>12585</v>
      </c>
      <c r="K316" t="str">
        <f t="shared" si="26"/>
        <v>sz300418</v>
      </c>
      <c r="L316" t="str">
        <f t="shared" si="27"/>
        <v>昆仑万维</v>
      </c>
      <c r="M316" t="str">
        <f t="shared" si="28"/>
        <v>文教</v>
      </c>
      <c r="N316" t="str">
        <f t="shared" si="29"/>
        <v>文</v>
      </c>
      <c r="P316" s="2" t="s">
        <v>12585</v>
      </c>
      <c r="Q316" t="s">
        <v>10290</v>
      </c>
      <c r="R316">
        <v>0</v>
      </c>
    </row>
    <row r="317" spans="1:18" x14ac:dyDescent="0.25">
      <c r="A317" t="s">
        <v>11015</v>
      </c>
      <c r="C317" t="str">
        <f t="shared" si="24"/>
        <v>sz</v>
      </c>
      <c r="D317" t="str">
        <f t="shared" si="25"/>
        <v>sz000876</v>
      </c>
      <c r="E317" t="str">
        <f>VLOOKUP(A317,Table!B:C,2,0)</f>
        <v>新 希 望</v>
      </c>
      <c r="F317" t="str">
        <f>TRIM(VLOOKUP(A317,Table!B:O,14,0))</f>
        <v>农牧饲渔</v>
      </c>
      <c r="G317" t="str">
        <f>VLOOKUP(F317,industry!A:C,2,0)</f>
        <v>农渔</v>
      </c>
      <c r="H317" t="str">
        <f>VLOOKUP(F317,industry!A:C,3,0)</f>
        <v>渔</v>
      </c>
      <c r="J317" s="2" t="s">
        <v>12585</v>
      </c>
      <c r="K317" t="str">
        <f t="shared" si="26"/>
        <v>sz000876</v>
      </c>
      <c r="L317" t="str">
        <f t="shared" si="27"/>
        <v>新 希 望</v>
      </c>
      <c r="M317" t="str">
        <f t="shared" si="28"/>
        <v>农渔</v>
      </c>
      <c r="N317" t="str">
        <f t="shared" si="29"/>
        <v>渔</v>
      </c>
      <c r="P317" s="2" t="s">
        <v>12585</v>
      </c>
      <c r="Q317" t="s">
        <v>10163</v>
      </c>
      <c r="R317">
        <v>0</v>
      </c>
    </row>
    <row r="318" spans="1:18" x14ac:dyDescent="0.25">
      <c r="A318" t="s">
        <v>11016</v>
      </c>
      <c r="C318" t="str">
        <f t="shared" si="24"/>
        <v>sz</v>
      </c>
      <c r="D318" t="str">
        <f t="shared" si="25"/>
        <v>sz300450</v>
      </c>
      <c r="E318" t="str">
        <f>VLOOKUP(A318,Table!B:C,2,0)</f>
        <v>先导智能</v>
      </c>
      <c r="F318" t="str">
        <f>TRIM(VLOOKUP(A318,Table!B:O,14,0))</f>
        <v>机械行业</v>
      </c>
      <c r="G318" t="str">
        <f>VLOOKUP(F318,industry!A:C,2,0)</f>
        <v>机械</v>
      </c>
      <c r="H318" t="str">
        <f>VLOOKUP(F318,industry!A:C,3,0)</f>
        <v>械</v>
      </c>
      <c r="J318" s="2" t="s">
        <v>12585</v>
      </c>
      <c r="K318" t="str">
        <f t="shared" si="26"/>
        <v>sz300450</v>
      </c>
      <c r="L318" t="str">
        <f t="shared" si="27"/>
        <v>先导智能</v>
      </c>
      <c r="M318" t="str">
        <f t="shared" si="28"/>
        <v>机械</v>
      </c>
      <c r="N318" t="str">
        <f t="shared" si="29"/>
        <v>械</v>
      </c>
      <c r="P318" s="2" t="s">
        <v>12585</v>
      </c>
      <c r="Q318" t="s">
        <v>12610</v>
      </c>
      <c r="R318">
        <v>0</v>
      </c>
    </row>
    <row r="319" spans="1:18" x14ac:dyDescent="0.25">
      <c r="A319" t="s">
        <v>11017</v>
      </c>
      <c r="C319" t="str">
        <f t="shared" si="24"/>
        <v>sh</v>
      </c>
      <c r="D319" t="str">
        <f t="shared" si="25"/>
        <v>sh600299</v>
      </c>
      <c r="E319" t="str">
        <f>VLOOKUP(A319,Table!B:C,2,0)</f>
        <v>安迪苏</v>
      </c>
      <c r="F319" t="str">
        <f>TRIM(VLOOKUP(A319,Table!B:O,14,0))</f>
        <v>农牧饲渔</v>
      </c>
      <c r="G319" t="str">
        <f>VLOOKUP(F319,industry!A:C,2,0)</f>
        <v>农渔</v>
      </c>
      <c r="H319" t="str">
        <f>VLOOKUP(F319,industry!A:C,3,0)</f>
        <v>渔</v>
      </c>
      <c r="J319" s="2" t="s">
        <v>12585</v>
      </c>
      <c r="K319" t="str">
        <f t="shared" si="26"/>
        <v>sh600299</v>
      </c>
      <c r="L319" t="str">
        <f t="shared" si="27"/>
        <v>安迪苏</v>
      </c>
      <c r="M319" t="str">
        <f t="shared" si="28"/>
        <v>农渔</v>
      </c>
      <c r="N319" t="str">
        <f t="shared" si="29"/>
        <v>渔</v>
      </c>
      <c r="P319" s="2" t="s">
        <v>12585</v>
      </c>
      <c r="Q319" t="s">
        <v>10097</v>
      </c>
      <c r="R319">
        <v>0</v>
      </c>
    </row>
    <row r="320" spans="1:18" x14ac:dyDescent="0.25">
      <c r="A320" t="s">
        <v>11018</v>
      </c>
      <c r="C320" t="str">
        <f t="shared" si="24"/>
        <v>sh</v>
      </c>
      <c r="D320" t="str">
        <f t="shared" si="25"/>
        <v>sh600566</v>
      </c>
      <c r="E320" t="str">
        <f>VLOOKUP(A320,Table!B:C,2,0)</f>
        <v>济川药业</v>
      </c>
      <c r="F320" t="str">
        <f>TRIM(VLOOKUP(A320,Table!B:O,14,0))</f>
        <v>医药制造</v>
      </c>
      <c r="G320" t="str">
        <f>VLOOKUP(F320,industry!A:C,2,0)</f>
        <v>医药</v>
      </c>
      <c r="H320" t="str">
        <f>VLOOKUP(F320,industry!A:C,3,0)</f>
        <v>药</v>
      </c>
      <c r="J320" s="2" t="s">
        <v>12585</v>
      </c>
      <c r="K320" t="str">
        <f t="shared" si="26"/>
        <v>sh600566</v>
      </c>
      <c r="L320" t="str">
        <f t="shared" si="27"/>
        <v>济川药业</v>
      </c>
      <c r="M320" t="str">
        <f t="shared" si="28"/>
        <v>医药</v>
      </c>
      <c r="N320" t="str">
        <f t="shared" si="29"/>
        <v>药</v>
      </c>
      <c r="P320" s="2" t="s">
        <v>12585</v>
      </c>
      <c r="Q320" t="s">
        <v>10344</v>
      </c>
      <c r="R320">
        <v>0</v>
      </c>
    </row>
    <row r="321" spans="1:18" x14ac:dyDescent="0.25">
      <c r="A321" t="s">
        <v>11019</v>
      </c>
      <c r="C321" t="str">
        <f t="shared" si="24"/>
        <v>sh</v>
      </c>
      <c r="D321" t="str">
        <f t="shared" si="25"/>
        <v>sh600804</v>
      </c>
      <c r="E321" t="str">
        <f>VLOOKUP(A321,Table!B:C,2,0)</f>
        <v>鹏博士</v>
      </c>
      <c r="F321" t="str">
        <f>TRIM(VLOOKUP(A321,Table!B:O,14,0))</f>
        <v>电信运营</v>
      </c>
      <c r="G321" t="str">
        <f>VLOOKUP(F321,industry!A:C,2,0)</f>
        <v>电信</v>
      </c>
      <c r="H321" t="str">
        <f>VLOOKUP(F321,industry!A:C,3,0)</f>
        <v>电信</v>
      </c>
      <c r="J321" s="2" t="s">
        <v>12585</v>
      </c>
      <c r="K321" t="str">
        <f t="shared" si="26"/>
        <v>sh600804</v>
      </c>
      <c r="L321" t="str">
        <f t="shared" si="27"/>
        <v>鹏博士</v>
      </c>
      <c r="M321" t="str">
        <f t="shared" si="28"/>
        <v>电信</v>
      </c>
      <c r="N321" t="str">
        <f t="shared" si="29"/>
        <v>电信</v>
      </c>
      <c r="P321" s="2" t="s">
        <v>12585</v>
      </c>
      <c r="Q321" t="s">
        <v>10224</v>
      </c>
      <c r="R321">
        <v>0</v>
      </c>
    </row>
    <row r="322" spans="1:18" x14ac:dyDescent="0.25">
      <c r="A322" t="s">
        <v>11020</v>
      </c>
      <c r="C322" t="str">
        <f t="shared" si="24"/>
        <v>sh</v>
      </c>
      <c r="D322" t="str">
        <f t="shared" si="25"/>
        <v>sh600008</v>
      </c>
      <c r="E322" t="str">
        <f>VLOOKUP(A322,Table!B:C,2,0)</f>
        <v>首创股份</v>
      </c>
      <c r="F322" t="str">
        <f>TRIM(VLOOKUP(A322,Table!B:O,14,0))</f>
        <v>公用事业</v>
      </c>
      <c r="G322" t="str">
        <f>VLOOKUP(F322,industry!A:C,2,0)</f>
        <v>公用</v>
      </c>
      <c r="H322" t="str">
        <f>VLOOKUP(F322,industry!A:C,3,0)</f>
        <v>公</v>
      </c>
      <c r="J322" s="2" t="s">
        <v>12585</v>
      </c>
      <c r="K322" t="str">
        <f t="shared" si="26"/>
        <v>sh600008</v>
      </c>
      <c r="L322" t="str">
        <f t="shared" si="27"/>
        <v>首创股份</v>
      </c>
      <c r="M322" t="str">
        <f t="shared" si="28"/>
        <v>公用</v>
      </c>
      <c r="N322" t="str">
        <f t="shared" si="29"/>
        <v>公</v>
      </c>
      <c r="P322" s="2" t="s">
        <v>12585</v>
      </c>
      <c r="Q322" t="s">
        <v>10682</v>
      </c>
      <c r="R322">
        <v>0</v>
      </c>
    </row>
    <row r="323" spans="1:18" x14ac:dyDescent="0.25">
      <c r="A323" t="s">
        <v>11021</v>
      </c>
      <c r="C323" t="str">
        <f t="shared" ref="C323:C386" si="30">IF(LEFT(A323,1)="6","sh","sz")</f>
        <v>sz</v>
      </c>
      <c r="D323" t="str">
        <f t="shared" ref="D323:D386" si="31">C323 &amp; A323</f>
        <v>sz000418</v>
      </c>
      <c r="E323" t="str">
        <f>VLOOKUP(A323,Table!B:C,2,0)</f>
        <v>小天鹅Ａ</v>
      </c>
      <c r="F323" t="str">
        <f>TRIM(VLOOKUP(A323,Table!B:O,14,0))</f>
        <v>家电行业</v>
      </c>
      <c r="G323" t="str">
        <f>VLOOKUP(F323,industry!A:C,2,0)</f>
        <v>家电</v>
      </c>
      <c r="H323" t="str">
        <f>VLOOKUP(F323,industry!A:C,3,0)</f>
        <v>家</v>
      </c>
      <c r="J323" s="2" t="s">
        <v>12585</v>
      </c>
      <c r="K323" t="str">
        <f t="shared" ref="K323:K386" si="32">D323</f>
        <v>sz000418</v>
      </c>
      <c r="L323" t="str">
        <f t="shared" ref="L323:L386" si="33">E323</f>
        <v>小天鹅Ａ</v>
      </c>
      <c r="M323" t="str">
        <f t="shared" ref="M323:M386" si="34">G323</f>
        <v>家电</v>
      </c>
      <c r="N323" t="str">
        <f t="shared" ref="N323:N386" si="35">H323</f>
        <v>家</v>
      </c>
      <c r="P323" s="2" t="s">
        <v>12585</v>
      </c>
      <c r="Q323" t="s">
        <v>10666</v>
      </c>
      <c r="R323">
        <v>0</v>
      </c>
    </row>
    <row r="324" spans="1:18" x14ac:dyDescent="0.25">
      <c r="A324" t="s">
        <v>11022</v>
      </c>
      <c r="C324" t="str">
        <f t="shared" si="30"/>
        <v>sz</v>
      </c>
      <c r="D324" t="str">
        <f t="shared" si="31"/>
        <v>sz002635</v>
      </c>
      <c r="E324" t="str">
        <f>VLOOKUP(A324,Table!B:C,2,0)</f>
        <v>安洁科技</v>
      </c>
      <c r="F324" t="str">
        <f>TRIM(VLOOKUP(A324,Table!B:O,14,0))</f>
        <v>电子元件</v>
      </c>
      <c r="G324" t="str">
        <f>VLOOKUP(F324,industry!A:C,2,0)</f>
        <v>原件</v>
      </c>
      <c r="H324" t="str">
        <f>VLOOKUP(F324,industry!A:C,3,0)</f>
        <v>元件</v>
      </c>
      <c r="J324" s="2" t="s">
        <v>12585</v>
      </c>
      <c r="K324" t="str">
        <f t="shared" si="32"/>
        <v>sz002635</v>
      </c>
      <c r="L324" t="str">
        <f t="shared" si="33"/>
        <v>安洁科技</v>
      </c>
      <c r="M324" t="str">
        <f t="shared" si="34"/>
        <v>原件</v>
      </c>
      <c r="N324" t="str">
        <f t="shared" si="35"/>
        <v>元件</v>
      </c>
      <c r="P324" s="2" t="s">
        <v>12585</v>
      </c>
      <c r="Q324" t="s">
        <v>11803</v>
      </c>
      <c r="R324">
        <v>0</v>
      </c>
    </row>
    <row r="325" spans="1:18" x14ac:dyDescent="0.25">
      <c r="A325" t="s">
        <v>11023</v>
      </c>
      <c r="C325" t="str">
        <f t="shared" si="30"/>
        <v>sh</v>
      </c>
      <c r="D325" t="str">
        <f t="shared" si="31"/>
        <v>sh603589</v>
      </c>
      <c r="E325" t="str">
        <f>VLOOKUP(A325,Table!B:C,2,0)</f>
        <v>口子窖</v>
      </c>
      <c r="F325" t="str">
        <f>TRIM(VLOOKUP(A325,Table!B:O,14,0))</f>
        <v>酿酒行业</v>
      </c>
      <c r="G325" t="str">
        <f>VLOOKUP(F325,industry!A:C,2,0)</f>
        <v>酿酒</v>
      </c>
      <c r="H325" t="str">
        <f>VLOOKUP(F325,industry!A:C,3,0)</f>
        <v>酒</v>
      </c>
      <c r="J325" s="2" t="s">
        <v>12585</v>
      </c>
      <c r="K325" t="str">
        <f t="shared" si="32"/>
        <v>sh603589</v>
      </c>
      <c r="L325" t="str">
        <f t="shared" si="33"/>
        <v>口子窖</v>
      </c>
      <c r="M325" t="str">
        <f t="shared" si="34"/>
        <v>酿酒</v>
      </c>
      <c r="N325" t="str">
        <f t="shared" si="35"/>
        <v>酒</v>
      </c>
      <c r="P325" s="2" t="s">
        <v>12585</v>
      </c>
      <c r="Q325" t="s">
        <v>10664</v>
      </c>
      <c r="R325">
        <v>0</v>
      </c>
    </row>
    <row r="326" spans="1:18" x14ac:dyDescent="0.25">
      <c r="A326" t="s">
        <v>11024</v>
      </c>
      <c r="C326" t="str">
        <f t="shared" si="30"/>
        <v>sh</v>
      </c>
      <c r="D326" t="str">
        <f t="shared" si="31"/>
        <v>sh600820</v>
      </c>
      <c r="E326" t="str">
        <f>VLOOKUP(A326,Table!B:C,2,0)</f>
        <v>隧道股份</v>
      </c>
      <c r="F326" t="str">
        <f>TRIM(VLOOKUP(A326,Table!B:O,14,0))</f>
        <v>工程建设</v>
      </c>
      <c r="G326" t="str">
        <f>VLOOKUP(F326,industry!A:C,2,0)</f>
        <v>工建</v>
      </c>
      <c r="H326" t="str">
        <f>VLOOKUP(F326,industry!A:C,3,0)</f>
        <v>建</v>
      </c>
      <c r="J326" s="2" t="s">
        <v>12585</v>
      </c>
      <c r="K326" t="str">
        <f t="shared" si="32"/>
        <v>sh600820</v>
      </c>
      <c r="L326" t="str">
        <f t="shared" si="33"/>
        <v>隧道股份</v>
      </c>
      <c r="M326" t="str">
        <f t="shared" si="34"/>
        <v>工建</v>
      </c>
      <c r="N326" t="str">
        <f t="shared" si="35"/>
        <v>建</v>
      </c>
      <c r="P326" s="2" t="s">
        <v>12585</v>
      </c>
      <c r="Q326" t="s">
        <v>10193</v>
      </c>
      <c r="R326">
        <v>0</v>
      </c>
    </row>
    <row r="327" spans="1:18" x14ac:dyDescent="0.25">
      <c r="A327" t="s">
        <v>11025</v>
      </c>
      <c r="C327" t="str">
        <f t="shared" si="30"/>
        <v>sh</v>
      </c>
      <c r="D327" t="str">
        <f t="shared" si="31"/>
        <v>sh601231</v>
      </c>
      <c r="E327" t="str">
        <f>VLOOKUP(A327,Table!B:C,2,0)</f>
        <v>环旭电子</v>
      </c>
      <c r="F327" t="str">
        <f>TRIM(VLOOKUP(A327,Table!B:O,14,0))</f>
        <v>电子元件</v>
      </c>
      <c r="G327" t="str">
        <f>VLOOKUP(F327,industry!A:C,2,0)</f>
        <v>原件</v>
      </c>
      <c r="H327" t="str">
        <f>VLOOKUP(F327,industry!A:C,3,0)</f>
        <v>元件</v>
      </c>
      <c r="J327" s="2" t="s">
        <v>12585</v>
      </c>
      <c r="K327" t="str">
        <f t="shared" si="32"/>
        <v>sh601231</v>
      </c>
      <c r="L327" t="str">
        <f t="shared" si="33"/>
        <v>环旭电子</v>
      </c>
      <c r="M327" t="str">
        <f t="shared" si="34"/>
        <v>原件</v>
      </c>
      <c r="N327" t="str">
        <f t="shared" si="35"/>
        <v>元件</v>
      </c>
      <c r="P327" s="2" t="s">
        <v>12585</v>
      </c>
      <c r="Q327" t="s">
        <v>10430</v>
      </c>
      <c r="R327">
        <v>0</v>
      </c>
    </row>
    <row r="328" spans="1:18" x14ac:dyDescent="0.25">
      <c r="A328" t="s">
        <v>11026</v>
      </c>
      <c r="C328" t="str">
        <f t="shared" si="30"/>
        <v>sz</v>
      </c>
      <c r="D328" t="str">
        <f t="shared" si="31"/>
        <v>sz002179</v>
      </c>
      <c r="E328" t="str">
        <f>VLOOKUP(A328,Table!B:C,2,0)</f>
        <v>中航光电</v>
      </c>
      <c r="F328" t="str">
        <f>TRIM(VLOOKUP(A328,Table!B:O,14,0))</f>
        <v>电子元件</v>
      </c>
      <c r="G328" t="str">
        <f>VLOOKUP(F328,industry!A:C,2,0)</f>
        <v>原件</v>
      </c>
      <c r="H328" t="str">
        <f>VLOOKUP(F328,industry!A:C,3,0)</f>
        <v>元件</v>
      </c>
      <c r="J328" s="2" t="s">
        <v>12585</v>
      </c>
      <c r="K328" t="str">
        <f t="shared" si="32"/>
        <v>sz002179</v>
      </c>
      <c r="L328" t="str">
        <f t="shared" si="33"/>
        <v>中航光电</v>
      </c>
      <c r="M328" t="str">
        <f t="shared" si="34"/>
        <v>原件</v>
      </c>
      <c r="N328" t="str">
        <f t="shared" si="35"/>
        <v>元件</v>
      </c>
      <c r="P328" s="2" t="s">
        <v>12585</v>
      </c>
      <c r="Q328" t="s">
        <v>10470</v>
      </c>
      <c r="R328">
        <v>0</v>
      </c>
    </row>
    <row r="329" spans="1:18" x14ac:dyDescent="0.25">
      <c r="A329" t="s">
        <v>11027</v>
      </c>
      <c r="C329" t="str">
        <f t="shared" si="30"/>
        <v>sh</v>
      </c>
      <c r="D329" t="str">
        <f t="shared" si="31"/>
        <v>sh603868</v>
      </c>
      <c r="E329" t="str">
        <f>VLOOKUP(A329,Table!B:C,2,0)</f>
        <v>飞科电器</v>
      </c>
      <c r="F329" t="str">
        <f>TRIM(VLOOKUP(A329,Table!B:O,14,0))</f>
        <v>家电行业</v>
      </c>
      <c r="G329" t="str">
        <f>VLOOKUP(F329,industry!A:C,2,0)</f>
        <v>家电</v>
      </c>
      <c r="H329" t="str">
        <f>VLOOKUP(F329,industry!A:C,3,0)</f>
        <v>家</v>
      </c>
      <c r="J329" s="2" t="s">
        <v>12585</v>
      </c>
      <c r="K329" t="str">
        <f t="shared" si="32"/>
        <v>sh603868</v>
      </c>
      <c r="L329" t="str">
        <f t="shared" si="33"/>
        <v>飞科电器</v>
      </c>
      <c r="M329" t="str">
        <f t="shared" si="34"/>
        <v>家电</v>
      </c>
      <c r="N329" t="str">
        <f t="shared" si="35"/>
        <v>家</v>
      </c>
      <c r="P329" s="2" t="s">
        <v>12585</v>
      </c>
      <c r="Q329" t="s">
        <v>10674</v>
      </c>
      <c r="R329">
        <v>0</v>
      </c>
    </row>
    <row r="330" spans="1:18" x14ac:dyDescent="0.25">
      <c r="A330" t="s">
        <v>11028</v>
      </c>
      <c r="C330" t="str">
        <f t="shared" si="30"/>
        <v>sh</v>
      </c>
      <c r="D330" t="str">
        <f t="shared" si="31"/>
        <v>sh600528</v>
      </c>
      <c r="E330" t="str">
        <f>VLOOKUP(A330,Table!B:C,2,0)</f>
        <v>中铁工业</v>
      </c>
      <c r="F330" t="str">
        <f>TRIM(VLOOKUP(A330,Table!B:O,14,0))</f>
        <v>工程建设</v>
      </c>
      <c r="G330" t="str">
        <f>VLOOKUP(F330,industry!A:C,2,0)</f>
        <v>工建</v>
      </c>
      <c r="H330" t="str">
        <f>VLOOKUP(F330,industry!A:C,3,0)</f>
        <v>建</v>
      </c>
      <c r="J330" s="2" t="s">
        <v>12585</v>
      </c>
      <c r="K330" t="str">
        <f t="shared" si="32"/>
        <v>sh600528</v>
      </c>
      <c r="L330" t="str">
        <f t="shared" si="33"/>
        <v>中铁工业</v>
      </c>
      <c r="M330" t="str">
        <f t="shared" si="34"/>
        <v>工建</v>
      </c>
      <c r="N330" t="str">
        <f t="shared" si="35"/>
        <v>建</v>
      </c>
      <c r="P330" s="2" t="s">
        <v>12585</v>
      </c>
      <c r="Q330" t="s">
        <v>12555</v>
      </c>
      <c r="R330">
        <v>0</v>
      </c>
    </row>
    <row r="331" spans="1:18" x14ac:dyDescent="0.25">
      <c r="A331" t="s">
        <v>11029</v>
      </c>
      <c r="C331" t="str">
        <f t="shared" si="30"/>
        <v>sz</v>
      </c>
      <c r="D331" t="str">
        <f t="shared" si="31"/>
        <v>sz300115</v>
      </c>
      <c r="E331" t="str">
        <f>VLOOKUP(A331,Table!B:C,2,0)</f>
        <v>长盈精密</v>
      </c>
      <c r="F331" t="str">
        <f>TRIM(VLOOKUP(A331,Table!B:O,14,0))</f>
        <v>电子元件</v>
      </c>
      <c r="G331" t="str">
        <f>VLOOKUP(F331,industry!A:C,2,0)</f>
        <v>原件</v>
      </c>
      <c r="H331" t="str">
        <f>VLOOKUP(F331,industry!A:C,3,0)</f>
        <v>元件</v>
      </c>
      <c r="J331" s="2" t="s">
        <v>12585</v>
      </c>
      <c r="K331" t="str">
        <f t="shared" si="32"/>
        <v>sz300115</v>
      </c>
      <c r="L331" t="str">
        <f t="shared" si="33"/>
        <v>长盈精密</v>
      </c>
      <c r="M331" t="str">
        <f t="shared" si="34"/>
        <v>原件</v>
      </c>
      <c r="N331" t="str">
        <f t="shared" si="35"/>
        <v>元件</v>
      </c>
      <c r="P331" s="2" t="s">
        <v>12585</v>
      </c>
      <c r="Q331" t="s">
        <v>10394</v>
      </c>
      <c r="R331">
        <v>0</v>
      </c>
    </row>
    <row r="332" spans="1:18" x14ac:dyDescent="0.25">
      <c r="A332" t="s">
        <v>11030</v>
      </c>
      <c r="C332" t="str">
        <f t="shared" si="30"/>
        <v>sz</v>
      </c>
      <c r="D332" t="str">
        <f t="shared" si="31"/>
        <v>sz002311</v>
      </c>
      <c r="E332" t="str">
        <f>VLOOKUP(A332,Table!B:C,2,0)</f>
        <v>海大集团</v>
      </c>
      <c r="F332" t="str">
        <f>TRIM(VLOOKUP(A332,Table!B:O,14,0))</f>
        <v>农牧饲渔</v>
      </c>
      <c r="G332" t="str">
        <f>VLOOKUP(F332,industry!A:C,2,0)</f>
        <v>农渔</v>
      </c>
      <c r="H332" t="str">
        <f>VLOOKUP(F332,industry!A:C,3,0)</f>
        <v>渔</v>
      </c>
      <c r="J332" s="2" t="s">
        <v>12585</v>
      </c>
      <c r="K332" t="str">
        <f t="shared" si="32"/>
        <v>sz002311</v>
      </c>
      <c r="L332" t="str">
        <f t="shared" si="33"/>
        <v>海大集团</v>
      </c>
      <c r="M332" t="str">
        <f t="shared" si="34"/>
        <v>农渔</v>
      </c>
      <c r="N332" t="str">
        <f t="shared" si="35"/>
        <v>渔</v>
      </c>
      <c r="P332" s="2" t="s">
        <v>12585</v>
      </c>
      <c r="Q332" t="s">
        <v>10486</v>
      </c>
      <c r="R332">
        <v>0</v>
      </c>
    </row>
    <row r="333" spans="1:18" x14ac:dyDescent="0.25">
      <c r="A333" t="s">
        <v>11031</v>
      </c>
      <c r="C333" t="str">
        <f t="shared" si="30"/>
        <v>sh</v>
      </c>
      <c r="D333" t="str">
        <f t="shared" si="31"/>
        <v>sh600291</v>
      </c>
      <c r="E333" t="str">
        <f>VLOOKUP(A333,Table!B:C,2,0)</f>
        <v>西水股份</v>
      </c>
      <c r="F333" t="str">
        <f>TRIM(VLOOKUP(A333,Table!B:O,14,0))</f>
        <v>保险</v>
      </c>
      <c r="G333" t="str">
        <f>VLOOKUP(F333,industry!A:C,2,0)</f>
        <v>保险</v>
      </c>
      <c r="H333" t="str">
        <f>VLOOKUP(F333,industry!A:C,3,0)</f>
        <v>险</v>
      </c>
      <c r="J333" s="2" t="s">
        <v>12585</v>
      </c>
      <c r="K333" t="str">
        <f t="shared" si="32"/>
        <v>sh600291</v>
      </c>
      <c r="L333" t="str">
        <f t="shared" si="33"/>
        <v>西水股份</v>
      </c>
      <c r="M333" t="str">
        <f t="shared" si="34"/>
        <v>保险</v>
      </c>
      <c r="N333" t="str">
        <f t="shared" si="35"/>
        <v>险</v>
      </c>
      <c r="P333" s="2" t="s">
        <v>12585</v>
      </c>
      <c r="Q333" t="s">
        <v>10593</v>
      </c>
      <c r="R333">
        <v>0</v>
      </c>
    </row>
    <row r="334" spans="1:18" x14ac:dyDescent="0.25">
      <c r="A334" t="s">
        <v>11032</v>
      </c>
      <c r="C334" t="str">
        <f t="shared" si="30"/>
        <v>sz</v>
      </c>
      <c r="D334" t="str">
        <f t="shared" si="31"/>
        <v>sz002081</v>
      </c>
      <c r="E334" t="str">
        <f>VLOOKUP(A334,Table!B:C,2,0)</f>
        <v>金 螳 螂</v>
      </c>
      <c r="F334" t="str">
        <f>TRIM(VLOOKUP(A334,Table!B:O,14,0))</f>
        <v>装修装饰</v>
      </c>
      <c r="G334" t="str">
        <f>VLOOKUP(F334,industry!A:C,2,0)</f>
        <v>装修</v>
      </c>
      <c r="H334" t="str">
        <f>VLOOKUP(F334,industry!A:C,3,0)</f>
        <v>饰</v>
      </c>
      <c r="J334" s="2" t="s">
        <v>12585</v>
      </c>
      <c r="K334" t="str">
        <f t="shared" si="32"/>
        <v>sz002081</v>
      </c>
      <c r="L334" t="str">
        <f t="shared" si="33"/>
        <v>金 螳 螂</v>
      </c>
      <c r="M334" t="str">
        <f t="shared" si="34"/>
        <v>装修</v>
      </c>
      <c r="N334" t="str">
        <f t="shared" si="35"/>
        <v>饰</v>
      </c>
      <c r="P334" s="2" t="s">
        <v>12585</v>
      </c>
      <c r="Q334" t="s">
        <v>10244</v>
      </c>
      <c r="R334">
        <v>0</v>
      </c>
    </row>
    <row r="335" spans="1:18" x14ac:dyDescent="0.25">
      <c r="A335" t="s">
        <v>11033</v>
      </c>
      <c r="C335" t="str">
        <f t="shared" si="30"/>
        <v>sz</v>
      </c>
      <c r="D335" t="str">
        <f t="shared" si="31"/>
        <v>sz002583</v>
      </c>
      <c r="E335" t="str">
        <f>VLOOKUP(A335,Table!B:C,2,0)</f>
        <v>海能达</v>
      </c>
      <c r="F335" t="str">
        <f>TRIM(VLOOKUP(A335,Table!B:O,14,0))</f>
        <v>安防设备</v>
      </c>
      <c r="G335" t="str">
        <f>VLOOKUP(F335,industry!A:C,2,0)</f>
        <v>安防</v>
      </c>
      <c r="H335" t="str">
        <f>VLOOKUP(F335,industry!A:C,3,0)</f>
        <v>防</v>
      </c>
      <c r="J335" s="2" t="s">
        <v>12585</v>
      </c>
      <c r="K335" t="str">
        <f t="shared" si="32"/>
        <v>sz002583</v>
      </c>
      <c r="L335" t="str">
        <f t="shared" si="33"/>
        <v>海能达</v>
      </c>
      <c r="M335" t="str">
        <f t="shared" si="34"/>
        <v>安防</v>
      </c>
      <c r="N335" t="str">
        <f t="shared" si="35"/>
        <v>防</v>
      </c>
      <c r="P335" s="2" t="s">
        <v>12585</v>
      </c>
      <c r="Q335" t="s">
        <v>10592</v>
      </c>
      <c r="R335">
        <v>0</v>
      </c>
    </row>
    <row r="336" spans="1:18" x14ac:dyDescent="0.25">
      <c r="A336" t="s">
        <v>11034</v>
      </c>
      <c r="C336" t="str">
        <f t="shared" si="30"/>
        <v>sz</v>
      </c>
      <c r="D336" t="str">
        <f t="shared" si="31"/>
        <v>sz300017</v>
      </c>
      <c r="E336" t="str">
        <f>VLOOKUP(A336,Table!B:C,2,0)</f>
        <v>网宿科技</v>
      </c>
      <c r="F336" t="str">
        <f>TRIM(VLOOKUP(A336,Table!B:O,14,0))</f>
        <v>软件服务</v>
      </c>
      <c r="G336" t="str">
        <f>VLOOKUP(F336,industry!A:C,2,0)</f>
        <v>软件</v>
      </c>
      <c r="H336" t="str">
        <f>VLOOKUP(F336,industry!A:C,3,0)</f>
        <v>软</v>
      </c>
      <c r="J336" s="2" t="s">
        <v>12585</v>
      </c>
      <c r="K336" t="str">
        <f t="shared" si="32"/>
        <v>sz300017</v>
      </c>
      <c r="L336" t="str">
        <f t="shared" si="33"/>
        <v>网宿科技</v>
      </c>
      <c r="M336" t="str">
        <f t="shared" si="34"/>
        <v>软件</v>
      </c>
      <c r="N336" t="str">
        <f t="shared" si="35"/>
        <v>软</v>
      </c>
      <c r="P336" s="2" t="s">
        <v>12585</v>
      </c>
      <c r="Q336" t="s">
        <v>9941</v>
      </c>
      <c r="R336">
        <v>0</v>
      </c>
    </row>
    <row r="337" spans="1:18" x14ac:dyDescent="0.25">
      <c r="A337" t="s">
        <v>11035</v>
      </c>
      <c r="C337" t="str">
        <f t="shared" si="30"/>
        <v>sh</v>
      </c>
      <c r="D337" t="str">
        <f t="shared" si="31"/>
        <v>sh601699</v>
      </c>
      <c r="E337" t="str">
        <f>VLOOKUP(A337,Table!B:C,2,0)</f>
        <v>潞安环能</v>
      </c>
      <c r="F337" t="str">
        <f>TRIM(VLOOKUP(A337,Table!B:O,14,0))</f>
        <v>煤炭采选</v>
      </c>
      <c r="G337" t="str">
        <f>VLOOKUP(F337,industry!A:C,2,0)</f>
        <v>煤炭</v>
      </c>
      <c r="H337" t="str">
        <f>VLOOKUP(F337,industry!A:C,3,0)</f>
        <v>煤</v>
      </c>
      <c r="J337" s="2" t="s">
        <v>12585</v>
      </c>
      <c r="K337" t="str">
        <f t="shared" si="32"/>
        <v>sh601699</v>
      </c>
      <c r="L337" t="str">
        <f t="shared" si="33"/>
        <v>潞安环能</v>
      </c>
      <c r="M337" t="str">
        <f t="shared" si="34"/>
        <v>煤炭</v>
      </c>
      <c r="N337" t="str">
        <f t="shared" si="35"/>
        <v>煤</v>
      </c>
      <c r="P337" s="2" t="s">
        <v>12585</v>
      </c>
      <c r="Q337" t="s">
        <v>10362</v>
      </c>
      <c r="R337">
        <v>0</v>
      </c>
    </row>
    <row r="338" spans="1:18" x14ac:dyDescent="0.25">
      <c r="A338" t="s">
        <v>11036</v>
      </c>
      <c r="C338" t="str">
        <f t="shared" si="30"/>
        <v>sz</v>
      </c>
      <c r="D338" t="str">
        <f t="shared" si="31"/>
        <v>sz000028</v>
      </c>
      <c r="E338" t="str">
        <f>VLOOKUP(A338,Table!B:C,2,0)</f>
        <v>国药一致</v>
      </c>
      <c r="F338" t="str">
        <f>TRIM(VLOOKUP(A338,Table!B:O,14,0))</f>
        <v>医药制造</v>
      </c>
      <c r="G338" t="str">
        <f>VLOOKUP(F338,industry!A:C,2,0)</f>
        <v>医药</v>
      </c>
      <c r="H338" t="str">
        <f>VLOOKUP(F338,industry!A:C,3,0)</f>
        <v>药</v>
      </c>
      <c r="J338" s="2" t="s">
        <v>12585</v>
      </c>
      <c r="K338" t="str">
        <f t="shared" si="32"/>
        <v>sz000028</v>
      </c>
      <c r="L338" t="str">
        <f t="shared" si="33"/>
        <v>国药一致</v>
      </c>
      <c r="M338" t="str">
        <f t="shared" si="34"/>
        <v>医药</v>
      </c>
      <c r="N338" t="str">
        <f t="shared" si="35"/>
        <v>药</v>
      </c>
      <c r="P338" s="2" t="s">
        <v>12585</v>
      </c>
      <c r="Q338" t="s">
        <v>10368</v>
      </c>
      <c r="R338">
        <v>0</v>
      </c>
    </row>
    <row r="339" spans="1:18" x14ac:dyDescent="0.25">
      <c r="A339" t="s">
        <v>11037</v>
      </c>
      <c r="C339" t="str">
        <f t="shared" si="30"/>
        <v>sh</v>
      </c>
      <c r="D339" t="str">
        <f t="shared" si="31"/>
        <v>sh600848</v>
      </c>
      <c r="E339" t="str">
        <f>VLOOKUP(A339,Table!B:C,2,0)</f>
        <v>上海临港</v>
      </c>
      <c r="F339" t="str">
        <f>TRIM(VLOOKUP(A339,Table!B:O,14,0))</f>
        <v>房地产</v>
      </c>
      <c r="G339" t="str">
        <f>VLOOKUP(F339,industry!A:C,2,0)</f>
        <v>房产</v>
      </c>
      <c r="H339" t="str">
        <f>VLOOKUP(F339,industry!A:C,3,0)</f>
        <v>产</v>
      </c>
      <c r="J339" s="2" t="s">
        <v>12585</v>
      </c>
      <c r="K339" t="str">
        <f t="shared" si="32"/>
        <v>sh600848</v>
      </c>
      <c r="L339" t="str">
        <f t="shared" si="33"/>
        <v>上海临港</v>
      </c>
      <c r="M339" t="str">
        <f t="shared" si="34"/>
        <v>房产</v>
      </c>
      <c r="N339" t="str">
        <f t="shared" si="35"/>
        <v>产</v>
      </c>
      <c r="P339" s="2" t="s">
        <v>12585</v>
      </c>
      <c r="Q339" t="s">
        <v>10618</v>
      </c>
      <c r="R339">
        <v>0</v>
      </c>
    </row>
    <row r="340" spans="1:18" x14ac:dyDescent="0.25">
      <c r="A340" t="s">
        <v>11038</v>
      </c>
      <c r="C340" t="str">
        <f t="shared" si="30"/>
        <v>sh</v>
      </c>
      <c r="D340" t="str">
        <f t="shared" si="31"/>
        <v>sh600372</v>
      </c>
      <c r="E340" t="str">
        <f>VLOOKUP(A340,Table!B:C,2,0)</f>
        <v>中航电子</v>
      </c>
      <c r="F340" t="str">
        <f>TRIM(VLOOKUP(A340,Table!B:O,14,0))</f>
        <v>航天航空</v>
      </c>
      <c r="G340" t="str">
        <f>VLOOKUP(F340,industry!A:C,2,0)</f>
        <v>航空</v>
      </c>
      <c r="H340" t="str">
        <f>VLOOKUP(F340,industry!A:C,3,0)</f>
        <v>航</v>
      </c>
      <c r="J340" s="2" t="s">
        <v>12585</v>
      </c>
      <c r="K340" t="str">
        <f t="shared" si="32"/>
        <v>sh600372</v>
      </c>
      <c r="L340" t="str">
        <f t="shared" si="33"/>
        <v>中航电子</v>
      </c>
      <c r="M340" t="str">
        <f t="shared" si="34"/>
        <v>航空</v>
      </c>
      <c r="N340" t="str">
        <f t="shared" si="35"/>
        <v>航</v>
      </c>
      <c r="P340" s="2" t="s">
        <v>12585</v>
      </c>
      <c r="Q340" t="s">
        <v>10155</v>
      </c>
      <c r="R340">
        <v>0</v>
      </c>
    </row>
    <row r="341" spans="1:18" x14ac:dyDescent="0.25">
      <c r="A341" t="s">
        <v>11039</v>
      </c>
      <c r="C341" t="str">
        <f t="shared" si="30"/>
        <v>sz</v>
      </c>
      <c r="D341" t="str">
        <f t="shared" si="31"/>
        <v>sz300266</v>
      </c>
      <c r="E341" t="str">
        <f>VLOOKUP(A341,Table!B:C,2,0)</f>
        <v>兴源环境</v>
      </c>
      <c r="F341" t="str">
        <f>TRIM(VLOOKUP(A341,Table!B:O,14,0))</f>
        <v>环保工程</v>
      </c>
      <c r="G341" t="str">
        <f>VLOOKUP(F341,industry!A:C,2,0)</f>
        <v>环保</v>
      </c>
      <c r="H341" t="str">
        <f>VLOOKUP(F341,industry!A:C,3,0)</f>
        <v>环</v>
      </c>
      <c r="J341" s="2" t="s">
        <v>12585</v>
      </c>
      <c r="K341" t="str">
        <f t="shared" si="32"/>
        <v>sz300266</v>
      </c>
      <c r="L341" t="str">
        <f t="shared" si="33"/>
        <v>兴源环境</v>
      </c>
      <c r="M341" t="str">
        <f t="shared" si="34"/>
        <v>环保</v>
      </c>
      <c r="N341" t="str">
        <f t="shared" si="35"/>
        <v>环</v>
      </c>
      <c r="P341" s="2" t="s">
        <v>12585</v>
      </c>
      <c r="Q341" t="s">
        <v>10492</v>
      </c>
      <c r="R341">
        <v>0</v>
      </c>
    </row>
    <row r="342" spans="1:18" x14ac:dyDescent="0.25">
      <c r="A342" t="s">
        <v>11040</v>
      </c>
      <c r="C342" t="str">
        <f t="shared" si="30"/>
        <v>sz</v>
      </c>
      <c r="D342" t="str">
        <f t="shared" si="31"/>
        <v>sz300251</v>
      </c>
      <c r="E342" t="str">
        <f>VLOOKUP(A342,Table!B:C,2,0)</f>
        <v>光线传媒</v>
      </c>
      <c r="F342" t="str">
        <f>TRIM(VLOOKUP(A342,Table!B:O,14,0))</f>
        <v>文化传媒</v>
      </c>
      <c r="G342" t="str">
        <f>VLOOKUP(F342,industry!A:C,2,0)</f>
        <v>传媒</v>
      </c>
      <c r="H342" t="str">
        <f>VLOOKUP(F342,industry!A:C,3,0)</f>
        <v>传</v>
      </c>
      <c r="J342" s="2" t="s">
        <v>12585</v>
      </c>
      <c r="K342" t="str">
        <f t="shared" si="32"/>
        <v>sz300251</v>
      </c>
      <c r="L342" t="str">
        <f t="shared" si="33"/>
        <v>光线传媒</v>
      </c>
      <c r="M342" t="str">
        <f t="shared" si="34"/>
        <v>传媒</v>
      </c>
      <c r="N342" t="str">
        <f t="shared" si="35"/>
        <v>传</v>
      </c>
      <c r="P342" s="2" t="s">
        <v>12585</v>
      </c>
      <c r="Q342" t="s">
        <v>10199</v>
      </c>
      <c r="R342">
        <v>0</v>
      </c>
    </row>
    <row r="343" spans="1:18" x14ac:dyDescent="0.25">
      <c r="A343" t="s">
        <v>11041</v>
      </c>
      <c r="C343" t="str">
        <f t="shared" si="30"/>
        <v>sz</v>
      </c>
      <c r="D343" t="str">
        <f t="shared" si="31"/>
        <v>sz002670</v>
      </c>
      <c r="E343" t="str">
        <f>VLOOKUP(A343,Table!B:C,2,0)</f>
        <v>国盛金控</v>
      </c>
      <c r="F343" t="str">
        <f>TRIM(VLOOKUP(A343,Table!B:O,14,0))</f>
        <v>券商信托</v>
      </c>
      <c r="G343" t="str">
        <f>VLOOKUP(F343,industry!A:C,2,0)</f>
        <v>券商</v>
      </c>
      <c r="H343" t="str">
        <f>VLOOKUP(F343,industry!A:C,3,0)</f>
        <v>券</v>
      </c>
      <c r="J343" s="2" t="s">
        <v>12585</v>
      </c>
      <c r="K343" t="str">
        <f t="shared" si="32"/>
        <v>sz002670</v>
      </c>
      <c r="L343" t="str">
        <f t="shared" si="33"/>
        <v>国盛金控</v>
      </c>
      <c r="M343" t="str">
        <f t="shared" si="34"/>
        <v>券商</v>
      </c>
      <c r="N343" t="str">
        <f t="shared" si="35"/>
        <v>券</v>
      </c>
      <c r="P343" s="2" t="s">
        <v>12585</v>
      </c>
      <c r="Q343" t="s">
        <v>10312</v>
      </c>
      <c r="R343">
        <v>0</v>
      </c>
    </row>
    <row r="344" spans="1:18" x14ac:dyDescent="0.25">
      <c r="A344" t="s">
        <v>11042</v>
      </c>
      <c r="C344" t="str">
        <f t="shared" si="30"/>
        <v>sh</v>
      </c>
      <c r="D344" t="str">
        <f t="shared" si="31"/>
        <v>sh600350</v>
      </c>
      <c r="E344" t="str">
        <f>VLOOKUP(A344,Table!B:C,2,0)</f>
        <v>山东高速</v>
      </c>
      <c r="F344" t="str">
        <f>TRIM(VLOOKUP(A344,Table!B:O,14,0))</f>
        <v>高速公路</v>
      </c>
      <c r="G344" t="str">
        <f>VLOOKUP(F344,industry!A:C,2,0)</f>
        <v>高速</v>
      </c>
      <c r="H344" t="str">
        <f>VLOOKUP(F344,industry!A:C,3,0)</f>
        <v>速</v>
      </c>
      <c r="J344" s="2" t="s">
        <v>12585</v>
      </c>
      <c r="K344" t="str">
        <f t="shared" si="32"/>
        <v>sh600350</v>
      </c>
      <c r="L344" t="str">
        <f t="shared" si="33"/>
        <v>山东高速</v>
      </c>
      <c r="M344" t="str">
        <f t="shared" si="34"/>
        <v>高速</v>
      </c>
      <c r="N344" t="str">
        <f t="shared" si="35"/>
        <v>速</v>
      </c>
      <c r="P344" s="2" t="s">
        <v>12585</v>
      </c>
      <c r="Q344" t="s">
        <v>10240</v>
      </c>
      <c r="R344">
        <v>0</v>
      </c>
    </row>
    <row r="345" spans="1:18" x14ac:dyDescent="0.25">
      <c r="A345" t="s">
        <v>11043</v>
      </c>
      <c r="C345" t="str">
        <f t="shared" si="30"/>
        <v>sh</v>
      </c>
      <c r="D345" t="str">
        <f t="shared" si="31"/>
        <v>sh600754</v>
      </c>
      <c r="E345" t="str">
        <f>VLOOKUP(A345,Table!B:C,2,0)</f>
        <v>锦江股份</v>
      </c>
      <c r="F345" t="str">
        <f>TRIM(VLOOKUP(A345,Table!B:O,14,0))</f>
        <v>旅游酒店</v>
      </c>
      <c r="G345" t="str">
        <f>VLOOKUP(F345,industry!A:C,2,0)</f>
        <v>旅游</v>
      </c>
      <c r="H345" t="str">
        <f>VLOOKUP(F345,industry!A:C,3,0)</f>
        <v>旅</v>
      </c>
      <c r="J345" s="2" t="s">
        <v>12585</v>
      </c>
      <c r="K345" t="str">
        <f t="shared" si="32"/>
        <v>sh600754</v>
      </c>
      <c r="L345" t="str">
        <f t="shared" si="33"/>
        <v>锦江股份</v>
      </c>
      <c r="M345" t="str">
        <f t="shared" si="34"/>
        <v>旅游</v>
      </c>
      <c r="N345" t="str">
        <f t="shared" si="35"/>
        <v>旅</v>
      </c>
      <c r="P345" s="2" t="s">
        <v>12585</v>
      </c>
      <c r="Q345" t="s">
        <v>10262</v>
      </c>
      <c r="R345">
        <v>0</v>
      </c>
    </row>
    <row r="346" spans="1:18" x14ac:dyDescent="0.25">
      <c r="A346" t="s">
        <v>11044</v>
      </c>
      <c r="C346" t="str">
        <f t="shared" si="30"/>
        <v>sh</v>
      </c>
      <c r="D346" t="str">
        <f t="shared" si="31"/>
        <v>sh601099</v>
      </c>
      <c r="E346" t="str">
        <f>VLOOKUP(A346,Table!B:C,2,0)</f>
        <v>太平洋</v>
      </c>
      <c r="F346" t="str">
        <f>TRIM(VLOOKUP(A346,Table!B:O,14,0))</f>
        <v>券商信托</v>
      </c>
      <c r="G346" t="str">
        <f>VLOOKUP(F346,industry!A:C,2,0)</f>
        <v>券商</v>
      </c>
      <c r="H346" t="str">
        <f>VLOOKUP(F346,industry!A:C,3,0)</f>
        <v>券</v>
      </c>
      <c r="J346" s="2" t="s">
        <v>12585</v>
      </c>
      <c r="K346" t="str">
        <f t="shared" si="32"/>
        <v>sh601099</v>
      </c>
      <c r="L346" t="str">
        <f t="shared" si="33"/>
        <v>太平洋</v>
      </c>
      <c r="M346" t="str">
        <f t="shared" si="34"/>
        <v>券商</v>
      </c>
      <c r="N346" t="str">
        <f t="shared" si="35"/>
        <v>券</v>
      </c>
      <c r="P346" s="2" t="s">
        <v>12585</v>
      </c>
      <c r="Q346" t="s">
        <v>10129</v>
      </c>
      <c r="R346">
        <v>0</v>
      </c>
    </row>
    <row r="347" spans="1:18" x14ac:dyDescent="0.25">
      <c r="A347" t="s">
        <v>11045</v>
      </c>
      <c r="C347" t="str">
        <f t="shared" si="30"/>
        <v>sz</v>
      </c>
      <c r="D347" t="str">
        <f t="shared" si="31"/>
        <v>sz000981</v>
      </c>
      <c r="E347" t="str">
        <f>VLOOKUP(A347,Table!B:C,2,0)</f>
        <v>银亿股份</v>
      </c>
      <c r="F347" t="str">
        <f>TRIM(VLOOKUP(A347,Table!B:O,14,0))</f>
        <v>房地产</v>
      </c>
      <c r="G347" t="str">
        <f>VLOOKUP(F347,industry!A:C,2,0)</f>
        <v>房产</v>
      </c>
      <c r="H347" t="str">
        <f>VLOOKUP(F347,industry!A:C,3,0)</f>
        <v>产</v>
      </c>
      <c r="J347" s="2" t="s">
        <v>12585</v>
      </c>
      <c r="K347" t="str">
        <f t="shared" si="32"/>
        <v>sz000981</v>
      </c>
      <c r="L347" t="str">
        <f t="shared" si="33"/>
        <v>银亿股份</v>
      </c>
      <c r="M347" t="str">
        <f t="shared" si="34"/>
        <v>房产</v>
      </c>
      <c r="N347" t="str">
        <f t="shared" si="35"/>
        <v>产</v>
      </c>
      <c r="P347" s="2" t="s">
        <v>12585</v>
      </c>
      <c r="Q347" t="s">
        <v>10392</v>
      </c>
      <c r="R347">
        <v>0</v>
      </c>
    </row>
    <row r="348" spans="1:18" x14ac:dyDescent="0.25">
      <c r="A348" t="s">
        <v>11046</v>
      </c>
      <c r="C348" t="str">
        <f t="shared" si="30"/>
        <v>sz</v>
      </c>
      <c r="D348" t="str">
        <f t="shared" si="31"/>
        <v>sz000825</v>
      </c>
      <c r="E348" t="str">
        <f>VLOOKUP(A348,Table!B:C,2,0)</f>
        <v>太钢不锈</v>
      </c>
      <c r="F348" t="str">
        <f>TRIM(VLOOKUP(A348,Table!B:O,14,0))</f>
        <v>钢铁行业</v>
      </c>
      <c r="G348" t="str">
        <f>VLOOKUP(F348,industry!A:C,2,0)</f>
        <v>钢铁</v>
      </c>
      <c r="H348" t="str">
        <f>VLOOKUP(F348,industry!A:C,3,0)</f>
        <v>钢</v>
      </c>
      <c r="J348" s="2" t="s">
        <v>12585</v>
      </c>
      <c r="K348" t="str">
        <f t="shared" si="32"/>
        <v>sz000825</v>
      </c>
      <c r="L348" t="str">
        <f t="shared" si="33"/>
        <v>太钢不锈</v>
      </c>
      <c r="M348" t="str">
        <f t="shared" si="34"/>
        <v>钢铁</v>
      </c>
      <c r="N348" t="str">
        <f t="shared" si="35"/>
        <v>钢</v>
      </c>
      <c r="P348" s="2" t="s">
        <v>12585</v>
      </c>
      <c r="Q348" t="s">
        <v>10547</v>
      </c>
      <c r="R348">
        <v>0</v>
      </c>
    </row>
    <row r="349" spans="1:18" x14ac:dyDescent="0.25">
      <c r="A349" t="s">
        <v>11047</v>
      </c>
      <c r="C349" t="str">
        <f t="shared" si="30"/>
        <v>sh</v>
      </c>
      <c r="D349" t="str">
        <f t="shared" si="31"/>
        <v>sh600376</v>
      </c>
      <c r="E349" t="str">
        <f>VLOOKUP(A349,Table!B:C,2,0)</f>
        <v>首开股份</v>
      </c>
      <c r="F349" t="str">
        <f>TRIM(VLOOKUP(A349,Table!B:O,14,0))</f>
        <v>房地产</v>
      </c>
      <c r="G349" t="str">
        <f>VLOOKUP(F349,industry!A:C,2,0)</f>
        <v>房产</v>
      </c>
      <c r="H349" t="str">
        <f>VLOOKUP(F349,industry!A:C,3,0)</f>
        <v>产</v>
      </c>
      <c r="J349" s="2" t="s">
        <v>12585</v>
      </c>
      <c r="K349" t="str">
        <f t="shared" si="32"/>
        <v>sh600376</v>
      </c>
      <c r="L349" t="str">
        <f t="shared" si="33"/>
        <v>首开股份</v>
      </c>
      <c r="M349" t="str">
        <f t="shared" si="34"/>
        <v>房产</v>
      </c>
      <c r="N349" t="str">
        <f t="shared" si="35"/>
        <v>产</v>
      </c>
      <c r="P349" s="2" t="s">
        <v>12585</v>
      </c>
      <c r="Q349" t="s">
        <v>10230</v>
      </c>
      <c r="R349">
        <v>0</v>
      </c>
    </row>
    <row r="350" spans="1:18" x14ac:dyDescent="0.25">
      <c r="A350" t="s">
        <v>11048</v>
      </c>
      <c r="C350" t="str">
        <f t="shared" si="30"/>
        <v>sz</v>
      </c>
      <c r="D350" t="str">
        <f t="shared" si="31"/>
        <v>sz002013</v>
      </c>
      <c r="E350" t="str">
        <f>VLOOKUP(A350,Table!B:C,2,0)</f>
        <v>中航机电</v>
      </c>
      <c r="F350" t="str">
        <f>TRIM(VLOOKUP(A350,Table!B:O,14,0))</f>
        <v>航天航空</v>
      </c>
      <c r="G350" t="str">
        <f>VLOOKUP(F350,industry!A:C,2,0)</f>
        <v>航空</v>
      </c>
      <c r="H350" t="str">
        <f>VLOOKUP(F350,industry!A:C,3,0)</f>
        <v>航</v>
      </c>
      <c r="J350" s="2" t="s">
        <v>12585</v>
      </c>
      <c r="K350" t="str">
        <f t="shared" si="32"/>
        <v>sz002013</v>
      </c>
      <c r="L350" t="str">
        <f t="shared" si="33"/>
        <v>中航机电</v>
      </c>
      <c r="M350" t="str">
        <f t="shared" si="34"/>
        <v>航空</v>
      </c>
      <c r="N350" t="str">
        <f t="shared" si="35"/>
        <v>航</v>
      </c>
      <c r="P350" s="2" t="s">
        <v>12585</v>
      </c>
      <c r="Q350" t="s">
        <v>10308</v>
      </c>
      <c r="R350">
        <v>0</v>
      </c>
    </row>
    <row r="351" spans="1:18" x14ac:dyDescent="0.25">
      <c r="A351" t="s">
        <v>11049</v>
      </c>
      <c r="C351" t="str">
        <f t="shared" si="30"/>
        <v>sh</v>
      </c>
      <c r="D351" t="str">
        <f t="shared" si="31"/>
        <v>sh601021</v>
      </c>
      <c r="E351" t="str">
        <f>VLOOKUP(A351,Table!B:C,2,0)</f>
        <v>春秋航空</v>
      </c>
      <c r="F351" t="str">
        <f>TRIM(VLOOKUP(A351,Table!B:O,14,0))</f>
        <v>民航机场</v>
      </c>
      <c r="G351" t="str">
        <f>VLOOKUP(F351,industry!A:C,2,0)</f>
        <v>民航</v>
      </c>
      <c r="H351" t="str">
        <f>VLOOKUP(F351,industry!A:C,3,0)</f>
        <v>飞</v>
      </c>
      <c r="J351" s="2" t="s">
        <v>12585</v>
      </c>
      <c r="K351" t="str">
        <f t="shared" si="32"/>
        <v>sh601021</v>
      </c>
      <c r="L351" t="str">
        <f t="shared" si="33"/>
        <v>春秋航空</v>
      </c>
      <c r="M351" t="str">
        <f t="shared" si="34"/>
        <v>民航</v>
      </c>
      <c r="N351" t="str">
        <f t="shared" si="35"/>
        <v>飞</v>
      </c>
      <c r="P351" s="2" t="s">
        <v>12585</v>
      </c>
      <c r="Q351" t="s">
        <v>10131</v>
      </c>
      <c r="R351">
        <v>0</v>
      </c>
    </row>
    <row r="352" spans="1:18" x14ac:dyDescent="0.25">
      <c r="A352" t="s">
        <v>11050</v>
      </c>
      <c r="C352" t="str">
        <f t="shared" si="30"/>
        <v>sz</v>
      </c>
      <c r="D352" t="str">
        <f t="shared" si="31"/>
        <v>sz300144</v>
      </c>
      <c r="E352" t="str">
        <f>VLOOKUP(A352,Table!B:C,2,0)</f>
        <v>宋城演艺</v>
      </c>
      <c r="F352" t="str">
        <f>TRIM(VLOOKUP(A352,Table!B:O,14,0))</f>
        <v>旅游酒店</v>
      </c>
      <c r="G352" t="str">
        <f>VLOOKUP(F352,industry!A:C,2,0)</f>
        <v>旅游</v>
      </c>
      <c r="H352" t="str">
        <f>VLOOKUP(F352,industry!A:C,3,0)</f>
        <v>旅</v>
      </c>
      <c r="J352" s="2" t="s">
        <v>12585</v>
      </c>
      <c r="K352" t="str">
        <f t="shared" si="32"/>
        <v>sz300144</v>
      </c>
      <c r="L352" t="str">
        <f t="shared" si="33"/>
        <v>宋城演艺</v>
      </c>
      <c r="M352" t="str">
        <f t="shared" si="34"/>
        <v>旅游</v>
      </c>
      <c r="N352" t="str">
        <f t="shared" si="35"/>
        <v>旅</v>
      </c>
      <c r="P352" s="2" t="s">
        <v>12585</v>
      </c>
      <c r="Q352" t="s">
        <v>10121</v>
      </c>
      <c r="R352">
        <v>0</v>
      </c>
    </row>
    <row r="353" spans="1:18" x14ac:dyDescent="0.25">
      <c r="A353" t="s">
        <v>11051</v>
      </c>
      <c r="C353" t="str">
        <f t="shared" si="30"/>
        <v>sh</v>
      </c>
      <c r="D353" t="str">
        <f t="shared" si="31"/>
        <v>sh601179</v>
      </c>
      <c r="E353" t="str">
        <f>VLOOKUP(A353,Table!B:C,2,0)</f>
        <v>中国西电</v>
      </c>
      <c r="F353" t="str">
        <f>TRIM(VLOOKUP(A353,Table!B:O,14,0))</f>
        <v>输配电气</v>
      </c>
      <c r="G353" t="str">
        <f>VLOOKUP(F353,industry!A:C,2,0)</f>
        <v>配电</v>
      </c>
      <c r="H353" t="str">
        <f>VLOOKUP(F353,industry!A:C,3,0)</f>
        <v>输电</v>
      </c>
      <c r="J353" s="2" t="s">
        <v>12585</v>
      </c>
      <c r="K353" t="str">
        <f t="shared" si="32"/>
        <v>sh601179</v>
      </c>
      <c r="L353" t="str">
        <f t="shared" si="33"/>
        <v>中国西电</v>
      </c>
      <c r="M353" t="str">
        <f t="shared" si="34"/>
        <v>配电</v>
      </c>
      <c r="N353" t="str">
        <f t="shared" si="35"/>
        <v>输电</v>
      </c>
      <c r="P353" s="2" t="s">
        <v>12585</v>
      </c>
      <c r="Q353" t="s">
        <v>10306</v>
      </c>
      <c r="R353">
        <v>0</v>
      </c>
    </row>
    <row r="354" spans="1:18" x14ac:dyDescent="0.25">
      <c r="A354" t="s">
        <v>11052</v>
      </c>
      <c r="C354" t="str">
        <f t="shared" si="30"/>
        <v>sz</v>
      </c>
      <c r="D354" t="str">
        <f t="shared" si="31"/>
        <v>sz000060</v>
      </c>
      <c r="E354" t="str">
        <f>VLOOKUP(A354,Table!B:C,2,0)</f>
        <v>中金岭南</v>
      </c>
      <c r="F354" t="str">
        <f>TRIM(VLOOKUP(A354,Table!B:O,14,0))</f>
        <v>有色金属</v>
      </c>
      <c r="G354" t="str">
        <f>VLOOKUP(F354,industry!A:C,2,0)</f>
        <v>有色</v>
      </c>
      <c r="H354" t="str">
        <f>VLOOKUP(F354,industry!A:C,3,0)</f>
        <v>色</v>
      </c>
      <c r="J354" s="2" t="s">
        <v>12585</v>
      </c>
      <c r="K354" t="str">
        <f t="shared" si="32"/>
        <v>sz000060</v>
      </c>
      <c r="L354" t="str">
        <f t="shared" si="33"/>
        <v>中金岭南</v>
      </c>
      <c r="M354" t="str">
        <f t="shared" si="34"/>
        <v>有色</v>
      </c>
      <c r="N354" t="str">
        <f t="shared" si="35"/>
        <v>色</v>
      </c>
      <c r="P354" s="2" t="s">
        <v>12585</v>
      </c>
      <c r="Q354" t="s">
        <v>10466</v>
      </c>
      <c r="R354">
        <v>0</v>
      </c>
    </row>
    <row r="355" spans="1:18" x14ac:dyDescent="0.25">
      <c r="A355" t="s">
        <v>11053</v>
      </c>
      <c r="C355" t="str">
        <f t="shared" si="30"/>
        <v>sz</v>
      </c>
      <c r="D355" t="str">
        <f t="shared" si="31"/>
        <v>sz002074</v>
      </c>
      <c r="E355" t="str">
        <f>VLOOKUP(A355,Table!B:C,2,0)</f>
        <v>国轩高科</v>
      </c>
      <c r="F355" t="str">
        <f>TRIM(VLOOKUP(A355,Table!B:O,14,0))</f>
        <v>材料行业</v>
      </c>
      <c r="G355" t="str">
        <f>VLOOKUP(F355,industry!A:C,2,0)</f>
        <v>材料</v>
      </c>
      <c r="H355" t="str">
        <f>VLOOKUP(F355,industry!A:C,3,0)</f>
        <v>材</v>
      </c>
      <c r="J355" s="2" t="s">
        <v>12585</v>
      </c>
      <c r="K355" t="str">
        <f t="shared" si="32"/>
        <v>sz002074</v>
      </c>
      <c r="L355" t="str">
        <f t="shared" si="33"/>
        <v>国轩高科</v>
      </c>
      <c r="M355" t="str">
        <f t="shared" si="34"/>
        <v>材料</v>
      </c>
      <c r="N355" t="str">
        <f t="shared" si="35"/>
        <v>材</v>
      </c>
      <c r="P355" s="2" t="s">
        <v>12585</v>
      </c>
      <c r="Q355" t="s">
        <v>10238</v>
      </c>
      <c r="R355">
        <v>0</v>
      </c>
    </row>
    <row r="356" spans="1:18" x14ac:dyDescent="0.25">
      <c r="A356" t="s">
        <v>11054</v>
      </c>
      <c r="C356" t="str">
        <f t="shared" si="30"/>
        <v>sz</v>
      </c>
      <c r="D356" t="str">
        <f t="shared" si="31"/>
        <v>sz000999</v>
      </c>
      <c r="E356" t="str">
        <f>VLOOKUP(A356,Table!B:C,2,0)</f>
        <v>华润三九</v>
      </c>
      <c r="F356" t="str">
        <f>TRIM(VLOOKUP(A356,Table!B:O,14,0))</f>
        <v>医药制造</v>
      </c>
      <c r="G356" t="str">
        <f>VLOOKUP(F356,industry!A:C,2,0)</f>
        <v>医药</v>
      </c>
      <c r="H356" t="str">
        <f>VLOOKUP(F356,industry!A:C,3,0)</f>
        <v>药</v>
      </c>
      <c r="J356" s="2" t="s">
        <v>12585</v>
      </c>
      <c r="K356" t="str">
        <f t="shared" si="32"/>
        <v>sz000999</v>
      </c>
      <c r="L356" t="str">
        <f t="shared" si="33"/>
        <v>华润三九</v>
      </c>
      <c r="M356" t="str">
        <f t="shared" si="34"/>
        <v>医药</v>
      </c>
      <c r="N356" t="str">
        <f t="shared" si="35"/>
        <v>药</v>
      </c>
      <c r="P356" s="2" t="s">
        <v>12585</v>
      </c>
      <c r="Q356" t="s">
        <v>10374</v>
      </c>
      <c r="R356">
        <v>0</v>
      </c>
    </row>
    <row r="357" spans="1:18" x14ac:dyDescent="0.25">
      <c r="A357" t="s">
        <v>11055</v>
      </c>
      <c r="C357" t="str">
        <f t="shared" si="30"/>
        <v>sz</v>
      </c>
      <c r="D357" t="str">
        <f t="shared" si="31"/>
        <v>sz002422</v>
      </c>
      <c r="E357" t="str">
        <f>VLOOKUP(A357,Table!B:C,2,0)</f>
        <v>科伦药业</v>
      </c>
      <c r="F357" t="str">
        <f>TRIM(VLOOKUP(A357,Table!B:O,14,0))</f>
        <v>医药制造</v>
      </c>
      <c r="G357" t="str">
        <f>VLOOKUP(F357,industry!A:C,2,0)</f>
        <v>医药</v>
      </c>
      <c r="H357" t="str">
        <f>VLOOKUP(F357,industry!A:C,3,0)</f>
        <v>药</v>
      </c>
      <c r="J357" s="2" t="s">
        <v>12585</v>
      </c>
      <c r="K357" t="str">
        <f t="shared" si="32"/>
        <v>sz002422</v>
      </c>
      <c r="L357" t="str">
        <f t="shared" si="33"/>
        <v>科伦药业</v>
      </c>
      <c r="M357" t="str">
        <f t="shared" si="34"/>
        <v>医药</v>
      </c>
      <c r="N357" t="str">
        <f t="shared" si="35"/>
        <v>药</v>
      </c>
      <c r="P357" s="2" t="s">
        <v>12585</v>
      </c>
      <c r="Q357" t="s">
        <v>10420</v>
      </c>
      <c r="R357">
        <v>0</v>
      </c>
    </row>
    <row r="358" spans="1:18" x14ac:dyDescent="0.25">
      <c r="A358" t="s">
        <v>11056</v>
      </c>
      <c r="C358" t="str">
        <f t="shared" si="30"/>
        <v>sh</v>
      </c>
      <c r="D358" t="str">
        <f t="shared" si="31"/>
        <v>sh600578</v>
      </c>
      <c r="E358" t="str">
        <f>VLOOKUP(A358,Table!B:C,2,0)</f>
        <v>京能电力</v>
      </c>
      <c r="F358" t="str">
        <f>TRIM(VLOOKUP(A358,Table!B:O,14,0))</f>
        <v>电力行业</v>
      </c>
      <c r="G358" t="str">
        <f>VLOOKUP(F358,industry!A:C,2,0)</f>
        <v>电力</v>
      </c>
      <c r="H358" t="str">
        <f>VLOOKUP(F358,industry!A:C,3,0)</f>
        <v>电力</v>
      </c>
      <c r="J358" s="2" t="s">
        <v>12585</v>
      </c>
      <c r="K358" t="str">
        <f t="shared" si="32"/>
        <v>sh600578</v>
      </c>
      <c r="L358" t="str">
        <f t="shared" si="33"/>
        <v>京能电力</v>
      </c>
      <c r="M358" t="str">
        <f t="shared" si="34"/>
        <v>电力</v>
      </c>
      <c r="N358" t="str">
        <f t="shared" si="35"/>
        <v>电力</v>
      </c>
      <c r="P358" s="2" t="s">
        <v>12585</v>
      </c>
      <c r="Q358" t="s">
        <v>12089</v>
      </c>
      <c r="R358">
        <v>0</v>
      </c>
    </row>
    <row r="359" spans="1:18" x14ac:dyDescent="0.25">
      <c r="A359" t="s">
        <v>11057</v>
      </c>
      <c r="C359" t="str">
        <f t="shared" si="30"/>
        <v>sh</v>
      </c>
      <c r="D359" t="str">
        <f t="shared" si="31"/>
        <v>sh600777</v>
      </c>
      <c r="E359" t="str">
        <f>VLOOKUP(A359,Table!B:C,2,0)</f>
        <v>新潮能源</v>
      </c>
      <c r="F359" t="str">
        <f>TRIM(VLOOKUP(A359,Table!B:O,14,0))</f>
        <v>石油行业</v>
      </c>
      <c r="G359" t="str">
        <f>VLOOKUP(F359,industry!A:C,2,0)</f>
        <v>石油</v>
      </c>
      <c r="H359" t="str">
        <f>VLOOKUP(F359,industry!A:C,3,0)</f>
        <v>油</v>
      </c>
      <c r="J359" s="2" t="s">
        <v>12585</v>
      </c>
      <c r="K359" t="str">
        <f t="shared" si="32"/>
        <v>sh600777</v>
      </c>
      <c r="L359" t="str">
        <f t="shared" si="33"/>
        <v>新潮能源</v>
      </c>
      <c r="M359" t="str">
        <f t="shared" si="34"/>
        <v>石油</v>
      </c>
      <c r="N359" t="str">
        <f t="shared" si="35"/>
        <v>油</v>
      </c>
      <c r="P359" s="2" t="s">
        <v>12585</v>
      </c>
      <c r="Q359" t="s">
        <v>12611</v>
      </c>
      <c r="R359">
        <v>0</v>
      </c>
    </row>
    <row r="360" spans="1:18" x14ac:dyDescent="0.25">
      <c r="A360" t="s">
        <v>11058</v>
      </c>
      <c r="C360" t="str">
        <f t="shared" si="30"/>
        <v>sh</v>
      </c>
      <c r="D360" t="str">
        <f t="shared" si="31"/>
        <v>sh600827</v>
      </c>
      <c r="E360" t="str">
        <f>VLOOKUP(A360,Table!B:C,2,0)</f>
        <v>百联股份</v>
      </c>
      <c r="F360" t="str">
        <f>TRIM(VLOOKUP(A360,Table!B:O,14,0))</f>
        <v>商业百货</v>
      </c>
      <c r="G360" t="str">
        <f>VLOOKUP(F360,industry!A:C,2,0)</f>
        <v>百货</v>
      </c>
      <c r="H360" t="str">
        <f>VLOOKUP(F360,industry!A:C,3,0)</f>
        <v>商</v>
      </c>
      <c r="J360" s="2" t="s">
        <v>12585</v>
      </c>
      <c r="K360" t="str">
        <f t="shared" si="32"/>
        <v>sh600827</v>
      </c>
      <c r="L360" t="str">
        <f t="shared" si="33"/>
        <v>百联股份</v>
      </c>
      <c r="M360" t="str">
        <f t="shared" si="34"/>
        <v>百货</v>
      </c>
      <c r="N360" t="str">
        <f t="shared" si="35"/>
        <v>商</v>
      </c>
      <c r="P360" s="2" t="s">
        <v>12585</v>
      </c>
      <c r="Q360" t="s">
        <v>10508</v>
      </c>
      <c r="R360">
        <v>0</v>
      </c>
    </row>
    <row r="361" spans="1:18" x14ac:dyDescent="0.25">
      <c r="A361" t="s">
        <v>11059</v>
      </c>
      <c r="C361" t="str">
        <f t="shared" si="30"/>
        <v>sh</v>
      </c>
      <c r="D361" t="str">
        <f t="shared" si="31"/>
        <v>sh600038</v>
      </c>
      <c r="E361" t="str">
        <f>VLOOKUP(A361,Table!B:C,2,0)</f>
        <v>中直股份</v>
      </c>
      <c r="F361" t="str">
        <f>TRIM(VLOOKUP(A361,Table!B:O,14,0))</f>
        <v>航天航空</v>
      </c>
      <c r="G361" t="str">
        <f>VLOOKUP(F361,industry!A:C,2,0)</f>
        <v>航空</v>
      </c>
      <c r="H361" t="str">
        <f>VLOOKUP(F361,industry!A:C,3,0)</f>
        <v>航</v>
      </c>
      <c r="J361" s="2" t="s">
        <v>12585</v>
      </c>
      <c r="K361" t="str">
        <f t="shared" si="32"/>
        <v>sh600038</v>
      </c>
      <c r="L361" t="str">
        <f t="shared" si="33"/>
        <v>中直股份</v>
      </c>
      <c r="M361" t="str">
        <f t="shared" si="34"/>
        <v>航空</v>
      </c>
      <c r="N361" t="str">
        <f t="shared" si="35"/>
        <v>航</v>
      </c>
      <c r="P361" s="2" t="s">
        <v>12585</v>
      </c>
      <c r="Q361" t="s">
        <v>10384</v>
      </c>
      <c r="R361">
        <v>0</v>
      </c>
    </row>
    <row r="362" spans="1:18" x14ac:dyDescent="0.25">
      <c r="A362" t="s">
        <v>11060</v>
      </c>
      <c r="C362" t="str">
        <f t="shared" si="30"/>
        <v>sh</v>
      </c>
      <c r="D362" t="str">
        <f t="shared" si="31"/>
        <v>sh601098</v>
      </c>
      <c r="E362" t="str">
        <f>VLOOKUP(A362,Table!B:C,2,0)</f>
        <v>中南传媒</v>
      </c>
      <c r="F362" t="str">
        <f>TRIM(VLOOKUP(A362,Table!B:O,14,0))</f>
        <v>文化传媒</v>
      </c>
      <c r="G362" t="str">
        <f>VLOOKUP(F362,industry!A:C,2,0)</f>
        <v>传媒</v>
      </c>
      <c r="H362" t="str">
        <f>VLOOKUP(F362,industry!A:C,3,0)</f>
        <v>传</v>
      </c>
      <c r="J362" s="2" t="s">
        <v>12585</v>
      </c>
      <c r="K362" t="str">
        <f t="shared" si="32"/>
        <v>sh601098</v>
      </c>
      <c r="L362" t="str">
        <f t="shared" si="33"/>
        <v>中南传媒</v>
      </c>
      <c r="M362" t="str">
        <f t="shared" si="34"/>
        <v>传媒</v>
      </c>
      <c r="N362" t="str">
        <f t="shared" si="35"/>
        <v>传</v>
      </c>
      <c r="P362" s="2" t="s">
        <v>12585</v>
      </c>
      <c r="Q362" t="s">
        <v>10179</v>
      </c>
      <c r="R362">
        <v>0</v>
      </c>
    </row>
    <row r="363" spans="1:18" x14ac:dyDescent="0.25">
      <c r="A363" t="s">
        <v>11061</v>
      </c>
      <c r="C363" t="str">
        <f t="shared" si="30"/>
        <v>sz</v>
      </c>
      <c r="D363" t="str">
        <f t="shared" si="31"/>
        <v>sz000980</v>
      </c>
      <c r="E363" t="str">
        <f>VLOOKUP(A363,Table!B:C,2,0)</f>
        <v>众泰汽车</v>
      </c>
      <c r="F363" t="str">
        <f>TRIM(VLOOKUP(A363,Table!B:O,14,0))</f>
        <v>汽车行业</v>
      </c>
      <c r="G363" t="str">
        <f>VLOOKUP(F363,industry!A:C,2,0)</f>
        <v>汽车</v>
      </c>
      <c r="H363" t="str">
        <f>VLOOKUP(F363,industry!A:C,3,0)</f>
        <v>车</v>
      </c>
      <c r="J363" s="2" t="s">
        <v>12585</v>
      </c>
      <c r="K363" t="str">
        <f t="shared" si="32"/>
        <v>sz000980</v>
      </c>
      <c r="L363" t="str">
        <f t="shared" si="33"/>
        <v>众泰汽车</v>
      </c>
      <c r="M363" t="str">
        <f t="shared" si="34"/>
        <v>汽车</v>
      </c>
      <c r="N363" t="str">
        <f t="shared" si="35"/>
        <v>车</v>
      </c>
      <c r="P363" s="2" t="s">
        <v>12585</v>
      </c>
      <c r="Q363" t="s">
        <v>12612</v>
      </c>
      <c r="R363">
        <v>0</v>
      </c>
    </row>
    <row r="364" spans="1:18" x14ac:dyDescent="0.25">
      <c r="A364" t="s">
        <v>11062</v>
      </c>
      <c r="C364" t="str">
        <f t="shared" si="30"/>
        <v>sh</v>
      </c>
      <c r="D364" t="str">
        <f t="shared" si="31"/>
        <v>sh600739</v>
      </c>
      <c r="E364" t="str">
        <f>VLOOKUP(A364,Table!B:C,2,0)</f>
        <v>辽宁成大</v>
      </c>
      <c r="F364" t="str">
        <f>TRIM(VLOOKUP(A364,Table!B:O,14,0))</f>
        <v>商业百货</v>
      </c>
      <c r="G364" t="str">
        <f>VLOOKUP(F364,industry!A:C,2,0)</f>
        <v>百货</v>
      </c>
      <c r="H364" t="str">
        <f>VLOOKUP(F364,industry!A:C,3,0)</f>
        <v>商</v>
      </c>
      <c r="J364" s="2" t="s">
        <v>12585</v>
      </c>
      <c r="K364" t="str">
        <f t="shared" si="32"/>
        <v>sh600739</v>
      </c>
      <c r="L364" t="str">
        <f t="shared" si="33"/>
        <v>辽宁成大</v>
      </c>
      <c r="M364" t="str">
        <f t="shared" si="34"/>
        <v>百货</v>
      </c>
      <c r="N364" t="str">
        <f t="shared" si="35"/>
        <v>商</v>
      </c>
      <c r="P364" s="2" t="s">
        <v>12585</v>
      </c>
      <c r="Q364" t="s">
        <v>10248</v>
      </c>
      <c r="R364">
        <v>0</v>
      </c>
    </row>
    <row r="365" spans="1:18" x14ac:dyDescent="0.25">
      <c r="A365" t="s">
        <v>11063</v>
      </c>
      <c r="C365" t="str">
        <f t="shared" si="30"/>
        <v>sh</v>
      </c>
      <c r="D365" t="str">
        <f t="shared" si="31"/>
        <v>sh600583</v>
      </c>
      <c r="E365" t="str">
        <f>VLOOKUP(A365,Table!B:C,2,0)</f>
        <v>海油工程</v>
      </c>
      <c r="F365" t="str">
        <f>TRIM(VLOOKUP(A365,Table!B:O,14,0))</f>
        <v>石油行业</v>
      </c>
      <c r="G365" t="str">
        <f>VLOOKUP(F365,industry!A:C,2,0)</f>
        <v>石油</v>
      </c>
      <c r="H365" t="str">
        <f>VLOOKUP(F365,industry!A:C,3,0)</f>
        <v>油</v>
      </c>
      <c r="J365" s="2" t="s">
        <v>12585</v>
      </c>
      <c r="K365" t="str">
        <f t="shared" si="32"/>
        <v>sh600583</v>
      </c>
      <c r="L365" t="str">
        <f t="shared" si="33"/>
        <v>海油工程</v>
      </c>
      <c r="M365" t="str">
        <f t="shared" si="34"/>
        <v>石油</v>
      </c>
      <c r="N365" t="str">
        <f t="shared" si="35"/>
        <v>油</v>
      </c>
      <c r="P365" s="2" t="s">
        <v>12585</v>
      </c>
      <c r="Q365" t="s">
        <v>10206</v>
      </c>
      <c r="R365">
        <v>0</v>
      </c>
    </row>
    <row r="366" spans="1:18" x14ac:dyDescent="0.25">
      <c r="A366" t="s">
        <v>11064</v>
      </c>
      <c r="C366" t="str">
        <f t="shared" si="30"/>
        <v>sz</v>
      </c>
      <c r="D366" t="str">
        <f t="shared" si="31"/>
        <v>sz000539</v>
      </c>
      <c r="E366" t="str">
        <f>VLOOKUP(A366,Table!B:C,2,0)</f>
        <v>粤电力Ａ</v>
      </c>
      <c r="F366" t="str">
        <f>TRIM(VLOOKUP(A366,Table!B:O,14,0))</f>
        <v>电力行业</v>
      </c>
      <c r="G366" t="str">
        <f>VLOOKUP(F366,industry!A:C,2,0)</f>
        <v>电力</v>
      </c>
      <c r="H366" t="str">
        <f>VLOOKUP(F366,industry!A:C,3,0)</f>
        <v>电力</v>
      </c>
      <c r="J366" s="2" t="s">
        <v>12585</v>
      </c>
      <c r="K366" t="str">
        <f t="shared" si="32"/>
        <v>sz000539</v>
      </c>
      <c r="L366" t="str">
        <f t="shared" si="33"/>
        <v>粤电力Ａ</v>
      </c>
      <c r="M366" t="str">
        <f t="shared" si="34"/>
        <v>电力</v>
      </c>
      <c r="N366" t="str">
        <f t="shared" si="35"/>
        <v>电力</v>
      </c>
      <c r="P366" s="2" t="s">
        <v>12585</v>
      </c>
      <c r="Q366" t="s">
        <v>10326</v>
      </c>
      <c r="R366">
        <v>0</v>
      </c>
    </row>
    <row r="367" spans="1:18" x14ac:dyDescent="0.25">
      <c r="A367" t="s">
        <v>11065</v>
      </c>
      <c r="C367" t="str">
        <f t="shared" si="30"/>
        <v>sh</v>
      </c>
      <c r="D367" t="str">
        <f t="shared" si="31"/>
        <v>sh600642</v>
      </c>
      <c r="E367" t="str">
        <f>VLOOKUP(A367,Table!B:C,2,0)</f>
        <v>申能股份</v>
      </c>
      <c r="F367" t="str">
        <f>TRIM(VLOOKUP(A367,Table!B:O,14,0))</f>
        <v>电力行业</v>
      </c>
      <c r="G367" t="str">
        <f>VLOOKUP(F367,industry!A:C,2,0)</f>
        <v>电力</v>
      </c>
      <c r="H367" t="str">
        <f>VLOOKUP(F367,industry!A:C,3,0)</f>
        <v>电力</v>
      </c>
      <c r="J367" s="2" t="s">
        <v>12585</v>
      </c>
      <c r="K367" t="str">
        <f t="shared" si="32"/>
        <v>sh600642</v>
      </c>
      <c r="L367" t="str">
        <f t="shared" si="33"/>
        <v>申能股份</v>
      </c>
      <c r="M367" t="str">
        <f t="shared" si="34"/>
        <v>电力</v>
      </c>
      <c r="N367" t="str">
        <f t="shared" si="35"/>
        <v>电力</v>
      </c>
      <c r="P367" s="2" t="s">
        <v>12585</v>
      </c>
      <c r="Q367" t="s">
        <v>10340</v>
      </c>
      <c r="R367">
        <v>0</v>
      </c>
    </row>
    <row r="368" spans="1:18" x14ac:dyDescent="0.25">
      <c r="A368" t="s">
        <v>11066</v>
      </c>
      <c r="C368" t="str">
        <f t="shared" si="30"/>
        <v>sz</v>
      </c>
      <c r="D368" t="str">
        <f t="shared" si="31"/>
        <v>sz002143</v>
      </c>
      <c r="E368" t="str">
        <f>VLOOKUP(A368,Table!B:C,2,0)</f>
        <v>印纪传媒</v>
      </c>
      <c r="F368" t="str">
        <f>TRIM(VLOOKUP(A368,Table!B:O,14,0))</f>
        <v>文化传媒</v>
      </c>
      <c r="G368" t="str">
        <f>VLOOKUP(F368,industry!A:C,2,0)</f>
        <v>传媒</v>
      </c>
      <c r="H368" t="str">
        <f>VLOOKUP(F368,industry!A:C,3,0)</f>
        <v>传</v>
      </c>
      <c r="J368" s="2" t="s">
        <v>12585</v>
      </c>
      <c r="K368" t="str">
        <f t="shared" si="32"/>
        <v>sz002143</v>
      </c>
      <c r="L368" t="str">
        <f t="shared" si="33"/>
        <v>印纪传媒</v>
      </c>
      <c r="M368" t="str">
        <f t="shared" si="34"/>
        <v>传媒</v>
      </c>
      <c r="N368" t="str">
        <f t="shared" si="35"/>
        <v>传</v>
      </c>
      <c r="P368" s="2" t="s">
        <v>12585</v>
      </c>
      <c r="Q368" t="s">
        <v>10298</v>
      </c>
      <c r="R368">
        <v>0</v>
      </c>
    </row>
    <row r="369" spans="1:18" x14ac:dyDescent="0.25">
      <c r="A369" t="s">
        <v>11067</v>
      </c>
      <c r="C369" t="str">
        <f t="shared" si="30"/>
        <v>sz</v>
      </c>
      <c r="D369" t="str">
        <f t="shared" si="31"/>
        <v>sz000671</v>
      </c>
      <c r="E369" t="str">
        <f>VLOOKUP(A369,Table!B:C,2,0)</f>
        <v>阳 光 城</v>
      </c>
      <c r="F369" t="str">
        <f>TRIM(VLOOKUP(A369,Table!B:O,14,0))</f>
        <v>房地产</v>
      </c>
      <c r="G369" t="str">
        <f>VLOOKUP(F369,industry!A:C,2,0)</f>
        <v>房产</v>
      </c>
      <c r="H369" t="str">
        <f>VLOOKUP(F369,industry!A:C,3,0)</f>
        <v>产</v>
      </c>
      <c r="J369" s="2" t="s">
        <v>12585</v>
      </c>
      <c r="K369" t="str">
        <f t="shared" si="32"/>
        <v>sz000671</v>
      </c>
      <c r="L369" t="str">
        <f t="shared" si="33"/>
        <v>阳 光 城</v>
      </c>
      <c r="M369" t="str">
        <f t="shared" si="34"/>
        <v>房产</v>
      </c>
      <c r="N369" t="str">
        <f t="shared" si="35"/>
        <v>产</v>
      </c>
      <c r="P369" s="2" t="s">
        <v>12585</v>
      </c>
      <c r="Q369" t="s">
        <v>10422</v>
      </c>
      <c r="R369">
        <v>0</v>
      </c>
    </row>
    <row r="370" spans="1:18" x14ac:dyDescent="0.25">
      <c r="A370" t="s">
        <v>11068</v>
      </c>
      <c r="C370" t="str">
        <f t="shared" si="30"/>
        <v>sz</v>
      </c>
      <c r="D370" t="str">
        <f t="shared" si="31"/>
        <v>sz002517</v>
      </c>
      <c r="E370" t="str">
        <f>VLOOKUP(A370,Table!B:C,2,0)</f>
        <v>恺英网络</v>
      </c>
      <c r="F370" t="str">
        <f>TRIM(VLOOKUP(A370,Table!B:O,14,0))</f>
        <v>电子信息</v>
      </c>
      <c r="G370" t="str">
        <f>VLOOKUP(F370,industry!A:C,2,0)</f>
        <v>信息</v>
      </c>
      <c r="H370" t="str">
        <f>VLOOKUP(F370,industry!A:C,3,0)</f>
        <v>咨</v>
      </c>
      <c r="J370" s="2" t="s">
        <v>12585</v>
      </c>
      <c r="K370" t="str">
        <f t="shared" si="32"/>
        <v>sz002517</v>
      </c>
      <c r="L370" t="str">
        <f t="shared" si="33"/>
        <v>恺英网络</v>
      </c>
      <c r="M370" t="str">
        <f t="shared" si="34"/>
        <v>信息</v>
      </c>
      <c r="N370" t="str">
        <f t="shared" si="35"/>
        <v>咨</v>
      </c>
      <c r="P370" s="2" t="s">
        <v>12585</v>
      </c>
      <c r="Q370" t="s">
        <v>10348</v>
      </c>
      <c r="R370">
        <v>0</v>
      </c>
    </row>
    <row r="371" spans="1:18" x14ac:dyDescent="0.25">
      <c r="A371" t="s">
        <v>11069</v>
      </c>
      <c r="C371" t="str">
        <f t="shared" si="30"/>
        <v>sz</v>
      </c>
      <c r="D371" t="str">
        <f t="shared" si="31"/>
        <v>sz002001</v>
      </c>
      <c r="E371" t="str">
        <f>VLOOKUP(A371,Table!B:C,2,0)</f>
        <v>新 和 成</v>
      </c>
      <c r="F371" t="str">
        <f>TRIM(VLOOKUP(A371,Table!B:O,14,0))</f>
        <v>医药制造</v>
      </c>
      <c r="G371" t="str">
        <f>VLOOKUP(F371,industry!A:C,2,0)</f>
        <v>医药</v>
      </c>
      <c r="H371" t="str">
        <f>VLOOKUP(F371,industry!A:C,3,0)</f>
        <v>药</v>
      </c>
      <c r="J371" s="2" t="s">
        <v>12585</v>
      </c>
      <c r="K371" t="str">
        <f t="shared" si="32"/>
        <v>sz002001</v>
      </c>
      <c r="L371" t="str">
        <f t="shared" si="33"/>
        <v>新 和 成</v>
      </c>
      <c r="M371" t="str">
        <f t="shared" si="34"/>
        <v>医药</v>
      </c>
      <c r="N371" t="str">
        <f t="shared" si="35"/>
        <v>药</v>
      </c>
      <c r="P371" s="2" t="s">
        <v>12585</v>
      </c>
      <c r="Q371" t="s">
        <v>10450</v>
      </c>
      <c r="R371">
        <v>0</v>
      </c>
    </row>
    <row r="372" spans="1:18" x14ac:dyDescent="0.25">
      <c r="A372" t="s">
        <v>11070</v>
      </c>
      <c r="C372" t="str">
        <f t="shared" si="30"/>
        <v>sh</v>
      </c>
      <c r="D372" t="str">
        <f t="shared" si="31"/>
        <v>sh601106</v>
      </c>
      <c r="E372" t="str">
        <f>VLOOKUP(A372,Table!B:C,2,0)</f>
        <v>*ST一重</v>
      </c>
      <c r="F372" t="str">
        <f>TRIM(VLOOKUP(A372,Table!B:O,14,0))</f>
        <v>机械行业</v>
      </c>
      <c r="G372" t="str">
        <f>VLOOKUP(F372,industry!A:C,2,0)</f>
        <v>机械</v>
      </c>
      <c r="H372" t="str">
        <f>VLOOKUP(F372,industry!A:C,3,0)</f>
        <v>械</v>
      </c>
      <c r="J372" s="2" t="s">
        <v>12585</v>
      </c>
      <c r="K372" t="str">
        <f t="shared" si="32"/>
        <v>sh601106</v>
      </c>
      <c r="L372" t="str">
        <f t="shared" si="33"/>
        <v>*ST一重</v>
      </c>
      <c r="M372" t="str">
        <f t="shared" si="34"/>
        <v>机械</v>
      </c>
      <c r="N372" t="str">
        <f t="shared" si="35"/>
        <v>械</v>
      </c>
      <c r="P372" s="2" t="s">
        <v>12585</v>
      </c>
      <c r="Q372" t="s">
        <v>10093</v>
      </c>
      <c r="R372">
        <v>0</v>
      </c>
    </row>
    <row r="373" spans="1:18" x14ac:dyDescent="0.25">
      <c r="A373" t="s">
        <v>11071</v>
      </c>
      <c r="C373" t="str">
        <f t="shared" si="30"/>
        <v>sh</v>
      </c>
      <c r="D373" t="str">
        <f t="shared" si="31"/>
        <v>sh600056</v>
      </c>
      <c r="E373" t="str">
        <f>VLOOKUP(A373,Table!B:C,2,0)</f>
        <v>中国医药</v>
      </c>
      <c r="F373" t="str">
        <f>TRIM(VLOOKUP(A373,Table!B:O,14,0))</f>
        <v>医药制造</v>
      </c>
      <c r="G373" t="str">
        <f>VLOOKUP(F373,industry!A:C,2,0)</f>
        <v>医药</v>
      </c>
      <c r="H373" t="str">
        <f>VLOOKUP(F373,industry!A:C,3,0)</f>
        <v>药</v>
      </c>
      <c r="J373" s="2" t="s">
        <v>12585</v>
      </c>
      <c r="K373" t="str">
        <f t="shared" si="32"/>
        <v>sh600056</v>
      </c>
      <c r="L373" t="str">
        <f t="shared" si="33"/>
        <v>中国医药</v>
      </c>
      <c r="M373" t="str">
        <f t="shared" si="34"/>
        <v>医药</v>
      </c>
      <c r="N373" t="str">
        <f t="shared" si="35"/>
        <v>药</v>
      </c>
      <c r="P373" s="2" t="s">
        <v>12585</v>
      </c>
      <c r="Q373" t="s">
        <v>10603</v>
      </c>
      <c r="R373">
        <v>0</v>
      </c>
    </row>
    <row r="374" spans="1:18" x14ac:dyDescent="0.25">
      <c r="A374" t="s">
        <v>11072</v>
      </c>
      <c r="C374" t="str">
        <f t="shared" si="30"/>
        <v>sh</v>
      </c>
      <c r="D374" t="str">
        <f t="shared" si="31"/>
        <v>sh601958</v>
      </c>
      <c r="E374" t="str">
        <f>VLOOKUP(A374,Table!B:C,2,0)</f>
        <v>金钼股份</v>
      </c>
      <c r="F374" t="str">
        <f>TRIM(VLOOKUP(A374,Table!B:O,14,0))</f>
        <v>有色金属</v>
      </c>
      <c r="G374" t="str">
        <f>VLOOKUP(F374,industry!A:C,2,0)</f>
        <v>有色</v>
      </c>
      <c r="H374" t="str">
        <f>VLOOKUP(F374,industry!A:C,3,0)</f>
        <v>色</v>
      </c>
      <c r="J374" s="2" t="s">
        <v>12585</v>
      </c>
      <c r="K374" t="str">
        <f t="shared" si="32"/>
        <v>sh601958</v>
      </c>
      <c r="L374" t="str">
        <f t="shared" si="33"/>
        <v>金钼股份</v>
      </c>
      <c r="M374" t="str">
        <f t="shared" si="34"/>
        <v>有色</v>
      </c>
      <c r="N374" t="str">
        <f t="shared" si="35"/>
        <v>色</v>
      </c>
      <c r="P374" s="2" t="s">
        <v>12585</v>
      </c>
      <c r="Q374" t="s">
        <v>10376</v>
      </c>
      <c r="R374">
        <v>0</v>
      </c>
    </row>
    <row r="375" spans="1:18" x14ac:dyDescent="0.25">
      <c r="A375" t="s">
        <v>11073</v>
      </c>
      <c r="C375" t="str">
        <f t="shared" si="30"/>
        <v>sh</v>
      </c>
      <c r="D375" t="str">
        <f t="shared" si="31"/>
        <v>sh600004</v>
      </c>
      <c r="E375" t="str">
        <f>VLOOKUP(A375,Table!B:C,2,0)</f>
        <v>白云机场</v>
      </c>
      <c r="F375" t="str">
        <f>TRIM(VLOOKUP(A375,Table!B:O,14,0))</f>
        <v>民航机场</v>
      </c>
      <c r="G375" t="str">
        <f>VLOOKUP(F375,industry!A:C,2,0)</f>
        <v>民航</v>
      </c>
      <c r="H375" t="str">
        <f>VLOOKUP(F375,industry!A:C,3,0)</f>
        <v>飞</v>
      </c>
      <c r="J375" s="2" t="s">
        <v>12585</v>
      </c>
      <c r="K375" t="str">
        <f t="shared" si="32"/>
        <v>sh600004</v>
      </c>
      <c r="L375" t="str">
        <f t="shared" si="33"/>
        <v>白云机场</v>
      </c>
      <c r="M375" t="str">
        <f t="shared" si="34"/>
        <v>民航</v>
      </c>
      <c r="N375" t="str">
        <f t="shared" si="35"/>
        <v>飞</v>
      </c>
      <c r="P375" s="2" t="s">
        <v>12585</v>
      </c>
      <c r="Q375" t="s">
        <v>12613</v>
      </c>
      <c r="R375">
        <v>0</v>
      </c>
    </row>
    <row r="376" spans="1:18" x14ac:dyDescent="0.25">
      <c r="A376" t="s">
        <v>11074</v>
      </c>
      <c r="C376" t="str">
        <f t="shared" si="30"/>
        <v>sh</v>
      </c>
      <c r="D376" t="str">
        <f t="shared" si="31"/>
        <v>sh600022</v>
      </c>
      <c r="E376" t="str">
        <f>VLOOKUP(A376,Table!B:C,2,0)</f>
        <v>山东钢铁</v>
      </c>
      <c r="F376" t="str">
        <f>TRIM(VLOOKUP(A376,Table!B:O,14,0))</f>
        <v>钢铁行业</v>
      </c>
      <c r="G376" t="str">
        <f>VLOOKUP(F376,industry!A:C,2,0)</f>
        <v>钢铁</v>
      </c>
      <c r="H376" t="str">
        <f>VLOOKUP(F376,industry!A:C,3,0)</f>
        <v>钢</v>
      </c>
      <c r="J376" s="2" t="s">
        <v>12585</v>
      </c>
      <c r="K376" t="str">
        <f t="shared" si="32"/>
        <v>sh600022</v>
      </c>
      <c r="L376" t="str">
        <f t="shared" si="33"/>
        <v>山东钢铁</v>
      </c>
      <c r="M376" t="str">
        <f t="shared" si="34"/>
        <v>钢铁</v>
      </c>
      <c r="N376" t="str">
        <f t="shared" si="35"/>
        <v>钢</v>
      </c>
      <c r="P376" s="2" t="s">
        <v>12585</v>
      </c>
      <c r="Q376" t="s">
        <v>10668</v>
      </c>
      <c r="R376">
        <v>0</v>
      </c>
    </row>
    <row r="377" spans="1:18" x14ac:dyDescent="0.25">
      <c r="A377" t="s">
        <v>11075</v>
      </c>
      <c r="C377" t="str">
        <f t="shared" si="30"/>
        <v>sz</v>
      </c>
      <c r="D377" t="str">
        <f t="shared" si="31"/>
        <v>sz000623</v>
      </c>
      <c r="E377" t="str">
        <f>VLOOKUP(A377,Table!B:C,2,0)</f>
        <v>吉林敖东</v>
      </c>
      <c r="F377" t="str">
        <f>TRIM(VLOOKUP(A377,Table!B:O,14,0))</f>
        <v>医药制造</v>
      </c>
      <c r="G377" t="str">
        <f>VLOOKUP(F377,industry!A:C,2,0)</f>
        <v>医药</v>
      </c>
      <c r="H377" t="str">
        <f>VLOOKUP(F377,industry!A:C,3,0)</f>
        <v>药</v>
      </c>
      <c r="J377" s="2" t="s">
        <v>12585</v>
      </c>
      <c r="K377" t="str">
        <f t="shared" si="32"/>
        <v>sz000623</v>
      </c>
      <c r="L377" t="str">
        <f t="shared" si="33"/>
        <v>吉林敖东</v>
      </c>
      <c r="M377" t="str">
        <f t="shared" si="34"/>
        <v>医药</v>
      </c>
      <c r="N377" t="str">
        <f t="shared" si="35"/>
        <v>药</v>
      </c>
      <c r="P377" s="2" t="s">
        <v>12585</v>
      </c>
      <c r="Q377" t="s">
        <v>10456</v>
      </c>
      <c r="R377">
        <v>0</v>
      </c>
    </row>
    <row r="378" spans="1:18" x14ac:dyDescent="0.25">
      <c r="A378" t="s">
        <v>11076</v>
      </c>
      <c r="C378" t="str">
        <f t="shared" si="30"/>
        <v>sz</v>
      </c>
      <c r="D378" t="str">
        <f t="shared" si="31"/>
        <v>sz300116</v>
      </c>
      <c r="E378" t="str">
        <f>VLOOKUP(A378,Table!B:C,2,0)</f>
        <v>坚瑞沃能</v>
      </c>
      <c r="F378" t="str">
        <f>TRIM(VLOOKUP(A378,Table!B:O,14,0))</f>
        <v>机械行业</v>
      </c>
      <c r="G378" t="str">
        <f>VLOOKUP(F378,industry!A:C,2,0)</f>
        <v>机械</v>
      </c>
      <c r="H378" t="str">
        <f>VLOOKUP(F378,industry!A:C,3,0)</f>
        <v>械</v>
      </c>
      <c r="J378" s="2" t="s">
        <v>12585</v>
      </c>
      <c r="K378" t="str">
        <f t="shared" si="32"/>
        <v>sz300116</v>
      </c>
      <c r="L378" t="str">
        <f t="shared" si="33"/>
        <v>坚瑞沃能</v>
      </c>
      <c r="M378" t="str">
        <f t="shared" si="34"/>
        <v>机械</v>
      </c>
      <c r="N378" t="str">
        <f t="shared" si="35"/>
        <v>械</v>
      </c>
      <c r="P378" s="2" t="s">
        <v>12585</v>
      </c>
      <c r="Q378" t="s">
        <v>10370</v>
      </c>
      <c r="R378">
        <v>0</v>
      </c>
    </row>
    <row r="379" spans="1:18" x14ac:dyDescent="0.25">
      <c r="A379" t="s">
        <v>11077</v>
      </c>
      <c r="C379" t="str">
        <f t="shared" si="30"/>
        <v>sz</v>
      </c>
      <c r="D379" t="str">
        <f t="shared" si="31"/>
        <v>sz000656</v>
      </c>
      <c r="E379" t="str">
        <f>VLOOKUP(A379,Table!B:C,2,0)</f>
        <v>金科股份</v>
      </c>
      <c r="F379" t="str">
        <f>TRIM(VLOOKUP(A379,Table!B:O,14,0))</f>
        <v>房地产</v>
      </c>
      <c r="G379" t="str">
        <f>VLOOKUP(F379,industry!A:C,2,0)</f>
        <v>房产</v>
      </c>
      <c r="H379" t="str">
        <f>VLOOKUP(F379,industry!A:C,3,0)</f>
        <v>产</v>
      </c>
      <c r="J379" s="2" t="s">
        <v>12585</v>
      </c>
      <c r="K379" t="str">
        <f t="shared" si="32"/>
        <v>sz000656</v>
      </c>
      <c r="L379" t="str">
        <f t="shared" si="33"/>
        <v>金科股份</v>
      </c>
      <c r="M379" t="str">
        <f t="shared" si="34"/>
        <v>房产</v>
      </c>
      <c r="N379" t="str">
        <f t="shared" si="35"/>
        <v>产</v>
      </c>
      <c r="P379" s="2" t="s">
        <v>12585</v>
      </c>
      <c r="Q379" t="s">
        <v>10622</v>
      </c>
      <c r="R379">
        <v>0</v>
      </c>
    </row>
    <row r="380" spans="1:18" x14ac:dyDescent="0.25">
      <c r="A380" t="s">
        <v>11078</v>
      </c>
      <c r="C380" t="str">
        <f t="shared" si="30"/>
        <v>sz</v>
      </c>
      <c r="D380" t="str">
        <f t="shared" si="31"/>
        <v>sz002470</v>
      </c>
      <c r="E380" t="str">
        <f>VLOOKUP(A380,Table!B:C,2,0)</f>
        <v>金正大</v>
      </c>
      <c r="F380" t="str">
        <f>TRIM(VLOOKUP(A380,Table!B:O,14,0))</f>
        <v>化肥行业</v>
      </c>
      <c r="G380" t="str">
        <f>VLOOKUP(F380,industry!A:C,2,0)</f>
        <v>化肥</v>
      </c>
      <c r="H380" t="str">
        <f>VLOOKUP(F380,industry!A:C,3,0)</f>
        <v>肥</v>
      </c>
      <c r="J380" s="2" t="s">
        <v>12585</v>
      </c>
      <c r="K380" t="str">
        <f t="shared" si="32"/>
        <v>sz002470</v>
      </c>
      <c r="L380" t="str">
        <f t="shared" si="33"/>
        <v>金正大</v>
      </c>
      <c r="M380" t="str">
        <f t="shared" si="34"/>
        <v>化肥</v>
      </c>
      <c r="N380" t="str">
        <f t="shared" si="35"/>
        <v>肥</v>
      </c>
      <c r="P380" s="2" t="s">
        <v>12585</v>
      </c>
      <c r="Q380" t="s">
        <v>10474</v>
      </c>
      <c r="R380">
        <v>0</v>
      </c>
    </row>
    <row r="381" spans="1:18" x14ac:dyDescent="0.25">
      <c r="A381" t="s">
        <v>11079</v>
      </c>
      <c r="C381" t="str">
        <f t="shared" si="30"/>
        <v>sz</v>
      </c>
      <c r="D381" t="str">
        <f t="shared" si="31"/>
        <v>sz000661</v>
      </c>
      <c r="E381" t="str">
        <f>VLOOKUP(A381,Table!B:C,2,0)</f>
        <v>长春高新</v>
      </c>
      <c r="F381" t="str">
        <f>TRIM(VLOOKUP(A381,Table!B:O,14,0))</f>
        <v>医药制造</v>
      </c>
      <c r="G381" t="str">
        <f>VLOOKUP(F381,industry!A:C,2,0)</f>
        <v>医药</v>
      </c>
      <c r="H381" t="str">
        <f>VLOOKUP(F381,industry!A:C,3,0)</f>
        <v>药</v>
      </c>
      <c r="J381" s="2" t="s">
        <v>12585</v>
      </c>
      <c r="K381" t="str">
        <f t="shared" si="32"/>
        <v>sz000661</v>
      </c>
      <c r="L381" t="str">
        <f t="shared" si="33"/>
        <v>长春高新</v>
      </c>
      <c r="M381" t="str">
        <f t="shared" si="34"/>
        <v>医药</v>
      </c>
      <c r="N381" t="str">
        <f t="shared" si="35"/>
        <v>药</v>
      </c>
      <c r="P381" s="2" t="s">
        <v>12585</v>
      </c>
      <c r="Q381" t="s">
        <v>12481</v>
      </c>
      <c r="R381">
        <v>0</v>
      </c>
    </row>
    <row r="382" spans="1:18" x14ac:dyDescent="0.25">
      <c r="A382" t="s">
        <v>11080</v>
      </c>
      <c r="C382" t="str">
        <f t="shared" si="30"/>
        <v>sh</v>
      </c>
      <c r="D382" t="str">
        <f t="shared" si="31"/>
        <v>sh603986</v>
      </c>
      <c r="E382" t="str">
        <f>VLOOKUP(A382,Table!B:C,2,0)</f>
        <v>兆易创新</v>
      </c>
      <c r="F382" t="str">
        <f>TRIM(VLOOKUP(A382,Table!B:O,14,0))</f>
        <v>软件服务</v>
      </c>
      <c r="G382" t="str">
        <f>VLOOKUP(F382,industry!A:C,2,0)</f>
        <v>软件</v>
      </c>
      <c r="H382" t="str">
        <f>VLOOKUP(F382,industry!A:C,3,0)</f>
        <v>软</v>
      </c>
      <c r="J382" s="2" t="s">
        <v>12585</v>
      </c>
      <c r="K382" t="str">
        <f t="shared" si="32"/>
        <v>sh603986</v>
      </c>
      <c r="L382" t="str">
        <f t="shared" si="33"/>
        <v>兆易创新</v>
      </c>
      <c r="M382" t="str">
        <f t="shared" si="34"/>
        <v>软件</v>
      </c>
      <c r="N382" t="str">
        <f t="shared" si="35"/>
        <v>软</v>
      </c>
      <c r="P382" s="2" t="s">
        <v>12585</v>
      </c>
      <c r="Q382" t="s">
        <v>12614</v>
      </c>
      <c r="R382">
        <v>0</v>
      </c>
    </row>
    <row r="383" spans="1:18" x14ac:dyDescent="0.25">
      <c r="A383" t="s">
        <v>11081</v>
      </c>
      <c r="C383" t="str">
        <f t="shared" si="30"/>
        <v>sz</v>
      </c>
      <c r="D383" t="str">
        <f t="shared" si="31"/>
        <v>sz002465</v>
      </c>
      <c r="E383" t="str">
        <f>VLOOKUP(A383,Table!B:C,2,0)</f>
        <v>海格通信</v>
      </c>
      <c r="F383" t="str">
        <f>TRIM(VLOOKUP(A383,Table!B:O,14,0))</f>
        <v>通讯行业</v>
      </c>
      <c r="G383" t="str">
        <f>VLOOKUP(F383,industry!A:C,2,0)</f>
        <v>通讯</v>
      </c>
      <c r="H383" t="str">
        <f>VLOOKUP(F383,industry!A:C,3,0)</f>
        <v>讯</v>
      </c>
      <c r="J383" s="2" t="s">
        <v>12585</v>
      </c>
      <c r="K383" t="str">
        <f t="shared" si="32"/>
        <v>sz002465</v>
      </c>
      <c r="L383" t="str">
        <f t="shared" si="33"/>
        <v>海格通信</v>
      </c>
      <c r="M383" t="str">
        <f t="shared" si="34"/>
        <v>通讯</v>
      </c>
      <c r="N383" t="str">
        <f t="shared" si="35"/>
        <v>讯</v>
      </c>
      <c r="P383" s="2" t="s">
        <v>12585</v>
      </c>
      <c r="Q383" t="s">
        <v>10334</v>
      </c>
      <c r="R383">
        <v>0</v>
      </c>
    </row>
    <row r="384" spans="1:18" x14ac:dyDescent="0.25">
      <c r="A384" t="s">
        <v>11082</v>
      </c>
      <c r="C384" t="str">
        <f t="shared" si="30"/>
        <v>sh</v>
      </c>
      <c r="D384" t="str">
        <f t="shared" si="31"/>
        <v>sh600584</v>
      </c>
      <c r="E384" t="str">
        <f>VLOOKUP(A384,Table!B:C,2,0)</f>
        <v>长电科技</v>
      </c>
      <c r="F384" t="str">
        <f>TRIM(VLOOKUP(A384,Table!B:O,14,0))</f>
        <v>电子元件</v>
      </c>
      <c r="G384" t="str">
        <f>VLOOKUP(F384,industry!A:C,2,0)</f>
        <v>原件</v>
      </c>
      <c r="H384" t="str">
        <f>VLOOKUP(F384,industry!A:C,3,0)</f>
        <v>元件</v>
      </c>
      <c r="J384" s="2" t="s">
        <v>12585</v>
      </c>
      <c r="K384" t="str">
        <f t="shared" si="32"/>
        <v>sh600584</v>
      </c>
      <c r="L384" t="str">
        <f t="shared" si="33"/>
        <v>长电科技</v>
      </c>
      <c r="M384" t="str">
        <f t="shared" si="34"/>
        <v>原件</v>
      </c>
      <c r="N384" t="str">
        <f t="shared" si="35"/>
        <v>元件</v>
      </c>
      <c r="P384" s="2" t="s">
        <v>12585</v>
      </c>
      <c r="Q384" t="s">
        <v>12483</v>
      </c>
      <c r="R384">
        <v>0</v>
      </c>
    </row>
    <row r="385" spans="1:18" x14ac:dyDescent="0.25">
      <c r="A385" t="s">
        <v>11083</v>
      </c>
      <c r="C385" t="str">
        <f t="shared" si="30"/>
        <v>sh</v>
      </c>
      <c r="D385" t="str">
        <f t="shared" si="31"/>
        <v>sh601872</v>
      </c>
      <c r="E385" t="str">
        <f>VLOOKUP(A385,Table!B:C,2,0)</f>
        <v>招商轮船</v>
      </c>
      <c r="F385" t="str">
        <f>TRIM(VLOOKUP(A385,Table!B:O,14,0))</f>
        <v>港口水运</v>
      </c>
      <c r="G385" t="str">
        <f>VLOOKUP(F385,industry!A:C,2,0)</f>
        <v>港口</v>
      </c>
      <c r="H385" t="str">
        <f>VLOOKUP(F385,industry!A:C,3,0)</f>
        <v>港</v>
      </c>
      <c r="J385" s="2" t="s">
        <v>12585</v>
      </c>
      <c r="K385" t="str">
        <f t="shared" si="32"/>
        <v>sh601872</v>
      </c>
      <c r="L385" t="str">
        <f t="shared" si="33"/>
        <v>招商轮船</v>
      </c>
      <c r="M385" t="str">
        <f t="shared" si="34"/>
        <v>港口</v>
      </c>
      <c r="N385" t="str">
        <f t="shared" si="35"/>
        <v>港</v>
      </c>
      <c r="P385" s="2" t="s">
        <v>12585</v>
      </c>
      <c r="Q385" t="s">
        <v>10292</v>
      </c>
      <c r="R385">
        <v>0</v>
      </c>
    </row>
    <row r="386" spans="1:18" x14ac:dyDescent="0.25">
      <c r="A386" t="s">
        <v>11084</v>
      </c>
      <c r="C386" t="str">
        <f t="shared" si="30"/>
        <v>sz</v>
      </c>
      <c r="D386" t="str">
        <f t="shared" si="31"/>
        <v>sz002007</v>
      </c>
      <c r="E386" t="str">
        <f>VLOOKUP(A386,Table!B:C,2,0)</f>
        <v>华兰生物</v>
      </c>
      <c r="F386" t="str">
        <f>TRIM(VLOOKUP(A386,Table!B:O,14,0))</f>
        <v>医药制造</v>
      </c>
      <c r="G386" t="str">
        <f>VLOOKUP(F386,industry!A:C,2,0)</f>
        <v>医药</v>
      </c>
      <c r="H386" t="str">
        <f>VLOOKUP(F386,industry!A:C,3,0)</f>
        <v>药</v>
      </c>
      <c r="J386" s="2" t="s">
        <v>12585</v>
      </c>
      <c r="K386" t="str">
        <f t="shared" si="32"/>
        <v>sz002007</v>
      </c>
      <c r="L386" t="str">
        <f t="shared" si="33"/>
        <v>华兰生物</v>
      </c>
      <c r="M386" t="str">
        <f t="shared" si="34"/>
        <v>医药</v>
      </c>
      <c r="N386" t="str">
        <f t="shared" si="35"/>
        <v>药</v>
      </c>
      <c r="P386" s="2" t="s">
        <v>12585</v>
      </c>
      <c r="Q386" t="s">
        <v>10167</v>
      </c>
      <c r="R386">
        <v>0</v>
      </c>
    </row>
    <row r="387" spans="1:18" x14ac:dyDescent="0.25">
      <c r="A387" t="s">
        <v>11085</v>
      </c>
      <c r="C387" t="str">
        <f t="shared" ref="C387:C450" si="36">IF(LEFT(A387,1)="6","sh","sz")</f>
        <v>sh</v>
      </c>
      <c r="D387" t="str">
        <f t="shared" ref="D387:D450" si="37">C387 &amp; A387</f>
        <v>sh600895</v>
      </c>
      <c r="E387" t="str">
        <f>VLOOKUP(A387,Table!B:C,2,0)</f>
        <v>张江高科</v>
      </c>
      <c r="F387" t="str">
        <f>TRIM(VLOOKUP(A387,Table!B:O,14,0))</f>
        <v>房地产</v>
      </c>
      <c r="G387" t="str">
        <f>VLOOKUP(F387,industry!A:C,2,0)</f>
        <v>房产</v>
      </c>
      <c r="H387" t="str">
        <f>VLOOKUP(F387,industry!A:C,3,0)</f>
        <v>产</v>
      </c>
      <c r="J387" s="2" t="s">
        <v>12585</v>
      </c>
      <c r="K387" t="str">
        <f t="shared" ref="K387:K450" si="38">D387</f>
        <v>sh600895</v>
      </c>
      <c r="L387" t="str">
        <f t="shared" ref="L387:L450" si="39">E387</f>
        <v>张江高科</v>
      </c>
      <c r="M387" t="str">
        <f t="shared" ref="M387:M450" si="40">G387</f>
        <v>房产</v>
      </c>
      <c r="N387" t="str">
        <f t="shared" ref="N387:N450" si="41">H387</f>
        <v>产</v>
      </c>
      <c r="P387" s="2" t="s">
        <v>12585</v>
      </c>
      <c r="Q387" t="s">
        <v>10296</v>
      </c>
      <c r="R387">
        <v>0</v>
      </c>
    </row>
    <row r="388" spans="1:18" x14ac:dyDescent="0.25">
      <c r="A388" t="s">
        <v>11086</v>
      </c>
      <c r="C388" t="str">
        <f t="shared" si="36"/>
        <v>sz</v>
      </c>
      <c r="D388" t="str">
        <f t="shared" si="37"/>
        <v>sz000987</v>
      </c>
      <c r="E388" t="str">
        <f>VLOOKUP(A388,Table!B:C,2,0)</f>
        <v>越秀金控</v>
      </c>
      <c r="F388" t="str">
        <f>TRIM(VLOOKUP(A388,Table!B:O,14,0))</f>
        <v>多元金融</v>
      </c>
      <c r="G388" t="str">
        <f>VLOOKUP(F388,industry!A:C,2,0)</f>
        <v>多元</v>
      </c>
      <c r="H388" t="str">
        <f>VLOOKUP(F388,industry!A:C,3,0)</f>
        <v>融</v>
      </c>
      <c r="J388" s="2" t="s">
        <v>12585</v>
      </c>
      <c r="K388" t="str">
        <f t="shared" si="38"/>
        <v>sz000987</v>
      </c>
      <c r="L388" t="str">
        <f t="shared" si="39"/>
        <v>越秀金控</v>
      </c>
      <c r="M388" t="str">
        <f t="shared" si="40"/>
        <v>多元</v>
      </c>
      <c r="N388" t="str">
        <f t="shared" si="41"/>
        <v>融</v>
      </c>
      <c r="P388" s="2" t="s">
        <v>12585</v>
      </c>
      <c r="Q388" t="s">
        <v>10197</v>
      </c>
      <c r="R388">
        <v>0</v>
      </c>
    </row>
    <row r="389" spans="1:18" x14ac:dyDescent="0.25">
      <c r="A389" t="s">
        <v>11087</v>
      </c>
      <c r="C389" t="str">
        <f t="shared" si="36"/>
        <v>sz</v>
      </c>
      <c r="D389" t="str">
        <f t="shared" si="37"/>
        <v>sz000629</v>
      </c>
      <c r="E389" t="str">
        <f>VLOOKUP(A389,Table!B:C,2,0)</f>
        <v>*ST钒钛</v>
      </c>
      <c r="F389" t="str">
        <f>TRIM(VLOOKUP(A389,Table!B:O,14,0))</f>
        <v>钢铁行业</v>
      </c>
      <c r="G389" t="str">
        <f>VLOOKUP(F389,industry!A:C,2,0)</f>
        <v>钢铁</v>
      </c>
      <c r="H389" t="str">
        <f>VLOOKUP(F389,industry!A:C,3,0)</f>
        <v>钢</v>
      </c>
      <c r="J389" s="2" t="s">
        <v>12585</v>
      </c>
      <c r="K389" t="str">
        <f t="shared" si="38"/>
        <v>sz000629</v>
      </c>
      <c r="L389" t="str">
        <f t="shared" si="39"/>
        <v>*ST钒钛</v>
      </c>
      <c r="M389" t="str">
        <f t="shared" si="40"/>
        <v>钢铁</v>
      </c>
      <c r="N389" t="str">
        <f t="shared" si="41"/>
        <v>钢</v>
      </c>
      <c r="P389" s="2" t="s">
        <v>12585</v>
      </c>
      <c r="Q389" t="s">
        <v>10532</v>
      </c>
      <c r="R389">
        <v>0</v>
      </c>
    </row>
    <row r="390" spans="1:18" x14ac:dyDescent="0.25">
      <c r="A390" t="s">
        <v>11088</v>
      </c>
      <c r="C390" t="str">
        <f t="shared" si="36"/>
        <v>sh</v>
      </c>
      <c r="D390" t="str">
        <f t="shared" si="37"/>
        <v>sh600346</v>
      </c>
      <c r="E390" t="str">
        <f>VLOOKUP(A390,Table!B:C,2,0)</f>
        <v>恒力股份</v>
      </c>
      <c r="F390" t="str">
        <f>TRIM(VLOOKUP(A390,Table!B:O,14,0))</f>
        <v>化纤行业</v>
      </c>
      <c r="G390" t="str">
        <f>VLOOKUP(F390,industry!A:C,2,0)</f>
        <v>化纤</v>
      </c>
      <c r="H390" t="str">
        <f>VLOOKUP(F390,industry!A:C,3,0)</f>
        <v>纤</v>
      </c>
      <c r="J390" s="2" t="s">
        <v>12585</v>
      </c>
      <c r="K390" t="str">
        <f t="shared" si="38"/>
        <v>sh600346</v>
      </c>
      <c r="L390" t="str">
        <f t="shared" si="39"/>
        <v>恒力股份</v>
      </c>
      <c r="M390" t="str">
        <f t="shared" si="40"/>
        <v>化纤</v>
      </c>
      <c r="N390" t="str">
        <f t="shared" si="41"/>
        <v>纤</v>
      </c>
      <c r="P390" s="2" t="s">
        <v>12585</v>
      </c>
      <c r="Q390" t="s">
        <v>10588</v>
      </c>
      <c r="R390">
        <v>0</v>
      </c>
    </row>
    <row r="391" spans="1:18" x14ac:dyDescent="0.25">
      <c r="A391" t="s">
        <v>11089</v>
      </c>
      <c r="C391" t="str">
        <f t="shared" si="36"/>
        <v>sh</v>
      </c>
      <c r="D391" t="str">
        <f t="shared" si="37"/>
        <v>sh600392</v>
      </c>
      <c r="E391" t="str">
        <f>VLOOKUP(A391,Table!B:C,2,0)</f>
        <v>盛和资源</v>
      </c>
      <c r="F391" t="str">
        <f>TRIM(VLOOKUP(A391,Table!B:O,14,0))</f>
        <v>有色金属</v>
      </c>
      <c r="G391" t="str">
        <f>VLOOKUP(F391,industry!A:C,2,0)</f>
        <v>有色</v>
      </c>
      <c r="H391" t="str">
        <f>VLOOKUP(F391,industry!A:C,3,0)</f>
        <v>色</v>
      </c>
      <c r="J391" s="2" t="s">
        <v>12585</v>
      </c>
      <c r="K391" t="str">
        <f t="shared" si="38"/>
        <v>sh600392</v>
      </c>
      <c r="L391" t="str">
        <f t="shared" si="39"/>
        <v>盛和资源</v>
      </c>
      <c r="M391" t="str">
        <f t="shared" si="40"/>
        <v>有色</v>
      </c>
      <c r="N391" t="str">
        <f t="shared" si="41"/>
        <v>色</v>
      </c>
      <c r="P391" s="2" t="s">
        <v>12585</v>
      </c>
      <c r="Q391" t="s">
        <v>12273</v>
      </c>
      <c r="R391">
        <v>0</v>
      </c>
    </row>
    <row r="392" spans="1:18" x14ac:dyDescent="0.25">
      <c r="A392" t="s">
        <v>11090</v>
      </c>
      <c r="C392" t="str">
        <f t="shared" si="36"/>
        <v>sh</v>
      </c>
      <c r="D392" t="str">
        <f t="shared" si="37"/>
        <v>sh601118</v>
      </c>
      <c r="E392" t="str">
        <f>VLOOKUP(A392,Table!B:C,2,0)</f>
        <v>海南橡胶</v>
      </c>
      <c r="F392" t="str">
        <f>TRIM(VLOOKUP(A392,Table!B:O,14,0))</f>
        <v>塑胶制品</v>
      </c>
      <c r="G392" t="str">
        <f>VLOOKUP(F392,industry!A:C,2,0)</f>
        <v>塑胶</v>
      </c>
      <c r="H392" t="str">
        <f>VLOOKUP(F392,industry!A:C,3,0)</f>
        <v>塑</v>
      </c>
      <c r="J392" s="2" t="s">
        <v>12585</v>
      </c>
      <c r="K392" t="str">
        <f t="shared" si="38"/>
        <v>sh601118</v>
      </c>
      <c r="L392" t="str">
        <f t="shared" si="39"/>
        <v>海南橡胶</v>
      </c>
      <c r="M392" t="str">
        <f t="shared" si="40"/>
        <v>塑胶</v>
      </c>
      <c r="N392" t="str">
        <f t="shared" si="41"/>
        <v>塑</v>
      </c>
      <c r="P392" s="2" t="s">
        <v>12585</v>
      </c>
      <c r="Q392" t="s">
        <v>10410</v>
      </c>
      <c r="R392">
        <v>0</v>
      </c>
    </row>
    <row r="393" spans="1:18" x14ac:dyDescent="0.25">
      <c r="A393" t="s">
        <v>11091</v>
      </c>
      <c r="C393" t="str">
        <f t="shared" si="36"/>
        <v>sh</v>
      </c>
      <c r="D393" t="str">
        <f t="shared" si="37"/>
        <v>sh600160</v>
      </c>
      <c r="E393" t="str">
        <f>VLOOKUP(A393,Table!B:C,2,0)</f>
        <v>XD巨化股</v>
      </c>
      <c r="F393" t="str">
        <f>TRIM(VLOOKUP(A393,Table!B:O,14,0))</f>
        <v>化工行业</v>
      </c>
      <c r="G393" t="str">
        <f>VLOOKUP(F393,industry!A:C,2,0)</f>
        <v>化工</v>
      </c>
      <c r="H393" t="str">
        <f>VLOOKUP(F393,industry!A:C,3,0)</f>
        <v>化</v>
      </c>
      <c r="J393" s="2" t="s">
        <v>12585</v>
      </c>
      <c r="K393" t="str">
        <f t="shared" si="38"/>
        <v>sh600160</v>
      </c>
      <c r="L393" t="str">
        <f t="shared" si="39"/>
        <v>XD巨化股</v>
      </c>
      <c r="M393" t="str">
        <f t="shared" si="40"/>
        <v>化工</v>
      </c>
      <c r="N393" t="str">
        <f t="shared" si="41"/>
        <v>化</v>
      </c>
      <c r="P393" s="2" t="s">
        <v>12585</v>
      </c>
      <c r="Q393" t="s">
        <v>10557</v>
      </c>
      <c r="R393">
        <v>0</v>
      </c>
    </row>
    <row r="394" spans="1:18" x14ac:dyDescent="0.25">
      <c r="A394" t="s">
        <v>11092</v>
      </c>
      <c r="C394" t="str">
        <f t="shared" si="36"/>
        <v>sz</v>
      </c>
      <c r="D394" t="str">
        <f t="shared" si="37"/>
        <v>sz000425</v>
      </c>
      <c r="E394" t="str">
        <f>VLOOKUP(A394,Table!B:C,2,0)</f>
        <v>徐工机械</v>
      </c>
      <c r="F394" t="str">
        <f>TRIM(VLOOKUP(A394,Table!B:O,14,0))</f>
        <v>机械行业</v>
      </c>
      <c r="G394" t="str">
        <f>VLOOKUP(F394,industry!A:C,2,0)</f>
        <v>机械</v>
      </c>
      <c r="H394" t="str">
        <f>VLOOKUP(F394,industry!A:C,3,0)</f>
        <v>械</v>
      </c>
      <c r="J394" s="2" t="s">
        <v>12585</v>
      </c>
      <c r="K394" t="str">
        <f t="shared" si="38"/>
        <v>sz000425</v>
      </c>
      <c r="L394" t="str">
        <f t="shared" si="39"/>
        <v>徐工机械</v>
      </c>
      <c r="M394" t="str">
        <f t="shared" si="40"/>
        <v>机械</v>
      </c>
      <c r="N394" t="str">
        <f t="shared" si="41"/>
        <v>械</v>
      </c>
      <c r="P394" s="2" t="s">
        <v>12585</v>
      </c>
      <c r="Q394" t="s">
        <v>10524</v>
      </c>
      <c r="R394">
        <v>0</v>
      </c>
    </row>
    <row r="395" spans="1:18" x14ac:dyDescent="0.25">
      <c r="A395" t="s">
        <v>11093</v>
      </c>
      <c r="C395" t="str">
        <f t="shared" si="36"/>
        <v>sz</v>
      </c>
      <c r="D395" t="str">
        <f t="shared" si="37"/>
        <v>sz002426</v>
      </c>
      <c r="E395" t="str">
        <f>VLOOKUP(A395,Table!B:C,2,0)</f>
        <v>胜利精密</v>
      </c>
      <c r="F395" t="str">
        <f>TRIM(VLOOKUP(A395,Table!B:O,14,0))</f>
        <v>金属制品</v>
      </c>
      <c r="G395" t="str">
        <f>VLOOKUP(F395,industry!A:C,2,0)</f>
        <v>金属</v>
      </c>
      <c r="H395" t="str">
        <f>VLOOKUP(F395,industry!A:C,3,0)</f>
        <v>金</v>
      </c>
      <c r="J395" s="2" t="s">
        <v>12585</v>
      </c>
      <c r="K395" t="str">
        <f t="shared" si="38"/>
        <v>sz002426</v>
      </c>
      <c r="L395" t="str">
        <f t="shared" si="39"/>
        <v>胜利精密</v>
      </c>
      <c r="M395" t="str">
        <f t="shared" si="40"/>
        <v>金属</v>
      </c>
      <c r="N395" t="str">
        <f t="shared" si="41"/>
        <v>金</v>
      </c>
      <c r="P395" s="2" t="s">
        <v>12585</v>
      </c>
      <c r="Q395" t="s">
        <v>10254</v>
      </c>
      <c r="R395">
        <v>0</v>
      </c>
    </row>
    <row r="396" spans="1:18" x14ac:dyDescent="0.25">
      <c r="A396" t="s">
        <v>11094</v>
      </c>
      <c r="C396" t="str">
        <f t="shared" si="36"/>
        <v>sz</v>
      </c>
      <c r="D396" t="str">
        <f t="shared" si="37"/>
        <v>sz000703</v>
      </c>
      <c r="E396" t="str">
        <f>VLOOKUP(A396,Table!B:C,2,0)</f>
        <v>恒逸石化</v>
      </c>
      <c r="F396" t="str">
        <f>TRIM(VLOOKUP(A396,Table!B:O,14,0))</f>
        <v>化工行业</v>
      </c>
      <c r="G396" t="str">
        <f>VLOOKUP(F396,industry!A:C,2,0)</f>
        <v>化工</v>
      </c>
      <c r="H396" t="str">
        <f>VLOOKUP(F396,industry!A:C,3,0)</f>
        <v>化</v>
      </c>
      <c r="J396" s="2" t="s">
        <v>12585</v>
      </c>
      <c r="K396" t="str">
        <f t="shared" si="38"/>
        <v>sz000703</v>
      </c>
      <c r="L396" t="str">
        <f t="shared" si="39"/>
        <v>恒逸石化</v>
      </c>
      <c r="M396" t="str">
        <f t="shared" si="40"/>
        <v>化工</v>
      </c>
      <c r="N396" t="str">
        <f t="shared" si="41"/>
        <v>化</v>
      </c>
      <c r="P396" s="2" t="s">
        <v>12585</v>
      </c>
      <c r="Q396" t="s">
        <v>11994</v>
      </c>
      <c r="R396">
        <v>0</v>
      </c>
    </row>
    <row r="397" spans="1:18" x14ac:dyDescent="0.25">
      <c r="A397" t="s">
        <v>11095</v>
      </c>
      <c r="C397" t="str">
        <f t="shared" si="36"/>
        <v>sz</v>
      </c>
      <c r="D397" t="str">
        <f t="shared" si="37"/>
        <v>sz000027</v>
      </c>
      <c r="E397" t="str">
        <f>VLOOKUP(A397,Table!B:C,2,0)</f>
        <v>深圳能源</v>
      </c>
      <c r="F397" t="str">
        <f>TRIM(VLOOKUP(A397,Table!B:O,14,0))</f>
        <v>公用事业</v>
      </c>
      <c r="G397" t="str">
        <f>VLOOKUP(F397,industry!A:C,2,0)</f>
        <v>公用</v>
      </c>
      <c r="H397" t="str">
        <f>VLOOKUP(F397,industry!A:C,3,0)</f>
        <v>公</v>
      </c>
      <c r="J397" s="2" t="s">
        <v>12585</v>
      </c>
      <c r="K397" t="str">
        <f t="shared" si="38"/>
        <v>sz000027</v>
      </c>
      <c r="L397" t="str">
        <f t="shared" si="39"/>
        <v>深圳能源</v>
      </c>
      <c r="M397" t="str">
        <f t="shared" si="40"/>
        <v>公用</v>
      </c>
      <c r="N397" t="str">
        <f t="shared" si="41"/>
        <v>公</v>
      </c>
      <c r="P397" s="2" t="s">
        <v>12585</v>
      </c>
      <c r="Q397" t="s">
        <v>10338</v>
      </c>
      <c r="R397">
        <v>0</v>
      </c>
    </row>
    <row r="398" spans="1:18" x14ac:dyDescent="0.25">
      <c r="A398" t="s">
        <v>11096</v>
      </c>
      <c r="C398" t="str">
        <f t="shared" si="36"/>
        <v>sz</v>
      </c>
      <c r="D398" t="str">
        <f t="shared" si="37"/>
        <v>sz000066</v>
      </c>
      <c r="E398" t="str">
        <f>VLOOKUP(A398,Table!B:C,2,0)</f>
        <v>中国长城</v>
      </c>
      <c r="F398" t="str">
        <f>TRIM(VLOOKUP(A398,Table!B:O,14,0))</f>
        <v>电子信息</v>
      </c>
      <c r="G398" t="str">
        <f>VLOOKUP(F398,industry!A:C,2,0)</f>
        <v>信息</v>
      </c>
      <c r="H398" t="str">
        <f>VLOOKUP(F398,industry!A:C,3,0)</f>
        <v>咨</v>
      </c>
      <c r="J398" s="2" t="s">
        <v>12585</v>
      </c>
      <c r="K398" t="str">
        <f t="shared" si="38"/>
        <v>sz000066</v>
      </c>
      <c r="L398" t="str">
        <f t="shared" si="39"/>
        <v>中国长城</v>
      </c>
      <c r="M398" t="str">
        <f t="shared" si="40"/>
        <v>信息</v>
      </c>
      <c r="N398" t="str">
        <f t="shared" si="41"/>
        <v>咨</v>
      </c>
      <c r="P398" s="2" t="s">
        <v>12585</v>
      </c>
      <c r="Q398" t="s">
        <v>12520</v>
      </c>
      <c r="R398">
        <v>0</v>
      </c>
    </row>
    <row r="399" spans="1:18" x14ac:dyDescent="0.25">
      <c r="A399" t="s">
        <v>11097</v>
      </c>
      <c r="C399" t="str">
        <f t="shared" si="36"/>
        <v>sh</v>
      </c>
      <c r="D399" t="str">
        <f t="shared" si="37"/>
        <v>sh600884</v>
      </c>
      <c r="E399" t="str">
        <f>VLOOKUP(A399,Table!B:C,2,0)</f>
        <v>杉杉股份</v>
      </c>
      <c r="F399" t="str">
        <f>TRIM(VLOOKUP(A399,Table!B:O,14,0))</f>
        <v>纺织服装</v>
      </c>
      <c r="G399" t="str">
        <f>VLOOKUP(F399,industry!A:C,2,0)</f>
        <v>纺织</v>
      </c>
      <c r="H399" t="str">
        <f>VLOOKUP(F399,industry!A:C,3,0)</f>
        <v>纺</v>
      </c>
      <c r="J399" s="2" t="s">
        <v>12585</v>
      </c>
      <c r="K399" t="str">
        <f t="shared" si="38"/>
        <v>sh600884</v>
      </c>
      <c r="L399" t="str">
        <f t="shared" si="39"/>
        <v>杉杉股份</v>
      </c>
      <c r="M399" t="str">
        <f t="shared" si="40"/>
        <v>纺织</v>
      </c>
      <c r="N399" t="str">
        <f t="shared" si="41"/>
        <v>纺</v>
      </c>
      <c r="P399" s="2" t="s">
        <v>12585</v>
      </c>
      <c r="Q399" t="s">
        <v>12248</v>
      </c>
      <c r="R399">
        <v>0</v>
      </c>
    </row>
    <row r="400" spans="1:18" x14ac:dyDescent="0.25">
      <c r="A400" t="s">
        <v>11098</v>
      </c>
      <c r="C400" t="str">
        <f t="shared" si="36"/>
        <v>sz</v>
      </c>
      <c r="D400" t="str">
        <f t="shared" si="37"/>
        <v>sz002831</v>
      </c>
      <c r="E400" t="str">
        <f>VLOOKUP(A400,Table!B:C,2,0)</f>
        <v>裕同科技</v>
      </c>
      <c r="F400" t="str">
        <f>TRIM(VLOOKUP(A400,Table!B:O,14,0))</f>
        <v>造纸印刷</v>
      </c>
      <c r="G400" t="str">
        <f>VLOOKUP(F400,industry!A:C,2,0)</f>
        <v>造纸</v>
      </c>
      <c r="H400" t="str">
        <f>VLOOKUP(F400,industry!A:C,3,0)</f>
        <v>纸</v>
      </c>
      <c r="J400" s="2" t="s">
        <v>12585</v>
      </c>
      <c r="K400" t="str">
        <f t="shared" si="38"/>
        <v>sz002831</v>
      </c>
      <c r="L400" t="str">
        <f t="shared" si="39"/>
        <v>裕同科技</v>
      </c>
      <c r="M400" t="str">
        <f t="shared" si="40"/>
        <v>造纸</v>
      </c>
      <c r="N400" t="str">
        <f t="shared" si="41"/>
        <v>纸</v>
      </c>
      <c r="P400" s="2" t="s">
        <v>12585</v>
      </c>
      <c r="Q400" t="s">
        <v>12615</v>
      </c>
      <c r="R400">
        <v>0</v>
      </c>
    </row>
    <row r="401" spans="1:18" x14ac:dyDescent="0.25">
      <c r="A401" t="s">
        <v>11099</v>
      </c>
      <c r="C401" t="str">
        <f t="shared" si="36"/>
        <v>sz</v>
      </c>
      <c r="D401" t="str">
        <f t="shared" si="37"/>
        <v>sz002019</v>
      </c>
      <c r="E401" t="str">
        <f>VLOOKUP(A401,Table!B:C,2,0)</f>
        <v>亿帆医药</v>
      </c>
      <c r="F401" t="str">
        <f>TRIM(VLOOKUP(A401,Table!B:O,14,0))</f>
        <v>医药制造</v>
      </c>
      <c r="G401" t="str">
        <f>VLOOKUP(F401,industry!A:C,2,0)</f>
        <v>医药</v>
      </c>
      <c r="H401" t="str">
        <f>VLOOKUP(F401,industry!A:C,3,0)</f>
        <v>药</v>
      </c>
      <c r="J401" s="2" t="s">
        <v>12585</v>
      </c>
      <c r="K401" t="str">
        <f t="shared" si="38"/>
        <v>sz002019</v>
      </c>
      <c r="L401" t="str">
        <f t="shared" si="39"/>
        <v>亿帆医药</v>
      </c>
      <c r="M401" t="str">
        <f t="shared" si="40"/>
        <v>医药</v>
      </c>
      <c r="N401" t="str">
        <f t="shared" si="41"/>
        <v>药</v>
      </c>
      <c r="P401" s="2" t="s">
        <v>12585</v>
      </c>
      <c r="Q401" t="s">
        <v>12445</v>
      </c>
      <c r="R401">
        <v>0</v>
      </c>
    </row>
    <row r="402" spans="1:18" x14ac:dyDescent="0.25">
      <c r="A402" t="s">
        <v>11100</v>
      </c>
      <c r="C402" t="str">
        <f t="shared" si="36"/>
        <v>sz</v>
      </c>
      <c r="D402" t="str">
        <f t="shared" si="37"/>
        <v>sz000932</v>
      </c>
      <c r="E402" t="str">
        <f>VLOOKUP(A402,Table!B:C,2,0)</f>
        <v>*ST华菱</v>
      </c>
      <c r="F402" t="str">
        <f>TRIM(VLOOKUP(A402,Table!B:O,14,0))</f>
        <v>钢铁行业</v>
      </c>
      <c r="G402" t="str">
        <f>VLOOKUP(F402,industry!A:C,2,0)</f>
        <v>钢铁</v>
      </c>
      <c r="H402" t="str">
        <f>VLOOKUP(F402,industry!A:C,3,0)</f>
        <v>钢</v>
      </c>
      <c r="J402" s="2" t="s">
        <v>12585</v>
      </c>
      <c r="K402" t="str">
        <f t="shared" si="38"/>
        <v>sz000932</v>
      </c>
      <c r="L402" t="str">
        <f t="shared" si="39"/>
        <v>*ST华菱</v>
      </c>
      <c r="M402" t="str">
        <f t="shared" si="40"/>
        <v>钢铁</v>
      </c>
      <c r="N402" t="str">
        <f t="shared" si="41"/>
        <v>钢</v>
      </c>
      <c r="P402" s="2" t="s">
        <v>12585</v>
      </c>
      <c r="Q402" t="s">
        <v>12616</v>
      </c>
      <c r="R402">
        <v>0</v>
      </c>
    </row>
    <row r="403" spans="1:18" x14ac:dyDescent="0.25">
      <c r="A403" t="s">
        <v>11101</v>
      </c>
      <c r="C403" t="str">
        <f t="shared" si="36"/>
        <v>sh</v>
      </c>
      <c r="D403" t="str">
        <f t="shared" si="37"/>
        <v>sh600026</v>
      </c>
      <c r="E403" t="str">
        <f>VLOOKUP(A403,Table!B:C,2,0)</f>
        <v>中远海能</v>
      </c>
      <c r="F403" t="str">
        <f>TRIM(VLOOKUP(A403,Table!B:O,14,0))</f>
        <v>港口水运</v>
      </c>
      <c r="G403" t="str">
        <f>VLOOKUP(F403,industry!A:C,2,0)</f>
        <v>港口</v>
      </c>
      <c r="H403" t="str">
        <f>VLOOKUP(F403,industry!A:C,3,0)</f>
        <v>港</v>
      </c>
      <c r="J403" s="2" t="s">
        <v>12585</v>
      </c>
      <c r="K403" t="str">
        <f t="shared" si="38"/>
        <v>sh600026</v>
      </c>
      <c r="L403" t="str">
        <f t="shared" si="39"/>
        <v>中远海能</v>
      </c>
      <c r="M403" t="str">
        <f t="shared" si="40"/>
        <v>港口</v>
      </c>
      <c r="N403" t="str">
        <f t="shared" si="41"/>
        <v>港</v>
      </c>
      <c r="P403" s="2" t="s">
        <v>12585</v>
      </c>
      <c r="Q403" t="s">
        <v>10330</v>
      </c>
      <c r="R403">
        <v>0</v>
      </c>
    </row>
    <row r="404" spans="1:18" x14ac:dyDescent="0.25">
      <c r="A404" t="s">
        <v>11102</v>
      </c>
      <c r="C404" t="str">
        <f t="shared" si="36"/>
        <v>sz</v>
      </c>
      <c r="D404" t="str">
        <f t="shared" si="37"/>
        <v>sz000869</v>
      </c>
      <c r="E404" t="str">
        <f>VLOOKUP(A404,Table!B:C,2,0)</f>
        <v>张 裕Ａ</v>
      </c>
      <c r="F404" t="str">
        <f>TRIM(VLOOKUP(A404,Table!B:O,14,0))</f>
        <v>酿酒行业</v>
      </c>
      <c r="G404" t="str">
        <f>VLOOKUP(F404,industry!A:C,2,0)</f>
        <v>酿酒</v>
      </c>
      <c r="H404" t="str">
        <f>VLOOKUP(F404,industry!A:C,3,0)</f>
        <v>酒</v>
      </c>
      <c r="J404" s="2" t="s">
        <v>12585</v>
      </c>
      <c r="K404" t="str">
        <f t="shared" si="38"/>
        <v>sz000869</v>
      </c>
      <c r="L404" t="str">
        <f t="shared" si="39"/>
        <v>张 裕Ａ</v>
      </c>
      <c r="M404" t="str">
        <f t="shared" si="40"/>
        <v>酿酒</v>
      </c>
      <c r="N404" t="str">
        <f t="shared" si="41"/>
        <v>酒</v>
      </c>
      <c r="P404" s="2" t="s">
        <v>12585</v>
      </c>
      <c r="Q404" t="s">
        <v>10378</v>
      </c>
      <c r="R404">
        <v>0</v>
      </c>
    </row>
    <row r="405" spans="1:18" x14ac:dyDescent="0.25">
      <c r="A405" t="s">
        <v>11103</v>
      </c>
      <c r="C405" t="str">
        <f t="shared" si="36"/>
        <v>sz</v>
      </c>
      <c r="D405" t="str">
        <f t="shared" si="37"/>
        <v>sz002153</v>
      </c>
      <c r="E405" t="str">
        <f>VLOOKUP(A405,Table!B:C,2,0)</f>
        <v>石基信息</v>
      </c>
      <c r="F405" t="str">
        <f>TRIM(VLOOKUP(A405,Table!B:O,14,0))</f>
        <v>软件服务</v>
      </c>
      <c r="G405" t="str">
        <f>VLOOKUP(F405,industry!A:C,2,0)</f>
        <v>软件</v>
      </c>
      <c r="H405" t="str">
        <f>VLOOKUP(F405,industry!A:C,3,0)</f>
        <v>软</v>
      </c>
      <c r="J405" s="2" t="s">
        <v>12585</v>
      </c>
      <c r="K405" t="str">
        <f t="shared" si="38"/>
        <v>sz002153</v>
      </c>
      <c r="L405" t="str">
        <f t="shared" si="39"/>
        <v>石基信息</v>
      </c>
      <c r="M405" t="str">
        <f t="shared" si="40"/>
        <v>软件</v>
      </c>
      <c r="N405" t="str">
        <f t="shared" si="41"/>
        <v>软</v>
      </c>
      <c r="P405" s="2" t="s">
        <v>12585</v>
      </c>
      <c r="Q405" t="s">
        <v>10356</v>
      </c>
      <c r="R405">
        <v>0</v>
      </c>
    </row>
    <row r="406" spans="1:18" x14ac:dyDescent="0.25">
      <c r="A406" t="s">
        <v>11104</v>
      </c>
      <c r="C406" t="str">
        <f t="shared" si="36"/>
        <v>sh</v>
      </c>
      <c r="D406" t="str">
        <f t="shared" si="37"/>
        <v>sh603885</v>
      </c>
      <c r="E406" t="str">
        <f>VLOOKUP(A406,Table!B:C,2,0)</f>
        <v>吉祥航空</v>
      </c>
      <c r="F406" t="str">
        <f>TRIM(VLOOKUP(A406,Table!B:O,14,0))</f>
        <v>民航机场</v>
      </c>
      <c r="G406" t="str">
        <f>VLOOKUP(F406,industry!A:C,2,0)</f>
        <v>民航</v>
      </c>
      <c r="H406" t="str">
        <f>VLOOKUP(F406,industry!A:C,3,0)</f>
        <v>飞</v>
      </c>
      <c r="J406" s="2" t="s">
        <v>12585</v>
      </c>
      <c r="K406" t="str">
        <f t="shared" si="38"/>
        <v>sh603885</v>
      </c>
      <c r="L406" t="str">
        <f t="shared" si="39"/>
        <v>吉祥航空</v>
      </c>
      <c r="M406" t="str">
        <f t="shared" si="40"/>
        <v>民航</v>
      </c>
      <c r="N406" t="str">
        <f t="shared" si="41"/>
        <v>飞</v>
      </c>
      <c r="P406" s="2" t="s">
        <v>12585</v>
      </c>
      <c r="Q406" t="s">
        <v>10185</v>
      </c>
      <c r="R406">
        <v>0</v>
      </c>
    </row>
    <row r="407" spans="1:18" x14ac:dyDescent="0.25">
      <c r="A407" t="s">
        <v>11105</v>
      </c>
      <c r="C407" t="str">
        <f t="shared" si="36"/>
        <v>sz</v>
      </c>
      <c r="D407" t="str">
        <f t="shared" si="37"/>
        <v>sz000778</v>
      </c>
      <c r="E407" t="str">
        <f>VLOOKUP(A407,Table!B:C,2,0)</f>
        <v>新兴铸管</v>
      </c>
      <c r="F407" t="str">
        <f>TRIM(VLOOKUP(A407,Table!B:O,14,0))</f>
        <v>金属制品</v>
      </c>
      <c r="G407" t="str">
        <f>VLOOKUP(F407,industry!A:C,2,0)</f>
        <v>金属</v>
      </c>
      <c r="H407" t="str">
        <f>VLOOKUP(F407,industry!A:C,3,0)</f>
        <v>金</v>
      </c>
      <c r="J407" s="2" t="s">
        <v>12585</v>
      </c>
      <c r="K407" t="str">
        <f t="shared" si="38"/>
        <v>sz000778</v>
      </c>
      <c r="L407" t="str">
        <f t="shared" si="39"/>
        <v>新兴铸管</v>
      </c>
      <c r="M407" t="str">
        <f t="shared" si="40"/>
        <v>金属</v>
      </c>
      <c r="N407" t="str">
        <f t="shared" si="41"/>
        <v>金</v>
      </c>
      <c r="P407" s="2" t="s">
        <v>12585</v>
      </c>
      <c r="Q407" t="s">
        <v>12404</v>
      </c>
      <c r="R407">
        <v>0</v>
      </c>
    </row>
    <row r="408" spans="1:18" x14ac:dyDescent="0.25">
      <c r="A408" t="s">
        <v>11106</v>
      </c>
      <c r="C408" t="str">
        <f t="shared" si="36"/>
        <v>sz</v>
      </c>
      <c r="D408" t="str">
        <f t="shared" si="37"/>
        <v>sz002385</v>
      </c>
      <c r="E408" t="str">
        <f>VLOOKUP(A408,Table!B:C,2,0)</f>
        <v>大北农</v>
      </c>
      <c r="F408" t="str">
        <f>TRIM(VLOOKUP(A408,Table!B:O,14,0))</f>
        <v>农牧饲渔</v>
      </c>
      <c r="G408" t="str">
        <f>VLOOKUP(F408,industry!A:C,2,0)</f>
        <v>农渔</v>
      </c>
      <c r="H408" t="str">
        <f>VLOOKUP(F408,industry!A:C,3,0)</f>
        <v>渔</v>
      </c>
      <c r="J408" s="2" t="s">
        <v>12585</v>
      </c>
      <c r="K408" t="str">
        <f t="shared" si="38"/>
        <v>sz002385</v>
      </c>
      <c r="L408" t="str">
        <f t="shared" si="39"/>
        <v>大北农</v>
      </c>
      <c r="M408" t="str">
        <f t="shared" si="40"/>
        <v>农渔</v>
      </c>
      <c r="N408" t="str">
        <f t="shared" si="41"/>
        <v>渔</v>
      </c>
      <c r="P408" s="2" t="s">
        <v>12585</v>
      </c>
      <c r="Q408" t="s">
        <v>10242</v>
      </c>
      <c r="R408">
        <v>0</v>
      </c>
    </row>
    <row r="409" spans="1:18" x14ac:dyDescent="0.25">
      <c r="A409" t="s">
        <v>11107</v>
      </c>
      <c r="C409" t="str">
        <f t="shared" si="36"/>
        <v>sz</v>
      </c>
      <c r="D409" t="str">
        <f t="shared" si="37"/>
        <v>sz002424</v>
      </c>
      <c r="E409" t="str">
        <f>VLOOKUP(A409,Table!B:C,2,0)</f>
        <v>贵州百灵</v>
      </c>
      <c r="F409" t="str">
        <f>TRIM(VLOOKUP(A409,Table!B:O,14,0))</f>
        <v>医药制造</v>
      </c>
      <c r="G409" t="str">
        <f>VLOOKUP(F409,industry!A:C,2,0)</f>
        <v>医药</v>
      </c>
      <c r="H409" t="str">
        <f>VLOOKUP(F409,industry!A:C,3,0)</f>
        <v>药</v>
      </c>
      <c r="J409" s="2" t="s">
        <v>12585</v>
      </c>
      <c r="K409" t="str">
        <f t="shared" si="38"/>
        <v>sz002424</v>
      </c>
      <c r="L409" t="str">
        <f t="shared" si="39"/>
        <v>贵州百灵</v>
      </c>
      <c r="M409" t="str">
        <f t="shared" si="40"/>
        <v>医药</v>
      </c>
      <c r="N409" t="str">
        <f t="shared" si="41"/>
        <v>药</v>
      </c>
      <c r="P409" s="2" t="s">
        <v>12585</v>
      </c>
      <c r="Q409" t="s">
        <v>10187</v>
      </c>
      <c r="R409">
        <v>0</v>
      </c>
    </row>
    <row r="410" spans="1:18" x14ac:dyDescent="0.25">
      <c r="A410" t="s">
        <v>11108</v>
      </c>
      <c r="C410" t="str">
        <f t="shared" si="36"/>
        <v>sh</v>
      </c>
      <c r="D410" t="str">
        <f t="shared" si="37"/>
        <v>sh603019</v>
      </c>
      <c r="E410" t="str">
        <f>VLOOKUP(A410,Table!B:C,2,0)</f>
        <v>中科曙光</v>
      </c>
      <c r="F410" t="str">
        <f>TRIM(VLOOKUP(A410,Table!B:O,14,0))</f>
        <v>电子信息</v>
      </c>
      <c r="G410" t="str">
        <f>VLOOKUP(F410,industry!A:C,2,0)</f>
        <v>信息</v>
      </c>
      <c r="H410" t="str">
        <f>VLOOKUP(F410,industry!A:C,3,0)</f>
        <v>咨</v>
      </c>
      <c r="J410" s="2" t="s">
        <v>12585</v>
      </c>
      <c r="K410" t="str">
        <f t="shared" si="38"/>
        <v>sh603019</v>
      </c>
      <c r="L410" t="str">
        <f t="shared" si="39"/>
        <v>中科曙光</v>
      </c>
      <c r="M410" t="str">
        <f t="shared" si="40"/>
        <v>信息</v>
      </c>
      <c r="N410" t="str">
        <f t="shared" si="41"/>
        <v>咨</v>
      </c>
      <c r="P410" s="2" t="s">
        <v>12585</v>
      </c>
      <c r="Q410" t="s">
        <v>10630</v>
      </c>
      <c r="R410">
        <v>0</v>
      </c>
    </row>
    <row r="411" spans="1:18" x14ac:dyDescent="0.25">
      <c r="A411" t="s">
        <v>11109</v>
      </c>
      <c r="C411" t="str">
        <f t="shared" si="36"/>
        <v>sz</v>
      </c>
      <c r="D411" t="str">
        <f t="shared" si="37"/>
        <v>sz002745</v>
      </c>
      <c r="E411" t="str">
        <f>VLOOKUP(A411,Table!B:C,2,0)</f>
        <v>木林森</v>
      </c>
      <c r="F411" t="str">
        <f>TRIM(VLOOKUP(A411,Table!B:O,14,0))</f>
        <v>电子元件</v>
      </c>
      <c r="G411" t="str">
        <f>VLOOKUP(F411,industry!A:C,2,0)</f>
        <v>原件</v>
      </c>
      <c r="H411" t="str">
        <f>VLOOKUP(F411,industry!A:C,3,0)</f>
        <v>元件</v>
      </c>
      <c r="J411" s="2" t="s">
        <v>12585</v>
      </c>
      <c r="K411" t="str">
        <f t="shared" si="38"/>
        <v>sz002745</v>
      </c>
      <c r="L411" t="str">
        <f t="shared" si="39"/>
        <v>木林森</v>
      </c>
      <c r="M411" t="str">
        <f t="shared" si="40"/>
        <v>原件</v>
      </c>
      <c r="N411" t="str">
        <f t="shared" si="41"/>
        <v>元件</v>
      </c>
      <c r="P411" s="2" t="s">
        <v>12585</v>
      </c>
      <c r="Q411" t="s">
        <v>12184</v>
      </c>
      <c r="R411">
        <v>0</v>
      </c>
    </row>
    <row r="412" spans="1:18" x14ac:dyDescent="0.25">
      <c r="A412" t="s">
        <v>11110</v>
      </c>
      <c r="C412" t="str">
        <f t="shared" si="36"/>
        <v>sz</v>
      </c>
      <c r="D412" t="str">
        <f t="shared" si="37"/>
        <v>sz002509</v>
      </c>
      <c r="E412" t="str">
        <f>VLOOKUP(A412,Table!B:C,2,0)</f>
        <v>天广中茂</v>
      </c>
      <c r="F412" t="str">
        <f>TRIM(VLOOKUP(A412,Table!B:O,14,0))</f>
        <v>专用设备</v>
      </c>
      <c r="G412" t="str">
        <f>VLOOKUP(F412,industry!A:C,2,0)</f>
        <v>专用</v>
      </c>
      <c r="H412" t="str">
        <f>VLOOKUP(F412,industry!A:C,3,0)</f>
        <v>专</v>
      </c>
      <c r="J412" s="2" t="s">
        <v>12585</v>
      </c>
      <c r="K412" t="str">
        <f t="shared" si="38"/>
        <v>sz002509</v>
      </c>
      <c r="L412" t="str">
        <f t="shared" si="39"/>
        <v>天广中茂</v>
      </c>
      <c r="M412" t="str">
        <f t="shared" si="40"/>
        <v>专用</v>
      </c>
      <c r="N412" t="str">
        <f t="shared" si="41"/>
        <v>专</v>
      </c>
      <c r="P412" s="2" t="s">
        <v>12585</v>
      </c>
      <c r="Q412" t="s">
        <v>12617</v>
      </c>
      <c r="R412">
        <v>0</v>
      </c>
    </row>
    <row r="413" spans="1:18" x14ac:dyDescent="0.25">
      <c r="A413" t="s">
        <v>11111</v>
      </c>
      <c r="C413" t="str">
        <f t="shared" si="36"/>
        <v>sz</v>
      </c>
      <c r="D413" t="str">
        <f t="shared" si="37"/>
        <v>sz002359</v>
      </c>
      <c r="E413" t="str">
        <f>VLOOKUP(A413,Table!B:C,2,0)</f>
        <v>北讯集团</v>
      </c>
      <c r="F413" t="str">
        <f>TRIM(VLOOKUP(A413,Table!B:O,14,0))</f>
        <v>输配电气</v>
      </c>
      <c r="G413" t="str">
        <f>VLOOKUP(F413,industry!A:C,2,0)</f>
        <v>配电</v>
      </c>
      <c r="H413" t="str">
        <f>VLOOKUP(F413,industry!A:C,3,0)</f>
        <v>输电</v>
      </c>
      <c r="J413" s="2" t="s">
        <v>12585</v>
      </c>
      <c r="K413" t="str">
        <f t="shared" si="38"/>
        <v>sz002359</v>
      </c>
      <c r="L413" t="str">
        <f t="shared" si="39"/>
        <v>北讯集团</v>
      </c>
      <c r="M413" t="str">
        <f t="shared" si="40"/>
        <v>配电</v>
      </c>
      <c r="N413" t="str">
        <f t="shared" si="41"/>
        <v>输电</v>
      </c>
      <c r="P413" s="2" t="s">
        <v>12585</v>
      </c>
      <c r="Q413" t="s">
        <v>12618</v>
      </c>
      <c r="R413">
        <v>0</v>
      </c>
    </row>
    <row r="414" spans="1:18" x14ac:dyDescent="0.25">
      <c r="A414" t="s">
        <v>11112</v>
      </c>
      <c r="C414" t="str">
        <f t="shared" si="36"/>
        <v>sh</v>
      </c>
      <c r="D414" t="str">
        <f t="shared" si="37"/>
        <v>sh603515</v>
      </c>
      <c r="E414" t="str">
        <f>VLOOKUP(A414,Table!B:C,2,0)</f>
        <v>欧普照明</v>
      </c>
      <c r="F414" t="str">
        <f>TRIM(VLOOKUP(A414,Table!B:O,14,0))</f>
        <v>电子元件</v>
      </c>
      <c r="G414" t="str">
        <f>VLOOKUP(F414,industry!A:C,2,0)</f>
        <v>原件</v>
      </c>
      <c r="H414" t="str">
        <f>VLOOKUP(F414,industry!A:C,3,0)</f>
        <v>元件</v>
      </c>
      <c r="J414" s="2" t="s">
        <v>12585</v>
      </c>
      <c r="K414" t="str">
        <f t="shared" si="38"/>
        <v>sh603515</v>
      </c>
      <c r="L414" t="str">
        <f t="shared" si="39"/>
        <v>欧普照明</v>
      </c>
      <c r="M414" t="str">
        <f t="shared" si="40"/>
        <v>原件</v>
      </c>
      <c r="N414" t="str">
        <f t="shared" si="41"/>
        <v>元件</v>
      </c>
      <c r="P414" s="2" t="s">
        <v>12585</v>
      </c>
      <c r="Q414" t="s">
        <v>10388</v>
      </c>
      <c r="R414">
        <v>0</v>
      </c>
    </row>
    <row r="415" spans="1:18" x14ac:dyDescent="0.25">
      <c r="A415" t="s">
        <v>11113</v>
      </c>
      <c r="C415" t="str">
        <f t="shared" si="36"/>
        <v>sz</v>
      </c>
      <c r="D415" t="str">
        <f t="shared" si="37"/>
        <v>sz000887</v>
      </c>
      <c r="E415" t="str">
        <f>VLOOKUP(A415,Table!B:C,2,0)</f>
        <v>中鼎股份</v>
      </c>
      <c r="F415" t="str">
        <f>TRIM(VLOOKUP(A415,Table!B:O,14,0))</f>
        <v>塑胶制品</v>
      </c>
      <c r="G415" t="str">
        <f>VLOOKUP(F415,industry!A:C,2,0)</f>
        <v>塑胶</v>
      </c>
      <c r="H415" t="str">
        <f>VLOOKUP(F415,industry!A:C,3,0)</f>
        <v>塑</v>
      </c>
      <c r="J415" s="2" t="s">
        <v>12585</v>
      </c>
      <c r="K415" t="str">
        <f t="shared" si="38"/>
        <v>sz000887</v>
      </c>
      <c r="L415" t="str">
        <f t="shared" si="39"/>
        <v>中鼎股份</v>
      </c>
      <c r="M415" t="str">
        <f t="shared" si="40"/>
        <v>塑胶</v>
      </c>
      <c r="N415" t="str">
        <f t="shared" si="41"/>
        <v>塑</v>
      </c>
      <c r="P415" s="2" t="s">
        <v>12585</v>
      </c>
      <c r="Q415" t="s">
        <v>10268</v>
      </c>
      <c r="R415">
        <v>0</v>
      </c>
    </row>
    <row r="416" spans="1:18" x14ac:dyDescent="0.25">
      <c r="A416" t="s">
        <v>11114</v>
      </c>
      <c r="C416" t="str">
        <f t="shared" si="36"/>
        <v>sh</v>
      </c>
      <c r="D416" t="str">
        <f t="shared" si="37"/>
        <v>sh600649</v>
      </c>
      <c r="E416" t="str">
        <f>VLOOKUP(A416,Table!B:C,2,0)</f>
        <v>城投控股</v>
      </c>
      <c r="F416" t="str">
        <f>TRIM(VLOOKUP(A416,Table!B:O,14,0))</f>
        <v>房地产</v>
      </c>
      <c r="G416" t="str">
        <f>VLOOKUP(F416,industry!A:C,2,0)</f>
        <v>房产</v>
      </c>
      <c r="H416" t="str">
        <f>VLOOKUP(F416,industry!A:C,3,0)</f>
        <v>产</v>
      </c>
      <c r="J416" s="2" t="s">
        <v>12585</v>
      </c>
      <c r="K416" t="str">
        <f t="shared" si="38"/>
        <v>sh600649</v>
      </c>
      <c r="L416" t="str">
        <f t="shared" si="39"/>
        <v>城投控股</v>
      </c>
      <c r="M416" t="str">
        <f t="shared" si="40"/>
        <v>房产</v>
      </c>
      <c r="N416" t="str">
        <f t="shared" si="41"/>
        <v>产</v>
      </c>
      <c r="P416" s="2" t="s">
        <v>12585</v>
      </c>
      <c r="Q416" t="s">
        <v>9911</v>
      </c>
      <c r="R416">
        <v>0</v>
      </c>
    </row>
    <row r="417" spans="1:18" x14ac:dyDescent="0.25">
      <c r="A417" t="s">
        <v>11115</v>
      </c>
      <c r="C417" t="str">
        <f t="shared" si="36"/>
        <v>sz</v>
      </c>
      <c r="D417" t="str">
        <f t="shared" si="37"/>
        <v>sz000008</v>
      </c>
      <c r="E417" t="str">
        <f>VLOOKUP(A417,Table!B:C,2,0)</f>
        <v>神州高铁</v>
      </c>
      <c r="F417" t="str">
        <f>TRIM(VLOOKUP(A417,Table!B:O,14,0))</f>
        <v>交运设备</v>
      </c>
      <c r="G417" t="str">
        <f>VLOOKUP(F417,industry!A:C,2,0)</f>
        <v>交运</v>
      </c>
      <c r="H417" t="str">
        <f>VLOOKUP(F417,industry!A:C,3,0)</f>
        <v>运</v>
      </c>
      <c r="J417" s="2" t="s">
        <v>12585</v>
      </c>
      <c r="K417" t="str">
        <f t="shared" si="38"/>
        <v>sz000008</v>
      </c>
      <c r="L417" t="str">
        <f t="shared" si="39"/>
        <v>神州高铁</v>
      </c>
      <c r="M417" t="str">
        <f t="shared" si="40"/>
        <v>交运</v>
      </c>
      <c r="N417" t="str">
        <f t="shared" si="41"/>
        <v>运</v>
      </c>
      <c r="P417" s="2" t="s">
        <v>12585</v>
      </c>
      <c r="Q417" t="s">
        <v>10310</v>
      </c>
      <c r="R417">
        <v>0</v>
      </c>
    </row>
    <row r="418" spans="1:18" x14ac:dyDescent="0.25">
      <c r="A418" t="s">
        <v>11116</v>
      </c>
      <c r="C418" t="str">
        <f t="shared" si="36"/>
        <v>sz</v>
      </c>
      <c r="D418" t="str">
        <f t="shared" si="37"/>
        <v>sz000581</v>
      </c>
      <c r="E418" t="str">
        <f>VLOOKUP(A418,Table!B:C,2,0)</f>
        <v>威孚高科</v>
      </c>
      <c r="F418" t="str">
        <f>TRIM(VLOOKUP(A418,Table!B:O,14,0))</f>
        <v>汽车行业</v>
      </c>
      <c r="G418" t="str">
        <f>VLOOKUP(F418,industry!A:C,2,0)</f>
        <v>汽车</v>
      </c>
      <c r="H418" t="str">
        <f>VLOOKUP(F418,industry!A:C,3,0)</f>
        <v>车</v>
      </c>
      <c r="J418" s="2" t="s">
        <v>12585</v>
      </c>
      <c r="K418" t="str">
        <f t="shared" si="38"/>
        <v>sz000581</v>
      </c>
      <c r="L418" t="str">
        <f t="shared" si="39"/>
        <v>威孚高科</v>
      </c>
      <c r="M418" t="str">
        <f t="shared" si="40"/>
        <v>汽车</v>
      </c>
      <c r="N418" t="str">
        <f t="shared" si="41"/>
        <v>车</v>
      </c>
      <c r="P418" s="2" t="s">
        <v>12585</v>
      </c>
      <c r="Q418" t="s">
        <v>10462</v>
      </c>
      <c r="R418">
        <v>0</v>
      </c>
    </row>
    <row r="419" spans="1:18" x14ac:dyDescent="0.25">
      <c r="A419" t="s">
        <v>11117</v>
      </c>
      <c r="C419" t="str">
        <f t="shared" si="36"/>
        <v>sh</v>
      </c>
      <c r="D419" t="str">
        <f t="shared" si="37"/>
        <v>sh600074</v>
      </c>
      <c r="E419" t="str">
        <f>VLOOKUP(A419,Table!B:C,2,0)</f>
        <v>保千里</v>
      </c>
      <c r="F419" t="str">
        <f>TRIM(VLOOKUP(A419,Table!B:O,14,0))</f>
        <v>安防设备</v>
      </c>
      <c r="G419" t="str">
        <f>VLOOKUP(F419,industry!A:C,2,0)</f>
        <v>安防</v>
      </c>
      <c r="H419" t="str">
        <f>VLOOKUP(F419,industry!A:C,3,0)</f>
        <v>防</v>
      </c>
      <c r="J419" s="2" t="s">
        <v>12585</v>
      </c>
      <c r="K419" t="str">
        <f t="shared" si="38"/>
        <v>sh600074</v>
      </c>
      <c r="L419" t="str">
        <f t="shared" si="39"/>
        <v>保千里</v>
      </c>
      <c r="M419" t="str">
        <f t="shared" si="40"/>
        <v>安防</v>
      </c>
      <c r="N419" t="str">
        <f t="shared" si="41"/>
        <v>防</v>
      </c>
      <c r="P419" s="2" t="s">
        <v>12585</v>
      </c>
      <c r="Q419" t="s">
        <v>10071</v>
      </c>
      <c r="R419">
        <v>0</v>
      </c>
    </row>
    <row r="420" spans="1:18" x14ac:dyDescent="0.25">
      <c r="A420" t="s">
        <v>11118</v>
      </c>
      <c r="C420" t="str">
        <f t="shared" si="36"/>
        <v>sh</v>
      </c>
      <c r="D420" t="str">
        <f t="shared" si="37"/>
        <v>sh600525</v>
      </c>
      <c r="E420" t="str">
        <f>VLOOKUP(A420,Table!B:C,2,0)</f>
        <v>长园集团</v>
      </c>
      <c r="F420" t="str">
        <f>TRIM(VLOOKUP(A420,Table!B:O,14,0))</f>
        <v>材料行业</v>
      </c>
      <c r="G420" t="str">
        <f>VLOOKUP(F420,industry!A:C,2,0)</f>
        <v>材料</v>
      </c>
      <c r="H420" t="str">
        <f>VLOOKUP(F420,industry!A:C,3,0)</f>
        <v>材</v>
      </c>
      <c r="J420" s="2" t="s">
        <v>12585</v>
      </c>
      <c r="K420" t="str">
        <f t="shared" si="38"/>
        <v>sh600525</v>
      </c>
      <c r="L420" t="str">
        <f t="shared" si="39"/>
        <v>长园集团</v>
      </c>
      <c r="M420" t="str">
        <f t="shared" si="40"/>
        <v>材料</v>
      </c>
      <c r="N420" t="str">
        <f t="shared" si="41"/>
        <v>材</v>
      </c>
      <c r="P420" s="2" t="s">
        <v>12585</v>
      </c>
      <c r="Q420" t="s">
        <v>12488</v>
      </c>
      <c r="R420">
        <v>0</v>
      </c>
    </row>
    <row r="421" spans="1:18" x14ac:dyDescent="0.25">
      <c r="A421" t="s">
        <v>11119</v>
      </c>
      <c r="C421" t="str">
        <f t="shared" si="36"/>
        <v>sz</v>
      </c>
      <c r="D421" t="str">
        <f t="shared" si="37"/>
        <v>sz300699</v>
      </c>
      <c r="E421" t="str">
        <f>VLOOKUP(A421,Table!B:C,2,0)</f>
        <v>光威复材</v>
      </c>
      <c r="F421" t="str">
        <f>TRIM(VLOOKUP(A421,Table!B:O,14,0))</f>
        <v>化工行业</v>
      </c>
      <c r="G421" t="str">
        <f>VLOOKUP(F421,industry!A:C,2,0)</f>
        <v>化工</v>
      </c>
      <c r="H421" t="str">
        <f>VLOOKUP(F421,industry!A:C,3,0)</f>
        <v>化</v>
      </c>
      <c r="J421" s="2" t="s">
        <v>12585</v>
      </c>
      <c r="K421" t="str">
        <f t="shared" si="38"/>
        <v>sz300699</v>
      </c>
      <c r="L421" t="str">
        <f t="shared" si="39"/>
        <v>光威复材</v>
      </c>
      <c r="M421" t="str">
        <f t="shared" si="40"/>
        <v>化工</v>
      </c>
      <c r="N421" t="str">
        <f t="shared" si="41"/>
        <v>化</v>
      </c>
      <c r="P421" s="2" t="s">
        <v>12585</v>
      </c>
      <c r="Q421" t="s">
        <v>12619</v>
      </c>
      <c r="R421">
        <v>0</v>
      </c>
    </row>
    <row r="422" spans="1:18" x14ac:dyDescent="0.25">
      <c r="A422" t="s">
        <v>11120</v>
      </c>
      <c r="C422" t="str">
        <f t="shared" si="36"/>
        <v>sz</v>
      </c>
      <c r="D422" t="str">
        <f t="shared" si="37"/>
        <v>sz300027</v>
      </c>
      <c r="E422" t="str">
        <f>VLOOKUP(A422,Table!B:C,2,0)</f>
        <v>华谊兄弟</v>
      </c>
      <c r="F422" t="str">
        <f>TRIM(VLOOKUP(A422,Table!B:O,14,0))</f>
        <v>文化传媒</v>
      </c>
      <c r="G422" t="str">
        <f>VLOOKUP(F422,industry!A:C,2,0)</f>
        <v>传媒</v>
      </c>
      <c r="H422" t="str">
        <f>VLOOKUP(F422,industry!A:C,3,0)</f>
        <v>传</v>
      </c>
      <c r="J422" s="2" t="s">
        <v>12585</v>
      </c>
      <c r="K422" t="str">
        <f t="shared" si="38"/>
        <v>sz300027</v>
      </c>
      <c r="L422" t="str">
        <f t="shared" si="39"/>
        <v>华谊兄弟</v>
      </c>
      <c r="M422" t="str">
        <f t="shared" si="40"/>
        <v>传媒</v>
      </c>
      <c r="N422" t="str">
        <f t="shared" si="41"/>
        <v>传</v>
      </c>
      <c r="P422" s="2" t="s">
        <v>12585</v>
      </c>
      <c r="Q422" t="s">
        <v>10143</v>
      </c>
      <c r="R422">
        <v>0</v>
      </c>
    </row>
    <row r="423" spans="1:18" x14ac:dyDescent="0.25">
      <c r="A423" t="s">
        <v>11121</v>
      </c>
      <c r="C423" t="str">
        <f t="shared" si="36"/>
        <v>sz</v>
      </c>
      <c r="D423" t="str">
        <f t="shared" si="37"/>
        <v>sz000977</v>
      </c>
      <c r="E423" t="str">
        <f>VLOOKUP(A423,Table!B:C,2,0)</f>
        <v>浪潮信息</v>
      </c>
      <c r="F423" t="str">
        <f>TRIM(VLOOKUP(A423,Table!B:O,14,0))</f>
        <v>电子信息</v>
      </c>
      <c r="G423" t="str">
        <f>VLOOKUP(F423,industry!A:C,2,0)</f>
        <v>信息</v>
      </c>
      <c r="H423" t="str">
        <f>VLOOKUP(F423,industry!A:C,3,0)</f>
        <v>咨</v>
      </c>
      <c r="J423" s="2" t="s">
        <v>12585</v>
      </c>
      <c r="K423" t="str">
        <f t="shared" si="38"/>
        <v>sz000977</v>
      </c>
      <c r="L423" t="str">
        <f t="shared" si="39"/>
        <v>浪潮信息</v>
      </c>
      <c r="M423" t="str">
        <f t="shared" si="40"/>
        <v>信息</v>
      </c>
      <c r="N423" t="str">
        <f t="shared" si="41"/>
        <v>咨</v>
      </c>
      <c r="P423" s="2" t="s">
        <v>12585</v>
      </c>
      <c r="Q423" t="s">
        <v>10472</v>
      </c>
      <c r="R423">
        <v>0</v>
      </c>
    </row>
    <row r="424" spans="1:18" x14ac:dyDescent="0.25">
      <c r="A424" t="s">
        <v>11122</v>
      </c>
      <c r="C424" t="str">
        <f t="shared" si="36"/>
        <v>sz</v>
      </c>
      <c r="D424" t="str">
        <f t="shared" si="37"/>
        <v>sz300142</v>
      </c>
      <c r="E424" t="str">
        <f>VLOOKUP(A424,Table!B:C,2,0)</f>
        <v>沃森生物</v>
      </c>
      <c r="F424" t="str">
        <f>TRIM(VLOOKUP(A424,Table!B:O,14,0))</f>
        <v>医药制造</v>
      </c>
      <c r="G424" t="str">
        <f>VLOOKUP(F424,industry!A:C,2,0)</f>
        <v>医药</v>
      </c>
      <c r="H424" t="str">
        <f>VLOOKUP(F424,industry!A:C,3,0)</f>
        <v>药</v>
      </c>
      <c r="J424" s="2" t="s">
        <v>12585</v>
      </c>
      <c r="K424" t="str">
        <f t="shared" si="38"/>
        <v>sz300142</v>
      </c>
      <c r="L424" t="str">
        <f t="shared" si="39"/>
        <v>沃森生物</v>
      </c>
      <c r="M424" t="str">
        <f t="shared" si="40"/>
        <v>医药</v>
      </c>
      <c r="N424" t="str">
        <f t="shared" si="41"/>
        <v>药</v>
      </c>
      <c r="P424" s="2" t="s">
        <v>12585</v>
      </c>
      <c r="Q424" t="s">
        <v>12620</v>
      </c>
      <c r="R424">
        <v>0</v>
      </c>
    </row>
    <row r="425" spans="1:18" x14ac:dyDescent="0.25">
      <c r="A425" t="s">
        <v>11123</v>
      </c>
      <c r="C425" t="str">
        <f t="shared" si="36"/>
        <v>sh</v>
      </c>
      <c r="D425" t="str">
        <f t="shared" si="37"/>
        <v>sh600874</v>
      </c>
      <c r="E425" t="str">
        <f>VLOOKUP(A425,Table!B:C,2,0)</f>
        <v>创业环保</v>
      </c>
      <c r="F425" t="str">
        <f>TRIM(VLOOKUP(A425,Table!B:O,14,0))</f>
        <v>公用事业</v>
      </c>
      <c r="G425" t="str">
        <f>VLOOKUP(F425,industry!A:C,2,0)</f>
        <v>公用</v>
      </c>
      <c r="H425" t="str">
        <f>VLOOKUP(F425,industry!A:C,3,0)</f>
        <v>公</v>
      </c>
      <c r="J425" s="2" t="s">
        <v>12585</v>
      </c>
      <c r="K425" t="str">
        <f t="shared" si="38"/>
        <v>sh600874</v>
      </c>
      <c r="L425" t="str">
        <f t="shared" si="39"/>
        <v>创业环保</v>
      </c>
      <c r="M425" t="str">
        <f t="shared" si="40"/>
        <v>公用</v>
      </c>
      <c r="N425" t="str">
        <f t="shared" si="41"/>
        <v>公</v>
      </c>
      <c r="P425" s="2" t="s">
        <v>12585</v>
      </c>
      <c r="Q425" t="s">
        <v>11849</v>
      </c>
      <c r="R425">
        <v>0</v>
      </c>
    </row>
    <row r="426" spans="1:18" x14ac:dyDescent="0.25">
      <c r="A426" t="s">
        <v>11124</v>
      </c>
      <c r="C426" t="str">
        <f t="shared" si="36"/>
        <v>sz</v>
      </c>
      <c r="D426" t="str">
        <f t="shared" si="37"/>
        <v>sz000960</v>
      </c>
      <c r="E426" t="str">
        <f>VLOOKUP(A426,Table!B:C,2,0)</f>
        <v>锡业股份</v>
      </c>
      <c r="F426" t="str">
        <f>TRIM(VLOOKUP(A426,Table!B:O,14,0))</f>
        <v>有色金属</v>
      </c>
      <c r="G426" t="str">
        <f>VLOOKUP(F426,industry!A:C,2,0)</f>
        <v>有色</v>
      </c>
      <c r="H426" t="str">
        <f>VLOOKUP(F426,industry!A:C,3,0)</f>
        <v>色</v>
      </c>
      <c r="J426" s="2" t="s">
        <v>12585</v>
      </c>
      <c r="K426" t="str">
        <f t="shared" si="38"/>
        <v>sz000960</v>
      </c>
      <c r="L426" t="str">
        <f t="shared" si="39"/>
        <v>锡业股份</v>
      </c>
      <c r="M426" t="str">
        <f t="shared" si="40"/>
        <v>有色</v>
      </c>
      <c r="N426" t="str">
        <f t="shared" si="41"/>
        <v>色</v>
      </c>
      <c r="P426" s="2" t="s">
        <v>12585</v>
      </c>
      <c r="Q426" t="s">
        <v>10654</v>
      </c>
      <c r="R426">
        <v>0</v>
      </c>
    </row>
    <row r="427" spans="1:18" x14ac:dyDescent="0.25">
      <c r="A427" t="s">
        <v>11125</v>
      </c>
      <c r="C427" t="str">
        <f t="shared" si="36"/>
        <v>sh</v>
      </c>
      <c r="D427" t="str">
        <f t="shared" si="37"/>
        <v>sh601801</v>
      </c>
      <c r="E427" t="str">
        <f>VLOOKUP(A427,Table!B:C,2,0)</f>
        <v>皖新传媒</v>
      </c>
      <c r="F427" t="str">
        <f>TRIM(VLOOKUP(A427,Table!B:O,14,0))</f>
        <v>文化传媒</v>
      </c>
      <c r="G427" t="str">
        <f>VLOOKUP(F427,industry!A:C,2,0)</f>
        <v>传媒</v>
      </c>
      <c r="H427" t="str">
        <f>VLOOKUP(F427,industry!A:C,3,0)</f>
        <v>传</v>
      </c>
      <c r="J427" s="2" t="s">
        <v>12585</v>
      </c>
      <c r="K427" t="str">
        <f t="shared" si="38"/>
        <v>sh601801</v>
      </c>
      <c r="L427" t="str">
        <f t="shared" si="39"/>
        <v>皖新传媒</v>
      </c>
      <c r="M427" t="str">
        <f t="shared" si="40"/>
        <v>传媒</v>
      </c>
      <c r="N427" t="str">
        <f t="shared" si="41"/>
        <v>传</v>
      </c>
      <c r="P427" s="2" t="s">
        <v>12585</v>
      </c>
      <c r="Q427" t="s">
        <v>10119</v>
      </c>
      <c r="R427">
        <v>0</v>
      </c>
    </row>
    <row r="428" spans="1:18" x14ac:dyDescent="0.25">
      <c r="A428" t="s">
        <v>11126</v>
      </c>
      <c r="C428" t="str">
        <f t="shared" si="36"/>
        <v>sh</v>
      </c>
      <c r="D428" t="str">
        <f t="shared" si="37"/>
        <v>sh600879</v>
      </c>
      <c r="E428" t="str">
        <f>VLOOKUP(A428,Table!B:C,2,0)</f>
        <v>航天电子</v>
      </c>
      <c r="F428" t="str">
        <f>TRIM(VLOOKUP(A428,Table!B:O,14,0))</f>
        <v>航天航空</v>
      </c>
      <c r="G428" t="str">
        <f>VLOOKUP(F428,industry!A:C,2,0)</f>
        <v>航空</v>
      </c>
      <c r="H428" t="str">
        <f>VLOOKUP(F428,industry!A:C,3,0)</f>
        <v>航</v>
      </c>
      <c r="J428" s="2" t="s">
        <v>12585</v>
      </c>
      <c r="K428" t="str">
        <f t="shared" si="38"/>
        <v>sh600879</v>
      </c>
      <c r="L428" t="str">
        <f t="shared" si="39"/>
        <v>航天电子</v>
      </c>
      <c r="M428" t="str">
        <f t="shared" si="40"/>
        <v>航空</v>
      </c>
      <c r="N428" t="str">
        <f t="shared" si="41"/>
        <v>航</v>
      </c>
      <c r="P428" s="2" t="s">
        <v>12585</v>
      </c>
      <c r="Q428" t="s">
        <v>11983</v>
      </c>
      <c r="R428">
        <v>0</v>
      </c>
    </row>
    <row r="429" spans="1:18" x14ac:dyDescent="0.25">
      <c r="A429" t="s">
        <v>11127</v>
      </c>
      <c r="C429" t="str">
        <f t="shared" si="36"/>
        <v>sz</v>
      </c>
      <c r="D429" t="str">
        <f t="shared" si="37"/>
        <v>sz300182</v>
      </c>
      <c r="E429" t="str">
        <f>VLOOKUP(A429,Table!B:C,2,0)</f>
        <v>捷成股份</v>
      </c>
      <c r="F429" t="str">
        <f>TRIM(VLOOKUP(A429,Table!B:O,14,0))</f>
        <v>软件服务</v>
      </c>
      <c r="G429" t="str">
        <f>VLOOKUP(F429,industry!A:C,2,0)</f>
        <v>软件</v>
      </c>
      <c r="H429" t="str">
        <f>VLOOKUP(F429,industry!A:C,3,0)</f>
        <v>软</v>
      </c>
      <c r="J429" s="2" t="s">
        <v>12585</v>
      </c>
      <c r="K429" t="str">
        <f t="shared" si="38"/>
        <v>sz300182</v>
      </c>
      <c r="L429" t="str">
        <f t="shared" si="39"/>
        <v>捷成股份</v>
      </c>
      <c r="M429" t="str">
        <f t="shared" si="40"/>
        <v>软件</v>
      </c>
      <c r="N429" t="str">
        <f t="shared" si="41"/>
        <v>软</v>
      </c>
      <c r="P429" s="2" t="s">
        <v>12585</v>
      </c>
      <c r="Q429" t="s">
        <v>10252</v>
      </c>
      <c r="R429">
        <v>0</v>
      </c>
    </row>
    <row r="430" spans="1:18" x14ac:dyDescent="0.25">
      <c r="A430" t="s">
        <v>11128</v>
      </c>
      <c r="C430" t="str">
        <f t="shared" si="36"/>
        <v>sz</v>
      </c>
      <c r="D430" t="str">
        <f t="shared" si="37"/>
        <v>sz002127</v>
      </c>
      <c r="E430" t="str">
        <f>VLOOKUP(A430,Table!B:C,2,0)</f>
        <v>南极电商</v>
      </c>
      <c r="F430" t="str">
        <f>TRIM(VLOOKUP(A430,Table!B:O,14,0))</f>
        <v>纺织服装</v>
      </c>
      <c r="G430" t="str">
        <f>VLOOKUP(F430,industry!A:C,2,0)</f>
        <v>纺织</v>
      </c>
      <c r="H430" t="str">
        <f>VLOOKUP(F430,industry!A:C,3,0)</f>
        <v>纺</v>
      </c>
      <c r="J430" s="2" t="s">
        <v>12585</v>
      </c>
      <c r="K430" t="str">
        <f t="shared" si="38"/>
        <v>sz002127</v>
      </c>
      <c r="L430" t="str">
        <f t="shared" si="39"/>
        <v>南极电商</v>
      </c>
      <c r="M430" t="str">
        <f t="shared" si="40"/>
        <v>纺织</v>
      </c>
      <c r="N430" t="str">
        <f t="shared" si="41"/>
        <v>纺</v>
      </c>
      <c r="P430" s="2" t="s">
        <v>12585</v>
      </c>
      <c r="Q430" t="s">
        <v>12621</v>
      </c>
      <c r="R430">
        <v>0</v>
      </c>
    </row>
    <row r="431" spans="1:18" x14ac:dyDescent="0.25">
      <c r="A431" t="s">
        <v>11129</v>
      </c>
      <c r="C431" t="str">
        <f t="shared" si="36"/>
        <v>sz</v>
      </c>
      <c r="D431" t="str">
        <f t="shared" si="37"/>
        <v>sz000750</v>
      </c>
      <c r="E431" t="str">
        <f>VLOOKUP(A431,Table!B:C,2,0)</f>
        <v>国海证券</v>
      </c>
      <c r="F431" t="str">
        <f>TRIM(VLOOKUP(A431,Table!B:O,14,0))</f>
        <v>券商信托</v>
      </c>
      <c r="G431" t="str">
        <f>VLOOKUP(F431,industry!A:C,2,0)</f>
        <v>券商</v>
      </c>
      <c r="H431" t="str">
        <f>VLOOKUP(F431,industry!A:C,3,0)</f>
        <v>券</v>
      </c>
      <c r="J431" s="2" t="s">
        <v>12585</v>
      </c>
      <c r="K431" t="str">
        <f t="shared" si="38"/>
        <v>sz000750</v>
      </c>
      <c r="L431" t="str">
        <f t="shared" si="39"/>
        <v>国海证券</v>
      </c>
      <c r="M431" t="str">
        <f t="shared" si="40"/>
        <v>券商</v>
      </c>
      <c r="N431" t="str">
        <f t="shared" si="41"/>
        <v>券</v>
      </c>
      <c r="P431" s="2" t="s">
        <v>12585</v>
      </c>
      <c r="Q431" t="s">
        <v>10232</v>
      </c>
      <c r="R431">
        <v>0</v>
      </c>
    </row>
    <row r="432" spans="1:18" x14ac:dyDescent="0.25">
      <c r="A432" t="s">
        <v>11130</v>
      </c>
      <c r="C432" t="str">
        <f t="shared" si="36"/>
        <v>sh</v>
      </c>
      <c r="D432" t="str">
        <f t="shared" si="37"/>
        <v>sh600521</v>
      </c>
      <c r="E432" t="str">
        <f>VLOOKUP(A432,Table!B:C,2,0)</f>
        <v>华海药业</v>
      </c>
      <c r="F432" t="str">
        <f>TRIM(VLOOKUP(A432,Table!B:O,14,0))</f>
        <v>医药制造</v>
      </c>
      <c r="G432" t="str">
        <f>VLOOKUP(F432,industry!A:C,2,0)</f>
        <v>医药</v>
      </c>
      <c r="H432" t="str">
        <f>VLOOKUP(F432,industry!A:C,3,0)</f>
        <v>药</v>
      </c>
      <c r="J432" s="2" t="s">
        <v>12585</v>
      </c>
      <c r="K432" t="str">
        <f t="shared" si="38"/>
        <v>sh600521</v>
      </c>
      <c r="L432" t="str">
        <f t="shared" si="39"/>
        <v>华海药业</v>
      </c>
      <c r="M432" t="str">
        <f t="shared" si="40"/>
        <v>医药</v>
      </c>
      <c r="N432" t="str">
        <f t="shared" si="41"/>
        <v>药</v>
      </c>
      <c r="P432" s="2" t="s">
        <v>12585</v>
      </c>
      <c r="Q432" t="s">
        <v>10346</v>
      </c>
      <c r="R432">
        <v>0</v>
      </c>
    </row>
    <row r="433" spans="1:18" x14ac:dyDescent="0.25">
      <c r="A433" t="s">
        <v>11131</v>
      </c>
      <c r="C433" t="str">
        <f t="shared" si="36"/>
        <v>sz</v>
      </c>
      <c r="D433" t="str">
        <f t="shared" si="37"/>
        <v>sz002839</v>
      </c>
      <c r="E433" t="str">
        <f>VLOOKUP(A433,Table!B:C,2,0)</f>
        <v>张家港行</v>
      </c>
      <c r="F433" t="str">
        <f>TRIM(VLOOKUP(A433,Table!B:O,14,0))</f>
        <v>银行</v>
      </c>
      <c r="G433" t="str">
        <f>VLOOKUP(F433,industry!A:C,2,0)</f>
        <v>银行</v>
      </c>
      <c r="H433" t="str">
        <f>VLOOKUP(F433,industry!A:C,3,0)</f>
        <v>银</v>
      </c>
      <c r="J433" s="2" t="s">
        <v>12585</v>
      </c>
      <c r="K433" t="str">
        <f t="shared" si="38"/>
        <v>sz002839</v>
      </c>
      <c r="L433" t="str">
        <f t="shared" si="39"/>
        <v>张家港行</v>
      </c>
      <c r="M433" t="str">
        <f t="shared" si="40"/>
        <v>银行</v>
      </c>
      <c r="N433" t="str">
        <f t="shared" si="41"/>
        <v>银</v>
      </c>
      <c r="P433" s="2" t="s">
        <v>12585</v>
      </c>
      <c r="Q433" t="s">
        <v>12622</v>
      </c>
      <c r="R433">
        <v>0</v>
      </c>
    </row>
    <row r="434" spans="1:18" x14ac:dyDescent="0.25">
      <c r="A434" t="s">
        <v>11132</v>
      </c>
      <c r="C434" t="str">
        <f t="shared" si="36"/>
        <v>sz</v>
      </c>
      <c r="D434" t="str">
        <f t="shared" si="37"/>
        <v>sz300186</v>
      </c>
      <c r="E434" t="str">
        <f>VLOOKUP(A434,Table!B:C,2,0)</f>
        <v>大华农</v>
      </c>
      <c r="F434" t="str">
        <f>TRIM(VLOOKUP(A434,Table!B:O,14,0))</f>
        <v>医药制造</v>
      </c>
      <c r="G434" t="str">
        <f>VLOOKUP(F434,industry!A:C,2,0)</f>
        <v>医药</v>
      </c>
      <c r="H434" t="str">
        <f>VLOOKUP(F434,industry!A:C,3,0)</f>
        <v>药</v>
      </c>
      <c r="J434" s="2" t="s">
        <v>12585</v>
      </c>
      <c r="K434" t="str">
        <f t="shared" si="38"/>
        <v>sz300186</v>
      </c>
      <c r="L434" t="str">
        <f t="shared" si="39"/>
        <v>大华农</v>
      </c>
      <c r="M434" t="str">
        <f t="shared" si="40"/>
        <v>医药</v>
      </c>
      <c r="N434" t="str">
        <f t="shared" si="41"/>
        <v>药</v>
      </c>
      <c r="P434" s="2" t="s">
        <v>12585</v>
      </c>
      <c r="Q434" t="s">
        <v>12623</v>
      </c>
      <c r="R434">
        <v>0</v>
      </c>
    </row>
    <row r="435" spans="1:18" x14ac:dyDescent="0.25">
      <c r="A435" t="s">
        <v>11133</v>
      </c>
      <c r="C435" t="str">
        <f t="shared" si="36"/>
        <v>sz</v>
      </c>
      <c r="D435" t="str">
        <f t="shared" si="37"/>
        <v>sz002573</v>
      </c>
      <c r="E435" t="str">
        <f>VLOOKUP(A435,Table!B:C,2,0)</f>
        <v>清新环境</v>
      </c>
      <c r="F435" t="str">
        <f>TRIM(VLOOKUP(A435,Table!B:O,14,0))</f>
        <v>环保工程</v>
      </c>
      <c r="G435" t="str">
        <f>VLOOKUP(F435,industry!A:C,2,0)</f>
        <v>环保</v>
      </c>
      <c r="H435" t="str">
        <f>VLOOKUP(F435,industry!A:C,3,0)</f>
        <v>环</v>
      </c>
      <c r="J435" s="2" t="s">
        <v>12585</v>
      </c>
      <c r="K435" t="str">
        <f t="shared" si="38"/>
        <v>sz002573</v>
      </c>
      <c r="L435" t="str">
        <f t="shared" si="39"/>
        <v>清新环境</v>
      </c>
      <c r="M435" t="str">
        <f t="shared" si="40"/>
        <v>环保</v>
      </c>
      <c r="N435" t="str">
        <f t="shared" si="41"/>
        <v>环</v>
      </c>
      <c r="P435" s="2" t="s">
        <v>12585</v>
      </c>
      <c r="Q435" t="s">
        <v>12223</v>
      </c>
      <c r="R435">
        <v>0</v>
      </c>
    </row>
    <row r="436" spans="1:18" x14ac:dyDescent="0.25">
      <c r="A436" t="s">
        <v>11134</v>
      </c>
      <c r="C436" t="str">
        <f t="shared" si="36"/>
        <v>sz</v>
      </c>
      <c r="D436" t="str">
        <f t="shared" si="37"/>
        <v>sz002195</v>
      </c>
      <c r="E436" t="str">
        <f>VLOOKUP(A436,Table!B:C,2,0)</f>
        <v>二三四五</v>
      </c>
      <c r="F436" t="str">
        <f>TRIM(VLOOKUP(A436,Table!B:O,14,0))</f>
        <v>电子信息</v>
      </c>
      <c r="G436" t="str">
        <f>VLOOKUP(F436,industry!A:C,2,0)</f>
        <v>信息</v>
      </c>
      <c r="H436" t="str">
        <f>VLOOKUP(F436,industry!A:C,3,0)</f>
        <v>咨</v>
      </c>
      <c r="J436" s="2" t="s">
        <v>12585</v>
      </c>
      <c r="K436" t="str">
        <f t="shared" si="38"/>
        <v>sz002195</v>
      </c>
      <c r="L436" t="str">
        <f t="shared" si="39"/>
        <v>二三四五</v>
      </c>
      <c r="M436" t="str">
        <f t="shared" si="40"/>
        <v>信息</v>
      </c>
      <c r="N436" t="str">
        <f t="shared" si="41"/>
        <v>咨</v>
      </c>
      <c r="P436" s="2" t="s">
        <v>12585</v>
      </c>
      <c r="Q436" t="s">
        <v>10545</v>
      </c>
      <c r="R436">
        <v>0</v>
      </c>
    </row>
    <row r="437" spans="1:18" x14ac:dyDescent="0.25">
      <c r="A437" t="s">
        <v>11135</v>
      </c>
      <c r="C437" t="str">
        <f t="shared" si="36"/>
        <v>sh</v>
      </c>
      <c r="D437" t="str">
        <f t="shared" si="37"/>
        <v>sh600875</v>
      </c>
      <c r="E437" t="str">
        <f>VLOOKUP(A437,Table!B:C,2,0)</f>
        <v>东方电气</v>
      </c>
      <c r="F437" t="str">
        <f>TRIM(VLOOKUP(A437,Table!B:O,14,0))</f>
        <v>输配电气</v>
      </c>
      <c r="G437" t="str">
        <f>VLOOKUP(F437,industry!A:C,2,0)</f>
        <v>配电</v>
      </c>
      <c r="H437" t="str">
        <f>VLOOKUP(F437,industry!A:C,3,0)</f>
        <v>输电</v>
      </c>
      <c r="J437" s="2" t="s">
        <v>12585</v>
      </c>
      <c r="K437" t="str">
        <f t="shared" si="38"/>
        <v>sh600875</v>
      </c>
      <c r="L437" t="str">
        <f t="shared" si="39"/>
        <v>东方电气</v>
      </c>
      <c r="M437" t="str">
        <f t="shared" si="40"/>
        <v>配电</v>
      </c>
      <c r="N437" t="str">
        <f t="shared" si="41"/>
        <v>输电</v>
      </c>
      <c r="P437" s="2" t="s">
        <v>12585</v>
      </c>
      <c r="Q437" t="s">
        <v>10541</v>
      </c>
      <c r="R437">
        <v>0</v>
      </c>
    </row>
    <row r="438" spans="1:18" x14ac:dyDescent="0.25">
      <c r="A438" t="s">
        <v>11136</v>
      </c>
      <c r="C438" t="str">
        <f t="shared" si="36"/>
        <v>sz</v>
      </c>
      <c r="D438" t="str">
        <f t="shared" si="37"/>
        <v>sz300156</v>
      </c>
      <c r="E438" t="str">
        <f>VLOOKUP(A438,Table!B:C,2,0)</f>
        <v>神雾环保</v>
      </c>
      <c r="F438" t="str">
        <f>TRIM(VLOOKUP(A438,Table!B:O,14,0))</f>
        <v>环保工程</v>
      </c>
      <c r="G438" t="str">
        <f>VLOOKUP(F438,industry!A:C,2,0)</f>
        <v>环保</v>
      </c>
      <c r="H438" t="str">
        <f>VLOOKUP(F438,industry!A:C,3,0)</f>
        <v>环</v>
      </c>
      <c r="J438" s="2" t="s">
        <v>12585</v>
      </c>
      <c r="K438" t="str">
        <f t="shared" si="38"/>
        <v>sz300156</v>
      </c>
      <c r="L438" t="str">
        <f t="shared" si="39"/>
        <v>神雾环保</v>
      </c>
      <c r="M438" t="str">
        <f t="shared" si="40"/>
        <v>环保</v>
      </c>
      <c r="N438" t="str">
        <f t="shared" si="41"/>
        <v>环</v>
      </c>
      <c r="P438" s="2" t="s">
        <v>12585</v>
      </c>
      <c r="Q438" t="s">
        <v>10342</v>
      </c>
      <c r="R438">
        <v>0</v>
      </c>
    </row>
    <row r="439" spans="1:18" x14ac:dyDescent="0.25">
      <c r="A439" t="s">
        <v>11137</v>
      </c>
      <c r="C439" t="str">
        <f t="shared" si="36"/>
        <v>sz</v>
      </c>
      <c r="D439" t="str">
        <f t="shared" si="37"/>
        <v>sz300274</v>
      </c>
      <c r="E439" t="str">
        <f>VLOOKUP(A439,Table!B:C,2,0)</f>
        <v>阳光电源</v>
      </c>
      <c r="F439" t="str">
        <f>TRIM(VLOOKUP(A439,Table!B:O,14,0))</f>
        <v>机械行业</v>
      </c>
      <c r="G439" t="str">
        <f>VLOOKUP(F439,industry!A:C,2,0)</f>
        <v>机械</v>
      </c>
      <c r="H439" t="str">
        <f>VLOOKUP(F439,industry!A:C,3,0)</f>
        <v>械</v>
      </c>
      <c r="J439" s="2" t="s">
        <v>12585</v>
      </c>
      <c r="K439" t="str">
        <f t="shared" si="38"/>
        <v>sz300274</v>
      </c>
      <c r="L439" t="str">
        <f t="shared" si="39"/>
        <v>阳光电源</v>
      </c>
      <c r="M439" t="str">
        <f t="shared" si="40"/>
        <v>机械</v>
      </c>
      <c r="N439" t="str">
        <f t="shared" si="41"/>
        <v>械</v>
      </c>
      <c r="P439" s="2" t="s">
        <v>12585</v>
      </c>
      <c r="Q439" t="s">
        <v>12432</v>
      </c>
      <c r="R439">
        <v>0</v>
      </c>
    </row>
    <row r="440" spans="1:18" x14ac:dyDescent="0.25">
      <c r="A440" t="s">
        <v>11138</v>
      </c>
      <c r="C440" t="str">
        <f t="shared" si="36"/>
        <v>sh</v>
      </c>
      <c r="D440" t="str">
        <f t="shared" si="37"/>
        <v>sh600021</v>
      </c>
      <c r="E440" t="str">
        <f>VLOOKUP(A440,Table!B:C,2,0)</f>
        <v>上海电力</v>
      </c>
      <c r="F440" t="str">
        <f>TRIM(VLOOKUP(A440,Table!B:O,14,0))</f>
        <v>电力行业</v>
      </c>
      <c r="G440" t="str">
        <f>VLOOKUP(F440,industry!A:C,2,0)</f>
        <v>电力</v>
      </c>
      <c r="H440" t="str">
        <f>VLOOKUP(F440,industry!A:C,3,0)</f>
        <v>电力</v>
      </c>
      <c r="J440" s="2" t="s">
        <v>12585</v>
      </c>
      <c r="K440" t="str">
        <f t="shared" si="38"/>
        <v>sh600021</v>
      </c>
      <c r="L440" t="str">
        <f t="shared" si="39"/>
        <v>上海电力</v>
      </c>
      <c r="M440" t="str">
        <f t="shared" si="40"/>
        <v>电力</v>
      </c>
      <c r="N440" t="str">
        <f t="shared" si="41"/>
        <v>电力</v>
      </c>
      <c r="P440" s="2" t="s">
        <v>12585</v>
      </c>
      <c r="Q440" t="s">
        <v>10398</v>
      </c>
      <c r="R440">
        <v>0</v>
      </c>
    </row>
    <row r="441" spans="1:18" x14ac:dyDescent="0.25">
      <c r="A441" t="s">
        <v>11139</v>
      </c>
      <c r="C441" t="str">
        <f t="shared" si="36"/>
        <v>sh</v>
      </c>
      <c r="D441" t="str">
        <f t="shared" si="37"/>
        <v>sh600260</v>
      </c>
      <c r="E441" t="str">
        <f>VLOOKUP(A441,Table!B:C,2,0)</f>
        <v>凯乐科技</v>
      </c>
      <c r="F441" t="str">
        <f>TRIM(VLOOKUP(A441,Table!B:O,14,0))</f>
        <v>通讯行业</v>
      </c>
      <c r="G441" t="str">
        <f>VLOOKUP(F441,industry!A:C,2,0)</f>
        <v>通讯</v>
      </c>
      <c r="H441" t="str">
        <f>VLOOKUP(F441,industry!A:C,3,0)</f>
        <v>讯</v>
      </c>
      <c r="J441" s="2" t="s">
        <v>12585</v>
      </c>
      <c r="K441" t="str">
        <f t="shared" si="38"/>
        <v>sh600260</v>
      </c>
      <c r="L441" t="str">
        <f t="shared" si="39"/>
        <v>凯乐科技</v>
      </c>
      <c r="M441" t="str">
        <f t="shared" si="40"/>
        <v>通讯</v>
      </c>
      <c r="N441" t="str">
        <f t="shared" si="41"/>
        <v>讯</v>
      </c>
      <c r="P441" s="2" t="s">
        <v>12585</v>
      </c>
      <c r="Q441" t="s">
        <v>12113</v>
      </c>
      <c r="R441">
        <v>0</v>
      </c>
    </row>
    <row r="442" spans="1:18" x14ac:dyDescent="0.25">
      <c r="A442" t="s">
        <v>11140</v>
      </c>
      <c r="C442" t="str">
        <f t="shared" si="36"/>
        <v>sz</v>
      </c>
      <c r="D442" t="str">
        <f t="shared" si="37"/>
        <v>sz000686</v>
      </c>
      <c r="E442" t="str">
        <f>VLOOKUP(A442,Table!B:C,2,0)</f>
        <v>东北证券</v>
      </c>
      <c r="F442" t="str">
        <f>TRIM(VLOOKUP(A442,Table!B:O,14,0))</f>
        <v>券商信托</v>
      </c>
      <c r="G442" t="str">
        <f>VLOOKUP(F442,industry!A:C,2,0)</f>
        <v>券商</v>
      </c>
      <c r="H442" t="str">
        <f>VLOOKUP(F442,industry!A:C,3,0)</f>
        <v>券</v>
      </c>
      <c r="J442" s="2" t="s">
        <v>12585</v>
      </c>
      <c r="K442" t="str">
        <f t="shared" si="38"/>
        <v>sz000686</v>
      </c>
      <c r="L442" t="str">
        <f t="shared" si="39"/>
        <v>东北证券</v>
      </c>
      <c r="M442" t="str">
        <f t="shared" si="40"/>
        <v>券商</v>
      </c>
      <c r="N442" t="str">
        <f t="shared" si="41"/>
        <v>券</v>
      </c>
      <c r="P442" s="2" t="s">
        <v>12585</v>
      </c>
      <c r="Q442" t="s">
        <v>10234</v>
      </c>
      <c r="R442">
        <v>0</v>
      </c>
    </row>
    <row r="443" spans="1:18" x14ac:dyDescent="0.25">
      <c r="A443" t="s">
        <v>11141</v>
      </c>
      <c r="C443" t="str">
        <f t="shared" si="36"/>
        <v>sh</v>
      </c>
      <c r="D443" t="str">
        <f t="shared" si="37"/>
        <v>sh600155</v>
      </c>
      <c r="E443" t="str">
        <f>VLOOKUP(A443,Table!B:C,2,0)</f>
        <v>宝硕股份</v>
      </c>
      <c r="F443" t="str">
        <f>TRIM(VLOOKUP(A443,Table!B:O,14,0))</f>
        <v>化工行业</v>
      </c>
      <c r="G443" t="str">
        <f>VLOOKUP(F443,industry!A:C,2,0)</f>
        <v>化工</v>
      </c>
      <c r="H443" t="str">
        <f>VLOOKUP(F443,industry!A:C,3,0)</f>
        <v>化</v>
      </c>
      <c r="J443" s="2" t="s">
        <v>12585</v>
      </c>
      <c r="K443" t="str">
        <f t="shared" si="38"/>
        <v>sh600155</v>
      </c>
      <c r="L443" t="str">
        <f t="shared" si="39"/>
        <v>宝硕股份</v>
      </c>
      <c r="M443" t="str">
        <f t="shared" si="40"/>
        <v>化工</v>
      </c>
      <c r="N443" t="str">
        <f t="shared" si="41"/>
        <v>化</v>
      </c>
      <c r="P443" s="2" t="s">
        <v>12585</v>
      </c>
      <c r="Q443" t="s">
        <v>12624</v>
      </c>
      <c r="R443">
        <v>0</v>
      </c>
    </row>
    <row r="444" spans="1:18" x14ac:dyDescent="0.25">
      <c r="A444" t="s">
        <v>11142</v>
      </c>
      <c r="C444" t="str">
        <f t="shared" si="36"/>
        <v>sh</v>
      </c>
      <c r="D444" t="str">
        <f t="shared" si="37"/>
        <v>sh600266</v>
      </c>
      <c r="E444" t="str">
        <f>VLOOKUP(A444,Table!B:C,2,0)</f>
        <v>北京城建</v>
      </c>
      <c r="F444" t="str">
        <f>TRIM(VLOOKUP(A444,Table!B:O,14,0))</f>
        <v>房地产</v>
      </c>
      <c r="G444" t="str">
        <f>VLOOKUP(F444,industry!A:C,2,0)</f>
        <v>房产</v>
      </c>
      <c r="H444" t="str">
        <f>VLOOKUP(F444,industry!A:C,3,0)</f>
        <v>产</v>
      </c>
      <c r="J444" s="2" t="s">
        <v>12585</v>
      </c>
      <c r="K444" t="str">
        <f t="shared" si="38"/>
        <v>sh600266</v>
      </c>
      <c r="L444" t="str">
        <f t="shared" si="39"/>
        <v>北京城建</v>
      </c>
      <c r="M444" t="str">
        <f t="shared" si="40"/>
        <v>房产</v>
      </c>
      <c r="N444" t="str">
        <f t="shared" si="41"/>
        <v>产</v>
      </c>
      <c r="P444" s="2" t="s">
        <v>12585</v>
      </c>
      <c r="Q444" t="s">
        <v>10658</v>
      </c>
      <c r="R444">
        <v>0</v>
      </c>
    </row>
    <row r="445" spans="1:18" x14ac:dyDescent="0.25">
      <c r="A445" t="s">
        <v>11143</v>
      </c>
      <c r="C445" t="str">
        <f t="shared" si="36"/>
        <v>sz</v>
      </c>
      <c r="D445" t="str">
        <f t="shared" si="37"/>
        <v>sz300558</v>
      </c>
      <c r="E445" t="str">
        <f>VLOOKUP(A445,Table!B:C,2,0)</f>
        <v>贝达药业</v>
      </c>
      <c r="F445" t="str">
        <f>TRIM(VLOOKUP(A445,Table!B:O,14,0))</f>
        <v>医药制造</v>
      </c>
      <c r="G445" t="str">
        <f>VLOOKUP(F445,industry!A:C,2,0)</f>
        <v>医药</v>
      </c>
      <c r="H445" t="str">
        <f>VLOOKUP(F445,industry!A:C,3,0)</f>
        <v>药</v>
      </c>
      <c r="J445" s="2" t="s">
        <v>12585</v>
      </c>
      <c r="K445" t="str">
        <f t="shared" si="38"/>
        <v>sz300558</v>
      </c>
      <c r="L445" t="str">
        <f t="shared" si="39"/>
        <v>贝达药业</v>
      </c>
      <c r="M445" t="str">
        <f t="shared" si="40"/>
        <v>医药</v>
      </c>
      <c r="N445" t="str">
        <f t="shared" si="41"/>
        <v>药</v>
      </c>
      <c r="P445" s="2" t="s">
        <v>12585</v>
      </c>
      <c r="Q445" t="s">
        <v>12625</v>
      </c>
      <c r="R445">
        <v>0</v>
      </c>
    </row>
    <row r="446" spans="1:18" x14ac:dyDescent="0.25">
      <c r="A446" t="s">
        <v>11144</v>
      </c>
      <c r="C446" t="str">
        <f t="shared" si="36"/>
        <v>sz</v>
      </c>
      <c r="D446" t="str">
        <f t="shared" si="37"/>
        <v>sz002078</v>
      </c>
      <c r="E446" t="str">
        <f>VLOOKUP(A446,Table!B:C,2,0)</f>
        <v>太阳纸业</v>
      </c>
      <c r="F446" t="str">
        <f>TRIM(VLOOKUP(A446,Table!B:O,14,0))</f>
        <v>造纸印刷</v>
      </c>
      <c r="G446" t="str">
        <f>VLOOKUP(F446,industry!A:C,2,0)</f>
        <v>造纸</v>
      </c>
      <c r="H446" t="str">
        <f>VLOOKUP(F446,industry!A:C,3,0)</f>
        <v>纸</v>
      </c>
      <c r="J446" s="2" t="s">
        <v>12585</v>
      </c>
      <c r="K446" t="str">
        <f t="shared" si="38"/>
        <v>sz002078</v>
      </c>
      <c r="L446" t="str">
        <f t="shared" si="39"/>
        <v>太阳纸业</v>
      </c>
      <c r="M446" t="str">
        <f t="shared" si="40"/>
        <v>造纸</v>
      </c>
      <c r="N446" t="str">
        <f t="shared" si="41"/>
        <v>纸</v>
      </c>
      <c r="P446" s="2" t="s">
        <v>12585</v>
      </c>
      <c r="Q446" t="s">
        <v>12310</v>
      </c>
      <c r="R446">
        <v>0</v>
      </c>
    </row>
    <row r="447" spans="1:18" x14ac:dyDescent="0.25">
      <c r="A447" t="s">
        <v>11145</v>
      </c>
      <c r="C447" t="str">
        <f t="shared" si="36"/>
        <v>sh</v>
      </c>
      <c r="D447" t="str">
        <f t="shared" si="37"/>
        <v>sh600623</v>
      </c>
      <c r="E447" t="str">
        <f>VLOOKUP(A447,Table!B:C,2,0)</f>
        <v>华谊集团</v>
      </c>
      <c r="F447" t="str">
        <f>TRIM(VLOOKUP(A447,Table!B:O,14,0))</f>
        <v>化工行业</v>
      </c>
      <c r="G447" t="str">
        <f>VLOOKUP(F447,industry!A:C,2,0)</f>
        <v>化工</v>
      </c>
      <c r="H447" t="str">
        <f>VLOOKUP(F447,industry!A:C,3,0)</f>
        <v>化</v>
      </c>
      <c r="J447" s="2" t="s">
        <v>12585</v>
      </c>
      <c r="K447" t="str">
        <f t="shared" si="38"/>
        <v>sh600623</v>
      </c>
      <c r="L447" t="str">
        <f t="shared" si="39"/>
        <v>华谊集团</v>
      </c>
      <c r="M447" t="str">
        <f t="shared" si="40"/>
        <v>化工</v>
      </c>
      <c r="N447" t="str">
        <f t="shared" si="41"/>
        <v>化</v>
      </c>
      <c r="P447" s="2" t="s">
        <v>12585</v>
      </c>
      <c r="Q447" t="s">
        <v>10047</v>
      </c>
      <c r="R447">
        <v>0</v>
      </c>
    </row>
    <row r="448" spans="1:18" x14ac:dyDescent="0.25">
      <c r="A448" t="s">
        <v>11146</v>
      </c>
      <c r="C448" t="str">
        <f t="shared" si="36"/>
        <v>sh</v>
      </c>
      <c r="D448" t="str">
        <f t="shared" si="37"/>
        <v>sh601928</v>
      </c>
      <c r="E448" t="str">
        <f>VLOOKUP(A448,Table!B:C,2,0)</f>
        <v>凤凰传媒</v>
      </c>
      <c r="F448" t="str">
        <f>TRIM(VLOOKUP(A448,Table!B:O,14,0))</f>
        <v>文化传媒</v>
      </c>
      <c r="G448" t="str">
        <f>VLOOKUP(F448,industry!A:C,2,0)</f>
        <v>传媒</v>
      </c>
      <c r="H448" t="str">
        <f>VLOOKUP(F448,industry!A:C,3,0)</f>
        <v>传</v>
      </c>
      <c r="J448" s="2" t="s">
        <v>12585</v>
      </c>
      <c r="K448" t="str">
        <f t="shared" si="38"/>
        <v>sh601928</v>
      </c>
      <c r="L448" t="str">
        <f t="shared" si="39"/>
        <v>凤凰传媒</v>
      </c>
      <c r="M448" t="str">
        <f t="shared" si="40"/>
        <v>传媒</v>
      </c>
      <c r="N448" t="str">
        <f t="shared" si="41"/>
        <v>传</v>
      </c>
      <c r="P448" s="2" t="s">
        <v>12585</v>
      </c>
      <c r="Q448" t="s">
        <v>10294</v>
      </c>
      <c r="R448">
        <v>0</v>
      </c>
    </row>
    <row r="449" spans="1:18" x14ac:dyDescent="0.25">
      <c r="A449" t="s">
        <v>11147</v>
      </c>
      <c r="C449" t="str">
        <f t="shared" si="36"/>
        <v>sh</v>
      </c>
      <c r="D449" t="str">
        <f t="shared" si="37"/>
        <v>sh600885</v>
      </c>
      <c r="E449" t="str">
        <f>VLOOKUP(A449,Table!B:C,2,0)</f>
        <v>宏发股份</v>
      </c>
      <c r="F449" t="str">
        <f>TRIM(VLOOKUP(A449,Table!B:O,14,0))</f>
        <v>电子元件</v>
      </c>
      <c r="G449" t="str">
        <f>VLOOKUP(F449,industry!A:C,2,0)</f>
        <v>原件</v>
      </c>
      <c r="H449" t="str">
        <f>VLOOKUP(F449,industry!A:C,3,0)</f>
        <v>元件</v>
      </c>
      <c r="J449" s="2" t="s">
        <v>12585</v>
      </c>
      <c r="K449" t="str">
        <f t="shared" si="38"/>
        <v>sh600885</v>
      </c>
      <c r="L449" t="str">
        <f t="shared" si="39"/>
        <v>宏发股份</v>
      </c>
      <c r="M449" t="str">
        <f t="shared" si="40"/>
        <v>原件</v>
      </c>
      <c r="N449" t="str">
        <f t="shared" si="41"/>
        <v>元件</v>
      </c>
      <c r="P449" s="2" t="s">
        <v>12585</v>
      </c>
      <c r="Q449" t="s">
        <v>12626</v>
      </c>
      <c r="R449">
        <v>0</v>
      </c>
    </row>
    <row r="450" spans="1:18" x14ac:dyDescent="0.25">
      <c r="A450" t="s">
        <v>11148</v>
      </c>
      <c r="C450" t="str">
        <f t="shared" si="36"/>
        <v>sz</v>
      </c>
      <c r="D450" t="str">
        <f t="shared" si="37"/>
        <v>sz002410</v>
      </c>
      <c r="E450" t="str">
        <f>VLOOKUP(A450,Table!B:C,2,0)</f>
        <v>广联达</v>
      </c>
      <c r="F450" t="str">
        <f>TRIM(VLOOKUP(A450,Table!B:O,14,0))</f>
        <v>软件服务</v>
      </c>
      <c r="G450" t="str">
        <f>VLOOKUP(F450,industry!A:C,2,0)</f>
        <v>软件</v>
      </c>
      <c r="H450" t="str">
        <f>VLOOKUP(F450,industry!A:C,3,0)</f>
        <v>软</v>
      </c>
      <c r="J450" s="2" t="s">
        <v>12585</v>
      </c>
      <c r="K450" t="str">
        <f t="shared" si="38"/>
        <v>sz002410</v>
      </c>
      <c r="L450" t="str">
        <f t="shared" si="39"/>
        <v>广联达</v>
      </c>
      <c r="M450" t="str">
        <f t="shared" si="40"/>
        <v>软件</v>
      </c>
      <c r="N450" t="str">
        <f t="shared" si="41"/>
        <v>软</v>
      </c>
      <c r="P450" s="2" t="s">
        <v>12585</v>
      </c>
      <c r="Q450" t="s">
        <v>11945</v>
      </c>
      <c r="R450">
        <v>0</v>
      </c>
    </row>
    <row r="451" spans="1:18" x14ac:dyDescent="0.25">
      <c r="A451" t="s">
        <v>11149</v>
      </c>
      <c r="C451" t="str">
        <f t="shared" ref="C451:C514" si="42">IF(LEFT(A451,1)="6","sh","sz")</f>
        <v>sh</v>
      </c>
      <c r="D451" t="str">
        <f t="shared" ref="D451:D514" si="43">C451 &amp; A451</f>
        <v>sh600079</v>
      </c>
      <c r="E451" t="str">
        <f>VLOOKUP(A451,Table!B:C,2,0)</f>
        <v>人福医药</v>
      </c>
      <c r="F451" t="str">
        <f>TRIM(VLOOKUP(A451,Table!B:O,14,0))</f>
        <v>医药制造</v>
      </c>
      <c r="G451" t="str">
        <f>VLOOKUP(F451,industry!A:C,2,0)</f>
        <v>医药</v>
      </c>
      <c r="H451" t="str">
        <f>VLOOKUP(F451,industry!A:C,3,0)</f>
        <v>药</v>
      </c>
      <c r="J451" s="2" t="s">
        <v>12585</v>
      </c>
      <c r="K451" t="str">
        <f t="shared" ref="K451:K514" si="44">D451</f>
        <v>sh600079</v>
      </c>
      <c r="L451" t="str">
        <f t="shared" ref="L451:L514" si="45">E451</f>
        <v>人福医药</v>
      </c>
      <c r="M451" t="str">
        <f t="shared" ref="M451:M514" si="46">G451</f>
        <v>医药</v>
      </c>
      <c r="N451" t="str">
        <f t="shared" ref="N451:N514" si="47">H451</f>
        <v>药</v>
      </c>
      <c r="P451" s="2" t="s">
        <v>12585</v>
      </c>
      <c r="Q451" t="s">
        <v>10360</v>
      </c>
      <c r="R451">
        <v>0</v>
      </c>
    </row>
    <row r="452" spans="1:18" x14ac:dyDescent="0.25">
      <c r="A452" t="s">
        <v>11150</v>
      </c>
      <c r="C452" t="str">
        <f t="shared" si="42"/>
        <v>sz</v>
      </c>
      <c r="D452" t="str">
        <f t="shared" si="43"/>
        <v>sz002285</v>
      </c>
      <c r="E452" t="str">
        <f>VLOOKUP(A452,Table!B:C,2,0)</f>
        <v>世联行</v>
      </c>
      <c r="F452" t="str">
        <f>TRIM(VLOOKUP(A452,Table!B:O,14,0))</f>
        <v>房地产</v>
      </c>
      <c r="G452" t="str">
        <f>VLOOKUP(F452,industry!A:C,2,0)</f>
        <v>房产</v>
      </c>
      <c r="H452" t="str">
        <f>VLOOKUP(F452,industry!A:C,3,0)</f>
        <v>产</v>
      </c>
      <c r="J452" s="2" t="s">
        <v>12585</v>
      </c>
      <c r="K452" t="str">
        <f t="shared" si="44"/>
        <v>sz002285</v>
      </c>
      <c r="L452" t="str">
        <f t="shared" si="45"/>
        <v>世联行</v>
      </c>
      <c r="M452" t="str">
        <f t="shared" si="46"/>
        <v>房产</v>
      </c>
      <c r="N452" t="str">
        <f t="shared" si="47"/>
        <v>产</v>
      </c>
      <c r="P452" s="2" t="s">
        <v>12585</v>
      </c>
      <c r="Q452" t="s">
        <v>12283</v>
      </c>
      <c r="R452">
        <v>0</v>
      </c>
    </row>
    <row r="453" spans="1:18" x14ac:dyDescent="0.25">
      <c r="A453" t="s">
        <v>11151</v>
      </c>
      <c r="C453" t="str">
        <f t="shared" si="42"/>
        <v>sh</v>
      </c>
      <c r="D453" t="str">
        <f t="shared" si="43"/>
        <v>sh600320</v>
      </c>
      <c r="E453" t="str">
        <f>VLOOKUP(A453,Table!B:C,2,0)</f>
        <v>振华重工</v>
      </c>
      <c r="F453" t="str">
        <f>TRIM(VLOOKUP(A453,Table!B:O,14,0))</f>
        <v>机械行业</v>
      </c>
      <c r="G453" t="str">
        <f>VLOOKUP(F453,industry!A:C,2,0)</f>
        <v>机械</v>
      </c>
      <c r="H453" t="str">
        <f>VLOOKUP(F453,industry!A:C,3,0)</f>
        <v>械</v>
      </c>
      <c r="J453" s="2" t="s">
        <v>12585</v>
      </c>
      <c r="K453" t="str">
        <f t="shared" si="44"/>
        <v>sh600320</v>
      </c>
      <c r="L453" t="str">
        <f t="shared" si="45"/>
        <v>振华重工</v>
      </c>
      <c r="M453" t="str">
        <f t="shared" si="46"/>
        <v>机械</v>
      </c>
      <c r="N453" t="str">
        <f t="shared" si="47"/>
        <v>械</v>
      </c>
      <c r="P453" s="2" t="s">
        <v>12585</v>
      </c>
      <c r="Q453" t="s">
        <v>10564</v>
      </c>
      <c r="R453">
        <v>0</v>
      </c>
    </row>
    <row r="454" spans="1:18" x14ac:dyDescent="0.25">
      <c r="A454" t="s">
        <v>11152</v>
      </c>
      <c r="C454" t="str">
        <f t="shared" si="42"/>
        <v>sh</v>
      </c>
      <c r="D454" t="str">
        <f t="shared" si="43"/>
        <v>sh600315</v>
      </c>
      <c r="E454" t="str">
        <f>VLOOKUP(A454,Table!B:C,2,0)</f>
        <v>上海家化</v>
      </c>
      <c r="F454" t="str">
        <f>TRIM(VLOOKUP(A454,Table!B:O,14,0))</f>
        <v>化工行业</v>
      </c>
      <c r="G454" t="str">
        <f>VLOOKUP(F454,industry!A:C,2,0)</f>
        <v>化工</v>
      </c>
      <c r="H454" t="str">
        <f>VLOOKUP(F454,industry!A:C,3,0)</f>
        <v>化</v>
      </c>
      <c r="J454" s="2" t="s">
        <v>12585</v>
      </c>
      <c r="K454" t="str">
        <f t="shared" si="44"/>
        <v>sh600315</v>
      </c>
      <c r="L454" t="str">
        <f t="shared" si="45"/>
        <v>上海家化</v>
      </c>
      <c r="M454" t="str">
        <f t="shared" si="46"/>
        <v>化工</v>
      </c>
      <c r="N454" t="str">
        <f t="shared" si="47"/>
        <v>化</v>
      </c>
      <c r="P454" s="2" t="s">
        <v>12585</v>
      </c>
      <c r="Q454" t="s">
        <v>12252</v>
      </c>
      <c r="R454">
        <v>0</v>
      </c>
    </row>
    <row r="455" spans="1:18" x14ac:dyDescent="0.25">
      <c r="A455" t="s">
        <v>11153</v>
      </c>
      <c r="C455" t="str">
        <f t="shared" si="42"/>
        <v>sz</v>
      </c>
      <c r="D455" t="str">
        <f t="shared" si="43"/>
        <v>sz000937</v>
      </c>
      <c r="E455" t="str">
        <f>VLOOKUP(A455,Table!B:C,2,0)</f>
        <v>冀中能源</v>
      </c>
      <c r="F455" t="str">
        <f>TRIM(VLOOKUP(A455,Table!B:O,14,0))</f>
        <v>煤炭采选</v>
      </c>
      <c r="G455" t="str">
        <f>VLOOKUP(F455,industry!A:C,2,0)</f>
        <v>煤炭</v>
      </c>
      <c r="H455" t="str">
        <f>VLOOKUP(F455,industry!A:C,3,0)</f>
        <v>煤</v>
      </c>
      <c r="J455" s="2" t="s">
        <v>12585</v>
      </c>
      <c r="K455" t="str">
        <f t="shared" si="44"/>
        <v>sz000937</v>
      </c>
      <c r="L455" t="str">
        <f t="shared" si="45"/>
        <v>冀中能源</v>
      </c>
      <c r="M455" t="str">
        <f t="shared" si="46"/>
        <v>煤炭</v>
      </c>
      <c r="N455" t="str">
        <f t="shared" si="47"/>
        <v>煤</v>
      </c>
      <c r="P455" s="2" t="s">
        <v>12585</v>
      </c>
      <c r="Q455" t="s">
        <v>10482</v>
      </c>
      <c r="R455">
        <v>0</v>
      </c>
    </row>
    <row r="456" spans="1:18" x14ac:dyDescent="0.25">
      <c r="A456" t="s">
        <v>11154</v>
      </c>
      <c r="C456" t="str">
        <f t="shared" si="42"/>
        <v>sh</v>
      </c>
      <c r="D456" t="str">
        <f t="shared" si="43"/>
        <v>sh600409</v>
      </c>
      <c r="E456" t="str">
        <f>VLOOKUP(A456,Table!B:C,2,0)</f>
        <v>三友化工</v>
      </c>
      <c r="F456" t="str">
        <f>TRIM(VLOOKUP(A456,Table!B:O,14,0))</f>
        <v>化工行业</v>
      </c>
      <c r="G456" t="str">
        <f>VLOOKUP(F456,industry!A:C,2,0)</f>
        <v>化工</v>
      </c>
      <c r="H456" t="str">
        <f>VLOOKUP(F456,industry!A:C,3,0)</f>
        <v>化</v>
      </c>
      <c r="J456" s="2" t="s">
        <v>12585</v>
      </c>
      <c r="K456" t="str">
        <f t="shared" si="44"/>
        <v>sh600409</v>
      </c>
      <c r="L456" t="str">
        <f t="shared" si="45"/>
        <v>三友化工</v>
      </c>
      <c r="M456" t="str">
        <f t="shared" si="46"/>
        <v>化工</v>
      </c>
      <c r="N456" t="str">
        <f t="shared" si="47"/>
        <v>化</v>
      </c>
      <c r="P456" s="2" t="s">
        <v>12585</v>
      </c>
      <c r="Q456" t="s">
        <v>12239</v>
      </c>
      <c r="R456">
        <v>0</v>
      </c>
    </row>
    <row r="457" spans="1:18" x14ac:dyDescent="0.25">
      <c r="A457" t="s">
        <v>11155</v>
      </c>
      <c r="C457" t="str">
        <f t="shared" si="42"/>
        <v>sz</v>
      </c>
      <c r="D457" t="str">
        <f t="shared" si="43"/>
        <v>sz300308</v>
      </c>
      <c r="E457" t="str">
        <f>VLOOKUP(A457,Table!B:C,2,0)</f>
        <v>中际旭创</v>
      </c>
      <c r="F457" t="str">
        <f>TRIM(VLOOKUP(A457,Table!B:O,14,0))</f>
        <v>机械行业</v>
      </c>
      <c r="G457" t="str">
        <f>VLOOKUP(F457,industry!A:C,2,0)</f>
        <v>机械</v>
      </c>
      <c r="H457" t="str">
        <f>VLOOKUP(F457,industry!A:C,3,0)</f>
        <v>械</v>
      </c>
      <c r="J457" s="2" t="s">
        <v>12585</v>
      </c>
      <c r="K457" t="str">
        <f t="shared" si="44"/>
        <v>sz300308</v>
      </c>
      <c r="L457" t="str">
        <f t="shared" si="45"/>
        <v>中际旭创</v>
      </c>
      <c r="M457" t="str">
        <f t="shared" si="46"/>
        <v>机械</v>
      </c>
      <c r="N457" t="str">
        <f t="shared" si="47"/>
        <v>械</v>
      </c>
      <c r="P457" s="2" t="s">
        <v>12585</v>
      </c>
      <c r="Q457" t="s">
        <v>12627</v>
      </c>
      <c r="R457">
        <v>0</v>
      </c>
    </row>
    <row r="458" spans="1:18" x14ac:dyDescent="0.25">
      <c r="A458" t="s">
        <v>11156</v>
      </c>
      <c r="C458" t="str">
        <f t="shared" si="42"/>
        <v>sz</v>
      </c>
      <c r="D458" t="str">
        <f t="shared" si="43"/>
        <v>sz002147</v>
      </c>
      <c r="E458" t="str">
        <f>VLOOKUP(A458,Table!B:C,2,0)</f>
        <v>新光圆成</v>
      </c>
      <c r="F458" t="str">
        <f>TRIM(VLOOKUP(A458,Table!B:O,14,0))</f>
        <v>房地产</v>
      </c>
      <c r="G458" t="str">
        <f>VLOOKUP(F458,industry!A:C,2,0)</f>
        <v>房产</v>
      </c>
      <c r="H458" t="str">
        <f>VLOOKUP(F458,industry!A:C,3,0)</f>
        <v>产</v>
      </c>
      <c r="J458" s="2" t="s">
        <v>12585</v>
      </c>
      <c r="K458" t="str">
        <f t="shared" si="44"/>
        <v>sz002147</v>
      </c>
      <c r="L458" t="str">
        <f t="shared" si="45"/>
        <v>新光圆成</v>
      </c>
      <c r="M458" t="str">
        <f t="shared" si="46"/>
        <v>房产</v>
      </c>
      <c r="N458" t="str">
        <f t="shared" si="47"/>
        <v>产</v>
      </c>
      <c r="P458" s="2" t="s">
        <v>12585</v>
      </c>
      <c r="Q458" t="s">
        <v>10640</v>
      </c>
      <c r="R458">
        <v>0</v>
      </c>
    </row>
    <row r="459" spans="1:18" x14ac:dyDescent="0.25">
      <c r="A459" t="s">
        <v>11157</v>
      </c>
      <c r="C459" t="str">
        <f t="shared" si="42"/>
        <v>sz</v>
      </c>
      <c r="D459" t="str">
        <f t="shared" si="43"/>
        <v>sz002366</v>
      </c>
      <c r="E459" t="str">
        <f>VLOOKUP(A459,Table!B:C,2,0)</f>
        <v>台海核电</v>
      </c>
      <c r="F459" t="str">
        <f>TRIM(VLOOKUP(A459,Table!B:O,14,0))</f>
        <v>机械行业</v>
      </c>
      <c r="G459" t="str">
        <f>VLOOKUP(F459,industry!A:C,2,0)</f>
        <v>机械</v>
      </c>
      <c r="H459" t="str">
        <f>VLOOKUP(F459,industry!A:C,3,0)</f>
        <v>械</v>
      </c>
      <c r="J459" s="2" t="s">
        <v>12585</v>
      </c>
      <c r="K459" t="str">
        <f t="shared" si="44"/>
        <v>sz002366</v>
      </c>
      <c r="L459" t="str">
        <f t="shared" si="45"/>
        <v>台海核电</v>
      </c>
      <c r="M459" t="str">
        <f t="shared" si="46"/>
        <v>机械</v>
      </c>
      <c r="N459" t="str">
        <f t="shared" si="47"/>
        <v>械</v>
      </c>
      <c r="P459" s="2" t="s">
        <v>12585</v>
      </c>
      <c r="Q459" t="s">
        <v>10506</v>
      </c>
      <c r="R459">
        <v>0</v>
      </c>
    </row>
    <row r="460" spans="1:18" x14ac:dyDescent="0.25">
      <c r="A460" t="s">
        <v>11158</v>
      </c>
      <c r="C460" t="str">
        <f t="shared" si="42"/>
        <v>sz</v>
      </c>
      <c r="D460" t="str">
        <f t="shared" si="43"/>
        <v>sz300267</v>
      </c>
      <c r="E460" t="str">
        <f>VLOOKUP(A460,Table!B:C,2,0)</f>
        <v>尔康制药</v>
      </c>
      <c r="F460" t="str">
        <f>TRIM(VLOOKUP(A460,Table!B:O,14,0))</f>
        <v>医药制造</v>
      </c>
      <c r="G460" t="str">
        <f>VLOOKUP(F460,industry!A:C,2,0)</f>
        <v>医药</v>
      </c>
      <c r="H460" t="str">
        <f>VLOOKUP(F460,industry!A:C,3,0)</f>
        <v>药</v>
      </c>
      <c r="J460" s="2" t="s">
        <v>12585</v>
      </c>
      <c r="K460" t="str">
        <f t="shared" si="44"/>
        <v>sz300267</v>
      </c>
      <c r="L460" t="str">
        <f t="shared" si="45"/>
        <v>尔康制药</v>
      </c>
      <c r="M460" t="str">
        <f t="shared" si="46"/>
        <v>医药</v>
      </c>
      <c r="N460" t="str">
        <f t="shared" si="47"/>
        <v>药</v>
      </c>
      <c r="P460" s="2" t="s">
        <v>12585</v>
      </c>
      <c r="Q460" t="s">
        <v>10260</v>
      </c>
      <c r="R460">
        <v>0</v>
      </c>
    </row>
    <row r="461" spans="1:18" x14ac:dyDescent="0.25">
      <c r="A461" t="s">
        <v>11159</v>
      </c>
      <c r="C461" t="str">
        <f t="shared" si="42"/>
        <v>sh</v>
      </c>
      <c r="D461" t="str">
        <f t="shared" si="43"/>
        <v>sh600511</v>
      </c>
      <c r="E461" t="str">
        <f>VLOOKUP(A461,Table!B:C,2,0)</f>
        <v>国药股份</v>
      </c>
      <c r="F461" t="str">
        <f>TRIM(VLOOKUP(A461,Table!B:O,14,0))</f>
        <v>医药制造</v>
      </c>
      <c r="G461" t="str">
        <f>VLOOKUP(F461,industry!A:C,2,0)</f>
        <v>医药</v>
      </c>
      <c r="H461" t="str">
        <f>VLOOKUP(F461,industry!A:C,3,0)</f>
        <v>药</v>
      </c>
      <c r="J461" s="2" t="s">
        <v>12585</v>
      </c>
      <c r="K461" t="str">
        <f t="shared" si="44"/>
        <v>sh600511</v>
      </c>
      <c r="L461" t="str">
        <f t="shared" si="45"/>
        <v>国药股份</v>
      </c>
      <c r="M461" t="str">
        <f t="shared" si="46"/>
        <v>医药</v>
      </c>
      <c r="N461" t="str">
        <f t="shared" si="47"/>
        <v>药</v>
      </c>
      <c r="P461" s="2" t="s">
        <v>12585</v>
      </c>
      <c r="Q461" t="s">
        <v>11959</v>
      </c>
      <c r="R461">
        <v>0</v>
      </c>
    </row>
    <row r="462" spans="1:18" x14ac:dyDescent="0.25">
      <c r="A462" t="s">
        <v>11160</v>
      </c>
      <c r="C462" t="str">
        <f t="shared" si="42"/>
        <v>sh</v>
      </c>
      <c r="D462" t="str">
        <f t="shared" si="43"/>
        <v>sh601966</v>
      </c>
      <c r="E462" t="str">
        <f>VLOOKUP(A462,Table!B:C,2,0)</f>
        <v>玲珑轮胎</v>
      </c>
      <c r="F462" t="str">
        <f>TRIM(VLOOKUP(A462,Table!B:O,14,0))</f>
        <v>汽车行业</v>
      </c>
      <c r="G462" t="str">
        <f>VLOOKUP(F462,industry!A:C,2,0)</f>
        <v>汽车</v>
      </c>
      <c r="H462" t="str">
        <f>VLOOKUP(F462,industry!A:C,3,0)</f>
        <v>车</v>
      </c>
      <c r="J462" s="2" t="s">
        <v>12585</v>
      </c>
      <c r="K462" t="str">
        <f t="shared" si="44"/>
        <v>sh601966</v>
      </c>
      <c r="L462" t="str">
        <f t="shared" si="45"/>
        <v>玲珑轮胎</v>
      </c>
      <c r="M462" t="str">
        <f t="shared" si="46"/>
        <v>汽车</v>
      </c>
      <c r="N462" t="str">
        <f t="shared" si="47"/>
        <v>车</v>
      </c>
      <c r="P462" s="2" t="s">
        <v>12585</v>
      </c>
      <c r="Q462" t="s">
        <v>10095</v>
      </c>
      <c r="R462">
        <v>0</v>
      </c>
    </row>
    <row r="463" spans="1:18" x14ac:dyDescent="0.25">
      <c r="A463" t="s">
        <v>11161</v>
      </c>
      <c r="C463" t="str">
        <f t="shared" si="42"/>
        <v>sh</v>
      </c>
      <c r="D463" t="str">
        <f t="shared" si="43"/>
        <v>sh600282</v>
      </c>
      <c r="E463" t="str">
        <f>VLOOKUP(A463,Table!B:C,2,0)</f>
        <v>南钢股份</v>
      </c>
      <c r="F463" t="str">
        <f>TRIM(VLOOKUP(A463,Table!B:O,14,0))</f>
        <v>钢铁行业</v>
      </c>
      <c r="G463" t="str">
        <f>VLOOKUP(F463,industry!A:C,2,0)</f>
        <v>钢铁</v>
      </c>
      <c r="H463" t="str">
        <f>VLOOKUP(F463,industry!A:C,3,0)</f>
        <v>钢</v>
      </c>
      <c r="J463" s="2" t="s">
        <v>12585</v>
      </c>
      <c r="K463" t="str">
        <f t="shared" si="44"/>
        <v>sh600282</v>
      </c>
      <c r="L463" t="str">
        <f t="shared" si="45"/>
        <v>南钢股份</v>
      </c>
      <c r="M463" t="str">
        <f t="shared" si="46"/>
        <v>钢铁</v>
      </c>
      <c r="N463" t="str">
        <f t="shared" si="47"/>
        <v>钢</v>
      </c>
      <c r="P463" s="2" t="s">
        <v>12585</v>
      </c>
      <c r="Q463" t="s">
        <v>12186</v>
      </c>
      <c r="R463">
        <v>0</v>
      </c>
    </row>
    <row r="464" spans="1:18" x14ac:dyDescent="0.25">
      <c r="A464" t="s">
        <v>11162</v>
      </c>
      <c r="C464" t="str">
        <f t="shared" si="42"/>
        <v>sh</v>
      </c>
      <c r="D464" t="str">
        <f t="shared" si="43"/>
        <v>sh600633</v>
      </c>
      <c r="E464" t="str">
        <f>VLOOKUP(A464,Table!B:C,2,0)</f>
        <v>浙数文化</v>
      </c>
      <c r="F464" t="str">
        <f>TRIM(VLOOKUP(A464,Table!B:O,14,0))</f>
        <v>文化传媒</v>
      </c>
      <c r="G464" t="str">
        <f>VLOOKUP(F464,industry!A:C,2,0)</f>
        <v>传媒</v>
      </c>
      <c r="H464" t="str">
        <f>VLOOKUP(F464,industry!A:C,3,0)</f>
        <v>传</v>
      </c>
      <c r="J464" s="2" t="s">
        <v>12585</v>
      </c>
      <c r="K464" t="str">
        <f t="shared" si="44"/>
        <v>sh600633</v>
      </c>
      <c r="L464" t="str">
        <f t="shared" si="45"/>
        <v>浙数文化</v>
      </c>
      <c r="M464" t="str">
        <f t="shared" si="46"/>
        <v>传媒</v>
      </c>
      <c r="N464" t="str">
        <f t="shared" si="47"/>
        <v>传</v>
      </c>
      <c r="P464" s="2" t="s">
        <v>12585</v>
      </c>
      <c r="Q464" t="s">
        <v>12498</v>
      </c>
      <c r="R464">
        <v>0</v>
      </c>
    </row>
    <row r="465" spans="1:18" x14ac:dyDescent="0.25">
      <c r="A465" t="s">
        <v>11163</v>
      </c>
      <c r="C465" t="str">
        <f t="shared" si="42"/>
        <v>sh</v>
      </c>
      <c r="D465" t="str">
        <f t="shared" si="43"/>
        <v>sh601000</v>
      </c>
      <c r="E465" t="str">
        <f>VLOOKUP(A465,Table!B:C,2,0)</f>
        <v>唐山港</v>
      </c>
      <c r="F465" t="str">
        <f>TRIM(VLOOKUP(A465,Table!B:O,14,0))</f>
        <v>港口水运</v>
      </c>
      <c r="G465" t="str">
        <f>VLOOKUP(F465,industry!A:C,2,0)</f>
        <v>港口</v>
      </c>
      <c r="H465" t="str">
        <f>VLOOKUP(F465,industry!A:C,3,0)</f>
        <v>港</v>
      </c>
      <c r="J465" s="2" t="s">
        <v>12585</v>
      </c>
      <c r="K465" t="str">
        <f t="shared" si="44"/>
        <v>sh601000</v>
      </c>
      <c r="L465" t="str">
        <f t="shared" si="45"/>
        <v>唐山港</v>
      </c>
      <c r="M465" t="str">
        <f t="shared" si="46"/>
        <v>港口</v>
      </c>
      <c r="N465" t="str">
        <f t="shared" si="47"/>
        <v>港</v>
      </c>
      <c r="P465" s="2" t="s">
        <v>12585</v>
      </c>
      <c r="Q465" t="s">
        <v>12320</v>
      </c>
      <c r="R465">
        <v>0</v>
      </c>
    </row>
    <row r="466" spans="1:18" x14ac:dyDescent="0.25">
      <c r="A466" t="s">
        <v>11164</v>
      </c>
      <c r="C466" t="str">
        <f t="shared" si="42"/>
        <v>sz</v>
      </c>
      <c r="D466" t="str">
        <f t="shared" si="43"/>
        <v>sz000961</v>
      </c>
      <c r="E466" t="str">
        <f>VLOOKUP(A466,Table!B:C,2,0)</f>
        <v>中南建设</v>
      </c>
      <c r="F466" t="str">
        <f>TRIM(VLOOKUP(A466,Table!B:O,14,0))</f>
        <v>房地产</v>
      </c>
      <c r="G466" t="str">
        <f>VLOOKUP(F466,industry!A:C,2,0)</f>
        <v>房产</v>
      </c>
      <c r="H466" t="str">
        <f>VLOOKUP(F466,industry!A:C,3,0)</f>
        <v>产</v>
      </c>
      <c r="J466" s="2" t="s">
        <v>12585</v>
      </c>
      <c r="K466" t="str">
        <f t="shared" si="44"/>
        <v>sz000961</v>
      </c>
      <c r="L466" t="str">
        <f t="shared" si="45"/>
        <v>中南建设</v>
      </c>
      <c r="M466" t="str">
        <f t="shared" si="46"/>
        <v>房产</v>
      </c>
      <c r="N466" t="str">
        <f t="shared" si="47"/>
        <v>产</v>
      </c>
      <c r="P466" s="2" t="s">
        <v>12585</v>
      </c>
      <c r="Q466" t="s">
        <v>10147</v>
      </c>
      <c r="R466">
        <v>0</v>
      </c>
    </row>
    <row r="467" spans="1:18" x14ac:dyDescent="0.25">
      <c r="A467" t="s">
        <v>11165</v>
      </c>
      <c r="C467" t="str">
        <f t="shared" si="42"/>
        <v>sh</v>
      </c>
      <c r="D467" t="str">
        <f t="shared" si="43"/>
        <v>sh600967</v>
      </c>
      <c r="E467" t="str">
        <f>VLOOKUP(A467,Table!B:C,2,0)</f>
        <v>内蒙一机</v>
      </c>
      <c r="F467" t="str">
        <f>TRIM(VLOOKUP(A467,Table!B:O,14,0))</f>
        <v>机械行业</v>
      </c>
      <c r="G467" t="str">
        <f>VLOOKUP(F467,industry!A:C,2,0)</f>
        <v>机械</v>
      </c>
      <c r="H467" t="str">
        <f>VLOOKUP(F467,industry!A:C,3,0)</f>
        <v>械</v>
      </c>
      <c r="J467" s="2" t="s">
        <v>12585</v>
      </c>
      <c r="K467" t="str">
        <f t="shared" si="44"/>
        <v>sh600967</v>
      </c>
      <c r="L467" t="str">
        <f t="shared" si="45"/>
        <v>内蒙一机</v>
      </c>
      <c r="M467" t="str">
        <f t="shared" si="46"/>
        <v>机械</v>
      </c>
      <c r="N467" t="str">
        <f t="shared" si="47"/>
        <v>械</v>
      </c>
      <c r="P467" s="2" t="s">
        <v>12585</v>
      </c>
      <c r="Q467" t="s">
        <v>11817</v>
      </c>
      <c r="R467">
        <v>0</v>
      </c>
    </row>
    <row r="468" spans="1:18" x14ac:dyDescent="0.25">
      <c r="A468" t="s">
        <v>11166</v>
      </c>
      <c r="C468" t="str">
        <f t="shared" si="42"/>
        <v>sh</v>
      </c>
      <c r="D468" t="str">
        <f t="shared" si="43"/>
        <v>sh600161</v>
      </c>
      <c r="E468" t="str">
        <f>VLOOKUP(A468,Table!B:C,2,0)</f>
        <v>天坛生物</v>
      </c>
      <c r="F468" t="str">
        <f>TRIM(VLOOKUP(A468,Table!B:O,14,0))</f>
        <v>医药制造</v>
      </c>
      <c r="G468" t="str">
        <f>VLOOKUP(F468,industry!A:C,2,0)</f>
        <v>医药</v>
      </c>
      <c r="H468" t="str">
        <f>VLOOKUP(F468,industry!A:C,3,0)</f>
        <v>药</v>
      </c>
      <c r="J468" s="2" t="s">
        <v>12585</v>
      </c>
      <c r="K468" t="str">
        <f t="shared" si="44"/>
        <v>sh600161</v>
      </c>
      <c r="L468" t="str">
        <f t="shared" si="45"/>
        <v>天坛生物</v>
      </c>
      <c r="M468" t="str">
        <f t="shared" si="46"/>
        <v>医药</v>
      </c>
      <c r="N468" t="str">
        <f t="shared" si="47"/>
        <v>药</v>
      </c>
      <c r="P468" s="2" t="s">
        <v>12585</v>
      </c>
      <c r="Q468" t="s">
        <v>10642</v>
      </c>
      <c r="R468">
        <v>0</v>
      </c>
    </row>
    <row r="469" spans="1:18" x14ac:dyDescent="0.25">
      <c r="A469" t="s">
        <v>11167</v>
      </c>
      <c r="C469" t="str">
        <f t="shared" si="42"/>
        <v>sh</v>
      </c>
      <c r="D469" t="str">
        <f t="shared" si="43"/>
        <v>sh600179</v>
      </c>
      <c r="E469" t="str">
        <f>VLOOKUP(A469,Table!B:C,2,0)</f>
        <v>安通控股</v>
      </c>
      <c r="F469" t="str">
        <f>TRIM(VLOOKUP(A469,Table!B:O,14,0))</f>
        <v>交运物流</v>
      </c>
      <c r="G469" t="str">
        <f>VLOOKUP(F469,industry!A:C,2,0)</f>
        <v>物流</v>
      </c>
      <c r="H469" t="str">
        <f>VLOOKUP(F469,industry!A:C,3,0)</f>
        <v>物</v>
      </c>
      <c r="J469" s="2" t="s">
        <v>12585</v>
      </c>
      <c r="K469" t="str">
        <f t="shared" si="44"/>
        <v>sh600179</v>
      </c>
      <c r="L469" t="str">
        <f t="shared" si="45"/>
        <v>安通控股</v>
      </c>
      <c r="M469" t="str">
        <f t="shared" si="46"/>
        <v>物流</v>
      </c>
      <c r="N469" t="str">
        <f t="shared" si="47"/>
        <v>物</v>
      </c>
      <c r="P469" s="2" t="s">
        <v>12585</v>
      </c>
      <c r="Q469" t="s">
        <v>12628</v>
      </c>
      <c r="R469">
        <v>0</v>
      </c>
    </row>
    <row r="470" spans="1:18" x14ac:dyDescent="0.25">
      <c r="A470" t="s">
        <v>11168</v>
      </c>
      <c r="C470" t="str">
        <f t="shared" si="42"/>
        <v>sz</v>
      </c>
      <c r="D470" t="str">
        <f t="shared" si="43"/>
        <v>sz000738</v>
      </c>
      <c r="E470" t="str">
        <f>VLOOKUP(A470,Table!B:C,2,0)</f>
        <v>航发控制</v>
      </c>
      <c r="F470" t="str">
        <f>TRIM(VLOOKUP(A470,Table!B:O,14,0))</f>
        <v>航天航空</v>
      </c>
      <c r="G470" t="str">
        <f>VLOOKUP(F470,industry!A:C,2,0)</f>
        <v>航空</v>
      </c>
      <c r="H470" t="str">
        <f>VLOOKUP(F470,industry!A:C,3,0)</f>
        <v>航</v>
      </c>
      <c r="J470" s="2" t="s">
        <v>12585</v>
      </c>
      <c r="K470" t="str">
        <f t="shared" si="44"/>
        <v>sz000738</v>
      </c>
      <c r="L470" t="str">
        <f t="shared" si="45"/>
        <v>航发控制</v>
      </c>
      <c r="M470" t="str">
        <f t="shared" si="46"/>
        <v>航空</v>
      </c>
      <c r="N470" t="str">
        <f t="shared" si="47"/>
        <v>航</v>
      </c>
      <c r="P470" s="2" t="s">
        <v>12585</v>
      </c>
      <c r="Q470" t="s">
        <v>10226</v>
      </c>
      <c r="R470">
        <v>0</v>
      </c>
    </row>
    <row r="471" spans="1:18" x14ac:dyDescent="0.25">
      <c r="A471" t="s">
        <v>11169</v>
      </c>
      <c r="C471" t="str">
        <f t="shared" si="42"/>
        <v>sz</v>
      </c>
      <c r="D471" t="str">
        <f t="shared" si="43"/>
        <v>sz002563</v>
      </c>
      <c r="E471" t="str">
        <f>VLOOKUP(A471,Table!B:C,2,0)</f>
        <v>森马服饰</v>
      </c>
      <c r="F471" t="str">
        <f>TRIM(VLOOKUP(A471,Table!B:O,14,0))</f>
        <v>纺织服装</v>
      </c>
      <c r="G471" t="str">
        <f>VLOOKUP(F471,industry!A:C,2,0)</f>
        <v>纺织</v>
      </c>
      <c r="H471" t="str">
        <f>VLOOKUP(F471,industry!A:C,3,0)</f>
        <v>纺</v>
      </c>
      <c r="J471" s="2" t="s">
        <v>12585</v>
      </c>
      <c r="K471" t="str">
        <f t="shared" si="44"/>
        <v>sz002563</v>
      </c>
      <c r="L471" t="str">
        <f t="shared" si="45"/>
        <v>森马服饰</v>
      </c>
      <c r="M471" t="str">
        <f t="shared" si="46"/>
        <v>纺织</v>
      </c>
      <c r="N471" t="str">
        <f t="shared" si="47"/>
        <v>纺</v>
      </c>
      <c r="P471" s="2" t="s">
        <v>12585</v>
      </c>
      <c r="Q471" t="s">
        <v>10302</v>
      </c>
      <c r="R471">
        <v>0</v>
      </c>
    </row>
    <row r="472" spans="1:18" x14ac:dyDescent="0.25">
      <c r="A472" t="s">
        <v>11170</v>
      </c>
      <c r="C472" t="str">
        <f t="shared" si="42"/>
        <v>sz</v>
      </c>
      <c r="D472" t="str">
        <f t="shared" si="43"/>
        <v>sz002589</v>
      </c>
      <c r="E472" t="str">
        <f>VLOOKUP(A472,Table!B:C,2,0)</f>
        <v>瑞康医药</v>
      </c>
      <c r="F472" t="str">
        <f>TRIM(VLOOKUP(A472,Table!B:O,14,0))</f>
        <v>医药制造</v>
      </c>
      <c r="G472" t="str">
        <f>VLOOKUP(F472,industry!A:C,2,0)</f>
        <v>医药</v>
      </c>
      <c r="H472" t="str">
        <f>VLOOKUP(F472,industry!A:C,3,0)</f>
        <v>药</v>
      </c>
      <c r="J472" s="2" t="s">
        <v>12585</v>
      </c>
      <c r="K472" t="str">
        <f t="shared" si="44"/>
        <v>sz002589</v>
      </c>
      <c r="L472" t="str">
        <f t="shared" si="45"/>
        <v>瑞康医药</v>
      </c>
      <c r="M472" t="str">
        <f t="shared" si="46"/>
        <v>医药</v>
      </c>
      <c r="N472" t="str">
        <f t="shared" si="47"/>
        <v>药</v>
      </c>
      <c r="P472" s="2" t="s">
        <v>12585</v>
      </c>
      <c r="Q472" t="s">
        <v>10518</v>
      </c>
      <c r="R472">
        <v>0</v>
      </c>
    </row>
    <row r="473" spans="1:18" x14ac:dyDescent="0.25">
      <c r="A473" t="s">
        <v>11171</v>
      </c>
      <c r="C473" t="str">
        <f t="shared" si="42"/>
        <v>sh</v>
      </c>
      <c r="D473" t="str">
        <f t="shared" si="43"/>
        <v>sh603225</v>
      </c>
      <c r="E473" t="str">
        <f>VLOOKUP(A473,Table!B:C,2,0)</f>
        <v>新凤鸣</v>
      </c>
      <c r="F473" t="str">
        <f>TRIM(VLOOKUP(A473,Table!B:O,14,0))</f>
        <v>化纤行业</v>
      </c>
      <c r="G473" t="str">
        <f>VLOOKUP(F473,industry!A:C,2,0)</f>
        <v>化纤</v>
      </c>
      <c r="H473" t="str">
        <f>VLOOKUP(F473,industry!A:C,3,0)</f>
        <v>纤</v>
      </c>
      <c r="J473" s="2" t="s">
        <v>12585</v>
      </c>
      <c r="K473" t="str">
        <f t="shared" si="44"/>
        <v>sh603225</v>
      </c>
      <c r="L473" t="str">
        <f t="shared" si="45"/>
        <v>新凤鸣</v>
      </c>
      <c r="M473" t="str">
        <f t="shared" si="46"/>
        <v>化纤</v>
      </c>
      <c r="N473" t="str">
        <f t="shared" si="47"/>
        <v>纤</v>
      </c>
      <c r="P473" s="2" t="s">
        <v>12585</v>
      </c>
      <c r="Q473" t="s">
        <v>12629</v>
      </c>
      <c r="R473">
        <v>0</v>
      </c>
    </row>
    <row r="474" spans="1:18" x14ac:dyDescent="0.25">
      <c r="A474" t="s">
        <v>11172</v>
      </c>
      <c r="C474" t="str">
        <f t="shared" si="42"/>
        <v>sz</v>
      </c>
      <c r="D474" t="str">
        <f t="shared" si="43"/>
        <v>sz000990</v>
      </c>
      <c r="E474" t="str">
        <f>VLOOKUP(A474,Table!B:C,2,0)</f>
        <v>诚志股份</v>
      </c>
      <c r="F474" t="str">
        <f>TRIM(VLOOKUP(A474,Table!B:O,14,0))</f>
        <v>化工行业</v>
      </c>
      <c r="G474" t="str">
        <f>VLOOKUP(F474,industry!A:C,2,0)</f>
        <v>化工</v>
      </c>
      <c r="H474" t="str">
        <f>VLOOKUP(F474,industry!A:C,3,0)</f>
        <v>化</v>
      </c>
      <c r="J474" s="2" t="s">
        <v>12585</v>
      </c>
      <c r="K474" t="str">
        <f t="shared" si="44"/>
        <v>sz000990</v>
      </c>
      <c r="L474" t="str">
        <f t="shared" si="45"/>
        <v>诚志股份</v>
      </c>
      <c r="M474" t="str">
        <f t="shared" si="46"/>
        <v>化工</v>
      </c>
      <c r="N474" t="str">
        <f t="shared" si="47"/>
        <v>化</v>
      </c>
      <c r="P474" s="2" t="s">
        <v>12585</v>
      </c>
      <c r="Q474" t="s">
        <v>12630</v>
      </c>
      <c r="R474">
        <v>0</v>
      </c>
    </row>
    <row r="475" spans="1:18" x14ac:dyDescent="0.25">
      <c r="A475" t="s">
        <v>11173</v>
      </c>
      <c r="C475" t="str">
        <f t="shared" si="42"/>
        <v>sz</v>
      </c>
      <c r="D475" t="str">
        <f t="shared" si="43"/>
        <v>sz002051</v>
      </c>
      <c r="E475" t="str">
        <f>VLOOKUP(A475,Table!B:C,2,0)</f>
        <v>中工国际</v>
      </c>
      <c r="F475" t="str">
        <f>TRIM(VLOOKUP(A475,Table!B:O,14,0))</f>
        <v>工程建设</v>
      </c>
      <c r="G475" t="str">
        <f>VLOOKUP(F475,industry!A:C,2,0)</f>
        <v>工建</v>
      </c>
      <c r="H475" t="str">
        <f>VLOOKUP(F475,industry!A:C,3,0)</f>
        <v>建</v>
      </c>
      <c r="J475" s="2" t="s">
        <v>12585</v>
      </c>
      <c r="K475" t="str">
        <f t="shared" si="44"/>
        <v>sz002051</v>
      </c>
      <c r="L475" t="str">
        <f t="shared" si="45"/>
        <v>中工国际</v>
      </c>
      <c r="M475" t="str">
        <f t="shared" si="46"/>
        <v>工建</v>
      </c>
      <c r="N475" t="str">
        <f t="shared" si="47"/>
        <v>建</v>
      </c>
      <c r="P475" s="2" t="s">
        <v>12585</v>
      </c>
      <c r="Q475" t="s">
        <v>10608</v>
      </c>
      <c r="R475">
        <v>0</v>
      </c>
    </row>
    <row r="476" spans="1:18" x14ac:dyDescent="0.25">
      <c r="A476" t="s">
        <v>11174</v>
      </c>
      <c r="C476" t="str">
        <f t="shared" si="42"/>
        <v>sh</v>
      </c>
      <c r="D476" t="str">
        <f t="shared" si="43"/>
        <v>sh600598</v>
      </c>
      <c r="E476" t="str">
        <f>VLOOKUP(A476,Table!B:C,2,0)</f>
        <v>北大荒</v>
      </c>
      <c r="F476" t="str">
        <f>TRIM(VLOOKUP(A476,Table!B:O,14,0))</f>
        <v>农牧饲渔</v>
      </c>
      <c r="G476" t="str">
        <f>VLOOKUP(F476,industry!A:C,2,0)</f>
        <v>农渔</v>
      </c>
      <c r="H476" t="str">
        <f>VLOOKUP(F476,industry!A:C,3,0)</f>
        <v>渔</v>
      </c>
      <c r="J476" s="2" t="s">
        <v>12585</v>
      </c>
      <c r="K476" t="str">
        <f t="shared" si="44"/>
        <v>sh600598</v>
      </c>
      <c r="L476" t="str">
        <f t="shared" si="45"/>
        <v>北大荒</v>
      </c>
      <c r="M476" t="str">
        <f t="shared" si="46"/>
        <v>农渔</v>
      </c>
      <c r="N476" t="str">
        <f t="shared" si="47"/>
        <v>渔</v>
      </c>
      <c r="P476" s="2" t="s">
        <v>12585</v>
      </c>
      <c r="Q476" t="s">
        <v>12631</v>
      </c>
      <c r="R476">
        <v>0</v>
      </c>
    </row>
    <row r="477" spans="1:18" x14ac:dyDescent="0.25">
      <c r="A477" t="s">
        <v>11175</v>
      </c>
      <c r="C477" t="str">
        <f t="shared" si="42"/>
        <v>sz</v>
      </c>
      <c r="D477" t="str">
        <f t="shared" si="43"/>
        <v>sz000997</v>
      </c>
      <c r="E477" t="str">
        <f>VLOOKUP(A477,Table!B:C,2,0)</f>
        <v>新 大 陆</v>
      </c>
      <c r="F477" t="str">
        <f>TRIM(VLOOKUP(A477,Table!B:O,14,0))</f>
        <v>电子信息</v>
      </c>
      <c r="G477" t="str">
        <f>VLOOKUP(F477,industry!A:C,2,0)</f>
        <v>信息</v>
      </c>
      <c r="H477" t="str">
        <f>VLOOKUP(F477,industry!A:C,3,0)</f>
        <v>咨</v>
      </c>
      <c r="J477" s="2" t="s">
        <v>12585</v>
      </c>
      <c r="K477" t="str">
        <f t="shared" si="44"/>
        <v>sz000997</v>
      </c>
      <c r="L477" t="str">
        <f t="shared" si="45"/>
        <v>新 大 陆</v>
      </c>
      <c r="M477" t="str">
        <f t="shared" si="46"/>
        <v>信息</v>
      </c>
      <c r="N477" t="str">
        <f t="shared" si="47"/>
        <v>咨</v>
      </c>
      <c r="P477" s="2" t="s">
        <v>12585</v>
      </c>
      <c r="Q477" t="s">
        <v>12392</v>
      </c>
      <c r="R477">
        <v>0</v>
      </c>
    </row>
    <row r="478" spans="1:18" x14ac:dyDescent="0.25">
      <c r="A478" t="s">
        <v>11176</v>
      </c>
      <c r="C478" t="str">
        <f t="shared" si="42"/>
        <v>sz</v>
      </c>
      <c r="D478" t="str">
        <f t="shared" si="43"/>
        <v>sz000710</v>
      </c>
      <c r="E478" t="str">
        <f>VLOOKUP(A478,Table!B:C,2,0)</f>
        <v>贝瑞基因</v>
      </c>
      <c r="F478" t="str">
        <f>TRIM(VLOOKUP(A478,Table!B:O,14,0))</f>
        <v>仪器仪表</v>
      </c>
      <c r="G478" t="str">
        <f>VLOOKUP(F478,industry!A:C,2,0)</f>
        <v>仪表</v>
      </c>
      <c r="H478" t="str">
        <f>VLOOKUP(F478,industry!A:C,3,0)</f>
        <v>表</v>
      </c>
      <c r="J478" s="2" t="s">
        <v>12585</v>
      </c>
      <c r="K478" t="str">
        <f t="shared" si="44"/>
        <v>sz000710</v>
      </c>
      <c r="L478" t="str">
        <f t="shared" si="45"/>
        <v>贝瑞基因</v>
      </c>
      <c r="M478" t="str">
        <f t="shared" si="46"/>
        <v>仪表</v>
      </c>
      <c r="N478" t="str">
        <f t="shared" si="47"/>
        <v>表</v>
      </c>
      <c r="P478" s="2" t="s">
        <v>12585</v>
      </c>
      <c r="Q478" t="s">
        <v>12632</v>
      </c>
      <c r="R478">
        <v>0</v>
      </c>
    </row>
    <row r="479" spans="1:18" x14ac:dyDescent="0.25">
      <c r="A479" t="s">
        <v>11177</v>
      </c>
      <c r="C479" t="str">
        <f t="shared" si="42"/>
        <v>sz</v>
      </c>
      <c r="D479" t="str">
        <f t="shared" si="43"/>
        <v>sz300355</v>
      </c>
      <c r="E479" t="str">
        <f>VLOOKUP(A479,Table!B:C,2,0)</f>
        <v>蒙草生态</v>
      </c>
      <c r="F479" t="str">
        <f>TRIM(VLOOKUP(A479,Table!B:O,14,0))</f>
        <v>环保工程</v>
      </c>
      <c r="G479" t="str">
        <f>VLOOKUP(F479,industry!A:C,2,0)</f>
        <v>环保</v>
      </c>
      <c r="H479" t="str">
        <f>VLOOKUP(F479,industry!A:C,3,0)</f>
        <v>环</v>
      </c>
      <c r="J479" s="2" t="s">
        <v>12585</v>
      </c>
      <c r="K479" t="str">
        <f t="shared" si="44"/>
        <v>sz300355</v>
      </c>
      <c r="L479" t="str">
        <f t="shared" si="45"/>
        <v>蒙草生态</v>
      </c>
      <c r="M479" t="str">
        <f t="shared" si="46"/>
        <v>环保</v>
      </c>
      <c r="N479" t="str">
        <f t="shared" si="47"/>
        <v>环</v>
      </c>
      <c r="P479" s="2" t="s">
        <v>12585</v>
      </c>
      <c r="Q479" t="s">
        <v>12633</v>
      </c>
      <c r="R479">
        <v>0</v>
      </c>
    </row>
    <row r="480" spans="1:18" x14ac:dyDescent="0.25">
      <c r="A480" t="s">
        <v>11178</v>
      </c>
      <c r="C480" t="str">
        <f t="shared" si="42"/>
        <v>sh</v>
      </c>
      <c r="D480" t="str">
        <f t="shared" si="43"/>
        <v>sh601969</v>
      </c>
      <c r="E480" t="str">
        <f>VLOOKUP(A480,Table!B:C,2,0)</f>
        <v>海南矿业</v>
      </c>
      <c r="F480" t="str">
        <f>TRIM(VLOOKUP(A480,Table!B:O,14,0))</f>
        <v>钢铁行业</v>
      </c>
      <c r="G480" t="str">
        <f>VLOOKUP(F480,industry!A:C,2,0)</f>
        <v>钢铁</v>
      </c>
      <c r="H480" t="str">
        <f>VLOOKUP(F480,industry!A:C,3,0)</f>
        <v>钢</v>
      </c>
      <c r="J480" s="2" t="s">
        <v>12585</v>
      </c>
      <c r="K480" t="str">
        <f t="shared" si="44"/>
        <v>sh601969</v>
      </c>
      <c r="L480" t="str">
        <f t="shared" si="45"/>
        <v>海南矿业</v>
      </c>
      <c r="M480" t="str">
        <f t="shared" si="46"/>
        <v>钢铁</v>
      </c>
      <c r="N480" t="str">
        <f t="shared" si="47"/>
        <v>钢</v>
      </c>
      <c r="P480" s="2" t="s">
        <v>12585</v>
      </c>
      <c r="Q480" t="s">
        <v>10574</v>
      </c>
      <c r="R480">
        <v>0</v>
      </c>
    </row>
    <row r="481" spans="1:18" x14ac:dyDescent="0.25">
      <c r="A481" t="s">
        <v>11179</v>
      </c>
      <c r="C481" t="str">
        <f t="shared" si="42"/>
        <v>sz</v>
      </c>
      <c r="D481" t="str">
        <f t="shared" si="43"/>
        <v>sz000800</v>
      </c>
      <c r="E481" t="str">
        <f>VLOOKUP(A481,Table!B:C,2,0)</f>
        <v>一汽轿车</v>
      </c>
      <c r="F481" t="str">
        <f>TRIM(VLOOKUP(A481,Table!B:O,14,0))</f>
        <v>汽车行业</v>
      </c>
      <c r="G481" t="str">
        <f>VLOOKUP(F481,industry!A:C,2,0)</f>
        <v>汽车</v>
      </c>
      <c r="H481" t="str">
        <f>VLOOKUP(F481,industry!A:C,3,0)</f>
        <v>车</v>
      </c>
      <c r="J481" s="2" t="s">
        <v>12585</v>
      </c>
      <c r="K481" t="str">
        <f t="shared" si="44"/>
        <v>sz000800</v>
      </c>
      <c r="L481" t="str">
        <f t="shared" si="45"/>
        <v>一汽轿车</v>
      </c>
      <c r="M481" t="str">
        <f t="shared" si="46"/>
        <v>汽车</v>
      </c>
      <c r="N481" t="str">
        <f t="shared" si="47"/>
        <v>车</v>
      </c>
      <c r="P481" s="2" t="s">
        <v>12585</v>
      </c>
      <c r="Q481" t="s">
        <v>12435</v>
      </c>
      <c r="R481">
        <v>0</v>
      </c>
    </row>
    <row r="482" spans="1:18" x14ac:dyDescent="0.25">
      <c r="A482" t="s">
        <v>11180</v>
      </c>
      <c r="C482" t="str">
        <f t="shared" si="42"/>
        <v>sh</v>
      </c>
      <c r="D482" t="str">
        <f t="shared" si="43"/>
        <v>sh600201</v>
      </c>
      <c r="E482" t="str">
        <f>VLOOKUP(A482,Table!B:C,2,0)</f>
        <v>生物股份</v>
      </c>
      <c r="F482" t="str">
        <f>TRIM(VLOOKUP(A482,Table!B:O,14,0))</f>
        <v>农药兽药</v>
      </c>
      <c r="G482" t="str">
        <f>VLOOKUP(F482,industry!A:C,2,0)</f>
        <v>农药</v>
      </c>
      <c r="H482" t="str">
        <f>VLOOKUP(F482,industry!A:C,3,0)</f>
        <v>兽</v>
      </c>
      <c r="J482" s="2" t="s">
        <v>12585</v>
      </c>
      <c r="K482" t="str">
        <f t="shared" si="44"/>
        <v>sh600201</v>
      </c>
      <c r="L482" t="str">
        <f t="shared" si="45"/>
        <v>生物股份</v>
      </c>
      <c r="M482" t="str">
        <f t="shared" si="46"/>
        <v>农药</v>
      </c>
      <c r="N482" t="str">
        <f t="shared" si="47"/>
        <v>兽</v>
      </c>
      <c r="P482" s="2" t="s">
        <v>12585</v>
      </c>
      <c r="Q482" t="s">
        <v>12267</v>
      </c>
      <c r="R482">
        <v>0</v>
      </c>
    </row>
    <row r="483" spans="1:18" x14ac:dyDescent="0.25">
      <c r="A483" t="s">
        <v>11181</v>
      </c>
      <c r="C483" t="str">
        <f t="shared" si="42"/>
        <v>sh</v>
      </c>
      <c r="D483" t="str">
        <f t="shared" si="43"/>
        <v>sh600258</v>
      </c>
      <c r="E483" t="str">
        <f>VLOOKUP(A483,Table!B:C,2,0)</f>
        <v>首旅酒店</v>
      </c>
      <c r="F483" t="str">
        <f>TRIM(VLOOKUP(A483,Table!B:O,14,0))</f>
        <v>旅游酒店</v>
      </c>
      <c r="G483" t="str">
        <f>VLOOKUP(F483,industry!A:C,2,0)</f>
        <v>旅游</v>
      </c>
      <c r="H483" t="str">
        <f>VLOOKUP(F483,industry!A:C,3,0)</f>
        <v>旅</v>
      </c>
      <c r="J483" s="2" t="s">
        <v>12585</v>
      </c>
      <c r="K483" t="str">
        <f t="shared" si="44"/>
        <v>sh600258</v>
      </c>
      <c r="L483" t="str">
        <f t="shared" si="45"/>
        <v>首旅酒店</v>
      </c>
      <c r="M483" t="str">
        <f t="shared" si="46"/>
        <v>旅游</v>
      </c>
      <c r="N483" t="str">
        <f t="shared" si="47"/>
        <v>旅</v>
      </c>
      <c r="P483" s="2" t="s">
        <v>12585</v>
      </c>
      <c r="Q483" t="s">
        <v>12634</v>
      </c>
      <c r="R483">
        <v>0</v>
      </c>
    </row>
    <row r="484" spans="1:18" x14ac:dyDescent="0.25">
      <c r="A484" t="s">
        <v>11182</v>
      </c>
      <c r="C484" t="str">
        <f t="shared" si="42"/>
        <v>sh</v>
      </c>
      <c r="D484" t="str">
        <f t="shared" si="43"/>
        <v>sh601608</v>
      </c>
      <c r="E484" t="str">
        <f>VLOOKUP(A484,Table!B:C,2,0)</f>
        <v>中信重工</v>
      </c>
      <c r="F484" t="str">
        <f>TRIM(VLOOKUP(A484,Table!B:O,14,0))</f>
        <v>机械行业</v>
      </c>
      <c r="G484" t="str">
        <f>VLOOKUP(F484,industry!A:C,2,0)</f>
        <v>机械</v>
      </c>
      <c r="H484" t="str">
        <f>VLOOKUP(F484,industry!A:C,3,0)</f>
        <v>械</v>
      </c>
      <c r="J484" s="2" t="s">
        <v>12585</v>
      </c>
      <c r="K484" t="str">
        <f t="shared" si="44"/>
        <v>sh601608</v>
      </c>
      <c r="L484" t="str">
        <f t="shared" si="45"/>
        <v>中信重工</v>
      </c>
      <c r="M484" t="str">
        <f t="shared" si="46"/>
        <v>机械</v>
      </c>
      <c r="N484" t="str">
        <f t="shared" si="47"/>
        <v>械</v>
      </c>
      <c r="P484" s="2" t="s">
        <v>12585</v>
      </c>
      <c r="Q484" t="s">
        <v>10490</v>
      </c>
      <c r="R484">
        <v>0</v>
      </c>
    </row>
    <row r="485" spans="1:18" x14ac:dyDescent="0.25">
      <c r="A485" t="s">
        <v>11183</v>
      </c>
      <c r="C485" t="str">
        <f t="shared" si="42"/>
        <v>sz</v>
      </c>
      <c r="D485" t="str">
        <f t="shared" si="43"/>
        <v>sz000401</v>
      </c>
      <c r="E485" t="str">
        <f>VLOOKUP(A485,Table!B:C,2,0)</f>
        <v>冀东水泥</v>
      </c>
      <c r="F485" t="str">
        <f>TRIM(VLOOKUP(A485,Table!B:O,14,0))</f>
        <v>水泥建材</v>
      </c>
      <c r="G485" t="str">
        <f>VLOOKUP(F485,industry!A:C,2,0)</f>
        <v>水泥</v>
      </c>
      <c r="H485" t="str">
        <f>VLOOKUP(F485,industry!A:C,3,0)</f>
        <v>泥</v>
      </c>
      <c r="J485" s="2" t="s">
        <v>12585</v>
      </c>
      <c r="K485" t="str">
        <f t="shared" si="44"/>
        <v>sz000401</v>
      </c>
      <c r="L485" t="str">
        <f t="shared" si="45"/>
        <v>冀东水泥</v>
      </c>
      <c r="M485" t="str">
        <f t="shared" si="46"/>
        <v>水泥</v>
      </c>
      <c r="N485" t="str">
        <f t="shared" si="47"/>
        <v>泥</v>
      </c>
      <c r="P485" s="2" t="s">
        <v>12585</v>
      </c>
      <c r="Q485" t="s">
        <v>12044</v>
      </c>
      <c r="R485">
        <v>0</v>
      </c>
    </row>
    <row r="486" spans="1:18" x14ac:dyDescent="0.25">
      <c r="A486" t="s">
        <v>11184</v>
      </c>
      <c r="C486" t="str">
        <f t="shared" si="42"/>
        <v>sz</v>
      </c>
      <c r="D486" t="str">
        <f t="shared" si="43"/>
        <v>sz000939</v>
      </c>
      <c r="E486" t="str">
        <f>VLOOKUP(A486,Table!B:C,2,0)</f>
        <v>凯迪生态</v>
      </c>
      <c r="F486" t="str">
        <f>TRIM(VLOOKUP(A486,Table!B:O,14,0))</f>
        <v>电力行业</v>
      </c>
      <c r="G486" t="str">
        <f>VLOOKUP(F486,industry!A:C,2,0)</f>
        <v>电力</v>
      </c>
      <c r="H486" t="str">
        <f>VLOOKUP(F486,industry!A:C,3,0)</f>
        <v>电力</v>
      </c>
      <c r="J486" s="2" t="s">
        <v>12585</v>
      </c>
      <c r="K486" t="str">
        <f t="shared" si="44"/>
        <v>sz000939</v>
      </c>
      <c r="L486" t="str">
        <f t="shared" si="45"/>
        <v>凯迪生态</v>
      </c>
      <c r="M486" t="str">
        <f t="shared" si="46"/>
        <v>电力</v>
      </c>
      <c r="N486" t="str">
        <f t="shared" si="47"/>
        <v>电力</v>
      </c>
      <c r="P486" s="2" t="s">
        <v>12585</v>
      </c>
      <c r="Q486" t="s">
        <v>12111</v>
      </c>
      <c r="R486">
        <v>0</v>
      </c>
    </row>
    <row r="487" spans="1:18" x14ac:dyDescent="0.25">
      <c r="A487" t="s">
        <v>11185</v>
      </c>
      <c r="C487" t="str">
        <f t="shared" si="42"/>
        <v>sh</v>
      </c>
      <c r="D487" t="str">
        <f t="shared" si="43"/>
        <v>sh603228</v>
      </c>
      <c r="E487" t="str">
        <f>VLOOKUP(A487,Table!B:C,2,0)</f>
        <v>景旺电子</v>
      </c>
      <c r="F487" t="str">
        <f>TRIM(VLOOKUP(A487,Table!B:O,14,0))</f>
        <v>电子元件</v>
      </c>
      <c r="G487" t="str">
        <f>VLOOKUP(F487,industry!A:C,2,0)</f>
        <v>原件</v>
      </c>
      <c r="H487" t="str">
        <f>VLOOKUP(F487,industry!A:C,3,0)</f>
        <v>元件</v>
      </c>
      <c r="J487" s="2" t="s">
        <v>12585</v>
      </c>
      <c r="K487" t="str">
        <f t="shared" si="44"/>
        <v>sh603228</v>
      </c>
      <c r="L487" t="str">
        <f t="shared" si="45"/>
        <v>景旺电子</v>
      </c>
      <c r="M487" t="str">
        <f t="shared" si="46"/>
        <v>原件</v>
      </c>
      <c r="N487" t="str">
        <f t="shared" si="47"/>
        <v>元件</v>
      </c>
      <c r="P487" s="2" t="s">
        <v>12585</v>
      </c>
      <c r="Q487" t="s">
        <v>12635</v>
      </c>
      <c r="R487">
        <v>0</v>
      </c>
    </row>
    <row r="488" spans="1:18" x14ac:dyDescent="0.25">
      <c r="A488" t="s">
        <v>11186</v>
      </c>
      <c r="C488" t="str">
        <f t="shared" si="42"/>
        <v>sz</v>
      </c>
      <c r="D488" t="str">
        <f t="shared" si="43"/>
        <v>sz002223</v>
      </c>
      <c r="E488" t="str">
        <f>VLOOKUP(A488,Table!B:C,2,0)</f>
        <v>鱼跃医疗</v>
      </c>
      <c r="F488" t="str">
        <f>TRIM(VLOOKUP(A488,Table!B:O,14,0))</f>
        <v>医疗行业</v>
      </c>
      <c r="G488" t="str">
        <f>VLOOKUP(F488,industry!A:C,2,0)</f>
        <v>医疗</v>
      </c>
      <c r="H488" t="str">
        <f>VLOOKUP(F488,industry!A:C,3,0)</f>
        <v>疗</v>
      </c>
      <c r="J488" s="2" t="s">
        <v>12585</v>
      </c>
      <c r="K488" t="str">
        <f t="shared" si="44"/>
        <v>sz002223</v>
      </c>
      <c r="L488" t="str">
        <f t="shared" si="45"/>
        <v>鱼跃医疗</v>
      </c>
      <c r="M488" t="str">
        <f t="shared" si="46"/>
        <v>医疗</v>
      </c>
      <c r="N488" t="str">
        <f t="shared" si="47"/>
        <v>疗</v>
      </c>
      <c r="P488" s="2" t="s">
        <v>12585</v>
      </c>
      <c r="Q488" t="s">
        <v>10520</v>
      </c>
      <c r="R488">
        <v>0</v>
      </c>
    </row>
    <row r="489" spans="1:18" x14ac:dyDescent="0.25">
      <c r="A489" t="s">
        <v>11187</v>
      </c>
      <c r="C489" t="str">
        <f t="shared" si="42"/>
        <v>sz</v>
      </c>
      <c r="D489" t="str">
        <f t="shared" si="43"/>
        <v>sz002506</v>
      </c>
      <c r="E489" t="str">
        <f>VLOOKUP(A489,Table!B:C,2,0)</f>
        <v>协鑫集成</v>
      </c>
      <c r="F489" t="str">
        <f>TRIM(VLOOKUP(A489,Table!B:O,14,0))</f>
        <v>电子元件</v>
      </c>
      <c r="G489" t="str">
        <f>VLOOKUP(F489,industry!A:C,2,0)</f>
        <v>原件</v>
      </c>
      <c r="H489" t="str">
        <f>VLOOKUP(F489,industry!A:C,3,0)</f>
        <v>元件</v>
      </c>
      <c r="J489" s="2" t="s">
        <v>12585</v>
      </c>
      <c r="K489" t="str">
        <f t="shared" si="44"/>
        <v>sz002506</v>
      </c>
      <c r="L489" t="str">
        <f t="shared" si="45"/>
        <v>协鑫集成</v>
      </c>
      <c r="M489" t="str">
        <f t="shared" si="46"/>
        <v>原件</v>
      </c>
      <c r="N489" t="str">
        <f t="shared" si="47"/>
        <v>元件</v>
      </c>
      <c r="P489" s="2" t="s">
        <v>12585</v>
      </c>
      <c r="Q489" t="s">
        <v>10236</v>
      </c>
      <c r="R489">
        <v>0</v>
      </c>
    </row>
    <row r="490" spans="1:18" x14ac:dyDescent="0.25">
      <c r="A490" t="s">
        <v>11188</v>
      </c>
      <c r="C490" t="str">
        <f t="shared" si="42"/>
        <v>sh</v>
      </c>
      <c r="D490" t="str">
        <f t="shared" si="43"/>
        <v>sh600567</v>
      </c>
      <c r="E490" t="str">
        <f>VLOOKUP(A490,Table!B:C,2,0)</f>
        <v>山鹰纸业</v>
      </c>
      <c r="F490" t="str">
        <f>TRIM(VLOOKUP(A490,Table!B:O,14,0))</f>
        <v>造纸印刷</v>
      </c>
      <c r="G490" t="str">
        <f>VLOOKUP(F490,industry!A:C,2,0)</f>
        <v>造纸</v>
      </c>
      <c r="H490" t="str">
        <f>VLOOKUP(F490,industry!A:C,3,0)</f>
        <v>纸</v>
      </c>
      <c r="J490" s="2" t="s">
        <v>12585</v>
      </c>
      <c r="K490" t="str">
        <f t="shared" si="44"/>
        <v>sh600567</v>
      </c>
      <c r="L490" t="str">
        <f t="shared" si="45"/>
        <v>山鹰纸业</v>
      </c>
      <c r="M490" t="str">
        <f t="shared" si="46"/>
        <v>造纸</v>
      </c>
      <c r="N490" t="str">
        <f t="shared" si="47"/>
        <v>纸</v>
      </c>
      <c r="P490" s="2" t="s">
        <v>12585</v>
      </c>
      <c r="Q490" t="s">
        <v>12636</v>
      </c>
      <c r="R490">
        <v>0</v>
      </c>
    </row>
    <row r="491" spans="1:18" x14ac:dyDescent="0.25">
      <c r="A491" t="s">
        <v>11189</v>
      </c>
      <c r="C491" t="str">
        <f t="shared" si="42"/>
        <v>sh</v>
      </c>
      <c r="D491" t="str">
        <f t="shared" si="43"/>
        <v>sh600298</v>
      </c>
      <c r="E491" t="str">
        <f>VLOOKUP(A491,Table!B:C,2,0)</f>
        <v>安琪酵母</v>
      </c>
      <c r="F491" t="str">
        <f>TRIM(VLOOKUP(A491,Table!B:O,14,0))</f>
        <v>食品饮料</v>
      </c>
      <c r="G491" t="str">
        <f>VLOOKUP(F491,industry!A:C,2,0)</f>
        <v>食品</v>
      </c>
      <c r="H491" t="str">
        <f>VLOOKUP(F491,industry!A:C,3,0)</f>
        <v>食</v>
      </c>
      <c r="J491" s="2" t="s">
        <v>12585</v>
      </c>
      <c r="K491" t="str">
        <f t="shared" si="44"/>
        <v>sh600298</v>
      </c>
      <c r="L491" t="str">
        <f t="shared" si="45"/>
        <v>安琪酵母</v>
      </c>
      <c r="M491" t="str">
        <f t="shared" si="46"/>
        <v>食品</v>
      </c>
      <c r="N491" t="str">
        <f t="shared" si="47"/>
        <v>食</v>
      </c>
      <c r="P491" s="2" t="s">
        <v>12585</v>
      </c>
      <c r="Q491" t="s">
        <v>11805</v>
      </c>
      <c r="R491">
        <v>0</v>
      </c>
    </row>
    <row r="492" spans="1:18" x14ac:dyDescent="0.25">
      <c r="A492" t="s">
        <v>11190</v>
      </c>
      <c r="C492" t="str">
        <f t="shared" si="42"/>
        <v>sz</v>
      </c>
      <c r="D492" t="str">
        <f t="shared" si="43"/>
        <v>sz000503</v>
      </c>
      <c r="E492" t="str">
        <f>VLOOKUP(A492,Table!B:C,2,0)</f>
        <v>海虹控股</v>
      </c>
      <c r="F492" t="str">
        <f>TRIM(VLOOKUP(A492,Table!B:O,14,0))</f>
        <v>电子信息</v>
      </c>
      <c r="G492" t="str">
        <f>VLOOKUP(F492,industry!A:C,2,0)</f>
        <v>信息</v>
      </c>
      <c r="H492" t="str">
        <f>VLOOKUP(F492,industry!A:C,3,0)</f>
        <v>咨</v>
      </c>
      <c r="J492" s="2" t="s">
        <v>12585</v>
      </c>
      <c r="K492" t="str">
        <f t="shared" si="44"/>
        <v>sz000503</v>
      </c>
      <c r="L492" t="str">
        <f t="shared" si="45"/>
        <v>海虹控股</v>
      </c>
      <c r="M492" t="str">
        <f t="shared" si="46"/>
        <v>信息</v>
      </c>
      <c r="N492" t="str">
        <f t="shared" si="47"/>
        <v>咨</v>
      </c>
      <c r="P492" s="2" t="s">
        <v>12585</v>
      </c>
      <c r="Q492" t="s">
        <v>9987</v>
      </c>
      <c r="R492">
        <v>0</v>
      </c>
    </row>
    <row r="493" spans="1:18" x14ac:dyDescent="0.25">
      <c r="A493" t="s">
        <v>11191</v>
      </c>
      <c r="C493" t="str">
        <f t="shared" si="42"/>
        <v>sh</v>
      </c>
      <c r="D493" t="str">
        <f t="shared" si="43"/>
        <v>sh600317</v>
      </c>
      <c r="E493" t="str">
        <f>VLOOKUP(A493,Table!B:C,2,0)</f>
        <v>营口港</v>
      </c>
      <c r="F493" t="str">
        <f>TRIM(VLOOKUP(A493,Table!B:O,14,0))</f>
        <v>港口水运</v>
      </c>
      <c r="G493" t="str">
        <f>VLOOKUP(F493,industry!A:C,2,0)</f>
        <v>港口</v>
      </c>
      <c r="H493" t="str">
        <f>VLOOKUP(F493,industry!A:C,3,0)</f>
        <v>港</v>
      </c>
      <c r="J493" s="2" t="s">
        <v>12585</v>
      </c>
      <c r="K493" t="str">
        <f t="shared" si="44"/>
        <v>sh600317</v>
      </c>
      <c r="L493" t="str">
        <f t="shared" si="45"/>
        <v>营口港</v>
      </c>
      <c r="M493" t="str">
        <f t="shared" si="46"/>
        <v>港口</v>
      </c>
      <c r="N493" t="str">
        <f t="shared" si="47"/>
        <v>港</v>
      </c>
      <c r="P493" s="2" t="s">
        <v>12585</v>
      </c>
      <c r="Q493" t="s">
        <v>10537</v>
      </c>
      <c r="R493">
        <v>0</v>
      </c>
    </row>
    <row r="494" spans="1:18" x14ac:dyDescent="0.25">
      <c r="A494" t="s">
        <v>11192</v>
      </c>
      <c r="C494" t="str">
        <f t="shared" si="42"/>
        <v>sz</v>
      </c>
      <c r="D494" t="str">
        <f t="shared" si="43"/>
        <v>sz300197</v>
      </c>
      <c r="E494" t="str">
        <f>VLOOKUP(A494,Table!B:C,2,0)</f>
        <v>铁汉生态</v>
      </c>
      <c r="F494" t="str">
        <f>TRIM(VLOOKUP(A494,Table!B:O,14,0))</f>
        <v>园林工程</v>
      </c>
      <c r="G494" t="str">
        <f>VLOOKUP(F494,industry!A:C,2,0)</f>
        <v>园林</v>
      </c>
      <c r="H494" t="str">
        <f>VLOOKUP(F494,industry!A:C,3,0)</f>
        <v>园</v>
      </c>
      <c r="J494" s="2" t="s">
        <v>12585</v>
      </c>
      <c r="K494" t="str">
        <f t="shared" si="44"/>
        <v>sz300197</v>
      </c>
      <c r="L494" t="str">
        <f t="shared" si="45"/>
        <v>铁汉生态</v>
      </c>
      <c r="M494" t="str">
        <f t="shared" si="46"/>
        <v>园林</v>
      </c>
      <c r="N494" t="str">
        <f t="shared" si="47"/>
        <v>园</v>
      </c>
      <c r="P494" s="2" t="s">
        <v>12585</v>
      </c>
      <c r="Q494" t="s">
        <v>12637</v>
      </c>
      <c r="R494">
        <v>0</v>
      </c>
    </row>
    <row r="495" spans="1:18" x14ac:dyDescent="0.25">
      <c r="A495" t="s">
        <v>11193</v>
      </c>
      <c r="C495" t="str">
        <f t="shared" si="42"/>
        <v>sh</v>
      </c>
      <c r="D495" t="str">
        <f t="shared" si="43"/>
        <v>sh603816</v>
      </c>
      <c r="E495" t="str">
        <f>VLOOKUP(A495,Table!B:C,2,0)</f>
        <v>顾家家居</v>
      </c>
      <c r="F495" t="str">
        <f>TRIM(VLOOKUP(A495,Table!B:O,14,0))</f>
        <v>木业家具</v>
      </c>
      <c r="G495" t="str">
        <f>VLOOKUP(F495,industry!A:C,2,0)</f>
        <v>木业</v>
      </c>
      <c r="H495" t="str">
        <f>VLOOKUP(F495,industry!A:C,3,0)</f>
        <v>木</v>
      </c>
      <c r="J495" s="2" t="s">
        <v>12585</v>
      </c>
      <c r="K495" t="str">
        <f t="shared" si="44"/>
        <v>sh603816</v>
      </c>
      <c r="L495" t="str">
        <f t="shared" si="45"/>
        <v>顾家家居</v>
      </c>
      <c r="M495" t="str">
        <f t="shared" si="46"/>
        <v>木业</v>
      </c>
      <c r="N495" t="str">
        <f t="shared" si="47"/>
        <v>木</v>
      </c>
      <c r="P495" s="2" t="s">
        <v>12585</v>
      </c>
      <c r="Q495" t="s">
        <v>10458</v>
      </c>
      <c r="R495">
        <v>0</v>
      </c>
    </row>
    <row r="496" spans="1:18" x14ac:dyDescent="0.25">
      <c r="A496" t="s">
        <v>11194</v>
      </c>
      <c r="C496" t="str">
        <f t="shared" si="42"/>
        <v>sh</v>
      </c>
      <c r="D496" t="str">
        <f t="shared" si="43"/>
        <v>sh600435</v>
      </c>
      <c r="E496" t="str">
        <f>VLOOKUP(A496,Table!B:C,2,0)</f>
        <v>北方导航</v>
      </c>
      <c r="F496" t="str">
        <f>TRIM(VLOOKUP(A496,Table!B:O,14,0))</f>
        <v>机械行业</v>
      </c>
      <c r="G496" t="str">
        <f>VLOOKUP(F496,industry!A:C,2,0)</f>
        <v>机械</v>
      </c>
      <c r="H496" t="str">
        <f>VLOOKUP(F496,industry!A:C,3,0)</f>
        <v>械</v>
      </c>
      <c r="J496" s="2" t="s">
        <v>12585</v>
      </c>
      <c r="K496" t="str">
        <f t="shared" si="44"/>
        <v>sh600435</v>
      </c>
      <c r="L496" t="str">
        <f t="shared" si="45"/>
        <v>北方导航</v>
      </c>
      <c r="M496" t="str">
        <f t="shared" si="46"/>
        <v>机械</v>
      </c>
      <c r="N496" t="str">
        <f t="shared" si="47"/>
        <v>械</v>
      </c>
      <c r="P496" s="2" t="s">
        <v>12585</v>
      </c>
      <c r="Q496" t="s">
        <v>10590</v>
      </c>
      <c r="R496">
        <v>0</v>
      </c>
    </row>
    <row r="497" spans="1:18" x14ac:dyDescent="0.25">
      <c r="A497" t="s">
        <v>11195</v>
      </c>
      <c r="C497" t="str">
        <f t="shared" si="42"/>
        <v>sh</v>
      </c>
      <c r="D497" t="str">
        <f t="shared" si="43"/>
        <v>sh600718</v>
      </c>
      <c r="E497" t="str">
        <f>VLOOKUP(A497,Table!B:C,2,0)</f>
        <v>东软集团</v>
      </c>
      <c r="F497" t="str">
        <f>TRIM(VLOOKUP(A497,Table!B:O,14,0))</f>
        <v>软件服务</v>
      </c>
      <c r="G497" t="str">
        <f>VLOOKUP(F497,industry!A:C,2,0)</f>
        <v>软件</v>
      </c>
      <c r="H497" t="str">
        <f>VLOOKUP(F497,industry!A:C,3,0)</f>
        <v>软</v>
      </c>
      <c r="J497" s="2" t="s">
        <v>12585</v>
      </c>
      <c r="K497" t="str">
        <f t="shared" si="44"/>
        <v>sh600718</v>
      </c>
      <c r="L497" t="str">
        <f t="shared" si="45"/>
        <v>东软集团</v>
      </c>
      <c r="M497" t="str">
        <f t="shared" si="46"/>
        <v>软件</v>
      </c>
      <c r="N497" t="str">
        <f t="shared" si="47"/>
        <v>软</v>
      </c>
      <c r="P497" s="2" t="s">
        <v>12585</v>
      </c>
      <c r="Q497" t="s">
        <v>10584</v>
      </c>
      <c r="R497">
        <v>0</v>
      </c>
    </row>
    <row r="498" spans="1:18" x14ac:dyDescent="0.25">
      <c r="A498" t="s">
        <v>11196</v>
      </c>
      <c r="C498" t="str">
        <f t="shared" si="42"/>
        <v>sz</v>
      </c>
      <c r="D498" t="str">
        <f t="shared" si="43"/>
        <v>sz002219</v>
      </c>
      <c r="E498" t="str">
        <f>VLOOKUP(A498,Table!B:C,2,0)</f>
        <v>恒康医疗</v>
      </c>
      <c r="F498" t="str">
        <f>TRIM(VLOOKUP(A498,Table!B:O,14,0))</f>
        <v>医药制造</v>
      </c>
      <c r="G498" t="str">
        <f>VLOOKUP(F498,industry!A:C,2,0)</f>
        <v>医药</v>
      </c>
      <c r="H498" t="str">
        <f>VLOOKUP(F498,industry!A:C,3,0)</f>
        <v>药</v>
      </c>
      <c r="J498" s="2" t="s">
        <v>12585</v>
      </c>
      <c r="K498" t="str">
        <f t="shared" si="44"/>
        <v>sz002219</v>
      </c>
      <c r="L498" t="str">
        <f t="shared" si="45"/>
        <v>恒康医疗</v>
      </c>
      <c r="M498" t="str">
        <f t="shared" si="46"/>
        <v>医药</v>
      </c>
      <c r="N498" t="str">
        <f t="shared" si="47"/>
        <v>药</v>
      </c>
      <c r="P498" s="2" t="s">
        <v>12585</v>
      </c>
      <c r="Q498" t="s">
        <v>10408</v>
      </c>
      <c r="R498">
        <v>0</v>
      </c>
    </row>
    <row r="499" spans="1:18" x14ac:dyDescent="0.25">
      <c r="A499" t="s">
        <v>11197</v>
      </c>
      <c r="C499" t="str">
        <f t="shared" si="42"/>
        <v>sz</v>
      </c>
      <c r="D499" t="str">
        <f t="shared" si="43"/>
        <v>sz300383</v>
      </c>
      <c r="E499" t="str">
        <f>VLOOKUP(A499,Table!B:C,2,0)</f>
        <v>光环新网</v>
      </c>
      <c r="F499" t="str">
        <f>TRIM(VLOOKUP(A499,Table!B:O,14,0))</f>
        <v>电信运营</v>
      </c>
      <c r="G499" t="str">
        <f>VLOOKUP(F499,industry!A:C,2,0)</f>
        <v>电信</v>
      </c>
      <c r="H499" t="str">
        <f>VLOOKUP(F499,industry!A:C,3,0)</f>
        <v>电信</v>
      </c>
      <c r="J499" s="2" t="s">
        <v>12585</v>
      </c>
      <c r="K499" t="str">
        <f t="shared" si="44"/>
        <v>sz300383</v>
      </c>
      <c r="L499" t="str">
        <f t="shared" si="45"/>
        <v>光环新网</v>
      </c>
      <c r="M499" t="str">
        <f t="shared" si="46"/>
        <v>电信</v>
      </c>
      <c r="N499" t="str">
        <f t="shared" si="47"/>
        <v>电信</v>
      </c>
      <c r="P499" s="2" t="s">
        <v>12585</v>
      </c>
      <c r="Q499" t="s">
        <v>10460</v>
      </c>
      <c r="R499">
        <v>0</v>
      </c>
    </row>
    <row r="500" spans="1:18" x14ac:dyDescent="0.25">
      <c r="A500" t="s">
        <v>11198</v>
      </c>
      <c r="C500" t="str">
        <f t="shared" si="42"/>
        <v>sh</v>
      </c>
      <c r="D500" t="str">
        <f t="shared" si="43"/>
        <v>sh600500</v>
      </c>
      <c r="E500" t="str">
        <f>VLOOKUP(A500,Table!B:C,2,0)</f>
        <v>中化国际</v>
      </c>
      <c r="F500" t="str">
        <f>TRIM(VLOOKUP(A500,Table!B:O,14,0))</f>
        <v>化工行业</v>
      </c>
      <c r="G500" t="str">
        <f>VLOOKUP(F500,industry!A:C,2,0)</f>
        <v>化工</v>
      </c>
      <c r="H500" t="str">
        <f>VLOOKUP(F500,industry!A:C,3,0)</f>
        <v>化</v>
      </c>
      <c r="J500" s="2" t="s">
        <v>12585</v>
      </c>
      <c r="K500" t="str">
        <f t="shared" si="44"/>
        <v>sh600500</v>
      </c>
      <c r="L500" t="str">
        <f t="shared" si="45"/>
        <v>中化国际</v>
      </c>
      <c r="M500" t="str">
        <f t="shared" si="46"/>
        <v>化工</v>
      </c>
      <c r="N500" t="str">
        <f t="shared" si="47"/>
        <v>化</v>
      </c>
      <c r="P500" s="2" t="s">
        <v>12585</v>
      </c>
      <c r="Q500" t="s">
        <v>10626</v>
      </c>
      <c r="R500">
        <v>0</v>
      </c>
    </row>
    <row r="501" spans="1:18" x14ac:dyDescent="0.25">
      <c r="A501" t="s">
        <v>11199</v>
      </c>
      <c r="C501" t="str">
        <f t="shared" si="42"/>
        <v>sh</v>
      </c>
      <c r="D501" t="str">
        <f t="shared" si="43"/>
        <v>sh600256</v>
      </c>
      <c r="E501" t="str">
        <f>VLOOKUP(A501,Table!B:C,2,0)</f>
        <v>广汇能源</v>
      </c>
      <c r="F501" t="str">
        <f>TRIM(VLOOKUP(A501,Table!B:O,14,0))</f>
        <v>石油行业</v>
      </c>
      <c r="G501" t="str">
        <f>VLOOKUP(F501,industry!A:C,2,0)</f>
        <v>石油</v>
      </c>
      <c r="H501" t="str">
        <f>VLOOKUP(F501,industry!A:C,3,0)</f>
        <v>油</v>
      </c>
      <c r="J501" s="2" t="s">
        <v>12585</v>
      </c>
      <c r="K501" t="str">
        <f t="shared" si="44"/>
        <v>sh600256</v>
      </c>
      <c r="L501" t="str">
        <f t="shared" si="45"/>
        <v>广汇能源</v>
      </c>
      <c r="M501" t="str">
        <f t="shared" si="46"/>
        <v>石油</v>
      </c>
      <c r="N501" t="str">
        <f t="shared" si="47"/>
        <v>油</v>
      </c>
      <c r="P501" s="2" t="s">
        <v>12585</v>
      </c>
      <c r="Q501" t="s">
        <v>10566</v>
      </c>
      <c r="R501">
        <v>0</v>
      </c>
    </row>
    <row r="502" spans="1:18" x14ac:dyDescent="0.25">
      <c r="A502" t="s">
        <v>11200</v>
      </c>
      <c r="C502" t="str">
        <f t="shared" si="42"/>
        <v>sh</v>
      </c>
      <c r="D502" t="str">
        <f t="shared" si="43"/>
        <v>sh600183</v>
      </c>
      <c r="E502" t="str">
        <f>VLOOKUP(A502,Table!B:C,2,0)</f>
        <v>生益科技</v>
      </c>
      <c r="F502" t="str">
        <f>TRIM(VLOOKUP(A502,Table!B:O,14,0))</f>
        <v>电子元件</v>
      </c>
      <c r="G502" t="str">
        <f>VLOOKUP(F502,industry!A:C,2,0)</f>
        <v>原件</v>
      </c>
      <c r="H502" t="str">
        <f>VLOOKUP(F502,industry!A:C,3,0)</f>
        <v>元件</v>
      </c>
      <c r="J502" s="2" t="s">
        <v>12585</v>
      </c>
      <c r="K502" t="str">
        <f t="shared" si="44"/>
        <v>sh600183</v>
      </c>
      <c r="L502" t="str">
        <f t="shared" si="45"/>
        <v>生益科技</v>
      </c>
      <c r="M502" t="str">
        <f t="shared" si="46"/>
        <v>原件</v>
      </c>
      <c r="N502" t="str">
        <f t="shared" si="47"/>
        <v>元件</v>
      </c>
      <c r="P502" s="2" t="s">
        <v>12585</v>
      </c>
      <c r="Q502" t="s">
        <v>12269</v>
      </c>
      <c r="R502">
        <v>0</v>
      </c>
    </row>
    <row r="503" spans="1:18" x14ac:dyDescent="0.25">
      <c r="A503" t="s">
        <v>11201</v>
      </c>
      <c r="C503" t="str">
        <f t="shared" si="42"/>
        <v>sh</v>
      </c>
      <c r="D503" t="str">
        <f t="shared" si="43"/>
        <v>sh600167</v>
      </c>
      <c r="E503" t="str">
        <f>VLOOKUP(A503,Table!B:C,2,0)</f>
        <v>联美控股</v>
      </c>
      <c r="F503" t="str">
        <f>TRIM(VLOOKUP(A503,Table!B:O,14,0))</f>
        <v>电力行业</v>
      </c>
      <c r="G503" t="str">
        <f>VLOOKUP(F503,industry!A:C,2,0)</f>
        <v>电力</v>
      </c>
      <c r="H503" t="str">
        <f>VLOOKUP(F503,industry!A:C,3,0)</f>
        <v>电力</v>
      </c>
      <c r="J503" s="2" t="s">
        <v>12585</v>
      </c>
      <c r="K503" t="str">
        <f t="shared" si="44"/>
        <v>sh600167</v>
      </c>
      <c r="L503" t="str">
        <f t="shared" si="45"/>
        <v>联美控股</v>
      </c>
      <c r="M503" t="str">
        <f t="shared" si="46"/>
        <v>电力</v>
      </c>
      <c r="N503" t="str">
        <f t="shared" si="47"/>
        <v>电力</v>
      </c>
      <c r="P503" s="2" t="s">
        <v>12585</v>
      </c>
      <c r="Q503" t="s">
        <v>12638</v>
      </c>
      <c r="R503">
        <v>0</v>
      </c>
    </row>
    <row r="504" spans="1:18" x14ac:dyDescent="0.25">
      <c r="A504" t="s">
        <v>11202</v>
      </c>
      <c r="C504" t="str">
        <f t="shared" si="42"/>
        <v>sh</v>
      </c>
      <c r="D504" t="str">
        <f t="shared" si="43"/>
        <v>sh600582</v>
      </c>
      <c r="E504" t="str">
        <f>VLOOKUP(A504,Table!B:C,2,0)</f>
        <v>天地科技</v>
      </c>
      <c r="F504" t="str">
        <f>TRIM(VLOOKUP(A504,Table!B:O,14,0))</f>
        <v>机械行业</v>
      </c>
      <c r="G504" t="str">
        <f>VLOOKUP(F504,industry!A:C,2,0)</f>
        <v>机械</v>
      </c>
      <c r="H504" t="str">
        <f>VLOOKUP(F504,industry!A:C,3,0)</f>
        <v>械</v>
      </c>
      <c r="J504" s="2" t="s">
        <v>12585</v>
      </c>
      <c r="K504" t="str">
        <f t="shared" si="44"/>
        <v>sh600582</v>
      </c>
      <c r="L504" t="str">
        <f t="shared" si="45"/>
        <v>天地科技</v>
      </c>
      <c r="M504" t="str">
        <f t="shared" si="46"/>
        <v>机械</v>
      </c>
      <c r="N504" t="str">
        <f t="shared" si="47"/>
        <v>械</v>
      </c>
      <c r="P504" s="2" t="s">
        <v>12585</v>
      </c>
      <c r="Q504" t="s">
        <v>12328</v>
      </c>
      <c r="R504">
        <v>0</v>
      </c>
    </row>
    <row r="505" spans="1:18" x14ac:dyDescent="0.25">
      <c r="A505" t="s">
        <v>11203</v>
      </c>
      <c r="C505" t="str">
        <f t="shared" si="42"/>
        <v>sz</v>
      </c>
      <c r="D505" t="str">
        <f t="shared" si="43"/>
        <v>sz002129</v>
      </c>
      <c r="E505" t="str">
        <f>VLOOKUP(A505,Table!B:C,2,0)</f>
        <v>中环股份</v>
      </c>
      <c r="F505" t="str">
        <f>TRIM(VLOOKUP(A505,Table!B:O,14,0))</f>
        <v>电子元件</v>
      </c>
      <c r="G505" t="str">
        <f>VLOOKUP(F505,industry!A:C,2,0)</f>
        <v>原件</v>
      </c>
      <c r="H505" t="str">
        <f>VLOOKUP(F505,industry!A:C,3,0)</f>
        <v>元件</v>
      </c>
      <c r="J505" s="2" t="s">
        <v>12585</v>
      </c>
      <c r="K505" t="str">
        <f t="shared" si="44"/>
        <v>sz002129</v>
      </c>
      <c r="L505" t="str">
        <f t="shared" si="45"/>
        <v>中环股份</v>
      </c>
      <c r="M505" t="str">
        <f t="shared" si="46"/>
        <v>原件</v>
      </c>
      <c r="N505" t="str">
        <f t="shared" si="47"/>
        <v>元件</v>
      </c>
      <c r="P505" s="2" t="s">
        <v>12585</v>
      </c>
      <c r="Q505" t="s">
        <v>10580</v>
      </c>
      <c r="R505">
        <v>0</v>
      </c>
    </row>
    <row r="506" spans="1:18" x14ac:dyDescent="0.25">
      <c r="A506" t="s">
        <v>11204</v>
      </c>
      <c r="C506" t="str">
        <f t="shared" si="42"/>
        <v>sz</v>
      </c>
      <c r="D506" t="str">
        <f t="shared" si="43"/>
        <v>sz300014</v>
      </c>
      <c r="E506" t="str">
        <f>VLOOKUP(A506,Table!B:C,2,0)</f>
        <v>亿纬锂能</v>
      </c>
      <c r="F506" t="str">
        <f>TRIM(VLOOKUP(A506,Table!B:O,14,0))</f>
        <v>电子元件</v>
      </c>
      <c r="G506" t="str">
        <f>VLOOKUP(F506,industry!A:C,2,0)</f>
        <v>原件</v>
      </c>
      <c r="H506" t="str">
        <f>VLOOKUP(F506,industry!A:C,3,0)</f>
        <v>元件</v>
      </c>
      <c r="J506" s="2" t="s">
        <v>12585</v>
      </c>
      <c r="K506" t="str">
        <f t="shared" si="44"/>
        <v>sz300014</v>
      </c>
      <c r="L506" t="str">
        <f t="shared" si="45"/>
        <v>亿纬锂能</v>
      </c>
      <c r="M506" t="str">
        <f t="shared" si="46"/>
        <v>原件</v>
      </c>
      <c r="N506" t="str">
        <f t="shared" si="47"/>
        <v>元件</v>
      </c>
      <c r="P506" s="2" t="s">
        <v>12585</v>
      </c>
      <c r="Q506" t="s">
        <v>12639</v>
      </c>
      <c r="R506">
        <v>0</v>
      </c>
    </row>
    <row r="507" spans="1:18" x14ac:dyDescent="0.25">
      <c r="A507" t="s">
        <v>11205</v>
      </c>
      <c r="C507" t="str">
        <f t="shared" si="42"/>
        <v>sh</v>
      </c>
      <c r="D507" t="str">
        <f t="shared" si="43"/>
        <v>sh600612</v>
      </c>
      <c r="E507" t="str">
        <f>VLOOKUP(A507,Table!B:C,2,0)</f>
        <v>老凤祥</v>
      </c>
      <c r="F507" t="str">
        <f>TRIM(VLOOKUP(A507,Table!B:O,14,0))</f>
        <v>珠宝首饰</v>
      </c>
      <c r="G507" t="str">
        <f>VLOOKUP(F507,industry!A:C,2,0)</f>
        <v>珠宝</v>
      </c>
      <c r="H507" t="str">
        <f>VLOOKUP(F507,industry!A:C,3,0)</f>
        <v>珠</v>
      </c>
      <c r="J507" s="2" t="s">
        <v>12585</v>
      </c>
      <c r="K507" t="str">
        <f t="shared" si="44"/>
        <v>sh600612</v>
      </c>
      <c r="L507" t="str">
        <f t="shared" si="45"/>
        <v>老凤祥</v>
      </c>
      <c r="M507" t="str">
        <f t="shared" si="46"/>
        <v>珠宝</v>
      </c>
      <c r="N507" t="str">
        <f t="shared" si="47"/>
        <v>珠</v>
      </c>
      <c r="P507" s="2" t="s">
        <v>12585</v>
      </c>
      <c r="Q507" t="s">
        <v>10612</v>
      </c>
      <c r="R507">
        <v>0</v>
      </c>
    </row>
    <row r="508" spans="1:18" x14ac:dyDescent="0.25">
      <c r="A508" t="s">
        <v>11206</v>
      </c>
      <c r="C508" t="str">
        <f t="shared" si="42"/>
        <v>sh</v>
      </c>
      <c r="D508" t="str">
        <f t="shared" si="43"/>
        <v>sh600787</v>
      </c>
      <c r="E508" t="str">
        <f>VLOOKUP(A508,Table!B:C,2,0)</f>
        <v>中储股份</v>
      </c>
      <c r="F508" t="str">
        <f>TRIM(VLOOKUP(A508,Table!B:O,14,0))</f>
        <v>交运物流</v>
      </c>
      <c r="G508" t="str">
        <f>VLOOKUP(F508,industry!A:C,2,0)</f>
        <v>物流</v>
      </c>
      <c r="H508" t="str">
        <f>VLOOKUP(F508,industry!A:C,3,0)</f>
        <v>物</v>
      </c>
      <c r="J508" s="2" t="s">
        <v>12585</v>
      </c>
      <c r="K508" t="str">
        <f t="shared" si="44"/>
        <v>sh600787</v>
      </c>
      <c r="L508" t="str">
        <f t="shared" si="45"/>
        <v>中储股份</v>
      </c>
      <c r="M508" t="str">
        <f t="shared" si="46"/>
        <v>物流</v>
      </c>
      <c r="N508" t="str">
        <f t="shared" si="47"/>
        <v>物</v>
      </c>
      <c r="P508" s="2" t="s">
        <v>12585</v>
      </c>
      <c r="Q508" t="s">
        <v>12516</v>
      </c>
      <c r="R508">
        <v>0</v>
      </c>
    </row>
    <row r="509" spans="1:18" x14ac:dyDescent="0.25">
      <c r="A509" t="s">
        <v>11207</v>
      </c>
      <c r="C509" t="str">
        <f t="shared" si="42"/>
        <v>sz</v>
      </c>
      <c r="D509" t="str">
        <f t="shared" si="43"/>
        <v>sz000732</v>
      </c>
      <c r="E509" t="str">
        <f>VLOOKUP(A509,Table!B:C,2,0)</f>
        <v>泰禾集团</v>
      </c>
      <c r="F509" t="str">
        <f>TRIM(VLOOKUP(A509,Table!B:O,14,0))</f>
        <v>房地产</v>
      </c>
      <c r="G509" t="str">
        <f>VLOOKUP(F509,industry!A:C,2,0)</f>
        <v>房产</v>
      </c>
      <c r="H509" t="str">
        <f>VLOOKUP(F509,industry!A:C,3,0)</f>
        <v>产</v>
      </c>
      <c r="J509" s="2" t="s">
        <v>12585</v>
      </c>
      <c r="K509" t="str">
        <f t="shared" si="44"/>
        <v>sz000732</v>
      </c>
      <c r="L509" t="str">
        <f t="shared" si="45"/>
        <v>泰禾集团</v>
      </c>
      <c r="M509" t="str">
        <f t="shared" si="46"/>
        <v>房产</v>
      </c>
      <c r="N509" t="str">
        <f t="shared" si="47"/>
        <v>产</v>
      </c>
      <c r="P509" s="2" t="s">
        <v>12585</v>
      </c>
      <c r="Q509" t="s">
        <v>10504</v>
      </c>
      <c r="R509">
        <v>0</v>
      </c>
    </row>
    <row r="510" spans="1:18" x14ac:dyDescent="0.25">
      <c r="A510" t="s">
        <v>11208</v>
      </c>
      <c r="C510" t="str">
        <f t="shared" si="42"/>
        <v>sh</v>
      </c>
      <c r="D510" t="str">
        <f t="shared" si="43"/>
        <v>sh600307</v>
      </c>
      <c r="E510" t="str">
        <f>VLOOKUP(A510,Table!B:C,2,0)</f>
        <v>酒钢宏兴</v>
      </c>
      <c r="F510" t="str">
        <f>TRIM(VLOOKUP(A510,Table!B:O,14,0))</f>
        <v>钢铁行业</v>
      </c>
      <c r="G510" t="str">
        <f>VLOOKUP(F510,industry!A:C,2,0)</f>
        <v>钢铁</v>
      </c>
      <c r="H510" t="str">
        <f>VLOOKUP(F510,industry!A:C,3,0)</f>
        <v>钢</v>
      </c>
      <c r="J510" s="2" t="s">
        <v>12585</v>
      </c>
      <c r="K510" t="str">
        <f t="shared" si="44"/>
        <v>sh600307</v>
      </c>
      <c r="L510" t="str">
        <f t="shared" si="45"/>
        <v>酒钢宏兴</v>
      </c>
      <c r="M510" t="str">
        <f t="shared" si="46"/>
        <v>钢铁</v>
      </c>
      <c r="N510" t="str">
        <f t="shared" si="47"/>
        <v>钢</v>
      </c>
      <c r="P510" s="2" t="s">
        <v>12585</v>
      </c>
      <c r="Q510" t="s">
        <v>12101</v>
      </c>
      <c r="R510">
        <v>0</v>
      </c>
    </row>
    <row r="511" spans="1:18" x14ac:dyDescent="0.25">
      <c r="A511" t="s">
        <v>11209</v>
      </c>
      <c r="C511" t="str">
        <f t="shared" si="42"/>
        <v>sh</v>
      </c>
      <c r="D511" t="str">
        <f t="shared" si="43"/>
        <v>sh600012</v>
      </c>
      <c r="E511" t="str">
        <f>VLOOKUP(A511,Table!B:C,2,0)</f>
        <v>皖通高速</v>
      </c>
      <c r="F511" t="str">
        <f>TRIM(VLOOKUP(A511,Table!B:O,14,0))</f>
        <v>高速公路</v>
      </c>
      <c r="G511" t="str">
        <f>VLOOKUP(F511,industry!A:C,2,0)</f>
        <v>高速</v>
      </c>
      <c r="H511" t="str">
        <f>VLOOKUP(F511,industry!A:C,3,0)</f>
        <v>速</v>
      </c>
      <c r="J511" s="2" t="s">
        <v>12585</v>
      </c>
      <c r="K511" t="str">
        <f t="shared" si="44"/>
        <v>sh600012</v>
      </c>
      <c r="L511" t="str">
        <f t="shared" si="45"/>
        <v>皖通高速</v>
      </c>
      <c r="M511" t="str">
        <f t="shared" si="46"/>
        <v>高速</v>
      </c>
      <c r="N511" t="str">
        <f t="shared" si="47"/>
        <v>速</v>
      </c>
      <c r="P511" s="2" t="s">
        <v>12585</v>
      </c>
      <c r="Q511" t="s">
        <v>10620</v>
      </c>
      <c r="R511">
        <v>0</v>
      </c>
    </row>
    <row r="512" spans="1:18" x14ac:dyDescent="0.25">
      <c r="A512" t="s">
        <v>11210</v>
      </c>
      <c r="C512" t="str">
        <f t="shared" si="42"/>
        <v>sz</v>
      </c>
      <c r="D512" t="str">
        <f t="shared" si="43"/>
        <v>sz002174</v>
      </c>
      <c r="E512" t="str">
        <f>VLOOKUP(A512,Table!B:C,2,0)</f>
        <v>游族网络</v>
      </c>
      <c r="F512" t="str">
        <f>TRIM(VLOOKUP(A512,Table!B:O,14,0))</f>
        <v>软件服务</v>
      </c>
      <c r="G512" t="str">
        <f>VLOOKUP(F512,industry!A:C,2,0)</f>
        <v>软件</v>
      </c>
      <c r="H512" t="str">
        <f>VLOOKUP(F512,industry!A:C,3,0)</f>
        <v>软</v>
      </c>
      <c r="J512" s="2" t="s">
        <v>12585</v>
      </c>
      <c r="K512" t="str">
        <f t="shared" si="44"/>
        <v>sz002174</v>
      </c>
      <c r="L512" t="str">
        <f t="shared" si="45"/>
        <v>游族网络</v>
      </c>
      <c r="M512" t="str">
        <f t="shared" si="46"/>
        <v>软件</v>
      </c>
      <c r="N512" t="str">
        <f t="shared" si="47"/>
        <v>软</v>
      </c>
      <c r="P512" s="2" t="s">
        <v>12585</v>
      </c>
      <c r="Q512" t="s">
        <v>10488</v>
      </c>
      <c r="R512">
        <v>0</v>
      </c>
    </row>
    <row r="513" spans="1:18" x14ac:dyDescent="0.25">
      <c r="A513" t="s">
        <v>11211</v>
      </c>
      <c r="C513" t="str">
        <f t="shared" si="42"/>
        <v>sh</v>
      </c>
      <c r="D513" t="str">
        <f t="shared" si="43"/>
        <v>sh603369</v>
      </c>
      <c r="E513" t="str">
        <f>VLOOKUP(A513,Table!B:C,2,0)</f>
        <v>今世缘</v>
      </c>
      <c r="F513" t="str">
        <f>TRIM(VLOOKUP(A513,Table!B:O,14,0))</f>
        <v>酿酒行业</v>
      </c>
      <c r="G513" t="str">
        <f>VLOOKUP(F513,industry!A:C,2,0)</f>
        <v>酿酒</v>
      </c>
      <c r="H513" t="str">
        <f>VLOOKUP(F513,industry!A:C,3,0)</f>
        <v>酒</v>
      </c>
      <c r="J513" s="2" t="s">
        <v>12585</v>
      </c>
      <c r="K513" t="str">
        <f t="shared" si="44"/>
        <v>sh603369</v>
      </c>
      <c r="L513" t="str">
        <f t="shared" si="45"/>
        <v>今世缘</v>
      </c>
      <c r="M513" t="str">
        <f t="shared" si="46"/>
        <v>酿酒</v>
      </c>
      <c r="N513" t="str">
        <f t="shared" si="47"/>
        <v>酒</v>
      </c>
      <c r="P513" s="2" t="s">
        <v>12585</v>
      </c>
      <c r="Q513" t="s">
        <v>12067</v>
      </c>
      <c r="R513">
        <v>0</v>
      </c>
    </row>
    <row r="514" spans="1:18" x14ac:dyDescent="0.25">
      <c r="A514" t="s">
        <v>11212</v>
      </c>
      <c r="C514" t="str">
        <f t="shared" si="42"/>
        <v>sz</v>
      </c>
      <c r="D514" t="str">
        <f t="shared" si="43"/>
        <v>sz002399</v>
      </c>
      <c r="E514" t="str">
        <f>VLOOKUP(A514,Table!B:C,2,0)</f>
        <v>海普瑞</v>
      </c>
      <c r="F514" t="str">
        <f>TRIM(VLOOKUP(A514,Table!B:O,14,0))</f>
        <v>医药制造</v>
      </c>
      <c r="G514" t="str">
        <f>VLOOKUP(F514,industry!A:C,2,0)</f>
        <v>医药</v>
      </c>
      <c r="H514" t="str">
        <f>VLOOKUP(F514,industry!A:C,3,0)</f>
        <v>药</v>
      </c>
      <c r="J514" s="2" t="s">
        <v>12585</v>
      </c>
      <c r="K514" t="str">
        <f t="shared" si="44"/>
        <v>sz002399</v>
      </c>
      <c r="L514" t="str">
        <f t="shared" si="45"/>
        <v>海普瑞</v>
      </c>
      <c r="M514" t="str">
        <f t="shared" si="46"/>
        <v>医药</v>
      </c>
      <c r="N514" t="str">
        <f t="shared" si="47"/>
        <v>药</v>
      </c>
      <c r="P514" s="2" t="s">
        <v>12585</v>
      </c>
      <c r="Q514" t="s">
        <v>10500</v>
      </c>
      <c r="R514">
        <v>0</v>
      </c>
    </row>
    <row r="515" spans="1:18" x14ac:dyDescent="0.25">
      <c r="A515" t="s">
        <v>11213</v>
      </c>
      <c r="C515" t="str">
        <f t="shared" ref="C515:C578" si="48">IF(LEFT(A515,1)="6","sh","sz")</f>
        <v>sz</v>
      </c>
      <c r="D515" t="str">
        <f t="shared" ref="D515:D578" si="49">C515 &amp; A515</f>
        <v>sz002176</v>
      </c>
      <c r="E515" t="str">
        <f>VLOOKUP(A515,Table!B:C,2,0)</f>
        <v>江特电机</v>
      </c>
      <c r="F515" t="str">
        <f>TRIM(VLOOKUP(A515,Table!B:O,14,0))</f>
        <v>机械行业</v>
      </c>
      <c r="G515" t="str">
        <f>VLOOKUP(F515,industry!A:C,2,0)</f>
        <v>机械</v>
      </c>
      <c r="H515" t="str">
        <f>VLOOKUP(F515,industry!A:C,3,0)</f>
        <v>械</v>
      </c>
      <c r="J515" s="2" t="s">
        <v>12585</v>
      </c>
      <c r="K515" t="str">
        <f t="shared" ref="K515:K578" si="50">D515</f>
        <v>sz002176</v>
      </c>
      <c r="L515" t="str">
        <f t="shared" ref="L515:L578" si="51">E515</f>
        <v>江特电机</v>
      </c>
      <c r="M515" t="str">
        <f t="shared" ref="M515:M578" si="52">G515</f>
        <v>机械</v>
      </c>
      <c r="N515" t="str">
        <f t="shared" ref="N515:N578" si="53">H515</f>
        <v>械</v>
      </c>
      <c r="P515" s="2" t="s">
        <v>12585</v>
      </c>
      <c r="Q515" t="s">
        <v>12055</v>
      </c>
      <c r="R515">
        <v>0</v>
      </c>
    </row>
    <row r="516" spans="1:18" x14ac:dyDescent="0.25">
      <c r="A516" t="s">
        <v>11214</v>
      </c>
      <c r="C516" t="str">
        <f t="shared" si="48"/>
        <v>sh</v>
      </c>
      <c r="D516" t="str">
        <f t="shared" si="49"/>
        <v>sh603355</v>
      </c>
      <c r="E516" t="str">
        <f>VLOOKUP(A516,Table!B:C,2,0)</f>
        <v>莱克电气</v>
      </c>
      <c r="F516" t="str">
        <f>TRIM(VLOOKUP(A516,Table!B:O,14,0))</f>
        <v>家电行业</v>
      </c>
      <c r="G516" t="str">
        <f>VLOOKUP(F516,industry!A:C,2,0)</f>
        <v>家电</v>
      </c>
      <c r="H516" t="str">
        <f>VLOOKUP(F516,industry!A:C,3,0)</f>
        <v>家</v>
      </c>
      <c r="J516" s="2" t="s">
        <v>12585</v>
      </c>
      <c r="K516" t="str">
        <f t="shared" si="50"/>
        <v>sh603355</v>
      </c>
      <c r="L516" t="str">
        <f t="shared" si="51"/>
        <v>莱克电气</v>
      </c>
      <c r="M516" t="str">
        <f t="shared" si="52"/>
        <v>家电</v>
      </c>
      <c r="N516" t="str">
        <f t="shared" si="53"/>
        <v>家</v>
      </c>
      <c r="P516" s="2" t="s">
        <v>12585</v>
      </c>
      <c r="Q516" t="s">
        <v>12129</v>
      </c>
      <c r="R516">
        <v>0</v>
      </c>
    </row>
    <row r="517" spans="1:18" x14ac:dyDescent="0.25">
      <c r="A517" t="s">
        <v>11215</v>
      </c>
      <c r="C517" t="str">
        <f t="shared" si="48"/>
        <v>sh</v>
      </c>
      <c r="D517" t="str">
        <f t="shared" si="49"/>
        <v>sh600490</v>
      </c>
      <c r="E517" t="str">
        <f>VLOOKUP(A517,Table!B:C,2,0)</f>
        <v>鹏欣资源</v>
      </c>
      <c r="F517" t="str">
        <f>TRIM(VLOOKUP(A517,Table!B:O,14,0))</f>
        <v>有色金属</v>
      </c>
      <c r="G517" t="str">
        <f>VLOOKUP(F517,industry!A:C,2,0)</f>
        <v>有色</v>
      </c>
      <c r="H517" t="str">
        <f>VLOOKUP(F517,industry!A:C,3,0)</f>
        <v>色</v>
      </c>
      <c r="J517" s="2" t="s">
        <v>12585</v>
      </c>
      <c r="K517" t="str">
        <f t="shared" si="50"/>
        <v>sh600490</v>
      </c>
      <c r="L517" t="str">
        <f t="shared" si="51"/>
        <v>鹏欣资源</v>
      </c>
      <c r="M517" t="str">
        <f t="shared" si="52"/>
        <v>有色</v>
      </c>
      <c r="N517" t="str">
        <f t="shared" si="53"/>
        <v>色</v>
      </c>
      <c r="P517" s="2" t="s">
        <v>12585</v>
      </c>
      <c r="Q517" t="s">
        <v>12640</v>
      </c>
      <c r="R517">
        <v>0</v>
      </c>
    </row>
    <row r="518" spans="1:18" x14ac:dyDescent="0.25">
      <c r="A518" t="s">
        <v>11216</v>
      </c>
      <c r="C518" t="str">
        <f t="shared" si="48"/>
        <v>sz</v>
      </c>
      <c r="D518" t="str">
        <f t="shared" si="49"/>
        <v>sz002110</v>
      </c>
      <c r="E518" t="str">
        <f>VLOOKUP(A518,Table!B:C,2,0)</f>
        <v>三钢闽光</v>
      </c>
      <c r="F518" t="str">
        <f>TRIM(VLOOKUP(A518,Table!B:O,14,0))</f>
        <v>钢铁行业</v>
      </c>
      <c r="G518" t="str">
        <f>VLOOKUP(F518,industry!A:C,2,0)</f>
        <v>钢铁</v>
      </c>
      <c r="H518" t="str">
        <f>VLOOKUP(F518,industry!A:C,3,0)</f>
        <v>钢</v>
      </c>
      <c r="J518" s="2" t="s">
        <v>12585</v>
      </c>
      <c r="K518" t="str">
        <f t="shared" si="50"/>
        <v>sz002110</v>
      </c>
      <c r="L518" t="str">
        <f t="shared" si="51"/>
        <v>三钢闽光</v>
      </c>
      <c r="M518" t="str">
        <f t="shared" si="52"/>
        <v>钢铁</v>
      </c>
      <c r="N518" t="str">
        <f t="shared" si="53"/>
        <v>钢</v>
      </c>
      <c r="P518" s="2" t="s">
        <v>12585</v>
      </c>
      <c r="Q518" t="s">
        <v>12641</v>
      </c>
      <c r="R518">
        <v>0</v>
      </c>
    </row>
    <row r="519" spans="1:18" x14ac:dyDescent="0.25">
      <c r="A519" t="s">
        <v>11217</v>
      </c>
      <c r="C519" t="str">
        <f t="shared" si="48"/>
        <v>sh</v>
      </c>
      <c r="D519" t="str">
        <f t="shared" si="49"/>
        <v>sh600418</v>
      </c>
      <c r="E519" t="str">
        <f>VLOOKUP(A519,Table!B:C,2,0)</f>
        <v>江淮汽车</v>
      </c>
      <c r="F519" t="str">
        <f>TRIM(VLOOKUP(A519,Table!B:O,14,0))</f>
        <v>汽车行业</v>
      </c>
      <c r="G519" t="str">
        <f>VLOOKUP(F519,industry!A:C,2,0)</f>
        <v>汽车</v>
      </c>
      <c r="H519" t="str">
        <f>VLOOKUP(F519,industry!A:C,3,0)</f>
        <v>车</v>
      </c>
      <c r="J519" s="2" t="s">
        <v>12585</v>
      </c>
      <c r="K519" t="str">
        <f t="shared" si="50"/>
        <v>sh600418</v>
      </c>
      <c r="L519" t="str">
        <f t="shared" si="51"/>
        <v>江淮汽车</v>
      </c>
      <c r="M519" t="str">
        <f t="shared" si="52"/>
        <v>汽车</v>
      </c>
      <c r="N519" t="str">
        <f t="shared" si="53"/>
        <v>车</v>
      </c>
      <c r="P519" s="2" t="s">
        <v>12585</v>
      </c>
      <c r="Q519" t="s">
        <v>10414</v>
      </c>
      <c r="R519">
        <v>0</v>
      </c>
    </row>
    <row r="520" spans="1:18" x14ac:dyDescent="0.25">
      <c r="A520" t="s">
        <v>11218</v>
      </c>
      <c r="C520" t="str">
        <f t="shared" si="48"/>
        <v>sz</v>
      </c>
      <c r="D520" t="str">
        <f t="shared" si="49"/>
        <v>sz002408</v>
      </c>
      <c r="E520" t="str">
        <f>VLOOKUP(A520,Table!B:C,2,0)</f>
        <v>齐翔腾达</v>
      </c>
      <c r="F520" t="str">
        <f>TRIM(VLOOKUP(A520,Table!B:O,14,0))</f>
        <v>化工行业</v>
      </c>
      <c r="G520" t="str">
        <f>VLOOKUP(F520,industry!A:C,2,0)</f>
        <v>化工</v>
      </c>
      <c r="H520" t="str">
        <f>VLOOKUP(F520,industry!A:C,3,0)</f>
        <v>化</v>
      </c>
      <c r="J520" s="2" t="s">
        <v>12585</v>
      </c>
      <c r="K520" t="str">
        <f t="shared" si="50"/>
        <v>sz002408</v>
      </c>
      <c r="L520" t="str">
        <f t="shared" si="51"/>
        <v>齐翔腾达</v>
      </c>
      <c r="M520" t="str">
        <f t="shared" si="52"/>
        <v>化工</v>
      </c>
      <c r="N520" t="str">
        <f t="shared" si="53"/>
        <v>化</v>
      </c>
      <c r="P520" s="2" t="s">
        <v>12585</v>
      </c>
      <c r="Q520" t="s">
        <v>12211</v>
      </c>
      <c r="R520">
        <v>0</v>
      </c>
    </row>
    <row r="521" spans="1:18" x14ac:dyDescent="0.25">
      <c r="A521" t="s">
        <v>11219</v>
      </c>
      <c r="C521" t="str">
        <f t="shared" si="48"/>
        <v>sh</v>
      </c>
      <c r="D521" t="str">
        <f t="shared" si="49"/>
        <v>sh600801</v>
      </c>
      <c r="E521" t="str">
        <f>VLOOKUP(A521,Table!B:C,2,0)</f>
        <v>华新水泥</v>
      </c>
      <c r="F521" t="str">
        <f>TRIM(VLOOKUP(A521,Table!B:O,14,0))</f>
        <v>水泥建材</v>
      </c>
      <c r="G521" t="str">
        <f>VLOOKUP(F521,industry!A:C,2,0)</f>
        <v>水泥</v>
      </c>
      <c r="H521" t="str">
        <f>VLOOKUP(F521,industry!A:C,3,0)</f>
        <v>泥</v>
      </c>
      <c r="J521" s="2" t="s">
        <v>12585</v>
      </c>
      <c r="K521" t="str">
        <f t="shared" si="50"/>
        <v>sh600801</v>
      </c>
      <c r="L521" t="str">
        <f t="shared" si="51"/>
        <v>华新水泥</v>
      </c>
      <c r="M521" t="str">
        <f t="shared" si="52"/>
        <v>水泥</v>
      </c>
      <c r="N521" t="str">
        <f t="shared" si="53"/>
        <v>泥</v>
      </c>
      <c r="P521" s="2" t="s">
        <v>12585</v>
      </c>
      <c r="Q521" t="s">
        <v>12034</v>
      </c>
      <c r="R521">
        <v>0</v>
      </c>
    </row>
    <row r="522" spans="1:18" x14ac:dyDescent="0.25">
      <c r="A522" t="s">
        <v>11220</v>
      </c>
      <c r="C522" t="str">
        <f t="shared" si="48"/>
        <v>sz</v>
      </c>
      <c r="D522" t="str">
        <f t="shared" si="49"/>
        <v>sz002244</v>
      </c>
      <c r="E522" t="str">
        <f>VLOOKUP(A522,Table!B:C,2,0)</f>
        <v>滨江集团</v>
      </c>
      <c r="F522" t="str">
        <f>TRIM(VLOOKUP(A522,Table!B:O,14,0))</f>
        <v>房地产</v>
      </c>
      <c r="G522" t="str">
        <f>VLOOKUP(F522,industry!A:C,2,0)</f>
        <v>房产</v>
      </c>
      <c r="H522" t="str">
        <f>VLOOKUP(F522,industry!A:C,3,0)</f>
        <v>产</v>
      </c>
      <c r="J522" s="2" t="s">
        <v>12585</v>
      </c>
      <c r="K522" t="str">
        <f t="shared" si="50"/>
        <v>sz002244</v>
      </c>
      <c r="L522" t="str">
        <f t="shared" si="51"/>
        <v>滨江集团</v>
      </c>
      <c r="M522" t="str">
        <f t="shared" si="52"/>
        <v>房产</v>
      </c>
      <c r="N522" t="str">
        <f t="shared" si="53"/>
        <v>产</v>
      </c>
      <c r="P522" s="2" t="s">
        <v>12585</v>
      </c>
      <c r="Q522" t="s">
        <v>10646</v>
      </c>
      <c r="R522">
        <v>0</v>
      </c>
    </row>
    <row r="523" spans="1:18" x14ac:dyDescent="0.25">
      <c r="A523" t="s">
        <v>11221</v>
      </c>
      <c r="C523" t="str">
        <f t="shared" si="48"/>
        <v>sh</v>
      </c>
      <c r="D523" t="str">
        <f t="shared" si="49"/>
        <v>sh600666</v>
      </c>
      <c r="E523" t="str">
        <f>VLOOKUP(A523,Table!B:C,2,0)</f>
        <v>奥瑞德</v>
      </c>
      <c r="F523" t="str">
        <f>TRIM(VLOOKUP(A523,Table!B:O,14,0))</f>
        <v>电子元件</v>
      </c>
      <c r="G523" t="str">
        <f>VLOOKUP(F523,industry!A:C,2,0)</f>
        <v>原件</v>
      </c>
      <c r="H523" t="str">
        <f>VLOOKUP(F523,industry!A:C,3,0)</f>
        <v>元件</v>
      </c>
      <c r="J523" s="2" t="s">
        <v>12585</v>
      </c>
      <c r="K523" t="str">
        <f t="shared" si="50"/>
        <v>sh600666</v>
      </c>
      <c r="L523" t="str">
        <f t="shared" si="51"/>
        <v>奥瑞德</v>
      </c>
      <c r="M523" t="str">
        <f t="shared" si="52"/>
        <v>原件</v>
      </c>
      <c r="N523" t="str">
        <f t="shared" si="53"/>
        <v>元件</v>
      </c>
      <c r="P523" s="2" t="s">
        <v>12585</v>
      </c>
      <c r="Q523" t="s">
        <v>10595</v>
      </c>
      <c r="R523">
        <v>0</v>
      </c>
    </row>
    <row r="524" spans="1:18" x14ac:dyDescent="0.25">
      <c r="A524" t="s">
        <v>11222</v>
      </c>
      <c r="C524" t="str">
        <f t="shared" si="48"/>
        <v>sz</v>
      </c>
      <c r="D524" t="str">
        <f t="shared" si="49"/>
        <v>sz300628</v>
      </c>
      <c r="E524" t="str">
        <f>VLOOKUP(A524,Table!B:C,2,0)</f>
        <v>亿联网络</v>
      </c>
      <c r="F524" t="str">
        <f>TRIM(VLOOKUP(A524,Table!B:O,14,0))</f>
        <v>通讯行业</v>
      </c>
      <c r="G524" t="str">
        <f>VLOOKUP(F524,industry!A:C,2,0)</f>
        <v>通讯</v>
      </c>
      <c r="H524" t="str">
        <f>VLOOKUP(F524,industry!A:C,3,0)</f>
        <v>讯</v>
      </c>
      <c r="J524" s="2" t="s">
        <v>12585</v>
      </c>
      <c r="K524" t="str">
        <f t="shared" si="50"/>
        <v>sz300628</v>
      </c>
      <c r="L524" t="str">
        <f t="shared" si="51"/>
        <v>亿联网络</v>
      </c>
      <c r="M524" t="str">
        <f t="shared" si="52"/>
        <v>通讯</v>
      </c>
      <c r="N524" t="str">
        <f t="shared" si="53"/>
        <v>讯</v>
      </c>
      <c r="P524" s="2" t="s">
        <v>12585</v>
      </c>
      <c r="Q524" t="s">
        <v>12642</v>
      </c>
      <c r="R524">
        <v>0</v>
      </c>
    </row>
    <row r="525" spans="1:18" x14ac:dyDescent="0.25">
      <c r="A525" t="s">
        <v>11223</v>
      </c>
      <c r="C525" t="str">
        <f t="shared" si="48"/>
        <v>sh</v>
      </c>
      <c r="D525" t="str">
        <f t="shared" si="49"/>
        <v>sh600548</v>
      </c>
      <c r="E525" t="str">
        <f>VLOOKUP(A525,Table!B:C,2,0)</f>
        <v>深高速</v>
      </c>
      <c r="F525" t="str">
        <f>TRIM(VLOOKUP(A525,Table!B:O,14,0))</f>
        <v>高速公路</v>
      </c>
      <c r="G525" t="str">
        <f>VLOOKUP(F525,industry!A:C,2,0)</f>
        <v>高速</v>
      </c>
      <c r="H525" t="str">
        <f>VLOOKUP(F525,industry!A:C,3,0)</f>
        <v>速</v>
      </c>
      <c r="J525" s="2" t="s">
        <v>12585</v>
      </c>
      <c r="K525" t="str">
        <f t="shared" si="50"/>
        <v>sh600548</v>
      </c>
      <c r="L525" t="str">
        <f t="shared" si="51"/>
        <v>深高速</v>
      </c>
      <c r="M525" t="str">
        <f t="shared" si="52"/>
        <v>高速</v>
      </c>
      <c r="N525" t="str">
        <f t="shared" si="53"/>
        <v>速</v>
      </c>
      <c r="P525" s="2" t="s">
        <v>12585</v>
      </c>
      <c r="Q525" t="s">
        <v>12643</v>
      </c>
      <c r="R525">
        <v>0</v>
      </c>
    </row>
    <row r="526" spans="1:18" x14ac:dyDescent="0.25">
      <c r="A526" t="s">
        <v>11224</v>
      </c>
      <c r="C526" t="str">
        <f t="shared" si="48"/>
        <v>sh</v>
      </c>
      <c r="D526" t="str">
        <f t="shared" si="49"/>
        <v>sh603603</v>
      </c>
      <c r="E526" t="str">
        <f>VLOOKUP(A526,Table!B:C,2,0)</f>
        <v>博天环境</v>
      </c>
      <c r="F526" t="str">
        <f>TRIM(VLOOKUP(A526,Table!B:O,14,0))</f>
        <v>环保工程</v>
      </c>
      <c r="G526" t="str">
        <f>VLOOKUP(F526,industry!A:C,2,0)</f>
        <v>环保</v>
      </c>
      <c r="H526" t="str">
        <f>VLOOKUP(F526,industry!A:C,3,0)</f>
        <v>环</v>
      </c>
      <c r="J526" s="2" t="s">
        <v>12585</v>
      </c>
      <c r="K526" t="str">
        <f t="shared" si="50"/>
        <v>sh603603</v>
      </c>
      <c r="L526" t="str">
        <f t="shared" si="51"/>
        <v>博天环境</v>
      </c>
      <c r="M526" t="str">
        <f t="shared" si="52"/>
        <v>环保</v>
      </c>
      <c r="N526" t="str">
        <f t="shared" si="53"/>
        <v>环</v>
      </c>
      <c r="P526" s="2" t="s">
        <v>12585</v>
      </c>
      <c r="Q526" t="s">
        <v>12644</v>
      </c>
      <c r="R526">
        <v>0</v>
      </c>
    </row>
    <row r="527" spans="1:18" x14ac:dyDescent="0.25">
      <c r="A527" t="s">
        <v>11225</v>
      </c>
      <c r="C527" t="str">
        <f t="shared" si="48"/>
        <v>sz</v>
      </c>
      <c r="D527" t="str">
        <f t="shared" si="49"/>
        <v>sz000156</v>
      </c>
      <c r="E527" t="str">
        <f>VLOOKUP(A527,Table!B:C,2,0)</f>
        <v>华数传媒</v>
      </c>
      <c r="F527" t="str">
        <f>TRIM(VLOOKUP(A527,Table!B:O,14,0))</f>
        <v>文化传媒</v>
      </c>
      <c r="G527" t="str">
        <f>VLOOKUP(F527,industry!A:C,2,0)</f>
        <v>传媒</v>
      </c>
      <c r="H527" t="str">
        <f>VLOOKUP(F527,industry!A:C,3,0)</f>
        <v>传</v>
      </c>
      <c r="J527" s="2" t="s">
        <v>12585</v>
      </c>
      <c r="K527" t="str">
        <f t="shared" si="50"/>
        <v>sz000156</v>
      </c>
      <c r="L527" t="str">
        <f t="shared" si="51"/>
        <v>华数传媒</v>
      </c>
      <c r="M527" t="str">
        <f t="shared" si="52"/>
        <v>传媒</v>
      </c>
      <c r="N527" t="str">
        <f t="shared" si="53"/>
        <v>传</v>
      </c>
      <c r="P527" s="2" t="s">
        <v>12585</v>
      </c>
      <c r="Q527" t="s">
        <v>10328</v>
      </c>
      <c r="R527">
        <v>0</v>
      </c>
    </row>
    <row r="528" spans="1:18" x14ac:dyDescent="0.25">
      <c r="A528" t="s">
        <v>11226</v>
      </c>
      <c r="C528" t="str">
        <f t="shared" si="48"/>
        <v>sz</v>
      </c>
      <c r="D528" t="str">
        <f t="shared" si="49"/>
        <v>sz002512</v>
      </c>
      <c r="E528" t="str">
        <f>VLOOKUP(A528,Table!B:C,2,0)</f>
        <v>达华智能</v>
      </c>
      <c r="F528" t="str">
        <f>TRIM(VLOOKUP(A528,Table!B:O,14,0))</f>
        <v>电子元件</v>
      </c>
      <c r="G528" t="str">
        <f>VLOOKUP(F528,industry!A:C,2,0)</f>
        <v>原件</v>
      </c>
      <c r="H528" t="str">
        <f>VLOOKUP(F528,industry!A:C,3,0)</f>
        <v>元件</v>
      </c>
      <c r="J528" s="2" t="s">
        <v>12585</v>
      </c>
      <c r="K528" t="str">
        <f t="shared" si="50"/>
        <v>sz002512</v>
      </c>
      <c r="L528" t="str">
        <f t="shared" si="51"/>
        <v>达华智能</v>
      </c>
      <c r="M528" t="str">
        <f t="shared" si="52"/>
        <v>原件</v>
      </c>
      <c r="N528" t="str">
        <f t="shared" si="53"/>
        <v>元件</v>
      </c>
      <c r="P528" s="2" t="s">
        <v>12585</v>
      </c>
      <c r="Q528" t="s">
        <v>11852</v>
      </c>
      <c r="R528">
        <v>0</v>
      </c>
    </row>
    <row r="529" spans="1:18" x14ac:dyDescent="0.25">
      <c r="A529" t="s">
        <v>11227</v>
      </c>
      <c r="C529" t="str">
        <f t="shared" si="48"/>
        <v>sz</v>
      </c>
      <c r="D529" t="str">
        <f t="shared" si="49"/>
        <v>sz300315</v>
      </c>
      <c r="E529" t="str">
        <f>VLOOKUP(A529,Table!B:C,2,0)</f>
        <v>掌趣科技</v>
      </c>
      <c r="F529" t="str">
        <f>TRIM(VLOOKUP(A529,Table!B:O,14,0))</f>
        <v>电子信息</v>
      </c>
      <c r="G529" t="str">
        <f>VLOOKUP(F529,industry!A:C,2,0)</f>
        <v>信息</v>
      </c>
      <c r="H529" t="str">
        <f>VLOOKUP(F529,industry!A:C,3,0)</f>
        <v>咨</v>
      </c>
      <c r="J529" s="2" t="s">
        <v>12585</v>
      </c>
      <c r="K529" t="str">
        <f t="shared" si="50"/>
        <v>sz300315</v>
      </c>
      <c r="L529" t="str">
        <f t="shared" si="51"/>
        <v>掌趣科技</v>
      </c>
      <c r="M529" t="str">
        <f t="shared" si="52"/>
        <v>信息</v>
      </c>
      <c r="N529" t="str">
        <f t="shared" si="53"/>
        <v>咨</v>
      </c>
      <c r="P529" s="2" t="s">
        <v>12585</v>
      </c>
      <c r="Q529" t="s">
        <v>10350</v>
      </c>
      <c r="R529">
        <v>0</v>
      </c>
    </row>
    <row r="530" spans="1:18" x14ac:dyDescent="0.25">
      <c r="A530" t="s">
        <v>11228</v>
      </c>
      <c r="C530" t="str">
        <f t="shared" si="48"/>
        <v>sh</v>
      </c>
      <c r="D530" t="str">
        <f t="shared" si="49"/>
        <v>sh603658</v>
      </c>
      <c r="E530" t="str">
        <f>VLOOKUP(A530,Table!B:C,2,0)</f>
        <v>安图生物</v>
      </c>
      <c r="F530" t="str">
        <f>TRIM(VLOOKUP(A530,Table!B:O,14,0))</f>
        <v>医药制造</v>
      </c>
      <c r="G530" t="str">
        <f>VLOOKUP(F530,industry!A:C,2,0)</f>
        <v>医药</v>
      </c>
      <c r="H530" t="str">
        <f>VLOOKUP(F530,industry!A:C,3,0)</f>
        <v>药</v>
      </c>
      <c r="J530" s="2" t="s">
        <v>12585</v>
      </c>
      <c r="K530" t="str">
        <f t="shared" si="50"/>
        <v>sh603658</v>
      </c>
      <c r="L530" t="str">
        <f t="shared" si="51"/>
        <v>安图生物</v>
      </c>
      <c r="M530" t="str">
        <f t="shared" si="52"/>
        <v>医药</v>
      </c>
      <c r="N530" t="str">
        <f t="shared" si="53"/>
        <v>药</v>
      </c>
      <c r="P530" s="2" t="s">
        <v>12585</v>
      </c>
      <c r="Q530" t="s">
        <v>10428</v>
      </c>
      <c r="R530">
        <v>0</v>
      </c>
    </row>
    <row r="531" spans="1:18" x14ac:dyDescent="0.25">
      <c r="A531" t="s">
        <v>11229</v>
      </c>
      <c r="C531" t="str">
        <f t="shared" si="48"/>
        <v>sh</v>
      </c>
      <c r="D531" t="str">
        <f t="shared" si="49"/>
        <v>sh601689</v>
      </c>
      <c r="E531" t="str">
        <f>VLOOKUP(A531,Table!B:C,2,0)</f>
        <v>拓普集团</v>
      </c>
      <c r="F531" t="str">
        <f>TRIM(VLOOKUP(A531,Table!B:O,14,0))</f>
        <v>汽车行业</v>
      </c>
      <c r="G531" t="str">
        <f>VLOOKUP(F531,industry!A:C,2,0)</f>
        <v>汽车</v>
      </c>
      <c r="H531" t="str">
        <f>VLOOKUP(F531,industry!A:C,3,0)</f>
        <v>车</v>
      </c>
      <c r="J531" s="2" t="s">
        <v>12585</v>
      </c>
      <c r="K531" t="str">
        <f t="shared" si="50"/>
        <v>sh601689</v>
      </c>
      <c r="L531" t="str">
        <f t="shared" si="51"/>
        <v>拓普集团</v>
      </c>
      <c r="M531" t="str">
        <f t="shared" si="52"/>
        <v>汽车</v>
      </c>
      <c r="N531" t="str">
        <f t="shared" si="53"/>
        <v>车</v>
      </c>
      <c r="P531" s="2" t="s">
        <v>12585</v>
      </c>
      <c r="Q531" t="s">
        <v>12345</v>
      </c>
      <c r="R531">
        <v>0</v>
      </c>
    </row>
    <row r="532" spans="1:18" x14ac:dyDescent="0.25">
      <c r="A532" t="s">
        <v>11230</v>
      </c>
      <c r="C532" t="str">
        <f t="shared" si="48"/>
        <v>sh</v>
      </c>
      <c r="D532" t="str">
        <f t="shared" si="49"/>
        <v>sh601168</v>
      </c>
      <c r="E532" t="str">
        <f>VLOOKUP(A532,Table!B:C,2,0)</f>
        <v>西部矿业</v>
      </c>
      <c r="F532" t="str">
        <f>TRIM(VLOOKUP(A532,Table!B:O,14,0))</f>
        <v>有色金属</v>
      </c>
      <c r="G532" t="str">
        <f>VLOOKUP(F532,industry!A:C,2,0)</f>
        <v>有色</v>
      </c>
      <c r="H532" t="str">
        <f>VLOOKUP(F532,industry!A:C,3,0)</f>
        <v>色</v>
      </c>
      <c r="J532" s="2" t="s">
        <v>12585</v>
      </c>
      <c r="K532" t="str">
        <f t="shared" si="50"/>
        <v>sh601168</v>
      </c>
      <c r="L532" t="str">
        <f t="shared" si="51"/>
        <v>西部矿业</v>
      </c>
      <c r="M532" t="str">
        <f t="shared" si="52"/>
        <v>有色</v>
      </c>
      <c r="N532" t="str">
        <f t="shared" si="53"/>
        <v>色</v>
      </c>
      <c r="P532" s="2" t="s">
        <v>12585</v>
      </c>
      <c r="Q532" t="s">
        <v>12381</v>
      </c>
      <c r="R532">
        <v>0</v>
      </c>
    </row>
    <row r="533" spans="1:18" x14ac:dyDescent="0.25">
      <c r="A533" t="s">
        <v>11231</v>
      </c>
      <c r="C533" t="str">
        <f t="shared" si="48"/>
        <v>sz</v>
      </c>
      <c r="D533" t="str">
        <f t="shared" si="49"/>
        <v>sz300618</v>
      </c>
      <c r="E533" t="str">
        <f>VLOOKUP(A533,Table!B:C,2,0)</f>
        <v>寒锐钴业</v>
      </c>
      <c r="F533" t="str">
        <f>TRIM(VLOOKUP(A533,Table!B:O,14,0))</f>
        <v>有色金属</v>
      </c>
      <c r="G533" t="str">
        <f>VLOOKUP(F533,industry!A:C,2,0)</f>
        <v>有色</v>
      </c>
      <c r="H533" t="str">
        <f>VLOOKUP(F533,industry!A:C,3,0)</f>
        <v>色</v>
      </c>
      <c r="J533" s="2" t="s">
        <v>12585</v>
      </c>
      <c r="K533" t="str">
        <f t="shared" si="50"/>
        <v>sz300618</v>
      </c>
      <c r="L533" t="str">
        <f t="shared" si="51"/>
        <v>寒锐钴业</v>
      </c>
      <c r="M533" t="str">
        <f t="shared" si="52"/>
        <v>有色</v>
      </c>
      <c r="N533" t="str">
        <f t="shared" si="53"/>
        <v>色</v>
      </c>
      <c r="P533" s="2" t="s">
        <v>12585</v>
      </c>
      <c r="Q533" t="s">
        <v>12645</v>
      </c>
      <c r="R533">
        <v>0</v>
      </c>
    </row>
    <row r="534" spans="1:18" x14ac:dyDescent="0.25">
      <c r="A534" t="s">
        <v>11232</v>
      </c>
      <c r="C534" t="str">
        <f t="shared" si="48"/>
        <v>sh</v>
      </c>
      <c r="D534" t="str">
        <f t="shared" si="49"/>
        <v>sh600426</v>
      </c>
      <c r="E534" t="str">
        <f>VLOOKUP(A534,Table!B:C,2,0)</f>
        <v>华鲁恒升</v>
      </c>
      <c r="F534" t="str">
        <f>TRIM(VLOOKUP(A534,Table!B:O,14,0))</f>
        <v>化肥行业</v>
      </c>
      <c r="G534" t="str">
        <f>VLOOKUP(F534,industry!A:C,2,0)</f>
        <v>化肥</v>
      </c>
      <c r="H534" t="str">
        <f>VLOOKUP(F534,industry!A:C,3,0)</f>
        <v>肥</v>
      </c>
      <c r="J534" s="2" t="s">
        <v>12585</v>
      </c>
      <c r="K534" t="str">
        <f t="shared" si="50"/>
        <v>sh600426</v>
      </c>
      <c r="L534" t="str">
        <f t="shared" si="51"/>
        <v>华鲁恒升</v>
      </c>
      <c r="M534" t="str">
        <f t="shared" si="52"/>
        <v>化肥</v>
      </c>
      <c r="N534" t="str">
        <f t="shared" si="53"/>
        <v>肥</v>
      </c>
      <c r="P534" s="2" t="s">
        <v>12585</v>
      </c>
      <c r="Q534" t="s">
        <v>12027</v>
      </c>
      <c r="R534">
        <v>0</v>
      </c>
    </row>
    <row r="535" spans="1:18" x14ac:dyDescent="0.25">
      <c r="A535" t="s">
        <v>11233</v>
      </c>
      <c r="C535" t="str">
        <f t="shared" si="48"/>
        <v>sh</v>
      </c>
      <c r="D535" t="str">
        <f t="shared" si="49"/>
        <v>sh601233</v>
      </c>
      <c r="E535" t="str">
        <f>VLOOKUP(A535,Table!B:C,2,0)</f>
        <v>桐昆股份</v>
      </c>
      <c r="F535" t="str">
        <f>TRIM(VLOOKUP(A535,Table!B:O,14,0))</f>
        <v>化纤行业</v>
      </c>
      <c r="G535" t="str">
        <f>VLOOKUP(F535,industry!A:C,2,0)</f>
        <v>化纤</v>
      </c>
      <c r="H535" t="str">
        <f>VLOOKUP(F535,industry!A:C,3,0)</f>
        <v>纤</v>
      </c>
      <c r="J535" s="2" t="s">
        <v>12585</v>
      </c>
      <c r="K535" t="str">
        <f t="shared" si="50"/>
        <v>sh601233</v>
      </c>
      <c r="L535" t="str">
        <f t="shared" si="51"/>
        <v>桐昆股份</v>
      </c>
      <c r="M535" t="str">
        <f t="shared" si="52"/>
        <v>化纤</v>
      </c>
      <c r="N535" t="str">
        <f t="shared" si="53"/>
        <v>纤</v>
      </c>
      <c r="P535" s="2" t="s">
        <v>12585</v>
      </c>
      <c r="Q535" t="s">
        <v>12343</v>
      </c>
      <c r="R535">
        <v>0</v>
      </c>
    </row>
    <row r="536" spans="1:18" x14ac:dyDescent="0.25">
      <c r="A536" t="s">
        <v>11234</v>
      </c>
      <c r="C536" t="str">
        <f t="shared" si="48"/>
        <v>sz</v>
      </c>
      <c r="D536" t="str">
        <f t="shared" si="49"/>
        <v>sz002503</v>
      </c>
      <c r="E536" t="str">
        <f>VLOOKUP(A536,Table!B:C,2,0)</f>
        <v>搜于特</v>
      </c>
      <c r="F536" t="str">
        <f>TRIM(VLOOKUP(A536,Table!B:O,14,0))</f>
        <v>纺织服装</v>
      </c>
      <c r="G536" t="str">
        <f>VLOOKUP(F536,industry!A:C,2,0)</f>
        <v>纺织</v>
      </c>
      <c r="H536" t="str">
        <f>VLOOKUP(F536,industry!A:C,3,0)</f>
        <v>纺</v>
      </c>
      <c r="J536" s="2" t="s">
        <v>12585</v>
      </c>
      <c r="K536" t="str">
        <f t="shared" si="50"/>
        <v>sz002503</v>
      </c>
      <c r="L536" t="str">
        <f t="shared" si="51"/>
        <v>搜于特</v>
      </c>
      <c r="M536" t="str">
        <f t="shared" si="52"/>
        <v>纺织</v>
      </c>
      <c r="N536" t="str">
        <f t="shared" si="53"/>
        <v>纺</v>
      </c>
      <c r="P536" s="2" t="s">
        <v>12585</v>
      </c>
      <c r="Q536" t="s">
        <v>12302</v>
      </c>
      <c r="R536">
        <v>0</v>
      </c>
    </row>
    <row r="537" spans="1:18" x14ac:dyDescent="0.25">
      <c r="A537" t="s">
        <v>11235</v>
      </c>
      <c r="C537" t="str">
        <f t="shared" si="48"/>
        <v>sz</v>
      </c>
      <c r="D537" t="str">
        <f t="shared" si="49"/>
        <v>sz002049</v>
      </c>
      <c r="E537" t="str">
        <f>VLOOKUP(A537,Table!B:C,2,0)</f>
        <v>紫光国芯</v>
      </c>
      <c r="F537" t="str">
        <f>TRIM(VLOOKUP(A537,Table!B:O,14,0))</f>
        <v>电子元件</v>
      </c>
      <c r="G537" t="str">
        <f>VLOOKUP(F537,industry!A:C,2,0)</f>
        <v>原件</v>
      </c>
      <c r="H537" t="str">
        <f>VLOOKUP(F537,industry!A:C,3,0)</f>
        <v>元件</v>
      </c>
      <c r="J537" s="2" t="s">
        <v>12585</v>
      </c>
      <c r="K537" t="str">
        <f t="shared" si="50"/>
        <v>sz002049</v>
      </c>
      <c r="L537" t="str">
        <f t="shared" si="51"/>
        <v>紫光国芯</v>
      </c>
      <c r="M537" t="str">
        <f t="shared" si="52"/>
        <v>原件</v>
      </c>
      <c r="N537" t="str">
        <f t="shared" si="53"/>
        <v>元件</v>
      </c>
      <c r="P537" s="2" t="s">
        <v>12585</v>
      </c>
      <c r="Q537" t="s">
        <v>10582</v>
      </c>
      <c r="R537">
        <v>0</v>
      </c>
    </row>
    <row r="538" spans="1:18" x14ac:dyDescent="0.25">
      <c r="A538" t="s">
        <v>11236</v>
      </c>
      <c r="C538" t="str">
        <f t="shared" si="48"/>
        <v>sh</v>
      </c>
      <c r="D538" t="str">
        <f t="shared" si="49"/>
        <v>sh600166</v>
      </c>
      <c r="E538" t="str">
        <f>VLOOKUP(A538,Table!B:C,2,0)</f>
        <v>福田汽车</v>
      </c>
      <c r="F538" t="str">
        <f>TRIM(VLOOKUP(A538,Table!B:O,14,0))</f>
        <v>汽车行业</v>
      </c>
      <c r="G538" t="str">
        <f>VLOOKUP(F538,industry!A:C,2,0)</f>
        <v>汽车</v>
      </c>
      <c r="H538" t="str">
        <f>VLOOKUP(F538,industry!A:C,3,0)</f>
        <v>车</v>
      </c>
      <c r="J538" s="2" t="s">
        <v>12585</v>
      </c>
      <c r="K538" t="str">
        <f t="shared" si="50"/>
        <v>sh600166</v>
      </c>
      <c r="L538" t="str">
        <f t="shared" si="51"/>
        <v>福田汽车</v>
      </c>
      <c r="M538" t="str">
        <f t="shared" si="52"/>
        <v>汽车</v>
      </c>
      <c r="N538" t="str">
        <f t="shared" si="53"/>
        <v>车</v>
      </c>
      <c r="P538" s="2" t="s">
        <v>12585</v>
      </c>
      <c r="Q538" t="s">
        <v>11920</v>
      </c>
      <c r="R538">
        <v>0</v>
      </c>
    </row>
    <row r="539" spans="1:18" x14ac:dyDescent="0.25">
      <c r="A539" t="s">
        <v>11237</v>
      </c>
      <c r="C539" t="str">
        <f t="shared" si="48"/>
        <v>sh</v>
      </c>
      <c r="D539" t="str">
        <f t="shared" si="49"/>
        <v>sh600643</v>
      </c>
      <c r="E539" t="str">
        <f>VLOOKUP(A539,Table!B:C,2,0)</f>
        <v>爱建集团</v>
      </c>
      <c r="F539" t="str">
        <f>TRIM(VLOOKUP(A539,Table!B:O,14,0))</f>
        <v>多元金融</v>
      </c>
      <c r="G539" t="str">
        <f>VLOOKUP(F539,industry!A:C,2,0)</f>
        <v>多元</v>
      </c>
      <c r="H539" t="str">
        <f>VLOOKUP(F539,industry!A:C,3,0)</f>
        <v>融</v>
      </c>
      <c r="J539" s="2" t="s">
        <v>12585</v>
      </c>
      <c r="K539" t="str">
        <f t="shared" si="50"/>
        <v>sh600643</v>
      </c>
      <c r="L539" t="str">
        <f t="shared" si="51"/>
        <v>爱建集团</v>
      </c>
      <c r="M539" t="str">
        <f t="shared" si="52"/>
        <v>多元</v>
      </c>
      <c r="N539" t="str">
        <f t="shared" si="53"/>
        <v>融</v>
      </c>
      <c r="P539" s="2" t="s">
        <v>12585</v>
      </c>
      <c r="Q539" t="s">
        <v>11799</v>
      </c>
      <c r="R539">
        <v>0</v>
      </c>
    </row>
    <row r="540" spans="1:18" x14ac:dyDescent="0.25">
      <c r="A540" t="s">
        <v>11238</v>
      </c>
      <c r="C540" t="str">
        <f t="shared" si="48"/>
        <v>sh</v>
      </c>
      <c r="D540" t="str">
        <f t="shared" si="49"/>
        <v>sh600037</v>
      </c>
      <c r="E540" t="str">
        <f>VLOOKUP(A540,Table!B:C,2,0)</f>
        <v>歌华有线</v>
      </c>
      <c r="F540" t="str">
        <f>TRIM(VLOOKUP(A540,Table!B:O,14,0))</f>
        <v>文化传媒</v>
      </c>
      <c r="G540" t="str">
        <f>VLOOKUP(F540,industry!A:C,2,0)</f>
        <v>传媒</v>
      </c>
      <c r="H540" t="str">
        <f>VLOOKUP(F540,industry!A:C,3,0)</f>
        <v>传</v>
      </c>
      <c r="J540" s="2" t="s">
        <v>12585</v>
      </c>
      <c r="K540" t="str">
        <f t="shared" si="50"/>
        <v>sh600037</v>
      </c>
      <c r="L540" t="str">
        <f t="shared" si="51"/>
        <v>歌华有线</v>
      </c>
      <c r="M540" t="str">
        <f t="shared" si="52"/>
        <v>传媒</v>
      </c>
      <c r="N540" t="str">
        <f t="shared" si="53"/>
        <v>传</v>
      </c>
      <c r="P540" s="2" t="s">
        <v>12585</v>
      </c>
      <c r="Q540" t="s">
        <v>10533</v>
      </c>
      <c r="R540">
        <v>0</v>
      </c>
    </row>
    <row r="541" spans="1:18" x14ac:dyDescent="0.25">
      <c r="A541" t="s">
        <v>11239</v>
      </c>
      <c r="C541" t="str">
        <f t="shared" si="48"/>
        <v>sh</v>
      </c>
      <c r="D541" t="str">
        <f t="shared" si="49"/>
        <v>sh603077</v>
      </c>
      <c r="E541" t="str">
        <f>VLOOKUP(A541,Table!B:C,2,0)</f>
        <v>和邦生物</v>
      </c>
      <c r="F541" t="str">
        <f>TRIM(VLOOKUP(A541,Table!B:O,14,0))</f>
        <v>化工行业</v>
      </c>
      <c r="G541" t="str">
        <f>VLOOKUP(F541,industry!A:C,2,0)</f>
        <v>化工</v>
      </c>
      <c r="H541" t="str">
        <f>VLOOKUP(F541,industry!A:C,3,0)</f>
        <v>化</v>
      </c>
      <c r="J541" s="2" t="s">
        <v>12585</v>
      </c>
      <c r="K541" t="str">
        <f t="shared" si="50"/>
        <v>sh603077</v>
      </c>
      <c r="L541" t="str">
        <f t="shared" si="51"/>
        <v>和邦生物</v>
      </c>
      <c r="M541" t="str">
        <f t="shared" si="52"/>
        <v>化工</v>
      </c>
      <c r="N541" t="str">
        <f t="shared" si="53"/>
        <v>化</v>
      </c>
      <c r="P541" s="2" t="s">
        <v>12585</v>
      </c>
      <c r="Q541" t="s">
        <v>10648</v>
      </c>
      <c r="R541">
        <v>0</v>
      </c>
    </row>
    <row r="542" spans="1:18" x14ac:dyDescent="0.25">
      <c r="A542" t="s">
        <v>11240</v>
      </c>
      <c r="C542" t="str">
        <f t="shared" si="48"/>
        <v>sz</v>
      </c>
      <c r="D542" t="str">
        <f t="shared" si="49"/>
        <v>sz002128</v>
      </c>
      <c r="E542" t="str">
        <f>VLOOKUP(A542,Table!B:C,2,0)</f>
        <v>露天煤业</v>
      </c>
      <c r="F542" t="str">
        <f>TRIM(VLOOKUP(A542,Table!B:O,14,0))</f>
        <v>煤炭采选</v>
      </c>
      <c r="G542" t="str">
        <f>VLOOKUP(F542,industry!A:C,2,0)</f>
        <v>煤炭</v>
      </c>
      <c r="H542" t="str">
        <f>VLOOKUP(F542,industry!A:C,3,0)</f>
        <v>煤</v>
      </c>
      <c r="J542" s="2" t="s">
        <v>12585</v>
      </c>
      <c r="K542" t="str">
        <f t="shared" si="50"/>
        <v>sz002128</v>
      </c>
      <c r="L542" t="str">
        <f t="shared" si="51"/>
        <v>露天煤业</v>
      </c>
      <c r="M542" t="str">
        <f t="shared" si="52"/>
        <v>煤炭</v>
      </c>
      <c r="N542" t="str">
        <f t="shared" si="53"/>
        <v>煤</v>
      </c>
      <c r="P542" s="2" t="s">
        <v>12585</v>
      </c>
      <c r="Q542" t="s">
        <v>12161</v>
      </c>
      <c r="R542">
        <v>0</v>
      </c>
    </row>
    <row r="543" spans="1:18" x14ac:dyDescent="0.25">
      <c r="A543" t="s">
        <v>11241</v>
      </c>
      <c r="C543" t="str">
        <f t="shared" si="48"/>
        <v>sz</v>
      </c>
      <c r="D543" t="str">
        <f t="shared" si="49"/>
        <v>sz000793</v>
      </c>
      <c r="E543" t="str">
        <f>VLOOKUP(A543,Table!B:C,2,0)</f>
        <v>华闻传媒</v>
      </c>
      <c r="F543" t="str">
        <f>TRIM(VLOOKUP(A543,Table!B:O,14,0))</f>
        <v>文化传媒</v>
      </c>
      <c r="G543" t="str">
        <f>VLOOKUP(F543,industry!A:C,2,0)</f>
        <v>传媒</v>
      </c>
      <c r="H543" t="str">
        <f>VLOOKUP(F543,industry!A:C,3,0)</f>
        <v>传</v>
      </c>
      <c r="J543" s="2" t="s">
        <v>12585</v>
      </c>
      <c r="K543" t="str">
        <f t="shared" si="50"/>
        <v>sz000793</v>
      </c>
      <c r="L543" t="str">
        <f t="shared" si="51"/>
        <v>华闻传媒</v>
      </c>
      <c r="M543" t="str">
        <f t="shared" si="52"/>
        <v>传媒</v>
      </c>
      <c r="N543" t="str">
        <f t="shared" si="53"/>
        <v>传</v>
      </c>
      <c r="P543" s="2" t="s">
        <v>12585</v>
      </c>
      <c r="Q543" t="s">
        <v>10549</v>
      </c>
      <c r="R543">
        <v>0</v>
      </c>
    </row>
    <row r="544" spans="1:18" x14ac:dyDescent="0.25">
      <c r="A544" t="s">
        <v>11242</v>
      </c>
      <c r="C544" t="str">
        <f t="shared" si="48"/>
        <v>sz</v>
      </c>
      <c r="D544" t="str">
        <f t="shared" si="49"/>
        <v>sz000878</v>
      </c>
      <c r="E544" t="str">
        <f>VLOOKUP(A544,Table!B:C,2,0)</f>
        <v>云南铜业</v>
      </c>
      <c r="F544" t="str">
        <f>TRIM(VLOOKUP(A544,Table!B:O,14,0))</f>
        <v>有色金属</v>
      </c>
      <c r="G544" t="str">
        <f>VLOOKUP(F544,industry!A:C,2,0)</f>
        <v>有色</v>
      </c>
      <c r="H544" t="str">
        <f>VLOOKUP(F544,industry!A:C,3,0)</f>
        <v>色</v>
      </c>
      <c r="J544" s="2" t="s">
        <v>12585</v>
      </c>
      <c r="K544" t="str">
        <f t="shared" si="50"/>
        <v>sz000878</v>
      </c>
      <c r="L544" t="str">
        <f t="shared" si="51"/>
        <v>云南铜业</v>
      </c>
      <c r="M544" t="str">
        <f t="shared" si="52"/>
        <v>有色</v>
      </c>
      <c r="N544" t="str">
        <f t="shared" si="53"/>
        <v>色</v>
      </c>
      <c r="P544" s="2" t="s">
        <v>12585</v>
      </c>
      <c r="Q544" t="s">
        <v>12477</v>
      </c>
      <c r="R544">
        <v>0</v>
      </c>
    </row>
    <row r="545" spans="1:18" x14ac:dyDescent="0.25">
      <c r="A545" t="s">
        <v>11243</v>
      </c>
      <c r="C545" t="str">
        <f t="shared" si="48"/>
        <v>sz</v>
      </c>
      <c r="D545" t="str">
        <f t="shared" si="49"/>
        <v>sz000933</v>
      </c>
      <c r="E545" t="str">
        <f>VLOOKUP(A545,Table!B:C,2,0)</f>
        <v>神火股份</v>
      </c>
      <c r="F545" t="str">
        <f>TRIM(VLOOKUP(A545,Table!B:O,14,0))</f>
        <v>有色金属</v>
      </c>
      <c r="G545" t="str">
        <f>VLOOKUP(F545,industry!A:C,2,0)</f>
        <v>有色</v>
      </c>
      <c r="H545" t="str">
        <f>VLOOKUP(F545,industry!A:C,3,0)</f>
        <v>色</v>
      </c>
      <c r="J545" s="2" t="s">
        <v>12585</v>
      </c>
      <c r="K545" t="str">
        <f t="shared" si="50"/>
        <v>sz000933</v>
      </c>
      <c r="L545" t="str">
        <f t="shared" si="51"/>
        <v>神火股份</v>
      </c>
      <c r="M545" t="str">
        <f t="shared" si="52"/>
        <v>有色</v>
      </c>
      <c r="N545" t="str">
        <f t="shared" si="53"/>
        <v>色</v>
      </c>
      <c r="P545" s="2" t="s">
        <v>12585</v>
      </c>
      <c r="Q545" t="s">
        <v>12646</v>
      </c>
      <c r="R545">
        <v>0</v>
      </c>
    </row>
    <row r="546" spans="1:18" x14ac:dyDescent="0.25">
      <c r="A546" t="s">
        <v>11244</v>
      </c>
      <c r="C546" t="str">
        <f t="shared" si="48"/>
        <v>sz</v>
      </c>
      <c r="D546" t="str">
        <f t="shared" si="49"/>
        <v>sz002212</v>
      </c>
      <c r="E546" t="str">
        <f>VLOOKUP(A546,Table!B:C,2,0)</f>
        <v>南洋股份</v>
      </c>
      <c r="F546" t="str">
        <f>TRIM(VLOOKUP(A546,Table!B:O,14,0))</f>
        <v>输配电气</v>
      </c>
      <c r="G546" t="str">
        <f>VLOOKUP(F546,industry!A:C,2,0)</f>
        <v>配电</v>
      </c>
      <c r="H546" t="str">
        <f>VLOOKUP(F546,industry!A:C,3,0)</f>
        <v>输电</v>
      </c>
      <c r="J546" s="2" t="s">
        <v>12585</v>
      </c>
      <c r="K546" t="str">
        <f t="shared" si="50"/>
        <v>sz002212</v>
      </c>
      <c r="L546" t="str">
        <f t="shared" si="51"/>
        <v>南洋股份</v>
      </c>
      <c r="M546" t="str">
        <f t="shared" si="52"/>
        <v>配电</v>
      </c>
      <c r="N546" t="str">
        <f t="shared" si="53"/>
        <v>输电</v>
      </c>
      <c r="P546" s="2" t="s">
        <v>12585</v>
      </c>
      <c r="Q546" t="s">
        <v>12647</v>
      </c>
      <c r="R546">
        <v>0</v>
      </c>
    </row>
    <row r="547" spans="1:18" x14ac:dyDescent="0.25">
      <c r="A547" t="s">
        <v>11245</v>
      </c>
      <c r="C547" t="str">
        <f t="shared" si="48"/>
        <v>sz</v>
      </c>
      <c r="D547" t="str">
        <f t="shared" si="49"/>
        <v>sz002292</v>
      </c>
      <c r="E547" t="str">
        <f>VLOOKUP(A547,Table!B:C,2,0)</f>
        <v>奥飞娱乐</v>
      </c>
      <c r="F547" t="str">
        <f>TRIM(VLOOKUP(A547,Table!B:O,14,0))</f>
        <v>文化传媒</v>
      </c>
      <c r="G547" t="str">
        <f>VLOOKUP(F547,industry!A:C,2,0)</f>
        <v>传媒</v>
      </c>
      <c r="H547" t="str">
        <f>VLOOKUP(F547,industry!A:C,3,0)</f>
        <v>传</v>
      </c>
      <c r="J547" s="2" t="s">
        <v>12585</v>
      </c>
      <c r="K547" t="str">
        <f t="shared" si="50"/>
        <v>sz002292</v>
      </c>
      <c r="L547" t="str">
        <f t="shared" si="51"/>
        <v>奥飞娱乐</v>
      </c>
      <c r="M547" t="str">
        <f t="shared" si="52"/>
        <v>传媒</v>
      </c>
      <c r="N547" t="str">
        <f t="shared" si="53"/>
        <v>传</v>
      </c>
      <c r="P547" s="2" t="s">
        <v>12585</v>
      </c>
      <c r="Q547" t="s">
        <v>10113</v>
      </c>
      <c r="R547">
        <v>0</v>
      </c>
    </row>
    <row r="548" spans="1:18" x14ac:dyDescent="0.25">
      <c r="A548" t="s">
        <v>11246</v>
      </c>
      <c r="C548" t="str">
        <f t="shared" si="48"/>
        <v>sz</v>
      </c>
      <c r="D548" t="str">
        <f t="shared" si="49"/>
        <v>sz002665</v>
      </c>
      <c r="E548" t="str">
        <f>VLOOKUP(A548,Table!B:C,2,0)</f>
        <v>首航节能</v>
      </c>
      <c r="F548" t="str">
        <f>TRIM(VLOOKUP(A548,Table!B:O,14,0))</f>
        <v>机械行业</v>
      </c>
      <c r="G548" t="str">
        <f>VLOOKUP(F548,industry!A:C,2,0)</f>
        <v>机械</v>
      </c>
      <c r="H548" t="str">
        <f>VLOOKUP(F548,industry!A:C,3,0)</f>
        <v>械</v>
      </c>
      <c r="J548" s="2" t="s">
        <v>12585</v>
      </c>
      <c r="K548" t="str">
        <f t="shared" si="50"/>
        <v>sz002665</v>
      </c>
      <c r="L548" t="str">
        <f t="shared" si="51"/>
        <v>首航节能</v>
      </c>
      <c r="M548" t="str">
        <f t="shared" si="52"/>
        <v>机械</v>
      </c>
      <c r="N548" t="str">
        <f t="shared" si="53"/>
        <v>械</v>
      </c>
      <c r="P548" s="2" t="s">
        <v>12585</v>
      </c>
      <c r="Q548" t="s">
        <v>12287</v>
      </c>
      <c r="R548">
        <v>0</v>
      </c>
    </row>
    <row r="549" spans="1:18" x14ac:dyDescent="0.25">
      <c r="A549" t="s">
        <v>11247</v>
      </c>
      <c r="C549" t="str">
        <f t="shared" si="48"/>
        <v>sh</v>
      </c>
      <c r="D549" t="str">
        <f t="shared" si="49"/>
        <v>sh600614</v>
      </c>
      <c r="E549" t="str">
        <f>VLOOKUP(A549,Table!B:C,2,0)</f>
        <v>鹏起科技</v>
      </c>
      <c r="F549" t="str">
        <f>TRIM(VLOOKUP(A549,Table!B:O,14,0))</f>
        <v>有色金属</v>
      </c>
      <c r="G549" t="str">
        <f>VLOOKUP(F549,industry!A:C,2,0)</f>
        <v>有色</v>
      </c>
      <c r="H549" t="str">
        <f>VLOOKUP(F549,industry!A:C,3,0)</f>
        <v>色</v>
      </c>
      <c r="J549" s="2" t="s">
        <v>12585</v>
      </c>
      <c r="K549" t="str">
        <f t="shared" si="50"/>
        <v>sh600614</v>
      </c>
      <c r="L549" t="str">
        <f t="shared" si="51"/>
        <v>鹏起科技</v>
      </c>
      <c r="M549" t="str">
        <f t="shared" si="52"/>
        <v>有色</v>
      </c>
      <c r="N549" t="str">
        <f t="shared" si="53"/>
        <v>色</v>
      </c>
      <c r="P549" s="2" t="s">
        <v>12585</v>
      </c>
      <c r="Q549" t="s">
        <v>12199</v>
      </c>
      <c r="R549">
        <v>0</v>
      </c>
    </row>
    <row r="550" spans="1:18" x14ac:dyDescent="0.25">
      <c r="A550" t="s">
        <v>11248</v>
      </c>
      <c r="C550" t="str">
        <f t="shared" si="48"/>
        <v>sh</v>
      </c>
      <c r="D550" t="str">
        <f t="shared" si="49"/>
        <v>sh601127</v>
      </c>
      <c r="E550" t="str">
        <f>VLOOKUP(A550,Table!B:C,2,0)</f>
        <v>小康股份</v>
      </c>
      <c r="F550" t="str">
        <f>TRIM(VLOOKUP(A550,Table!B:O,14,0))</f>
        <v>汽车行业</v>
      </c>
      <c r="G550" t="str">
        <f>VLOOKUP(F550,industry!A:C,2,0)</f>
        <v>汽车</v>
      </c>
      <c r="H550" t="str">
        <f>VLOOKUP(F550,industry!A:C,3,0)</f>
        <v>车</v>
      </c>
      <c r="J550" s="2" t="s">
        <v>12585</v>
      </c>
      <c r="K550" t="str">
        <f t="shared" si="50"/>
        <v>sh601127</v>
      </c>
      <c r="L550" t="str">
        <f t="shared" si="51"/>
        <v>小康股份</v>
      </c>
      <c r="M550" t="str">
        <f t="shared" si="52"/>
        <v>汽车</v>
      </c>
      <c r="N550" t="str">
        <f t="shared" si="53"/>
        <v>车</v>
      </c>
      <c r="P550" s="2" t="s">
        <v>12585</v>
      </c>
      <c r="Q550" t="s">
        <v>10404</v>
      </c>
      <c r="R550">
        <v>0</v>
      </c>
    </row>
    <row r="551" spans="1:18" x14ac:dyDescent="0.25">
      <c r="A551" t="s">
        <v>11249</v>
      </c>
      <c r="C551" t="str">
        <f t="shared" si="48"/>
        <v>sz</v>
      </c>
      <c r="D551" t="str">
        <f t="shared" si="49"/>
        <v>sz300145</v>
      </c>
      <c r="E551" t="str">
        <f>VLOOKUP(A551,Table!B:C,2,0)</f>
        <v>中金环境</v>
      </c>
      <c r="F551" t="str">
        <f>TRIM(VLOOKUP(A551,Table!B:O,14,0))</f>
        <v>机械行业</v>
      </c>
      <c r="G551" t="str">
        <f>VLOOKUP(F551,industry!A:C,2,0)</f>
        <v>机械</v>
      </c>
      <c r="H551" t="str">
        <f>VLOOKUP(F551,industry!A:C,3,0)</f>
        <v>械</v>
      </c>
      <c r="J551" s="2" t="s">
        <v>12585</v>
      </c>
      <c r="K551" t="str">
        <f t="shared" si="50"/>
        <v>sz300145</v>
      </c>
      <c r="L551" t="str">
        <f t="shared" si="51"/>
        <v>中金环境</v>
      </c>
      <c r="M551" t="str">
        <f t="shared" si="52"/>
        <v>机械</v>
      </c>
      <c r="N551" t="str">
        <f t="shared" si="53"/>
        <v>械</v>
      </c>
      <c r="P551" s="2" t="s">
        <v>12585</v>
      </c>
      <c r="Q551" t="s">
        <v>12648</v>
      </c>
      <c r="R551">
        <v>0</v>
      </c>
    </row>
    <row r="552" spans="1:18" x14ac:dyDescent="0.25">
      <c r="A552" t="s">
        <v>11250</v>
      </c>
      <c r="C552" t="str">
        <f t="shared" si="48"/>
        <v>sz</v>
      </c>
      <c r="D552" t="str">
        <f t="shared" si="49"/>
        <v>sz000921</v>
      </c>
      <c r="E552" t="str">
        <f>VLOOKUP(A552,Table!B:C,2,0)</f>
        <v>海信科龙</v>
      </c>
      <c r="F552" t="str">
        <f>TRIM(VLOOKUP(A552,Table!B:O,14,0))</f>
        <v>家电行业</v>
      </c>
      <c r="G552" t="str">
        <f>VLOOKUP(F552,industry!A:C,2,0)</f>
        <v>家电</v>
      </c>
      <c r="H552" t="str">
        <f>VLOOKUP(F552,industry!A:C,3,0)</f>
        <v>家</v>
      </c>
      <c r="J552" s="2" t="s">
        <v>12585</v>
      </c>
      <c r="K552" t="str">
        <f t="shared" si="50"/>
        <v>sz000921</v>
      </c>
      <c r="L552" t="str">
        <f t="shared" si="51"/>
        <v>海信科龙</v>
      </c>
      <c r="M552" t="str">
        <f t="shared" si="52"/>
        <v>家电</v>
      </c>
      <c r="N552" t="str">
        <f t="shared" si="53"/>
        <v>家</v>
      </c>
      <c r="P552" s="2" t="s">
        <v>12585</v>
      </c>
      <c r="Q552" t="s">
        <v>12649</v>
      </c>
      <c r="R552">
        <v>0</v>
      </c>
    </row>
    <row r="553" spans="1:18" x14ac:dyDescent="0.25">
      <c r="A553" t="s">
        <v>11251</v>
      </c>
      <c r="C553" t="str">
        <f t="shared" si="48"/>
        <v>sh</v>
      </c>
      <c r="D553" t="str">
        <f t="shared" si="49"/>
        <v>sh600823</v>
      </c>
      <c r="E553" t="str">
        <f>VLOOKUP(A553,Table!B:C,2,0)</f>
        <v>世茂股份</v>
      </c>
      <c r="F553" t="str">
        <f>TRIM(VLOOKUP(A553,Table!B:O,14,0))</f>
        <v>房地产</v>
      </c>
      <c r="G553" t="str">
        <f>VLOOKUP(F553,industry!A:C,2,0)</f>
        <v>房产</v>
      </c>
      <c r="H553" t="str">
        <f>VLOOKUP(F553,industry!A:C,3,0)</f>
        <v>产</v>
      </c>
      <c r="J553" s="2" t="s">
        <v>12585</v>
      </c>
      <c r="K553" t="str">
        <f t="shared" si="50"/>
        <v>sh600823</v>
      </c>
      <c r="L553" t="str">
        <f t="shared" si="51"/>
        <v>世茂股份</v>
      </c>
      <c r="M553" t="str">
        <f t="shared" si="52"/>
        <v>房产</v>
      </c>
      <c r="N553" t="str">
        <f t="shared" si="53"/>
        <v>产</v>
      </c>
      <c r="P553" s="2" t="s">
        <v>12585</v>
      </c>
      <c r="Q553" t="s">
        <v>10680</v>
      </c>
      <c r="R553">
        <v>0</v>
      </c>
    </row>
    <row r="554" spans="1:18" x14ac:dyDescent="0.25">
      <c r="A554" t="s">
        <v>11252</v>
      </c>
      <c r="C554" t="str">
        <f t="shared" si="48"/>
        <v>sh</v>
      </c>
      <c r="D554" t="str">
        <f t="shared" si="49"/>
        <v>sh600648</v>
      </c>
      <c r="E554" t="str">
        <f>VLOOKUP(A554,Table!B:C,2,0)</f>
        <v>外高桥</v>
      </c>
      <c r="F554" t="str">
        <f>TRIM(VLOOKUP(A554,Table!B:O,14,0))</f>
        <v>房地产</v>
      </c>
      <c r="G554" t="str">
        <f>VLOOKUP(F554,industry!A:C,2,0)</f>
        <v>房产</v>
      </c>
      <c r="H554" t="str">
        <f>VLOOKUP(F554,industry!A:C,3,0)</f>
        <v>产</v>
      </c>
      <c r="J554" s="2" t="s">
        <v>12585</v>
      </c>
      <c r="K554" t="str">
        <f t="shared" si="50"/>
        <v>sh600648</v>
      </c>
      <c r="L554" t="str">
        <f t="shared" si="51"/>
        <v>外高桥</v>
      </c>
      <c r="M554" t="str">
        <f t="shared" si="52"/>
        <v>房产</v>
      </c>
      <c r="N554" t="str">
        <f t="shared" si="53"/>
        <v>产</v>
      </c>
      <c r="P554" s="2" t="s">
        <v>12585</v>
      </c>
      <c r="Q554" t="s">
        <v>10522</v>
      </c>
      <c r="R554">
        <v>0</v>
      </c>
    </row>
    <row r="555" spans="1:18" x14ac:dyDescent="0.25">
      <c r="A555" t="s">
        <v>11253</v>
      </c>
      <c r="C555" t="str">
        <f t="shared" si="48"/>
        <v>sz</v>
      </c>
      <c r="D555" t="str">
        <f t="shared" si="49"/>
        <v>sz002002</v>
      </c>
      <c r="E555" t="str">
        <f>VLOOKUP(A555,Table!B:C,2,0)</f>
        <v>鸿达兴业</v>
      </c>
      <c r="F555" t="str">
        <f>TRIM(VLOOKUP(A555,Table!B:O,14,0))</f>
        <v>化工行业</v>
      </c>
      <c r="G555" t="str">
        <f>VLOOKUP(F555,industry!A:C,2,0)</f>
        <v>化工</v>
      </c>
      <c r="H555" t="str">
        <f>VLOOKUP(F555,industry!A:C,3,0)</f>
        <v>化</v>
      </c>
      <c r="J555" s="2" t="s">
        <v>12585</v>
      </c>
      <c r="K555" t="str">
        <f t="shared" si="50"/>
        <v>sz002002</v>
      </c>
      <c r="L555" t="str">
        <f t="shared" si="51"/>
        <v>鸿达兴业</v>
      </c>
      <c r="M555" t="str">
        <f t="shared" si="52"/>
        <v>化工</v>
      </c>
      <c r="N555" t="str">
        <f t="shared" si="53"/>
        <v>化</v>
      </c>
      <c r="P555" s="2" t="s">
        <v>12585</v>
      </c>
      <c r="Q555" t="s">
        <v>12008</v>
      </c>
      <c r="R555">
        <v>0</v>
      </c>
    </row>
    <row r="556" spans="1:18" x14ac:dyDescent="0.25">
      <c r="A556" t="s">
        <v>11254</v>
      </c>
      <c r="C556" t="str">
        <f t="shared" si="48"/>
        <v>sh</v>
      </c>
      <c r="D556" t="str">
        <f t="shared" si="49"/>
        <v>sh600835</v>
      </c>
      <c r="E556" t="str">
        <f>VLOOKUP(A556,Table!B:C,2,0)</f>
        <v>上海机电</v>
      </c>
      <c r="F556" t="str">
        <f>TRIM(VLOOKUP(A556,Table!B:O,14,0))</f>
        <v>机械行业</v>
      </c>
      <c r="G556" t="str">
        <f>VLOOKUP(F556,industry!A:C,2,0)</f>
        <v>机械</v>
      </c>
      <c r="H556" t="str">
        <f>VLOOKUP(F556,industry!A:C,3,0)</f>
        <v>械</v>
      </c>
      <c r="J556" s="2" t="s">
        <v>12585</v>
      </c>
      <c r="K556" t="str">
        <f t="shared" si="50"/>
        <v>sh600835</v>
      </c>
      <c r="L556" t="str">
        <f t="shared" si="51"/>
        <v>上海机电</v>
      </c>
      <c r="M556" t="str">
        <f t="shared" si="52"/>
        <v>机械</v>
      </c>
      <c r="N556" t="str">
        <f t="shared" si="53"/>
        <v>械</v>
      </c>
      <c r="P556" s="2" t="s">
        <v>12585</v>
      </c>
      <c r="Q556" t="s">
        <v>10597</v>
      </c>
      <c r="R556">
        <v>0</v>
      </c>
    </row>
    <row r="557" spans="1:18" x14ac:dyDescent="0.25">
      <c r="A557" t="s">
        <v>11255</v>
      </c>
      <c r="C557" t="str">
        <f t="shared" si="48"/>
        <v>sz</v>
      </c>
      <c r="D557" t="str">
        <f t="shared" si="49"/>
        <v>sz300376</v>
      </c>
      <c r="E557" t="str">
        <f>VLOOKUP(A557,Table!B:C,2,0)</f>
        <v>易事特</v>
      </c>
      <c r="F557" t="str">
        <f>TRIM(VLOOKUP(A557,Table!B:O,14,0))</f>
        <v>输配电气</v>
      </c>
      <c r="G557" t="str">
        <f>VLOOKUP(F557,industry!A:C,2,0)</f>
        <v>配电</v>
      </c>
      <c r="H557" t="str">
        <f>VLOOKUP(F557,industry!A:C,3,0)</f>
        <v>输电</v>
      </c>
      <c r="J557" s="2" t="s">
        <v>12585</v>
      </c>
      <c r="K557" t="str">
        <f t="shared" si="50"/>
        <v>sz300376</v>
      </c>
      <c r="L557" t="str">
        <f t="shared" si="51"/>
        <v>易事特</v>
      </c>
      <c r="M557" t="str">
        <f t="shared" si="52"/>
        <v>配电</v>
      </c>
      <c r="N557" t="str">
        <f t="shared" si="53"/>
        <v>输电</v>
      </c>
      <c r="P557" s="2" t="s">
        <v>12585</v>
      </c>
      <c r="Q557" t="s">
        <v>12650</v>
      </c>
      <c r="R557">
        <v>0</v>
      </c>
    </row>
    <row r="558" spans="1:18" x14ac:dyDescent="0.25">
      <c r="A558" t="s">
        <v>11256</v>
      </c>
      <c r="C558" t="str">
        <f t="shared" si="48"/>
        <v>sz</v>
      </c>
      <c r="D558" t="str">
        <f t="shared" si="49"/>
        <v>sz000600</v>
      </c>
      <c r="E558" t="str">
        <f>VLOOKUP(A558,Table!B:C,2,0)</f>
        <v>建投能源</v>
      </c>
      <c r="F558" t="str">
        <f>TRIM(VLOOKUP(A558,Table!B:O,14,0))</f>
        <v>电力行业</v>
      </c>
      <c r="G558" t="str">
        <f>VLOOKUP(F558,industry!A:C,2,0)</f>
        <v>电力</v>
      </c>
      <c r="H558" t="str">
        <f>VLOOKUP(F558,industry!A:C,3,0)</f>
        <v>电力</v>
      </c>
      <c r="J558" s="2" t="s">
        <v>12585</v>
      </c>
      <c r="K558" t="str">
        <f t="shared" si="50"/>
        <v>sz000600</v>
      </c>
      <c r="L558" t="str">
        <f t="shared" si="51"/>
        <v>建投能源</v>
      </c>
      <c r="M558" t="str">
        <f t="shared" si="52"/>
        <v>电力</v>
      </c>
      <c r="N558" t="str">
        <f t="shared" si="53"/>
        <v>电力</v>
      </c>
      <c r="P558" s="2" t="s">
        <v>12585</v>
      </c>
      <c r="Q558" t="s">
        <v>12046</v>
      </c>
      <c r="R558">
        <v>0</v>
      </c>
    </row>
    <row r="559" spans="1:18" x14ac:dyDescent="0.25">
      <c r="A559" t="s">
        <v>11257</v>
      </c>
      <c r="C559" t="str">
        <f t="shared" si="48"/>
        <v>sz</v>
      </c>
      <c r="D559" t="str">
        <f t="shared" si="49"/>
        <v>sz300222</v>
      </c>
      <c r="E559" t="str">
        <f>VLOOKUP(A559,Table!B:C,2,0)</f>
        <v>科大智能</v>
      </c>
      <c r="F559" t="str">
        <f>TRIM(VLOOKUP(A559,Table!B:O,14,0))</f>
        <v>输配电气</v>
      </c>
      <c r="G559" t="str">
        <f>VLOOKUP(F559,industry!A:C,2,0)</f>
        <v>配电</v>
      </c>
      <c r="H559" t="str">
        <f>VLOOKUP(F559,industry!A:C,3,0)</f>
        <v>输电</v>
      </c>
      <c r="J559" s="2" t="s">
        <v>12585</v>
      </c>
      <c r="K559" t="str">
        <f t="shared" si="50"/>
        <v>sz300222</v>
      </c>
      <c r="L559" t="str">
        <f t="shared" si="51"/>
        <v>科大智能</v>
      </c>
      <c r="M559" t="str">
        <f t="shared" si="52"/>
        <v>配电</v>
      </c>
      <c r="N559" t="str">
        <f t="shared" si="53"/>
        <v>输电</v>
      </c>
      <c r="P559" s="2" t="s">
        <v>12585</v>
      </c>
      <c r="Q559" t="s">
        <v>12651</v>
      </c>
      <c r="R559">
        <v>0</v>
      </c>
    </row>
    <row r="560" spans="1:18" x14ac:dyDescent="0.25">
      <c r="A560" t="s">
        <v>11258</v>
      </c>
      <c r="C560" t="str">
        <f t="shared" si="48"/>
        <v>sh</v>
      </c>
      <c r="D560" t="str">
        <f t="shared" si="49"/>
        <v>sh600060</v>
      </c>
      <c r="E560" t="str">
        <f>VLOOKUP(A560,Table!B:C,2,0)</f>
        <v>海信电器</v>
      </c>
      <c r="F560" t="str">
        <f>TRIM(VLOOKUP(A560,Table!B:O,14,0))</f>
        <v>家电行业</v>
      </c>
      <c r="G560" t="str">
        <f>VLOOKUP(F560,industry!A:C,2,0)</f>
        <v>家电</v>
      </c>
      <c r="H560" t="str">
        <f>VLOOKUP(F560,industry!A:C,3,0)</f>
        <v>家</v>
      </c>
      <c r="J560" s="2" t="s">
        <v>12585</v>
      </c>
      <c r="K560" t="str">
        <f t="shared" si="50"/>
        <v>sh600060</v>
      </c>
      <c r="L560" t="str">
        <f t="shared" si="51"/>
        <v>海信电器</v>
      </c>
      <c r="M560" t="str">
        <f t="shared" si="52"/>
        <v>家电</v>
      </c>
      <c r="N560" t="str">
        <f t="shared" si="53"/>
        <v>家</v>
      </c>
      <c r="P560" s="2" t="s">
        <v>12585</v>
      </c>
      <c r="Q560" t="s">
        <v>10560</v>
      </c>
      <c r="R560">
        <v>0</v>
      </c>
    </row>
    <row r="561" spans="1:18" x14ac:dyDescent="0.25">
      <c r="A561" t="s">
        <v>11259</v>
      </c>
      <c r="C561" t="str">
        <f t="shared" si="48"/>
        <v>sz</v>
      </c>
      <c r="D561" t="str">
        <f t="shared" si="49"/>
        <v>sz000040</v>
      </c>
      <c r="E561" t="str">
        <f>VLOOKUP(A561,Table!B:C,2,0)</f>
        <v>东旭蓝天</v>
      </c>
      <c r="F561" t="str">
        <f>TRIM(VLOOKUP(A561,Table!B:O,14,0))</f>
        <v>环保工程</v>
      </c>
      <c r="G561" t="str">
        <f>VLOOKUP(F561,industry!A:C,2,0)</f>
        <v>环保</v>
      </c>
      <c r="H561" t="str">
        <f>VLOOKUP(F561,industry!A:C,3,0)</f>
        <v>环</v>
      </c>
      <c r="J561" s="2" t="s">
        <v>12585</v>
      </c>
      <c r="K561" t="str">
        <f t="shared" si="50"/>
        <v>sz000040</v>
      </c>
      <c r="L561" t="str">
        <f t="shared" si="51"/>
        <v>东旭蓝天</v>
      </c>
      <c r="M561" t="str">
        <f t="shared" si="52"/>
        <v>环保</v>
      </c>
      <c r="N561" t="str">
        <f t="shared" si="53"/>
        <v>环</v>
      </c>
      <c r="P561" s="2" t="s">
        <v>12585</v>
      </c>
      <c r="Q561" t="s">
        <v>12652</v>
      </c>
      <c r="R561">
        <v>0</v>
      </c>
    </row>
    <row r="562" spans="1:18" x14ac:dyDescent="0.25">
      <c r="A562" t="s">
        <v>11260</v>
      </c>
      <c r="C562" t="str">
        <f t="shared" si="48"/>
        <v>sz</v>
      </c>
      <c r="D562" t="str">
        <f t="shared" si="49"/>
        <v>sz300459</v>
      </c>
      <c r="E562" t="str">
        <f>VLOOKUP(A562,Table!B:C,2,0)</f>
        <v>金科文化</v>
      </c>
      <c r="F562" t="str">
        <f>TRIM(VLOOKUP(A562,Table!B:O,14,0))</f>
        <v>文教休闲</v>
      </c>
      <c r="G562" t="str">
        <f>VLOOKUP(F562,industry!A:C,2,0)</f>
        <v>文教</v>
      </c>
      <c r="H562" t="str">
        <f>VLOOKUP(F562,industry!A:C,3,0)</f>
        <v>文</v>
      </c>
      <c r="J562" s="2" t="s">
        <v>12585</v>
      </c>
      <c r="K562" t="str">
        <f t="shared" si="50"/>
        <v>sz300459</v>
      </c>
      <c r="L562" t="str">
        <f t="shared" si="51"/>
        <v>金科文化</v>
      </c>
      <c r="M562" t="str">
        <f t="shared" si="52"/>
        <v>文教</v>
      </c>
      <c r="N562" t="str">
        <f t="shared" si="53"/>
        <v>文</v>
      </c>
      <c r="P562" s="2" t="s">
        <v>12585</v>
      </c>
      <c r="Q562" t="s">
        <v>10332</v>
      </c>
      <c r="R562">
        <v>0</v>
      </c>
    </row>
    <row r="563" spans="1:18" x14ac:dyDescent="0.25">
      <c r="A563" t="s">
        <v>11261</v>
      </c>
      <c r="C563" t="str">
        <f t="shared" si="48"/>
        <v>sz</v>
      </c>
      <c r="D563" t="str">
        <f t="shared" si="49"/>
        <v>sz002603</v>
      </c>
      <c r="E563" t="str">
        <f>VLOOKUP(A563,Table!B:C,2,0)</f>
        <v>以岭药业</v>
      </c>
      <c r="F563" t="str">
        <f>TRIM(VLOOKUP(A563,Table!B:O,14,0))</f>
        <v>医药制造</v>
      </c>
      <c r="G563" t="str">
        <f>VLOOKUP(F563,industry!A:C,2,0)</f>
        <v>医药</v>
      </c>
      <c r="H563" t="str">
        <f>VLOOKUP(F563,industry!A:C,3,0)</f>
        <v>药</v>
      </c>
      <c r="J563" s="2" t="s">
        <v>12585</v>
      </c>
      <c r="K563" t="str">
        <f t="shared" si="50"/>
        <v>sz002603</v>
      </c>
      <c r="L563" t="str">
        <f t="shared" si="51"/>
        <v>以岭药业</v>
      </c>
      <c r="M563" t="str">
        <f t="shared" si="52"/>
        <v>医药</v>
      </c>
      <c r="N563" t="str">
        <f t="shared" si="53"/>
        <v>药</v>
      </c>
      <c r="P563" s="2" t="s">
        <v>12585</v>
      </c>
      <c r="Q563" t="s">
        <v>12443</v>
      </c>
      <c r="R563">
        <v>0</v>
      </c>
    </row>
    <row r="564" spans="1:18" x14ac:dyDescent="0.25">
      <c r="A564" t="s">
        <v>11262</v>
      </c>
      <c r="C564" t="str">
        <f t="shared" si="48"/>
        <v>sz</v>
      </c>
      <c r="D564" t="str">
        <f t="shared" si="49"/>
        <v>sz300133</v>
      </c>
      <c r="E564" t="str">
        <f>VLOOKUP(A564,Table!B:C,2,0)</f>
        <v>华策影视</v>
      </c>
      <c r="F564" t="str">
        <f>TRIM(VLOOKUP(A564,Table!B:O,14,0))</f>
        <v>文化传媒</v>
      </c>
      <c r="G564" t="str">
        <f>VLOOKUP(F564,industry!A:C,2,0)</f>
        <v>传媒</v>
      </c>
      <c r="H564" t="str">
        <f>VLOOKUP(F564,industry!A:C,3,0)</f>
        <v>传</v>
      </c>
      <c r="J564" s="2" t="s">
        <v>12585</v>
      </c>
      <c r="K564" t="str">
        <f t="shared" si="50"/>
        <v>sz300133</v>
      </c>
      <c r="L564" t="str">
        <f t="shared" si="51"/>
        <v>华策影视</v>
      </c>
      <c r="M564" t="str">
        <f t="shared" si="52"/>
        <v>传媒</v>
      </c>
      <c r="N564" t="str">
        <f t="shared" si="53"/>
        <v>传</v>
      </c>
      <c r="P564" s="2" t="s">
        <v>12585</v>
      </c>
      <c r="Q564" t="s">
        <v>10484</v>
      </c>
      <c r="R564">
        <v>0</v>
      </c>
    </row>
    <row r="565" spans="1:18" x14ac:dyDescent="0.25">
      <c r="A565" t="s">
        <v>11263</v>
      </c>
      <c r="C565" t="str">
        <f t="shared" si="48"/>
        <v>sz</v>
      </c>
      <c r="D565" t="str">
        <f t="shared" si="49"/>
        <v>sz002280</v>
      </c>
      <c r="E565" t="str">
        <f>VLOOKUP(A565,Table!B:C,2,0)</f>
        <v>联络互动</v>
      </c>
      <c r="F565" t="str">
        <f>TRIM(VLOOKUP(A565,Table!B:O,14,0))</f>
        <v>软件服务</v>
      </c>
      <c r="G565" t="str">
        <f>VLOOKUP(F565,industry!A:C,2,0)</f>
        <v>软件</v>
      </c>
      <c r="H565" t="str">
        <f>VLOOKUP(F565,industry!A:C,3,0)</f>
        <v>软</v>
      </c>
      <c r="J565" s="2" t="s">
        <v>12585</v>
      </c>
      <c r="K565" t="str">
        <f t="shared" si="50"/>
        <v>sz002280</v>
      </c>
      <c r="L565" t="str">
        <f t="shared" si="51"/>
        <v>联络互动</v>
      </c>
      <c r="M565" t="str">
        <f t="shared" si="52"/>
        <v>软件</v>
      </c>
      <c r="N565" t="str">
        <f t="shared" si="53"/>
        <v>软</v>
      </c>
      <c r="P565" s="2" t="s">
        <v>12585</v>
      </c>
      <c r="Q565" t="s">
        <v>10031</v>
      </c>
      <c r="R565">
        <v>0</v>
      </c>
    </row>
    <row r="566" spans="1:18" x14ac:dyDescent="0.25">
      <c r="A566" t="s">
        <v>11264</v>
      </c>
      <c r="C566" t="str">
        <f t="shared" si="48"/>
        <v>sz</v>
      </c>
      <c r="D566" t="str">
        <f t="shared" si="49"/>
        <v>sz000426</v>
      </c>
      <c r="E566" t="str">
        <f>VLOOKUP(A566,Table!B:C,2,0)</f>
        <v>兴业矿业</v>
      </c>
      <c r="F566" t="str">
        <f>TRIM(VLOOKUP(A566,Table!B:O,14,0))</f>
        <v>有色金属</v>
      </c>
      <c r="G566" t="str">
        <f>VLOOKUP(F566,industry!A:C,2,0)</f>
        <v>有色</v>
      </c>
      <c r="H566" t="str">
        <f>VLOOKUP(F566,industry!A:C,3,0)</f>
        <v>色</v>
      </c>
      <c r="J566" s="2" t="s">
        <v>12585</v>
      </c>
      <c r="K566" t="str">
        <f t="shared" si="50"/>
        <v>sz000426</v>
      </c>
      <c r="L566" t="str">
        <f t="shared" si="51"/>
        <v>兴业矿业</v>
      </c>
      <c r="M566" t="str">
        <f t="shared" si="52"/>
        <v>有色</v>
      </c>
      <c r="N566" t="str">
        <f t="shared" si="53"/>
        <v>色</v>
      </c>
      <c r="P566" s="2" t="s">
        <v>12585</v>
      </c>
      <c r="Q566" t="s">
        <v>12418</v>
      </c>
      <c r="R566">
        <v>0</v>
      </c>
    </row>
    <row r="567" spans="1:18" x14ac:dyDescent="0.25">
      <c r="A567" t="s">
        <v>11265</v>
      </c>
      <c r="C567" t="str">
        <f t="shared" si="48"/>
        <v>sh</v>
      </c>
      <c r="D567" t="str">
        <f t="shared" si="49"/>
        <v>sh600873</v>
      </c>
      <c r="E567" t="str">
        <f>VLOOKUP(A567,Table!B:C,2,0)</f>
        <v>梅花生物</v>
      </c>
      <c r="F567" t="str">
        <f>TRIM(VLOOKUP(A567,Table!B:O,14,0))</f>
        <v>食品饮料</v>
      </c>
      <c r="G567" t="str">
        <f>VLOOKUP(F567,industry!A:C,2,0)</f>
        <v>食品</v>
      </c>
      <c r="H567" t="str">
        <f>VLOOKUP(F567,industry!A:C,3,0)</f>
        <v>食</v>
      </c>
      <c r="J567" s="2" t="s">
        <v>12585</v>
      </c>
      <c r="K567" t="str">
        <f t="shared" si="50"/>
        <v>sh600873</v>
      </c>
      <c r="L567" t="str">
        <f t="shared" si="51"/>
        <v>梅花生物</v>
      </c>
      <c r="M567" t="str">
        <f t="shared" si="52"/>
        <v>食品</v>
      </c>
      <c r="N567" t="str">
        <f t="shared" si="53"/>
        <v>食</v>
      </c>
      <c r="P567" s="2" t="s">
        <v>12585</v>
      </c>
      <c r="Q567" t="s">
        <v>12169</v>
      </c>
      <c r="R567">
        <v>0</v>
      </c>
    </row>
    <row r="568" spans="1:18" x14ac:dyDescent="0.25">
      <c r="A568" t="s">
        <v>11266</v>
      </c>
      <c r="C568" t="str">
        <f t="shared" si="48"/>
        <v>sz</v>
      </c>
      <c r="D568" t="str">
        <f t="shared" si="49"/>
        <v>sz000012</v>
      </c>
      <c r="E568" t="str">
        <f>VLOOKUP(A568,Table!B:C,2,0)</f>
        <v>南 玻Ａ</v>
      </c>
      <c r="F568" t="str">
        <f>TRIM(VLOOKUP(A568,Table!B:O,14,0))</f>
        <v>玻璃陶瓷</v>
      </c>
      <c r="G568" t="str">
        <f>VLOOKUP(F568,industry!A:C,2,0)</f>
        <v>玻璃</v>
      </c>
      <c r="H568" t="str">
        <f>VLOOKUP(F568,industry!A:C,3,0)</f>
        <v>瓷</v>
      </c>
      <c r="J568" s="2" t="s">
        <v>12585</v>
      </c>
      <c r="K568" t="str">
        <f t="shared" si="50"/>
        <v>sz000012</v>
      </c>
      <c r="L568" t="str">
        <f t="shared" si="51"/>
        <v>南 玻Ａ</v>
      </c>
      <c r="M568" t="str">
        <f t="shared" si="52"/>
        <v>玻璃</v>
      </c>
      <c r="N568" t="str">
        <f t="shared" si="53"/>
        <v>瓷</v>
      </c>
      <c r="P568" s="2" t="s">
        <v>12585</v>
      </c>
      <c r="Q568" t="s">
        <v>10452</v>
      </c>
      <c r="R568">
        <v>0</v>
      </c>
    </row>
    <row r="569" spans="1:18" x14ac:dyDescent="0.25">
      <c r="A569" t="s">
        <v>11267</v>
      </c>
      <c r="C569" t="str">
        <f t="shared" si="48"/>
        <v>sh</v>
      </c>
      <c r="D569" t="str">
        <f t="shared" si="49"/>
        <v>sh600098</v>
      </c>
      <c r="E569" t="str">
        <f>VLOOKUP(A569,Table!B:C,2,0)</f>
        <v>广州发展</v>
      </c>
      <c r="F569" t="str">
        <f>TRIM(VLOOKUP(A569,Table!B:O,14,0))</f>
        <v>电力行业</v>
      </c>
      <c r="G569" t="str">
        <f>VLOOKUP(F569,industry!A:C,2,0)</f>
        <v>电力</v>
      </c>
      <c r="H569" t="str">
        <f>VLOOKUP(F569,industry!A:C,3,0)</f>
        <v>电力</v>
      </c>
      <c r="J569" s="2" t="s">
        <v>12585</v>
      </c>
      <c r="K569" t="str">
        <f t="shared" si="50"/>
        <v>sh600098</v>
      </c>
      <c r="L569" t="str">
        <f t="shared" si="51"/>
        <v>广州发展</v>
      </c>
      <c r="M569" t="str">
        <f t="shared" si="52"/>
        <v>电力</v>
      </c>
      <c r="N569" t="str">
        <f t="shared" si="53"/>
        <v>电力</v>
      </c>
      <c r="P569" s="2" t="s">
        <v>12585</v>
      </c>
      <c r="Q569" t="s">
        <v>10539</v>
      </c>
      <c r="R569">
        <v>0</v>
      </c>
    </row>
    <row r="570" spans="1:18" x14ac:dyDescent="0.25">
      <c r="A570" t="s">
        <v>11268</v>
      </c>
      <c r="C570" t="str">
        <f t="shared" si="48"/>
        <v>sz</v>
      </c>
      <c r="D570" t="str">
        <f t="shared" si="49"/>
        <v>sz002439</v>
      </c>
      <c r="E570" t="str">
        <f>VLOOKUP(A570,Table!B:C,2,0)</f>
        <v>启明星辰</v>
      </c>
      <c r="F570" t="str">
        <f>TRIM(VLOOKUP(A570,Table!B:O,14,0))</f>
        <v>软件服务</v>
      </c>
      <c r="G570" t="str">
        <f>VLOOKUP(F570,industry!A:C,2,0)</f>
        <v>软件</v>
      </c>
      <c r="H570" t="str">
        <f>VLOOKUP(F570,industry!A:C,3,0)</f>
        <v>软</v>
      </c>
      <c r="J570" s="2" t="s">
        <v>12585</v>
      </c>
      <c r="K570" t="str">
        <f t="shared" si="50"/>
        <v>sz002439</v>
      </c>
      <c r="L570" t="str">
        <f t="shared" si="51"/>
        <v>启明星辰</v>
      </c>
      <c r="M570" t="str">
        <f t="shared" si="52"/>
        <v>软件</v>
      </c>
      <c r="N570" t="str">
        <f t="shared" si="53"/>
        <v>软</v>
      </c>
      <c r="P570" s="2" t="s">
        <v>12585</v>
      </c>
      <c r="Q570" t="s">
        <v>12215</v>
      </c>
      <c r="R570">
        <v>0</v>
      </c>
    </row>
    <row r="571" spans="1:18" x14ac:dyDescent="0.25">
      <c r="A571" t="s">
        <v>11269</v>
      </c>
      <c r="C571" t="str">
        <f t="shared" si="48"/>
        <v>sh</v>
      </c>
      <c r="D571" t="str">
        <f t="shared" si="49"/>
        <v>sh600717</v>
      </c>
      <c r="E571" t="str">
        <f>VLOOKUP(A571,Table!B:C,2,0)</f>
        <v>天津港</v>
      </c>
      <c r="F571" t="str">
        <f>TRIM(VLOOKUP(A571,Table!B:O,14,0))</f>
        <v>港口水运</v>
      </c>
      <c r="G571" t="str">
        <f>VLOOKUP(F571,industry!A:C,2,0)</f>
        <v>港口</v>
      </c>
      <c r="H571" t="str">
        <f>VLOOKUP(F571,industry!A:C,3,0)</f>
        <v>港</v>
      </c>
      <c r="J571" s="2" t="s">
        <v>12585</v>
      </c>
      <c r="K571" t="str">
        <f t="shared" si="50"/>
        <v>sh600717</v>
      </c>
      <c r="L571" t="str">
        <f t="shared" si="51"/>
        <v>天津港</v>
      </c>
      <c r="M571" t="str">
        <f t="shared" si="52"/>
        <v>港口</v>
      </c>
      <c r="N571" t="str">
        <f t="shared" si="53"/>
        <v>港</v>
      </c>
      <c r="P571" s="2" t="s">
        <v>12585</v>
      </c>
      <c r="Q571" t="s">
        <v>12332</v>
      </c>
      <c r="R571">
        <v>0</v>
      </c>
    </row>
    <row r="572" spans="1:18" x14ac:dyDescent="0.25">
      <c r="A572" t="s">
        <v>11270</v>
      </c>
      <c r="C572" t="str">
        <f t="shared" si="48"/>
        <v>sz</v>
      </c>
      <c r="D572" t="str">
        <f t="shared" si="49"/>
        <v>sz300146</v>
      </c>
      <c r="E572" t="str">
        <f>VLOOKUP(A572,Table!B:C,2,0)</f>
        <v>汤臣倍健</v>
      </c>
      <c r="F572" t="str">
        <f>TRIM(VLOOKUP(A572,Table!B:O,14,0))</f>
        <v>食品饮料</v>
      </c>
      <c r="G572" t="str">
        <f>VLOOKUP(F572,industry!A:C,2,0)</f>
        <v>食品</v>
      </c>
      <c r="H572" t="str">
        <f>VLOOKUP(F572,industry!A:C,3,0)</f>
        <v>食</v>
      </c>
      <c r="J572" s="2" t="s">
        <v>12585</v>
      </c>
      <c r="K572" t="str">
        <f t="shared" si="50"/>
        <v>sz300146</v>
      </c>
      <c r="L572" t="str">
        <f t="shared" si="51"/>
        <v>汤臣倍健</v>
      </c>
      <c r="M572" t="str">
        <f t="shared" si="52"/>
        <v>食品</v>
      </c>
      <c r="N572" t="str">
        <f t="shared" si="53"/>
        <v>食</v>
      </c>
      <c r="P572" s="2" t="s">
        <v>12585</v>
      </c>
      <c r="Q572" t="s">
        <v>12318</v>
      </c>
      <c r="R572">
        <v>0</v>
      </c>
    </row>
    <row r="573" spans="1:18" x14ac:dyDescent="0.25">
      <c r="A573" t="s">
        <v>11271</v>
      </c>
      <c r="C573" t="str">
        <f t="shared" si="48"/>
        <v>sh</v>
      </c>
      <c r="D573" t="str">
        <f t="shared" si="49"/>
        <v>sh600545</v>
      </c>
      <c r="E573" t="str">
        <f>VLOOKUP(A573,Table!B:C,2,0)</f>
        <v>新疆城建</v>
      </c>
      <c r="F573" t="str">
        <f>TRIM(VLOOKUP(A573,Table!B:O,14,0))</f>
        <v>工程建设</v>
      </c>
      <c r="G573" t="str">
        <f>VLOOKUP(F573,industry!A:C,2,0)</f>
        <v>工建</v>
      </c>
      <c r="H573" t="str">
        <f>VLOOKUP(F573,industry!A:C,3,0)</f>
        <v>建</v>
      </c>
      <c r="J573" s="2" t="s">
        <v>12585</v>
      </c>
      <c r="K573" t="str">
        <f t="shared" si="50"/>
        <v>sh600545</v>
      </c>
      <c r="L573" t="str">
        <f t="shared" si="51"/>
        <v>新疆城建</v>
      </c>
      <c r="M573" t="str">
        <f t="shared" si="52"/>
        <v>工建</v>
      </c>
      <c r="N573" t="str">
        <f t="shared" si="53"/>
        <v>建</v>
      </c>
      <c r="P573" s="2" t="s">
        <v>12585</v>
      </c>
      <c r="Q573" t="s">
        <v>12400</v>
      </c>
      <c r="R573">
        <v>0</v>
      </c>
    </row>
    <row r="574" spans="1:18" x14ac:dyDescent="0.25">
      <c r="A574" t="s">
        <v>11272</v>
      </c>
      <c r="C574" t="str">
        <f t="shared" si="48"/>
        <v>sz</v>
      </c>
      <c r="D574" t="str">
        <f t="shared" si="49"/>
        <v>sz002302</v>
      </c>
      <c r="E574" t="str">
        <f>VLOOKUP(A574,Table!B:C,2,0)</f>
        <v>西部建设</v>
      </c>
      <c r="F574" t="str">
        <f>TRIM(VLOOKUP(A574,Table!B:O,14,0))</f>
        <v>水泥建材</v>
      </c>
      <c r="G574" t="str">
        <f>VLOOKUP(F574,industry!A:C,2,0)</f>
        <v>水泥</v>
      </c>
      <c r="H574" t="str">
        <f>VLOOKUP(F574,industry!A:C,3,0)</f>
        <v>泥</v>
      </c>
      <c r="J574" s="2" t="s">
        <v>12585</v>
      </c>
      <c r="K574" t="str">
        <f t="shared" si="50"/>
        <v>sz002302</v>
      </c>
      <c r="L574" t="str">
        <f t="shared" si="51"/>
        <v>西部建设</v>
      </c>
      <c r="M574" t="str">
        <f t="shared" si="52"/>
        <v>水泥</v>
      </c>
      <c r="N574" t="str">
        <f t="shared" si="53"/>
        <v>泥</v>
      </c>
      <c r="P574" s="2" t="s">
        <v>12585</v>
      </c>
      <c r="Q574" t="s">
        <v>12653</v>
      </c>
      <c r="R574">
        <v>0</v>
      </c>
    </row>
    <row r="575" spans="1:18" x14ac:dyDescent="0.25">
      <c r="A575" t="s">
        <v>11273</v>
      </c>
      <c r="C575" t="str">
        <f t="shared" si="48"/>
        <v>sz</v>
      </c>
      <c r="D575" t="str">
        <f t="shared" si="49"/>
        <v>sz002249</v>
      </c>
      <c r="E575" t="str">
        <f>VLOOKUP(A575,Table!B:C,2,0)</f>
        <v>大洋电机</v>
      </c>
      <c r="F575" t="str">
        <f>TRIM(VLOOKUP(A575,Table!B:O,14,0))</f>
        <v>机械行业</v>
      </c>
      <c r="G575" t="str">
        <f>VLOOKUP(F575,industry!A:C,2,0)</f>
        <v>机械</v>
      </c>
      <c r="H575" t="str">
        <f>VLOOKUP(F575,industry!A:C,3,0)</f>
        <v>械</v>
      </c>
      <c r="J575" s="2" t="s">
        <v>12585</v>
      </c>
      <c r="K575" t="str">
        <f t="shared" si="50"/>
        <v>sz002249</v>
      </c>
      <c r="L575" t="str">
        <f t="shared" si="51"/>
        <v>大洋电机</v>
      </c>
      <c r="M575" t="str">
        <f t="shared" si="52"/>
        <v>机械</v>
      </c>
      <c r="N575" t="str">
        <f t="shared" si="53"/>
        <v>械</v>
      </c>
      <c r="P575" s="2" t="s">
        <v>12585</v>
      </c>
      <c r="Q575" t="s">
        <v>10468</v>
      </c>
      <c r="R575">
        <v>0</v>
      </c>
    </row>
    <row r="576" spans="1:18" x14ac:dyDescent="0.25">
      <c r="A576" t="s">
        <v>11274</v>
      </c>
      <c r="C576" t="str">
        <f t="shared" si="48"/>
        <v>sz</v>
      </c>
      <c r="D576" t="str">
        <f t="shared" si="49"/>
        <v>sz002080</v>
      </c>
      <c r="E576" t="str">
        <f>VLOOKUP(A576,Table!B:C,2,0)</f>
        <v>中材科技</v>
      </c>
      <c r="F576" t="str">
        <f>TRIM(VLOOKUP(A576,Table!B:O,14,0))</f>
        <v>玻璃陶瓷</v>
      </c>
      <c r="G576" t="str">
        <f>VLOOKUP(F576,industry!A:C,2,0)</f>
        <v>玻璃</v>
      </c>
      <c r="H576" t="str">
        <f>VLOOKUP(F576,industry!A:C,3,0)</f>
        <v>瓷</v>
      </c>
      <c r="J576" s="2" t="s">
        <v>12585</v>
      </c>
      <c r="K576" t="str">
        <f t="shared" si="50"/>
        <v>sz002080</v>
      </c>
      <c r="L576" t="str">
        <f t="shared" si="51"/>
        <v>中材科技</v>
      </c>
      <c r="M576" t="str">
        <f t="shared" si="52"/>
        <v>玻璃</v>
      </c>
      <c r="N576" t="str">
        <f t="shared" si="53"/>
        <v>瓷</v>
      </c>
      <c r="P576" s="2" t="s">
        <v>12585</v>
      </c>
      <c r="Q576" t="s">
        <v>12654</v>
      </c>
      <c r="R576">
        <v>0</v>
      </c>
    </row>
    <row r="577" spans="1:18" x14ac:dyDescent="0.25">
      <c r="A577" t="s">
        <v>11275</v>
      </c>
      <c r="C577" t="str">
        <f t="shared" si="48"/>
        <v>sz</v>
      </c>
      <c r="D577" t="str">
        <f t="shared" si="49"/>
        <v>sz300088</v>
      </c>
      <c r="E577" t="str">
        <f>VLOOKUP(A577,Table!B:C,2,0)</f>
        <v>长信科技</v>
      </c>
      <c r="F577" t="str">
        <f>TRIM(VLOOKUP(A577,Table!B:O,14,0))</f>
        <v>电子元件</v>
      </c>
      <c r="G577" t="str">
        <f>VLOOKUP(F577,industry!A:C,2,0)</f>
        <v>原件</v>
      </c>
      <c r="H577" t="str">
        <f>VLOOKUP(F577,industry!A:C,3,0)</f>
        <v>元件</v>
      </c>
      <c r="J577" s="2" t="s">
        <v>12585</v>
      </c>
      <c r="K577" t="str">
        <f t="shared" si="50"/>
        <v>sz300088</v>
      </c>
      <c r="L577" t="str">
        <f t="shared" si="51"/>
        <v>长信科技</v>
      </c>
      <c r="M577" t="str">
        <f t="shared" si="52"/>
        <v>原件</v>
      </c>
      <c r="N577" t="str">
        <f t="shared" si="53"/>
        <v>元件</v>
      </c>
      <c r="P577" s="2" t="s">
        <v>12585</v>
      </c>
      <c r="Q577" t="s">
        <v>12486</v>
      </c>
      <c r="R577">
        <v>0</v>
      </c>
    </row>
    <row r="578" spans="1:18" x14ac:dyDescent="0.25">
      <c r="A578" t="s">
        <v>11276</v>
      </c>
      <c r="C578" t="str">
        <f t="shared" si="48"/>
        <v>sh</v>
      </c>
      <c r="D578" t="str">
        <f t="shared" si="49"/>
        <v>sh600737</v>
      </c>
      <c r="E578" t="str">
        <f>VLOOKUP(A578,Table!B:C,2,0)</f>
        <v>中粮糖业</v>
      </c>
      <c r="F578" t="str">
        <f>TRIM(VLOOKUP(A578,Table!B:O,14,0))</f>
        <v>食品饮料</v>
      </c>
      <c r="G578" t="str">
        <f>VLOOKUP(F578,industry!A:C,2,0)</f>
        <v>食品</v>
      </c>
      <c r="H578" t="str">
        <f>VLOOKUP(F578,industry!A:C,3,0)</f>
        <v>食</v>
      </c>
      <c r="J578" s="2" t="s">
        <v>12585</v>
      </c>
      <c r="K578" t="str">
        <f t="shared" si="50"/>
        <v>sh600737</v>
      </c>
      <c r="L578" t="str">
        <f t="shared" si="51"/>
        <v>中粮糖业</v>
      </c>
      <c r="M578" t="str">
        <f t="shared" si="52"/>
        <v>食品</v>
      </c>
      <c r="N578" t="str">
        <f t="shared" si="53"/>
        <v>食</v>
      </c>
      <c r="P578" s="2" t="s">
        <v>12585</v>
      </c>
      <c r="Q578" t="s">
        <v>10464</v>
      </c>
      <c r="R578">
        <v>0</v>
      </c>
    </row>
    <row r="579" spans="1:18" x14ac:dyDescent="0.25">
      <c r="A579" t="s">
        <v>11277</v>
      </c>
      <c r="C579" t="str">
        <f t="shared" ref="C579:C642" si="54">IF(LEFT(A579,1)="6","sh","sz")</f>
        <v>sh</v>
      </c>
      <c r="D579" t="str">
        <f t="shared" ref="D579:D642" si="55">C579 &amp; A579</f>
        <v>sh603899</v>
      </c>
      <c r="E579" t="str">
        <f>VLOOKUP(A579,Table!B:C,2,0)</f>
        <v>晨光文具</v>
      </c>
      <c r="F579" t="str">
        <f>TRIM(VLOOKUP(A579,Table!B:O,14,0))</f>
        <v>文教休闲</v>
      </c>
      <c r="G579" t="str">
        <f>VLOOKUP(F579,industry!A:C,2,0)</f>
        <v>文教</v>
      </c>
      <c r="H579" t="str">
        <f>VLOOKUP(F579,industry!A:C,3,0)</f>
        <v>文</v>
      </c>
      <c r="J579" s="2" t="s">
        <v>12585</v>
      </c>
      <c r="K579" t="str">
        <f t="shared" ref="K579:K642" si="56">D579</f>
        <v>sh603899</v>
      </c>
      <c r="L579" t="str">
        <f t="shared" ref="L579:L642" si="57">E579</f>
        <v>晨光文具</v>
      </c>
      <c r="M579" t="str">
        <f t="shared" ref="M579:M642" si="58">G579</f>
        <v>文教</v>
      </c>
      <c r="N579" t="str">
        <f t="shared" ref="N579:N642" si="59">H579</f>
        <v>文</v>
      </c>
      <c r="P579" s="2" t="s">
        <v>12585</v>
      </c>
      <c r="Q579" t="s">
        <v>12655</v>
      </c>
      <c r="R579">
        <v>0</v>
      </c>
    </row>
    <row r="580" spans="1:18" x14ac:dyDescent="0.25">
      <c r="A580" t="s">
        <v>11278</v>
      </c>
      <c r="C580" t="str">
        <f t="shared" si="54"/>
        <v>sh</v>
      </c>
      <c r="D580" t="str">
        <f t="shared" si="55"/>
        <v>sh600639</v>
      </c>
      <c r="E580" t="str">
        <f>VLOOKUP(A580,Table!B:C,2,0)</f>
        <v>浦东金桥</v>
      </c>
      <c r="F580" t="str">
        <f>TRIM(VLOOKUP(A580,Table!B:O,14,0))</f>
        <v>房地产</v>
      </c>
      <c r="G580" t="str">
        <f>VLOOKUP(F580,industry!A:C,2,0)</f>
        <v>房产</v>
      </c>
      <c r="H580" t="str">
        <f>VLOOKUP(F580,industry!A:C,3,0)</f>
        <v>产</v>
      </c>
      <c r="J580" s="2" t="s">
        <v>12585</v>
      </c>
      <c r="K580" t="str">
        <f t="shared" si="56"/>
        <v>sh600639</v>
      </c>
      <c r="L580" t="str">
        <f t="shared" si="57"/>
        <v>浦东金桥</v>
      </c>
      <c r="M580" t="str">
        <f t="shared" si="58"/>
        <v>房产</v>
      </c>
      <c r="N580" t="str">
        <f t="shared" si="59"/>
        <v>产</v>
      </c>
      <c r="P580" s="2" t="s">
        <v>12585</v>
      </c>
      <c r="Q580" t="s">
        <v>10604</v>
      </c>
      <c r="R580">
        <v>0</v>
      </c>
    </row>
    <row r="581" spans="1:18" x14ac:dyDescent="0.25">
      <c r="A581" t="s">
        <v>11279</v>
      </c>
      <c r="C581" t="str">
        <f t="shared" si="54"/>
        <v>sh</v>
      </c>
      <c r="D581" t="str">
        <f t="shared" si="55"/>
        <v>sh601588</v>
      </c>
      <c r="E581" t="str">
        <f>VLOOKUP(A581,Table!B:C,2,0)</f>
        <v>北辰实业</v>
      </c>
      <c r="F581" t="str">
        <f>TRIM(VLOOKUP(A581,Table!B:O,14,0))</f>
        <v>房地产</v>
      </c>
      <c r="G581" t="str">
        <f>VLOOKUP(F581,industry!A:C,2,0)</f>
        <v>房产</v>
      </c>
      <c r="H581" t="str">
        <f>VLOOKUP(F581,industry!A:C,3,0)</f>
        <v>产</v>
      </c>
      <c r="J581" s="2" t="s">
        <v>12585</v>
      </c>
      <c r="K581" t="str">
        <f t="shared" si="56"/>
        <v>sh601588</v>
      </c>
      <c r="L581" t="str">
        <f t="shared" si="57"/>
        <v>北辰实业</v>
      </c>
      <c r="M581" t="str">
        <f t="shared" si="58"/>
        <v>房产</v>
      </c>
      <c r="N581" t="str">
        <f t="shared" si="59"/>
        <v>产</v>
      </c>
      <c r="P581" s="2" t="s">
        <v>12585</v>
      </c>
      <c r="Q581" t="s">
        <v>12656</v>
      </c>
      <c r="R581">
        <v>0</v>
      </c>
    </row>
    <row r="582" spans="1:18" x14ac:dyDescent="0.25">
      <c r="A582" t="s">
        <v>11280</v>
      </c>
      <c r="C582" t="str">
        <f t="shared" si="54"/>
        <v>sh</v>
      </c>
      <c r="D582" t="str">
        <f t="shared" si="55"/>
        <v>sh601163</v>
      </c>
      <c r="E582" t="str">
        <f>VLOOKUP(A582,Table!B:C,2,0)</f>
        <v>三角轮胎</v>
      </c>
      <c r="F582" t="str">
        <f>TRIM(VLOOKUP(A582,Table!B:O,14,0))</f>
        <v>塑胶制品</v>
      </c>
      <c r="G582" t="str">
        <f>VLOOKUP(F582,industry!A:C,2,0)</f>
        <v>塑胶</v>
      </c>
      <c r="H582" t="str">
        <f>VLOOKUP(F582,industry!A:C,3,0)</f>
        <v>塑</v>
      </c>
      <c r="J582" s="2" t="s">
        <v>12585</v>
      </c>
      <c r="K582" t="str">
        <f t="shared" si="56"/>
        <v>sh601163</v>
      </c>
      <c r="L582" t="str">
        <f t="shared" si="57"/>
        <v>三角轮胎</v>
      </c>
      <c r="M582" t="str">
        <f t="shared" si="58"/>
        <v>塑胶</v>
      </c>
      <c r="N582" t="str">
        <f t="shared" si="59"/>
        <v>塑</v>
      </c>
      <c r="P582" s="2" t="s">
        <v>12585</v>
      </c>
      <c r="Q582" t="s">
        <v>10189</v>
      </c>
      <c r="R582">
        <v>0</v>
      </c>
    </row>
    <row r="583" spans="1:18" x14ac:dyDescent="0.25">
      <c r="A583" t="s">
        <v>11281</v>
      </c>
      <c r="C583" t="str">
        <f t="shared" si="54"/>
        <v>sz</v>
      </c>
      <c r="D583" t="str">
        <f t="shared" si="55"/>
        <v>sz300601</v>
      </c>
      <c r="E583" t="str">
        <f>VLOOKUP(A583,Table!B:C,2,0)</f>
        <v>康泰生物</v>
      </c>
      <c r="F583" t="str">
        <f>TRIM(VLOOKUP(A583,Table!B:O,14,0))</f>
        <v>医药制造</v>
      </c>
      <c r="G583" t="str">
        <f>VLOOKUP(F583,industry!A:C,2,0)</f>
        <v>医药</v>
      </c>
      <c r="H583" t="str">
        <f>VLOOKUP(F583,industry!A:C,3,0)</f>
        <v>药</v>
      </c>
      <c r="J583" s="2" t="s">
        <v>12585</v>
      </c>
      <c r="K583" t="str">
        <f t="shared" si="56"/>
        <v>sz300601</v>
      </c>
      <c r="L583" t="str">
        <f t="shared" si="57"/>
        <v>康泰生物</v>
      </c>
      <c r="M583" t="str">
        <f t="shared" si="58"/>
        <v>医药</v>
      </c>
      <c r="N583" t="str">
        <f t="shared" si="59"/>
        <v>药</v>
      </c>
      <c r="P583" s="2" t="s">
        <v>12585</v>
      </c>
      <c r="Q583" t="s">
        <v>12657</v>
      </c>
      <c r="R583">
        <v>0</v>
      </c>
    </row>
    <row r="584" spans="1:18" x14ac:dyDescent="0.25">
      <c r="A584" t="s">
        <v>11282</v>
      </c>
      <c r="C584" t="str">
        <f t="shared" si="54"/>
        <v>sz</v>
      </c>
      <c r="D584" t="str">
        <f t="shared" si="55"/>
        <v>sz300324</v>
      </c>
      <c r="E584" t="str">
        <f>VLOOKUP(A584,Table!B:C,2,0)</f>
        <v>旋极信息</v>
      </c>
      <c r="F584" t="str">
        <f>TRIM(VLOOKUP(A584,Table!B:O,14,0))</f>
        <v>软件服务</v>
      </c>
      <c r="G584" t="str">
        <f>VLOOKUP(F584,industry!A:C,2,0)</f>
        <v>软件</v>
      </c>
      <c r="H584" t="str">
        <f>VLOOKUP(F584,industry!A:C,3,0)</f>
        <v>软</v>
      </c>
      <c r="J584" s="2" t="s">
        <v>12585</v>
      </c>
      <c r="K584" t="str">
        <f t="shared" si="56"/>
        <v>sz300324</v>
      </c>
      <c r="L584" t="str">
        <f t="shared" si="57"/>
        <v>旋极信息</v>
      </c>
      <c r="M584" t="str">
        <f t="shared" si="58"/>
        <v>软件</v>
      </c>
      <c r="N584" t="str">
        <f t="shared" si="59"/>
        <v>软</v>
      </c>
      <c r="P584" s="2" t="s">
        <v>12585</v>
      </c>
      <c r="Q584" t="s">
        <v>10526</v>
      </c>
      <c r="R584">
        <v>0</v>
      </c>
    </row>
    <row r="585" spans="1:18" x14ac:dyDescent="0.25">
      <c r="A585" t="s">
        <v>11283</v>
      </c>
      <c r="C585" t="str">
        <f t="shared" si="54"/>
        <v>sz</v>
      </c>
      <c r="D585" t="str">
        <f t="shared" si="55"/>
        <v>sz002038</v>
      </c>
      <c r="E585" t="str">
        <f>VLOOKUP(A585,Table!B:C,2,0)</f>
        <v>双鹭药业</v>
      </c>
      <c r="F585" t="str">
        <f>TRIM(VLOOKUP(A585,Table!B:O,14,0))</f>
        <v>医药制造</v>
      </c>
      <c r="G585" t="str">
        <f>VLOOKUP(F585,industry!A:C,2,0)</f>
        <v>医药</v>
      </c>
      <c r="H585" t="str">
        <f>VLOOKUP(F585,industry!A:C,3,0)</f>
        <v>药</v>
      </c>
      <c r="J585" s="2" t="s">
        <v>12585</v>
      </c>
      <c r="K585" t="str">
        <f t="shared" si="56"/>
        <v>sz002038</v>
      </c>
      <c r="L585" t="str">
        <f t="shared" si="57"/>
        <v>双鹭药业</v>
      </c>
      <c r="M585" t="str">
        <f t="shared" si="58"/>
        <v>医药</v>
      </c>
      <c r="N585" t="str">
        <f t="shared" si="59"/>
        <v>药</v>
      </c>
      <c r="P585" s="2" t="s">
        <v>12585</v>
      </c>
      <c r="Q585" t="s">
        <v>10662</v>
      </c>
      <c r="R585">
        <v>0</v>
      </c>
    </row>
    <row r="586" spans="1:18" x14ac:dyDescent="0.25">
      <c r="A586" t="s">
        <v>11284</v>
      </c>
      <c r="C586" t="str">
        <f t="shared" si="54"/>
        <v>sh</v>
      </c>
      <c r="D586" t="str">
        <f t="shared" si="55"/>
        <v>sh601003</v>
      </c>
      <c r="E586" t="str">
        <f>VLOOKUP(A586,Table!B:C,2,0)</f>
        <v>柳钢股份</v>
      </c>
      <c r="F586" t="str">
        <f>TRIM(VLOOKUP(A586,Table!B:O,14,0))</f>
        <v>钢铁行业</v>
      </c>
      <c r="G586" t="str">
        <f>VLOOKUP(F586,industry!A:C,2,0)</f>
        <v>钢铁</v>
      </c>
      <c r="H586" t="str">
        <f>VLOOKUP(F586,industry!A:C,3,0)</f>
        <v>钢</v>
      </c>
      <c r="J586" s="2" t="s">
        <v>12585</v>
      </c>
      <c r="K586" t="str">
        <f t="shared" si="56"/>
        <v>sh601003</v>
      </c>
      <c r="L586" t="str">
        <f t="shared" si="57"/>
        <v>柳钢股份</v>
      </c>
      <c r="M586" t="str">
        <f t="shared" si="58"/>
        <v>钢铁</v>
      </c>
      <c r="N586" t="str">
        <f t="shared" si="59"/>
        <v>钢</v>
      </c>
      <c r="P586" s="2" t="s">
        <v>12585</v>
      </c>
      <c r="Q586" t="s">
        <v>12658</v>
      </c>
      <c r="R586">
        <v>0</v>
      </c>
    </row>
    <row r="587" spans="1:18" x14ac:dyDescent="0.25">
      <c r="A587" t="s">
        <v>11285</v>
      </c>
      <c r="C587" t="str">
        <f t="shared" si="54"/>
        <v>sh</v>
      </c>
      <c r="D587" t="str">
        <f t="shared" si="55"/>
        <v>sh600779</v>
      </c>
      <c r="E587" t="str">
        <f>VLOOKUP(A587,Table!B:C,2,0)</f>
        <v>水井坊</v>
      </c>
      <c r="F587" t="str">
        <f>TRIM(VLOOKUP(A587,Table!B:O,14,0))</f>
        <v>酿酒行业</v>
      </c>
      <c r="G587" t="str">
        <f>VLOOKUP(F587,industry!A:C,2,0)</f>
        <v>酿酒</v>
      </c>
      <c r="H587" t="str">
        <f>VLOOKUP(F587,industry!A:C,3,0)</f>
        <v>酒</v>
      </c>
      <c r="J587" s="2" t="s">
        <v>12585</v>
      </c>
      <c r="K587" t="str">
        <f t="shared" si="56"/>
        <v>sh600779</v>
      </c>
      <c r="L587" t="str">
        <f t="shared" si="57"/>
        <v>水井坊</v>
      </c>
      <c r="M587" t="str">
        <f t="shared" si="58"/>
        <v>酿酒</v>
      </c>
      <c r="N587" t="str">
        <f t="shared" si="59"/>
        <v>酒</v>
      </c>
      <c r="P587" s="2" t="s">
        <v>12585</v>
      </c>
      <c r="Q587" t="s">
        <v>12659</v>
      </c>
      <c r="R587">
        <v>0</v>
      </c>
    </row>
    <row r="588" spans="1:18" x14ac:dyDescent="0.25">
      <c r="A588" t="s">
        <v>11286</v>
      </c>
      <c r="C588" t="str">
        <f t="shared" si="54"/>
        <v>sh</v>
      </c>
      <c r="D588" t="str">
        <f t="shared" si="55"/>
        <v>sh600687</v>
      </c>
      <c r="E588" t="str">
        <f>VLOOKUP(A588,Table!B:C,2,0)</f>
        <v>刚泰控股</v>
      </c>
      <c r="F588" t="str">
        <f>TRIM(VLOOKUP(A588,Table!B:O,14,0))</f>
        <v>贵金属</v>
      </c>
      <c r="G588" t="str">
        <f>VLOOKUP(F588,industry!A:C,2,0)</f>
        <v>贵金</v>
      </c>
      <c r="H588" t="str">
        <f>VLOOKUP(F588,industry!A:C,3,0)</f>
        <v>贵</v>
      </c>
      <c r="J588" s="2" t="s">
        <v>12585</v>
      </c>
      <c r="K588" t="str">
        <f t="shared" si="56"/>
        <v>sh600687</v>
      </c>
      <c r="L588" t="str">
        <f t="shared" si="57"/>
        <v>刚泰控股</v>
      </c>
      <c r="M588" t="str">
        <f t="shared" si="58"/>
        <v>贵金</v>
      </c>
      <c r="N588" t="str">
        <f t="shared" si="59"/>
        <v>贵</v>
      </c>
      <c r="P588" s="2" t="s">
        <v>12585</v>
      </c>
      <c r="Q588" t="s">
        <v>10434</v>
      </c>
      <c r="R588">
        <v>0</v>
      </c>
    </row>
    <row r="589" spans="1:18" x14ac:dyDescent="0.25">
      <c r="A589" t="s">
        <v>11287</v>
      </c>
      <c r="C589" t="str">
        <f t="shared" si="54"/>
        <v>sz</v>
      </c>
      <c r="D589" t="str">
        <f t="shared" si="55"/>
        <v>sz002210</v>
      </c>
      <c r="E589" t="str">
        <f>VLOOKUP(A589,Table!B:C,2,0)</f>
        <v>飞马国际</v>
      </c>
      <c r="F589" t="str">
        <f>TRIM(VLOOKUP(A589,Table!B:O,14,0))</f>
        <v>交运物流</v>
      </c>
      <c r="G589" t="str">
        <f>VLOOKUP(F589,industry!A:C,2,0)</f>
        <v>物流</v>
      </c>
      <c r="H589" t="str">
        <f>VLOOKUP(F589,industry!A:C,3,0)</f>
        <v>物</v>
      </c>
      <c r="J589" s="2" t="s">
        <v>12585</v>
      </c>
      <c r="K589" t="str">
        <f t="shared" si="56"/>
        <v>sz002210</v>
      </c>
      <c r="L589" t="str">
        <f t="shared" si="57"/>
        <v>飞马国际</v>
      </c>
      <c r="M589" t="str">
        <f t="shared" si="58"/>
        <v>物流</v>
      </c>
      <c r="N589" t="str">
        <f t="shared" si="59"/>
        <v>物</v>
      </c>
      <c r="P589" s="2" t="s">
        <v>12585</v>
      </c>
      <c r="Q589" t="s">
        <v>12660</v>
      </c>
      <c r="R589">
        <v>0</v>
      </c>
    </row>
    <row r="590" spans="1:18" x14ac:dyDescent="0.25">
      <c r="A590" t="s">
        <v>11288</v>
      </c>
      <c r="C590" t="str">
        <f t="shared" si="54"/>
        <v>sz</v>
      </c>
      <c r="D590" t="str">
        <f t="shared" si="55"/>
        <v>sz002152</v>
      </c>
      <c r="E590" t="str">
        <f>VLOOKUP(A590,Table!B:C,2,0)</f>
        <v>广电运通</v>
      </c>
      <c r="F590" t="str">
        <f>TRIM(VLOOKUP(A590,Table!B:O,14,0))</f>
        <v>电子信息</v>
      </c>
      <c r="G590" t="str">
        <f>VLOOKUP(F590,industry!A:C,2,0)</f>
        <v>信息</v>
      </c>
      <c r="H590" t="str">
        <f>VLOOKUP(F590,industry!A:C,3,0)</f>
        <v>咨</v>
      </c>
      <c r="J590" s="2" t="s">
        <v>12585</v>
      </c>
      <c r="K590" t="str">
        <f t="shared" si="56"/>
        <v>sz002152</v>
      </c>
      <c r="L590" t="str">
        <f t="shared" si="57"/>
        <v>广电运通</v>
      </c>
      <c r="M590" t="str">
        <f t="shared" si="58"/>
        <v>信息</v>
      </c>
      <c r="N590" t="str">
        <f t="shared" si="59"/>
        <v>咨</v>
      </c>
      <c r="P590" s="2" t="s">
        <v>12585</v>
      </c>
      <c r="Q590" t="s">
        <v>10424</v>
      </c>
      <c r="R590">
        <v>0</v>
      </c>
    </row>
    <row r="591" spans="1:18" x14ac:dyDescent="0.25">
      <c r="A591" t="s">
        <v>11289</v>
      </c>
      <c r="C591" t="str">
        <f t="shared" si="54"/>
        <v>sz</v>
      </c>
      <c r="D591" t="str">
        <f t="shared" si="55"/>
        <v>sz002389</v>
      </c>
      <c r="E591" t="str">
        <f>VLOOKUP(A591,Table!B:C,2,0)</f>
        <v>南洋科技</v>
      </c>
      <c r="F591" t="str">
        <f>TRIM(VLOOKUP(A591,Table!B:O,14,0))</f>
        <v>电子元件</v>
      </c>
      <c r="G591" t="str">
        <f>VLOOKUP(F591,industry!A:C,2,0)</f>
        <v>原件</v>
      </c>
      <c r="H591" t="str">
        <f>VLOOKUP(F591,industry!A:C,3,0)</f>
        <v>元件</v>
      </c>
      <c r="J591" s="2" t="s">
        <v>12585</v>
      </c>
      <c r="K591" t="str">
        <f t="shared" si="56"/>
        <v>sz002389</v>
      </c>
      <c r="L591" t="str">
        <f t="shared" si="57"/>
        <v>南洋科技</v>
      </c>
      <c r="M591" t="str">
        <f t="shared" si="58"/>
        <v>原件</v>
      </c>
      <c r="N591" t="str">
        <f t="shared" si="59"/>
        <v>元件</v>
      </c>
      <c r="P591" s="2" t="s">
        <v>12585</v>
      </c>
      <c r="Q591" t="s">
        <v>12661</v>
      </c>
      <c r="R591">
        <v>0</v>
      </c>
    </row>
    <row r="592" spans="1:18" x14ac:dyDescent="0.25">
      <c r="A592" t="s">
        <v>11290</v>
      </c>
      <c r="C592" t="str">
        <f t="shared" si="54"/>
        <v>sh</v>
      </c>
      <c r="D592" t="str">
        <f t="shared" si="55"/>
        <v>sh600175</v>
      </c>
      <c r="E592" t="str">
        <f>VLOOKUP(A592,Table!B:C,2,0)</f>
        <v>美都能源</v>
      </c>
      <c r="F592" t="str">
        <f>TRIM(VLOOKUP(A592,Table!B:O,14,0))</f>
        <v>石油行业</v>
      </c>
      <c r="G592" t="str">
        <f>VLOOKUP(F592,industry!A:C,2,0)</f>
        <v>石油</v>
      </c>
      <c r="H592" t="str">
        <f>VLOOKUP(F592,industry!A:C,3,0)</f>
        <v>油</v>
      </c>
      <c r="J592" s="2" t="s">
        <v>12585</v>
      </c>
      <c r="K592" t="str">
        <f t="shared" si="56"/>
        <v>sh600175</v>
      </c>
      <c r="L592" t="str">
        <f t="shared" si="57"/>
        <v>美都能源</v>
      </c>
      <c r="M592" t="str">
        <f t="shared" si="58"/>
        <v>石油</v>
      </c>
      <c r="N592" t="str">
        <f t="shared" si="59"/>
        <v>油</v>
      </c>
      <c r="P592" s="2" t="s">
        <v>12585</v>
      </c>
      <c r="Q592" t="s">
        <v>12173</v>
      </c>
      <c r="R592">
        <v>0</v>
      </c>
    </row>
    <row r="593" spans="1:18" x14ac:dyDescent="0.25">
      <c r="A593" t="s">
        <v>11291</v>
      </c>
      <c r="C593" t="str">
        <f t="shared" si="54"/>
        <v>sz</v>
      </c>
      <c r="D593" t="str">
        <f t="shared" si="55"/>
        <v>sz000717</v>
      </c>
      <c r="E593" t="str">
        <f>VLOOKUP(A593,Table!B:C,2,0)</f>
        <v>韶钢松山</v>
      </c>
      <c r="F593" t="str">
        <f>TRIM(VLOOKUP(A593,Table!B:O,14,0))</f>
        <v>钢铁行业</v>
      </c>
      <c r="G593" t="str">
        <f>VLOOKUP(F593,industry!A:C,2,0)</f>
        <v>钢铁</v>
      </c>
      <c r="H593" t="str">
        <f>VLOOKUP(F593,industry!A:C,3,0)</f>
        <v>钢</v>
      </c>
      <c r="J593" s="2" t="s">
        <v>12585</v>
      </c>
      <c r="K593" t="str">
        <f t="shared" si="56"/>
        <v>sz000717</v>
      </c>
      <c r="L593" t="str">
        <f t="shared" si="57"/>
        <v>韶钢松山</v>
      </c>
      <c r="M593" t="str">
        <f t="shared" si="58"/>
        <v>钢铁</v>
      </c>
      <c r="N593" t="str">
        <f t="shared" si="59"/>
        <v>钢</v>
      </c>
      <c r="P593" s="2" t="s">
        <v>12585</v>
      </c>
      <c r="Q593" t="s">
        <v>12662</v>
      </c>
      <c r="R593">
        <v>0</v>
      </c>
    </row>
    <row r="594" spans="1:18" x14ac:dyDescent="0.25">
      <c r="A594" t="s">
        <v>11292</v>
      </c>
      <c r="C594" t="str">
        <f t="shared" si="54"/>
        <v>sh</v>
      </c>
      <c r="D594" t="str">
        <f t="shared" si="55"/>
        <v>sh600120</v>
      </c>
      <c r="E594" t="str">
        <f>VLOOKUP(A594,Table!B:C,2,0)</f>
        <v>浙江东方</v>
      </c>
      <c r="F594" t="str">
        <f>TRIM(VLOOKUP(A594,Table!B:O,14,0))</f>
        <v>国际贸易</v>
      </c>
      <c r="G594" t="str">
        <f>VLOOKUP(F594,industry!A:C,2,0)</f>
        <v>国贸</v>
      </c>
      <c r="H594" t="str">
        <f>VLOOKUP(F594,industry!A:C,3,0)</f>
        <v>贸</v>
      </c>
      <c r="J594" s="2" t="s">
        <v>12585</v>
      </c>
      <c r="K594" t="str">
        <f t="shared" si="56"/>
        <v>sh600120</v>
      </c>
      <c r="L594" t="str">
        <f t="shared" si="57"/>
        <v>浙江东方</v>
      </c>
      <c r="M594" t="str">
        <f t="shared" si="58"/>
        <v>国贸</v>
      </c>
      <c r="N594" t="str">
        <f t="shared" si="59"/>
        <v>贸</v>
      </c>
      <c r="P594" s="2" t="s">
        <v>12585</v>
      </c>
      <c r="Q594" t="s">
        <v>12492</v>
      </c>
      <c r="R594">
        <v>0</v>
      </c>
    </row>
    <row r="595" spans="1:18" x14ac:dyDescent="0.25">
      <c r="A595" t="s">
        <v>11293</v>
      </c>
      <c r="C595" t="str">
        <f t="shared" si="54"/>
        <v>sz</v>
      </c>
      <c r="D595" t="str">
        <f t="shared" si="55"/>
        <v>sz002681</v>
      </c>
      <c r="E595" t="str">
        <f>VLOOKUP(A595,Table!B:C,2,0)</f>
        <v>奋达科技</v>
      </c>
      <c r="F595" t="str">
        <f>TRIM(VLOOKUP(A595,Table!B:O,14,0))</f>
        <v>家电行业</v>
      </c>
      <c r="G595" t="str">
        <f>VLOOKUP(F595,industry!A:C,2,0)</f>
        <v>家电</v>
      </c>
      <c r="H595" t="str">
        <f>VLOOKUP(F595,industry!A:C,3,0)</f>
        <v>家</v>
      </c>
      <c r="J595" s="2" t="s">
        <v>12585</v>
      </c>
      <c r="K595" t="str">
        <f t="shared" si="56"/>
        <v>sz002681</v>
      </c>
      <c r="L595" t="str">
        <f t="shared" si="57"/>
        <v>奋达科技</v>
      </c>
      <c r="M595" t="str">
        <f t="shared" si="58"/>
        <v>家电</v>
      </c>
      <c r="N595" t="str">
        <f t="shared" si="59"/>
        <v>家</v>
      </c>
      <c r="P595" s="2" t="s">
        <v>12585</v>
      </c>
      <c r="Q595" t="s">
        <v>11908</v>
      </c>
      <c r="R595">
        <v>0</v>
      </c>
    </row>
    <row r="596" spans="1:18" x14ac:dyDescent="0.25">
      <c r="A596" t="s">
        <v>11294</v>
      </c>
      <c r="C596" t="str">
        <f t="shared" si="54"/>
        <v>sh</v>
      </c>
      <c r="D596" t="str">
        <f t="shared" si="55"/>
        <v>sh601258</v>
      </c>
      <c r="E596" t="str">
        <f>VLOOKUP(A596,Table!B:C,2,0)</f>
        <v>庞大集团</v>
      </c>
      <c r="F596" t="str">
        <f>TRIM(VLOOKUP(A596,Table!B:O,14,0))</f>
        <v>商业百货</v>
      </c>
      <c r="G596" t="str">
        <f>VLOOKUP(F596,industry!A:C,2,0)</f>
        <v>百货</v>
      </c>
      <c r="H596" t="str">
        <f>VLOOKUP(F596,industry!A:C,3,0)</f>
        <v>商</v>
      </c>
      <c r="J596" s="2" t="s">
        <v>12585</v>
      </c>
      <c r="K596" t="str">
        <f t="shared" si="56"/>
        <v>sh601258</v>
      </c>
      <c r="L596" t="str">
        <f t="shared" si="57"/>
        <v>庞大集团</v>
      </c>
      <c r="M596" t="str">
        <f t="shared" si="58"/>
        <v>百货</v>
      </c>
      <c r="N596" t="str">
        <f t="shared" si="59"/>
        <v>商</v>
      </c>
      <c r="P596" s="2" t="s">
        <v>12585</v>
      </c>
      <c r="Q596" t="s">
        <v>12197</v>
      </c>
      <c r="R596">
        <v>0</v>
      </c>
    </row>
    <row r="597" spans="1:18" x14ac:dyDescent="0.25">
      <c r="A597" t="s">
        <v>11295</v>
      </c>
      <c r="C597" t="str">
        <f t="shared" si="54"/>
        <v>sh</v>
      </c>
      <c r="D597" t="str">
        <f t="shared" si="55"/>
        <v>sh600811</v>
      </c>
      <c r="E597" t="str">
        <f>VLOOKUP(A597,Table!B:C,2,0)</f>
        <v>东方集团</v>
      </c>
      <c r="F597" t="str">
        <f>TRIM(VLOOKUP(A597,Table!B:O,14,0))</f>
        <v>综合行业</v>
      </c>
      <c r="G597" t="str">
        <f>VLOOKUP(F597,industry!A:C,2,0)</f>
        <v>综合</v>
      </c>
      <c r="H597" t="str">
        <f>VLOOKUP(F597,industry!A:C,3,0)</f>
        <v>综</v>
      </c>
      <c r="J597" s="2" t="s">
        <v>12585</v>
      </c>
      <c r="K597" t="str">
        <f t="shared" si="56"/>
        <v>sh600811</v>
      </c>
      <c r="L597" t="str">
        <f t="shared" si="57"/>
        <v>东方集团</v>
      </c>
      <c r="M597" t="str">
        <f t="shared" si="58"/>
        <v>综合</v>
      </c>
      <c r="N597" t="str">
        <f t="shared" si="59"/>
        <v>综</v>
      </c>
      <c r="P597" s="2" t="s">
        <v>12585</v>
      </c>
      <c r="Q597" t="s">
        <v>10684</v>
      </c>
      <c r="R597">
        <v>0</v>
      </c>
    </row>
    <row r="598" spans="1:18" x14ac:dyDescent="0.25">
      <c r="A598" t="s">
        <v>11296</v>
      </c>
      <c r="C598" t="str">
        <f t="shared" si="54"/>
        <v>sh</v>
      </c>
      <c r="D598" t="str">
        <f t="shared" si="55"/>
        <v>sh601139</v>
      </c>
      <c r="E598" t="str">
        <f>VLOOKUP(A598,Table!B:C,2,0)</f>
        <v>深圳燃气</v>
      </c>
      <c r="F598" t="str">
        <f>TRIM(VLOOKUP(A598,Table!B:O,14,0))</f>
        <v>公用事业</v>
      </c>
      <c r="G598" t="str">
        <f>VLOOKUP(F598,industry!A:C,2,0)</f>
        <v>公用</v>
      </c>
      <c r="H598" t="str">
        <f>VLOOKUP(F598,industry!A:C,3,0)</f>
        <v>公</v>
      </c>
      <c r="J598" s="2" t="s">
        <v>12585</v>
      </c>
      <c r="K598" t="str">
        <f t="shared" si="56"/>
        <v>sh601139</v>
      </c>
      <c r="L598" t="str">
        <f t="shared" si="57"/>
        <v>深圳燃气</v>
      </c>
      <c r="M598" t="str">
        <f t="shared" si="58"/>
        <v>公用</v>
      </c>
      <c r="N598" t="str">
        <f t="shared" si="59"/>
        <v>公</v>
      </c>
      <c r="P598" s="2" t="s">
        <v>12585</v>
      </c>
      <c r="Q598" t="s">
        <v>10656</v>
      </c>
      <c r="R598">
        <v>0</v>
      </c>
    </row>
    <row r="599" spans="1:18" x14ac:dyDescent="0.25">
      <c r="A599" t="s">
        <v>11297</v>
      </c>
      <c r="C599" t="str">
        <f t="shared" si="54"/>
        <v>sz</v>
      </c>
      <c r="D599" t="str">
        <f t="shared" si="55"/>
        <v>sz002600</v>
      </c>
      <c r="E599" t="str">
        <f>VLOOKUP(A599,Table!B:C,2,0)</f>
        <v>江粉磁材</v>
      </c>
      <c r="F599" t="str">
        <f>TRIM(VLOOKUP(A599,Table!B:O,14,0))</f>
        <v>材料行业</v>
      </c>
      <c r="G599" t="str">
        <f>VLOOKUP(F599,industry!A:C,2,0)</f>
        <v>材料</v>
      </c>
      <c r="H599" t="str">
        <f>VLOOKUP(F599,industry!A:C,3,0)</f>
        <v>材</v>
      </c>
      <c r="J599" s="2" t="s">
        <v>12585</v>
      </c>
      <c r="K599" t="str">
        <f t="shared" si="56"/>
        <v>sz002600</v>
      </c>
      <c r="L599" t="str">
        <f t="shared" si="57"/>
        <v>江粉磁材</v>
      </c>
      <c r="M599" t="str">
        <f t="shared" si="58"/>
        <v>材料</v>
      </c>
      <c r="N599" t="str">
        <f t="shared" si="59"/>
        <v>材</v>
      </c>
      <c r="P599" s="2" t="s">
        <v>12585</v>
      </c>
      <c r="Q599" t="s">
        <v>12663</v>
      </c>
      <c r="R599">
        <v>0</v>
      </c>
    </row>
    <row r="600" spans="1:18" x14ac:dyDescent="0.25">
      <c r="A600" t="s">
        <v>11298</v>
      </c>
      <c r="C600" t="str">
        <f t="shared" si="54"/>
        <v>sh</v>
      </c>
      <c r="D600" t="str">
        <f t="shared" si="55"/>
        <v>sh601949</v>
      </c>
      <c r="E600" t="str">
        <f>VLOOKUP(A600,Table!B:C,2,0)</f>
        <v>中国出版</v>
      </c>
      <c r="F600" t="str">
        <f>TRIM(VLOOKUP(A600,Table!B:O,14,0))</f>
        <v>文化传媒</v>
      </c>
      <c r="G600" t="str">
        <f>VLOOKUP(F600,industry!A:C,2,0)</f>
        <v>传媒</v>
      </c>
      <c r="H600" t="str">
        <f>VLOOKUP(F600,industry!A:C,3,0)</f>
        <v>传</v>
      </c>
      <c r="J600" s="2" t="s">
        <v>12585</v>
      </c>
      <c r="K600" t="str">
        <f t="shared" si="56"/>
        <v>sh601949</v>
      </c>
      <c r="L600" t="str">
        <f t="shared" si="57"/>
        <v>中国出版</v>
      </c>
      <c r="M600" t="str">
        <f t="shared" si="58"/>
        <v>传媒</v>
      </c>
      <c r="N600" t="str">
        <f t="shared" si="59"/>
        <v>传</v>
      </c>
      <c r="P600" s="2" t="s">
        <v>12585</v>
      </c>
      <c r="Q600" t="s">
        <v>12664</v>
      </c>
      <c r="R600">
        <v>0</v>
      </c>
    </row>
    <row r="601" spans="1:18" x14ac:dyDescent="0.25">
      <c r="A601" t="s">
        <v>11299</v>
      </c>
      <c r="C601" t="str">
        <f t="shared" si="54"/>
        <v>sh</v>
      </c>
      <c r="D601" t="str">
        <f t="shared" si="55"/>
        <v>sh600094</v>
      </c>
      <c r="E601" t="str">
        <f>VLOOKUP(A601,Table!B:C,2,0)</f>
        <v>大名城</v>
      </c>
      <c r="F601" t="str">
        <f>TRIM(VLOOKUP(A601,Table!B:O,14,0))</f>
        <v>房地产</v>
      </c>
      <c r="G601" t="str">
        <f>VLOOKUP(F601,industry!A:C,2,0)</f>
        <v>房产</v>
      </c>
      <c r="H601" t="str">
        <f>VLOOKUP(F601,industry!A:C,3,0)</f>
        <v>产</v>
      </c>
      <c r="J601" s="2" t="s">
        <v>12585</v>
      </c>
      <c r="K601" t="str">
        <f t="shared" si="56"/>
        <v>sh600094</v>
      </c>
      <c r="L601" t="str">
        <f t="shared" si="57"/>
        <v>大名城</v>
      </c>
      <c r="M601" t="str">
        <f t="shared" si="58"/>
        <v>房产</v>
      </c>
      <c r="N601" t="str">
        <f t="shared" si="59"/>
        <v>产</v>
      </c>
      <c r="P601" s="2" t="s">
        <v>12585</v>
      </c>
      <c r="Q601" t="s">
        <v>10551</v>
      </c>
      <c r="R601">
        <v>0</v>
      </c>
    </row>
    <row r="602" spans="1:18" x14ac:dyDescent="0.25">
      <c r="A602" t="s">
        <v>11300</v>
      </c>
      <c r="C602" t="str">
        <f t="shared" si="54"/>
        <v>sh</v>
      </c>
      <c r="D602" t="str">
        <f t="shared" si="55"/>
        <v>sh601200</v>
      </c>
      <c r="E602" t="str">
        <f>VLOOKUP(A602,Table!B:C,2,0)</f>
        <v>上海环境</v>
      </c>
      <c r="F602" t="str">
        <f>TRIM(VLOOKUP(A602,Table!B:O,14,0))</f>
        <v>环保工程</v>
      </c>
      <c r="G602" t="str">
        <f>VLOOKUP(F602,industry!A:C,2,0)</f>
        <v>环保</v>
      </c>
      <c r="H602" t="str">
        <f>VLOOKUP(F602,industry!A:C,3,0)</f>
        <v>环</v>
      </c>
      <c r="J602" s="2" t="s">
        <v>12585</v>
      </c>
      <c r="K602" t="str">
        <f t="shared" si="56"/>
        <v>sh601200</v>
      </c>
      <c r="L602" t="str">
        <f t="shared" si="57"/>
        <v>上海环境</v>
      </c>
      <c r="M602" t="str">
        <f t="shared" si="58"/>
        <v>环保</v>
      </c>
      <c r="N602" t="str">
        <f t="shared" si="59"/>
        <v>环</v>
      </c>
      <c r="P602" s="2" t="s">
        <v>12585</v>
      </c>
      <c r="Q602" t="s">
        <v>12665</v>
      </c>
      <c r="R602">
        <v>0</v>
      </c>
    </row>
    <row r="603" spans="1:18" x14ac:dyDescent="0.25">
      <c r="A603" t="s">
        <v>11301</v>
      </c>
      <c r="C603" t="str">
        <f t="shared" si="54"/>
        <v>sh</v>
      </c>
      <c r="D603" t="str">
        <f t="shared" si="55"/>
        <v>sh600755</v>
      </c>
      <c r="E603" t="str">
        <f>VLOOKUP(A603,Table!B:C,2,0)</f>
        <v>厦门国贸</v>
      </c>
      <c r="F603" t="str">
        <f>TRIM(VLOOKUP(A603,Table!B:O,14,0))</f>
        <v>国际贸易</v>
      </c>
      <c r="G603" t="str">
        <f>VLOOKUP(F603,industry!A:C,2,0)</f>
        <v>国贸</v>
      </c>
      <c r="H603" t="str">
        <f>VLOOKUP(F603,industry!A:C,3,0)</f>
        <v>贸</v>
      </c>
      <c r="J603" s="2" t="s">
        <v>12585</v>
      </c>
      <c r="K603" t="str">
        <f t="shared" si="56"/>
        <v>sh600755</v>
      </c>
      <c r="L603" t="str">
        <f t="shared" si="57"/>
        <v>厦门国贸</v>
      </c>
      <c r="M603" t="str">
        <f t="shared" si="58"/>
        <v>国贸</v>
      </c>
      <c r="N603" t="str">
        <f t="shared" si="59"/>
        <v>贸</v>
      </c>
      <c r="P603" s="2" t="s">
        <v>12585</v>
      </c>
      <c r="Q603" t="s">
        <v>12243</v>
      </c>
      <c r="R603">
        <v>0</v>
      </c>
    </row>
    <row r="604" spans="1:18" x14ac:dyDescent="0.25">
      <c r="A604" t="s">
        <v>11302</v>
      </c>
      <c r="C604" t="str">
        <f t="shared" si="54"/>
        <v>sz</v>
      </c>
      <c r="D604" t="str">
        <f t="shared" si="55"/>
        <v>sz000009</v>
      </c>
      <c r="E604" t="str">
        <f>VLOOKUP(A604,Table!B:C,2,0)</f>
        <v>中国宝安</v>
      </c>
      <c r="F604" t="str">
        <f>TRIM(VLOOKUP(A604,Table!B:O,14,0))</f>
        <v>房地产</v>
      </c>
      <c r="G604" t="str">
        <f>VLOOKUP(F604,industry!A:C,2,0)</f>
        <v>房产</v>
      </c>
      <c r="H604" t="str">
        <f>VLOOKUP(F604,industry!A:C,3,0)</f>
        <v>产</v>
      </c>
      <c r="J604" s="2" t="s">
        <v>12585</v>
      </c>
      <c r="K604" t="str">
        <f t="shared" si="56"/>
        <v>sz000009</v>
      </c>
      <c r="L604" t="str">
        <f t="shared" si="57"/>
        <v>中国宝安</v>
      </c>
      <c r="M604" t="str">
        <f t="shared" si="58"/>
        <v>房产</v>
      </c>
      <c r="N604" t="str">
        <f t="shared" si="59"/>
        <v>产</v>
      </c>
      <c r="P604" s="2" t="s">
        <v>12585</v>
      </c>
      <c r="Q604" t="s">
        <v>10553</v>
      </c>
      <c r="R604">
        <v>0</v>
      </c>
    </row>
    <row r="605" spans="1:18" x14ac:dyDescent="0.25">
      <c r="A605" t="s">
        <v>11303</v>
      </c>
      <c r="C605" t="str">
        <f t="shared" si="54"/>
        <v>sh</v>
      </c>
      <c r="D605" t="str">
        <f t="shared" si="55"/>
        <v>sh600062</v>
      </c>
      <c r="E605" t="str">
        <f>VLOOKUP(A605,Table!B:C,2,0)</f>
        <v>华润双鹤</v>
      </c>
      <c r="F605" t="str">
        <f>TRIM(VLOOKUP(A605,Table!B:O,14,0))</f>
        <v>医药制造</v>
      </c>
      <c r="G605" t="str">
        <f>VLOOKUP(F605,industry!A:C,2,0)</f>
        <v>医药</v>
      </c>
      <c r="H605" t="str">
        <f>VLOOKUP(F605,industry!A:C,3,0)</f>
        <v>药</v>
      </c>
      <c r="J605" s="2" t="s">
        <v>12585</v>
      </c>
      <c r="K605" t="str">
        <f t="shared" si="56"/>
        <v>sh600062</v>
      </c>
      <c r="L605" t="str">
        <f t="shared" si="57"/>
        <v>华润双鹤</v>
      </c>
      <c r="M605" t="str">
        <f t="shared" si="58"/>
        <v>医药</v>
      </c>
      <c r="N605" t="str">
        <f t="shared" si="59"/>
        <v>药</v>
      </c>
      <c r="P605" s="2" t="s">
        <v>12585</v>
      </c>
      <c r="Q605" t="s">
        <v>12031</v>
      </c>
      <c r="R605">
        <v>0</v>
      </c>
    </row>
    <row r="606" spans="1:18" x14ac:dyDescent="0.25">
      <c r="A606" t="s">
        <v>11304</v>
      </c>
      <c r="C606" t="str">
        <f t="shared" si="54"/>
        <v>sz</v>
      </c>
      <c r="D606" t="str">
        <f t="shared" si="55"/>
        <v>sz000923</v>
      </c>
      <c r="E606" t="str">
        <f>VLOOKUP(A606,Table!B:C,2,0)</f>
        <v>河北宣工</v>
      </c>
      <c r="F606" t="str">
        <f>TRIM(VLOOKUP(A606,Table!B:O,14,0))</f>
        <v>机械行业</v>
      </c>
      <c r="G606" t="str">
        <f>VLOOKUP(F606,industry!A:C,2,0)</f>
        <v>机械</v>
      </c>
      <c r="H606" t="str">
        <f>VLOOKUP(F606,industry!A:C,3,0)</f>
        <v>械</v>
      </c>
      <c r="J606" s="2" t="s">
        <v>12585</v>
      </c>
      <c r="K606" t="str">
        <f t="shared" si="56"/>
        <v>sz000923</v>
      </c>
      <c r="L606" t="str">
        <f t="shared" si="57"/>
        <v>河北宣工</v>
      </c>
      <c r="M606" t="str">
        <f t="shared" si="58"/>
        <v>机械</v>
      </c>
      <c r="N606" t="str">
        <f t="shared" si="59"/>
        <v>械</v>
      </c>
      <c r="P606" s="2" t="s">
        <v>12585</v>
      </c>
      <c r="Q606" t="s">
        <v>12666</v>
      </c>
      <c r="R606">
        <v>0</v>
      </c>
    </row>
    <row r="607" spans="1:18" x14ac:dyDescent="0.25">
      <c r="A607" t="s">
        <v>11305</v>
      </c>
      <c r="C607" t="str">
        <f t="shared" si="54"/>
        <v>sz</v>
      </c>
      <c r="D607" t="str">
        <f t="shared" si="55"/>
        <v>sz002183</v>
      </c>
      <c r="E607" t="str">
        <f>VLOOKUP(A607,Table!B:C,2,0)</f>
        <v>怡 亚 通</v>
      </c>
      <c r="F607" t="str">
        <f>TRIM(VLOOKUP(A607,Table!B:O,14,0))</f>
        <v>国际贸易</v>
      </c>
      <c r="G607" t="str">
        <f>VLOOKUP(F607,industry!A:C,2,0)</f>
        <v>国贸</v>
      </c>
      <c r="H607" t="str">
        <f>VLOOKUP(F607,industry!A:C,3,0)</f>
        <v>贸</v>
      </c>
      <c r="J607" s="2" t="s">
        <v>12585</v>
      </c>
      <c r="K607" t="str">
        <f t="shared" si="56"/>
        <v>sz002183</v>
      </c>
      <c r="L607" t="str">
        <f t="shared" si="57"/>
        <v>怡 亚 通</v>
      </c>
      <c r="M607" t="str">
        <f t="shared" si="58"/>
        <v>国贸</v>
      </c>
      <c r="N607" t="str">
        <f t="shared" si="59"/>
        <v>贸</v>
      </c>
      <c r="P607" s="2" t="s">
        <v>12585</v>
      </c>
      <c r="Q607" t="s">
        <v>10358</v>
      </c>
      <c r="R607">
        <v>0</v>
      </c>
    </row>
    <row r="608" spans="1:18" x14ac:dyDescent="0.25">
      <c r="A608" t="s">
        <v>11306</v>
      </c>
      <c r="C608" t="str">
        <f t="shared" si="54"/>
        <v>sz</v>
      </c>
      <c r="D608" t="str">
        <f t="shared" si="55"/>
        <v>sz002354</v>
      </c>
      <c r="E608" t="str">
        <f>VLOOKUP(A608,Table!B:C,2,0)</f>
        <v>天神娱乐</v>
      </c>
      <c r="F608" t="str">
        <f>TRIM(VLOOKUP(A608,Table!B:O,14,0))</f>
        <v>电子信息</v>
      </c>
      <c r="G608" t="str">
        <f>VLOOKUP(F608,industry!A:C,2,0)</f>
        <v>信息</v>
      </c>
      <c r="H608" t="str">
        <f>VLOOKUP(F608,industry!A:C,3,0)</f>
        <v>咨</v>
      </c>
      <c r="J608" s="2" t="s">
        <v>12585</v>
      </c>
      <c r="K608" t="str">
        <f t="shared" si="56"/>
        <v>sz002354</v>
      </c>
      <c r="L608" t="str">
        <f t="shared" si="57"/>
        <v>天神娱乐</v>
      </c>
      <c r="M608" t="str">
        <f t="shared" si="58"/>
        <v>信息</v>
      </c>
      <c r="N608" t="str">
        <f t="shared" si="59"/>
        <v>咨</v>
      </c>
      <c r="P608" s="2" t="s">
        <v>12585</v>
      </c>
      <c r="Q608" t="s">
        <v>10578</v>
      </c>
      <c r="R608">
        <v>0</v>
      </c>
    </row>
    <row r="609" spans="1:18" x14ac:dyDescent="0.25">
      <c r="A609" t="s">
        <v>11307</v>
      </c>
      <c r="C609" t="str">
        <f t="shared" si="54"/>
        <v>sh</v>
      </c>
      <c r="D609" t="str">
        <f t="shared" si="55"/>
        <v>sh600388</v>
      </c>
      <c r="E609" t="str">
        <f>VLOOKUP(A609,Table!B:C,2,0)</f>
        <v>龙净环保</v>
      </c>
      <c r="F609" t="str">
        <f>TRIM(VLOOKUP(A609,Table!B:O,14,0))</f>
        <v>机械行业</v>
      </c>
      <c r="G609" t="str">
        <f>VLOOKUP(F609,industry!A:C,2,0)</f>
        <v>机械</v>
      </c>
      <c r="H609" t="str">
        <f>VLOOKUP(F609,industry!A:C,3,0)</f>
        <v>械</v>
      </c>
      <c r="J609" s="2" t="s">
        <v>12585</v>
      </c>
      <c r="K609" t="str">
        <f t="shared" si="56"/>
        <v>sh600388</v>
      </c>
      <c r="L609" t="str">
        <f t="shared" si="57"/>
        <v>龙净环保</v>
      </c>
      <c r="M609" t="str">
        <f t="shared" si="58"/>
        <v>机械</v>
      </c>
      <c r="N609" t="str">
        <f t="shared" si="59"/>
        <v>械</v>
      </c>
      <c r="P609" s="2" t="s">
        <v>12585</v>
      </c>
      <c r="Q609" t="s">
        <v>12151</v>
      </c>
      <c r="R609">
        <v>0</v>
      </c>
    </row>
    <row r="610" spans="1:18" x14ac:dyDescent="0.25">
      <c r="A610" t="s">
        <v>11308</v>
      </c>
      <c r="C610" t="str">
        <f t="shared" si="54"/>
        <v>sh</v>
      </c>
      <c r="D610" t="str">
        <f t="shared" si="55"/>
        <v>sh600007</v>
      </c>
      <c r="E610" t="str">
        <f>VLOOKUP(A610,Table!B:C,2,0)</f>
        <v>中国国贸</v>
      </c>
      <c r="F610" t="str">
        <f>TRIM(VLOOKUP(A610,Table!B:O,14,0))</f>
        <v>房地产</v>
      </c>
      <c r="G610" t="str">
        <f>VLOOKUP(F610,industry!A:C,2,0)</f>
        <v>房产</v>
      </c>
      <c r="H610" t="str">
        <f>VLOOKUP(F610,industry!A:C,3,0)</f>
        <v>产</v>
      </c>
      <c r="J610" s="2" t="s">
        <v>12585</v>
      </c>
      <c r="K610" t="str">
        <f t="shared" si="56"/>
        <v>sh600007</v>
      </c>
      <c r="L610" t="str">
        <f t="shared" si="57"/>
        <v>中国国贸</v>
      </c>
      <c r="M610" t="str">
        <f t="shared" si="58"/>
        <v>房产</v>
      </c>
      <c r="N610" t="str">
        <f t="shared" si="59"/>
        <v>产</v>
      </c>
      <c r="P610" s="2" t="s">
        <v>12585</v>
      </c>
      <c r="Q610" t="s">
        <v>12667</v>
      </c>
      <c r="R610">
        <v>0</v>
      </c>
    </row>
    <row r="611" spans="1:18" x14ac:dyDescent="0.25">
      <c r="A611" t="s">
        <v>11309</v>
      </c>
      <c r="C611" t="str">
        <f t="shared" si="54"/>
        <v>sz</v>
      </c>
      <c r="D611" t="str">
        <f t="shared" si="55"/>
        <v>sz002131</v>
      </c>
      <c r="E611" t="str">
        <f>VLOOKUP(A611,Table!B:C,2,0)</f>
        <v>利欧股份</v>
      </c>
      <c r="F611" t="str">
        <f>TRIM(VLOOKUP(A611,Table!B:O,14,0))</f>
        <v>电子信息</v>
      </c>
      <c r="G611" t="str">
        <f>VLOOKUP(F611,industry!A:C,2,0)</f>
        <v>信息</v>
      </c>
      <c r="H611" t="str">
        <f>VLOOKUP(F611,industry!A:C,3,0)</f>
        <v>咨</v>
      </c>
      <c r="J611" s="2" t="s">
        <v>12585</v>
      </c>
      <c r="K611" t="str">
        <f t="shared" si="56"/>
        <v>sz002131</v>
      </c>
      <c r="L611" t="str">
        <f t="shared" si="57"/>
        <v>利欧股份</v>
      </c>
      <c r="M611" t="str">
        <f t="shared" si="58"/>
        <v>信息</v>
      </c>
      <c r="N611" t="str">
        <f t="shared" si="59"/>
        <v>咨</v>
      </c>
      <c r="P611" s="2" t="s">
        <v>12585</v>
      </c>
      <c r="Q611" t="s">
        <v>10318</v>
      </c>
      <c r="R611">
        <v>0</v>
      </c>
    </row>
    <row r="612" spans="1:18" x14ac:dyDescent="0.25">
      <c r="A612" t="s">
        <v>11310</v>
      </c>
      <c r="C612" t="str">
        <f t="shared" si="54"/>
        <v>sz</v>
      </c>
      <c r="D612" t="str">
        <f t="shared" si="55"/>
        <v>sz000062</v>
      </c>
      <c r="E612" t="str">
        <f>VLOOKUP(A612,Table!B:C,2,0)</f>
        <v>深圳华强</v>
      </c>
      <c r="F612" t="str">
        <f>TRIM(VLOOKUP(A612,Table!B:O,14,0))</f>
        <v>电子元件</v>
      </c>
      <c r="G612" t="str">
        <f>VLOOKUP(F612,industry!A:C,2,0)</f>
        <v>原件</v>
      </c>
      <c r="H612" t="str">
        <f>VLOOKUP(F612,industry!A:C,3,0)</f>
        <v>元件</v>
      </c>
      <c r="J612" s="2" t="s">
        <v>12585</v>
      </c>
      <c r="K612" t="str">
        <f t="shared" si="56"/>
        <v>sz000062</v>
      </c>
      <c r="L612" t="str">
        <f t="shared" si="57"/>
        <v>深圳华强</v>
      </c>
      <c r="M612" t="str">
        <f t="shared" si="58"/>
        <v>原件</v>
      </c>
      <c r="N612" t="str">
        <f t="shared" si="59"/>
        <v>元件</v>
      </c>
      <c r="P612" s="2" t="s">
        <v>12585</v>
      </c>
      <c r="Q612" t="s">
        <v>12261</v>
      </c>
      <c r="R612">
        <v>0</v>
      </c>
    </row>
    <row r="613" spans="1:18" x14ac:dyDescent="0.25">
      <c r="A613" t="s">
        <v>11311</v>
      </c>
      <c r="C613" t="str">
        <f t="shared" si="54"/>
        <v>sh</v>
      </c>
      <c r="D613" t="str">
        <f t="shared" si="55"/>
        <v>sh600126</v>
      </c>
      <c r="E613" t="str">
        <f>VLOOKUP(A613,Table!B:C,2,0)</f>
        <v>杭钢股份</v>
      </c>
      <c r="F613" t="str">
        <f>TRIM(VLOOKUP(A613,Table!B:O,14,0))</f>
        <v>钢铁行业</v>
      </c>
      <c r="G613" t="str">
        <f>VLOOKUP(F613,industry!A:C,2,0)</f>
        <v>钢铁</v>
      </c>
      <c r="H613" t="str">
        <f>VLOOKUP(F613,industry!A:C,3,0)</f>
        <v>钢</v>
      </c>
      <c r="J613" s="2" t="s">
        <v>12585</v>
      </c>
      <c r="K613" t="str">
        <f t="shared" si="56"/>
        <v>sh600126</v>
      </c>
      <c r="L613" t="str">
        <f t="shared" si="57"/>
        <v>杭钢股份</v>
      </c>
      <c r="M613" t="str">
        <f t="shared" si="58"/>
        <v>钢铁</v>
      </c>
      <c r="N613" t="str">
        <f t="shared" si="59"/>
        <v>钢</v>
      </c>
      <c r="P613" s="2" t="s">
        <v>12585</v>
      </c>
      <c r="Q613" t="s">
        <v>10454</v>
      </c>
      <c r="R613">
        <v>0</v>
      </c>
    </row>
    <row r="614" spans="1:18" x14ac:dyDescent="0.25">
      <c r="A614" t="s">
        <v>11312</v>
      </c>
      <c r="C614" t="str">
        <f t="shared" si="54"/>
        <v>sz</v>
      </c>
      <c r="D614" t="str">
        <f t="shared" si="55"/>
        <v>sz002018</v>
      </c>
      <c r="E614" t="str">
        <f>VLOOKUP(A614,Table!B:C,2,0)</f>
        <v>华信国际</v>
      </c>
      <c r="F614" t="str">
        <f>TRIM(VLOOKUP(A614,Table!B:O,14,0))</f>
        <v>石油行业</v>
      </c>
      <c r="G614" t="str">
        <f>VLOOKUP(F614,industry!A:C,2,0)</f>
        <v>石油</v>
      </c>
      <c r="H614" t="str">
        <f>VLOOKUP(F614,industry!A:C,3,0)</f>
        <v>油</v>
      </c>
      <c r="J614" s="2" t="s">
        <v>12585</v>
      </c>
      <c r="K614" t="str">
        <f t="shared" si="56"/>
        <v>sz002018</v>
      </c>
      <c r="L614" t="str">
        <f t="shared" si="57"/>
        <v>华信国际</v>
      </c>
      <c r="M614" t="str">
        <f t="shared" si="58"/>
        <v>石油</v>
      </c>
      <c r="N614" t="str">
        <f t="shared" si="59"/>
        <v>油</v>
      </c>
      <c r="P614" s="2" t="s">
        <v>12585</v>
      </c>
      <c r="Q614" t="s">
        <v>10690</v>
      </c>
      <c r="R614">
        <v>0</v>
      </c>
    </row>
    <row r="615" spans="1:18" x14ac:dyDescent="0.25">
      <c r="A615" t="s">
        <v>11313</v>
      </c>
      <c r="C615" t="str">
        <f t="shared" si="54"/>
        <v>sh</v>
      </c>
      <c r="D615" t="str">
        <f t="shared" si="55"/>
        <v>sh601811</v>
      </c>
      <c r="E615" t="str">
        <f>VLOOKUP(A615,Table!B:C,2,0)</f>
        <v>新华文轩</v>
      </c>
      <c r="F615" t="str">
        <f>TRIM(VLOOKUP(A615,Table!B:O,14,0))</f>
        <v>文化传媒</v>
      </c>
      <c r="G615" t="str">
        <f>VLOOKUP(F615,industry!A:C,2,0)</f>
        <v>传媒</v>
      </c>
      <c r="H615" t="str">
        <f>VLOOKUP(F615,industry!A:C,3,0)</f>
        <v>传</v>
      </c>
      <c r="J615" s="2" t="s">
        <v>12585</v>
      </c>
      <c r="K615" t="str">
        <f t="shared" si="56"/>
        <v>sh601811</v>
      </c>
      <c r="L615" t="str">
        <f t="shared" si="57"/>
        <v>新华文轩</v>
      </c>
      <c r="M615" t="str">
        <f t="shared" si="58"/>
        <v>传媒</v>
      </c>
      <c r="N615" t="str">
        <f t="shared" si="59"/>
        <v>传</v>
      </c>
      <c r="P615" s="2" t="s">
        <v>12585</v>
      </c>
      <c r="Q615" t="s">
        <v>10141</v>
      </c>
      <c r="R615">
        <v>0</v>
      </c>
    </row>
    <row r="616" spans="1:18" x14ac:dyDescent="0.25">
      <c r="A616" t="s">
        <v>11314</v>
      </c>
      <c r="C616" t="str">
        <f t="shared" si="54"/>
        <v>sh</v>
      </c>
      <c r="D616" t="str">
        <f t="shared" si="55"/>
        <v>sh601128</v>
      </c>
      <c r="E616" t="str">
        <f>VLOOKUP(A616,Table!B:C,2,0)</f>
        <v>常熟银行</v>
      </c>
      <c r="F616" t="str">
        <f>TRIM(VLOOKUP(A616,Table!B:O,14,0))</f>
        <v>银行</v>
      </c>
      <c r="G616" t="str">
        <f>VLOOKUP(F616,industry!A:C,2,0)</f>
        <v>银行</v>
      </c>
      <c r="H616" t="str">
        <f>VLOOKUP(F616,industry!A:C,3,0)</f>
        <v>银</v>
      </c>
      <c r="J616" s="2" t="s">
        <v>12585</v>
      </c>
      <c r="K616" t="str">
        <f t="shared" si="56"/>
        <v>sh601128</v>
      </c>
      <c r="L616" t="str">
        <f t="shared" si="57"/>
        <v>常熟银行</v>
      </c>
      <c r="M616" t="str">
        <f t="shared" si="58"/>
        <v>银行</v>
      </c>
      <c r="N616" t="str">
        <f t="shared" si="59"/>
        <v>银</v>
      </c>
      <c r="P616" s="2" t="s">
        <v>12585</v>
      </c>
      <c r="Q616" t="s">
        <v>10396</v>
      </c>
      <c r="R616">
        <v>0</v>
      </c>
    </row>
    <row r="617" spans="1:18" x14ac:dyDescent="0.25">
      <c r="A617" t="s">
        <v>11315</v>
      </c>
      <c r="C617" t="str">
        <f t="shared" si="54"/>
        <v>sh</v>
      </c>
      <c r="D617" t="str">
        <f t="shared" si="55"/>
        <v>sh600572</v>
      </c>
      <c r="E617" t="str">
        <f>VLOOKUP(A617,Table!B:C,2,0)</f>
        <v>康恩贝</v>
      </c>
      <c r="F617" t="str">
        <f>TRIM(VLOOKUP(A617,Table!B:O,14,0))</f>
        <v>医药制造</v>
      </c>
      <c r="G617" t="str">
        <f>VLOOKUP(F617,industry!A:C,2,0)</f>
        <v>医药</v>
      </c>
      <c r="H617" t="str">
        <f>VLOOKUP(F617,industry!A:C,3,0)</f>
        <v>药</v>
      </c>
      <c r="J617" s="2" t="s">
        <v>12585</v>
      </c>
      <c r="K617" t="str">
        <f t="shared" si="56"/>
        <v>sh600572</v>
      </c>
      <c r="L617" t="str">
        <f t="shared" si="57"/>
        <v>康恩贝</v>
      </c>
      <c r="M617" t="str">
        <f t="shared" si="58"/>
        <v>医药</v>
      </c>
      <c r="N617" t="str">
        <f t="shared" si="59"/>
        <v>药</v>
      </c>
      <c r="P617" s="2" t="s">
        <v>12585</v>
      </c>
      <c r="Q617" t="s">
        <v>12115</v>
      </c>
      <c r="R617">
        <v>0</v>
      </c>
    </row>
    <row r="618" spans="1:18" x14ac:dyDescent="0.25">
      <c r="A618" t="s">
        <v>11316</v>
      </c>
      <c r="C618" t="str">
        <f t="shared" si="54"/>
        <v>sh</v>
      </c>
      <c r="D618" t="str">
        <f t="shared" si="55"/>
        <v>sh600348</v>
      </c>
      <c r="E618" t="str">
        <f>VLOOKUP(A618,Table!B:C,2,0)</f>
        <v>阳泉煤业</v>
      </c>
      <c r="F618" t="str">
        <f>TRIM(VLOOKUP(A618,Table!B:O,14,0))</f>
        <v>煤炭采选</v>
      </c>
      <c r="G618" t="str">
        <f>VLOOKUP(F618,industry!A:C,2,0)</f>
        <v>煤炭</v>
      </c>
      <c r="H618" t="str">
        <f>VLOOKUP(F618,industry!A:C,3,0)</f>
        <v>煤</v>
      </c>
      <c r="J618" s="2" t="s">
        <v>12585</v>
      </c>
      <c r="K618" t="str">
        <f t="shared" si="56"/>
        <v>sh600348</v>
      </c>
      <c r="L618" t="str">
        <f t="shared" si="57"/>
        <v>阳泉煤业</v>
      </c>
      <c r="M618" t="str">
        <f t="shared" si="58"/>
        <v>煤炭</v>
      </c>
      <c r="N618" t="str">
        <f t="shared" si="59"/>
        <v>煤</v>
      </c>
      <c r="P618" s="2" t="s">
        <v>12585</v>
      </c>
      <c r="Q618" t="s">
        <v>12433</v>
      </c>
      <c r="R618">
        <v>0</v>
      </c>
    </row>
    <row r="619" spans="1:18" x14ac:dyDescent="0.25">
      <c r="A619" t="s">
        <v>11317</v>
      </c>
      <c r="C619" t="str">
        <f t="shared" si="54"/>
        <v>sz</v>
      </c>
      <c r="D619" t="str">
        <f t="shared" si="55"/>
        <v>sz000591</v>
      </c>
      <c r="E619" t="str">
        <f>VLOOKUP(A619,Table!B:C,2,0)</f>
        <v>太阳能</v>
      </c>
      <c r="F619" t="str">
        <f>TRIM(VLOOKUP(A619,Table!B:O,14,0))</f>
        <v>电力行业</v>
      </c>
      <c r="G619" t="str">
        <f>VLOOKUP(F619,industry!A:C,2,0)</f>
        <v>电力</v>
      </c>
      <c r="H619" t="str">
        <f>VLOOKUP(F619,industry!A:C,3,0)</f>
        <v>电力</v>
      </c>
      <c r="J619" s="2" t="s">
        <v>12585</v>
      </c>
      <c r="K619" t="str">
        <f t="shared" si="56"/>
        <v>sz000591</v>
      </c>
      <c r="L619" t="str">
        <f t="shared" si="57"/>
        <v>太阳能</v>
      </c>
      <c r="M619" t="str">
        <f t="shared" si="58"/>
        <v>电力</v>
      </c>
      <c r="N619" t="str">
        <f t="shared" si="59"/>
        <v>电力</v>
      </c>
      <c r="P619" s="2" t="s">
        <v>12585</v>
      </c>
      <c r="Q619" t="s">
        <v>12668</v>
      </c>
      <c r="R619">
        <v>0</v>
      </c>
    </row>
    <row r="620" spans="1:18" x14ac:dyDescent="0.25">
      <c r="A620" t="s">
        <v>11318</v>
      </c>
      <c r="C620" t="str">
        <f t="shared" si="54"/>
        <v>sh</v>
      </c>
      <c r="D620" t="str">
        <f t="shared" si="55"/>
        <v>sh600872</v>
      </c>
      <c r="E620" t="str">
        <f>VLOOKUP(A620,Table!B:C,2,0)</f>
        <v>中炬高新</v>
      </c>
      <c r="F620" t="str">
        <f>TRIM(VLOOKUP(A620,Table!B:O,14,0))</f>
        <v>食品饮料</v>
      </c>
      <c r="G620" t="str">
        <f>VLOOKUP(F620,industry!A:C,2,0)</f>
        <v>食品</v>
      </c>
      <c r="H620" t="str">
        <f>VLOOKUP(F620,industry!A:C,3,0)</f>
        <v>食</v>
      </c>
      <c r="J620" s="2" t="s">
        <v>12585</v>
      </c>
      <c r="K620" t="str">
        <f t="shared" si="56"/>
        <v>sh600872</v>
      </c>
      <c r="L620" t="str">
        <f t="shared" si="57"/>
        <v>中炬高新</v>
      </c>
      <c r="M620" t="str">
        <f t="shared" si="58"/>
        <v>食品</v>
      </c>
      <c r="N620" t="str">
        <f t="shared" si="59"/>
        <v>食</v>
      </c>
      <c r="P620" s="2" t="s">
        <v>12585</v>
      </c>
      <c r="Q620" t="s">
        <v>12531</v>
      </c>
      <c r="R620">
        <v>0</v>
      </c>
    </row>
    <row r="621" spans="1:18" x14ac:dyDescent="0.25">
      <c r="A621" t="s">
        <v>11319</v>
      </c>
      <c r="C621" t="str">
        <f t="shared" si="54"/>
        <v>sz</v>
      </c>
      <c r="D621" t="str">
        <f t="shared" si="55"/>
        <v>sz000761</v>
      </c>
      <c r="E621" t="str">
        <f>VLOOKUP(A621,Table!B:C,2,0)</f>
        <v>本钢板材</v>
      </c>
      <c r="F621" t="str">
        <f>TRIM(VLOOKUP(A621,Table!B:O,14,0))</f>
        <v>钢铁行业</v>
      </c>
      <c r="G621" t="str">
        <f>VLOOKUP(F621,industry!A:C,2,0)</f>
        <v>钢铁</v>
      </c>
      <c r="H621" t="str">
        <f>VLOOKUP(F621,industry!A:C,3,0)</f>
        <v>钢</v>
      </c>
      <c r="J621" s="2" t="s">
        <v>12585</v>
      </c>
      <c r="K621" t="str">
        <f t="shared" si="56"/>
        <v>sz000761</v>
      </c>
      <c r="L621" t="str">
        <f t="shared" si="57"/>
        <v>本钢板材</v>
      </c>
      <c r="M621" t="str">
        <f t="shared" si="58"/>
        <v>钢铁</v>
      </c>
      <c r="N621" t="str">
        <f t="shared" si="59"/>
        <v>钢</v>
      </c>
      <c r="P621" s="2" t="s">
        <v>12585</v>
      </c>
      <c r="Q621" t="s">
        <v>11825</v>
      </c>
      <c r="R621">
        <v>0</v>
      </c>
    </row>
    <row r="622" spans="1:18" x14ac:dyDescent="0.25">
      <c r="A622" t="s">
        <v>11320</v>
      </c>
      <c r="C622" t="str">
        <f t="shared" si="54"/>
        <v>sz</v>
      </c>
      <c r="D622" t="str">
        <f t="shared" si="55"/>
        <v>sz002542</v>
      </c>
      <c r="E622" t="str">
        <f>VLOOKUP(A622,Table!B:C,2,0)</f>
        <v>中化岩土</v>
      </c>
      <c r="F622" t="str">
        <f>TRIM(VLOOKUP(A622,Table!B:O,14,0))</f>
        <v>工程建设</v>
      </c>
      <c r="G622" t="str">
        <f>VLOOKUP(F622,industry!A:C,2,0)</f>
        <v>工建</v>
      </c>
      <c r="H622" t="str">
        <f>VLOOKUP(F622,industry!A:C,3,0)</f>
        <v>建</v>
      </c>
      <c r="J622" s="2" t="s">
        <v>12585</v>
      </c>
      <c r="K622" t="str">
        <f t="shared" si="56"/>
        <v>sz002542</v>
      </c>
      <c r="L622" t="str">
        <f t="shared" si="57"/>
        <v>中化岩土</v>
      </c>
      <c r="M622" t="str">
        <f t="shared" si="58"/>
        <v>工建</v>
      </c>
      <c r="N622" t="str">
        <f t="shared" si="59"/>
        <v>建</v>
      </c>
      <c r="P622" s="2" t="s">
        <v>12585</v>
      </c>
      <c r="Q622" t="s">
        <v>12669</v>
      </c>
      <c r="R622">
        <v>0</v>
      </c>
    </row>
    <row r="623" spans="1:18" x14ac:dyDescent="0.25">
      <c r="A623" t="s">
        <v>11321</v>
      </c>
      <c r="C623" t="str">
        <f t="shared" si="54"/>
        <v>sz</v>
      </c>
      <c r="D623" t="str">
        <f t="shared" si="55"/>
        <v>sz000712</v>
      </c>
      <c r="E623" t="str">
        <f>VLOOKUP(A623,Table!B:C,2,0)</f>
        <v>锦龙股份</v>
      </c>
      <c r="F623" t="str">
        <f>TRIM(VLOOKUP(A623,Table!B:O,14,0))</f>
        <v>多元金融</v>
      </c>
      <c r="G623" t="str">
        <f>VLOOKUP(F623,industry!A:C,2,0)</f>
        <v>多元</v>
      </c>
      <c r="H623" t="str">
        <f>VLOOKUP(F623,industry!A:C,3,0)</f>
        <v>融</v>
      </c>
      <c r="J623" s="2" t="s">
        <v>12585</v>
      </c>
      <c r="K623" t="str">
        <f t="shared" si="56"/>
        <v>sz000712</v>
      </c>
      <c r="L623" t="str">
        <f t="shared" si="57"/>
        <v>锦龙股份</v>
      </c>
      <c r="M623" t="str">
        <f t="shared" si="58"/>
        <v>多元</v>
      </c>
      <c r="N623" t="str">
        <f t="shared" si="59"/>
        <v>融</v>
      </c>
      <c r="P623" s="2" t="s">
        <v>12585</v>
      </c>
      <c r="Q623" t="s">
        <v>12083</v>
      </c>
      <c r="R623">
        <v>0</v>
      </c>
    </row>
    <row r="624" spans="1:18" x14ac:dyDescent="0.25">
      <c r="A624" t="s">
        <v>11322</v>
      </c>
      <c r="C624" t="str">
        <f t="shared" si="54"/>
        <v>sh</v>
      </c>
      <c r="D624" t="str">
        <f t="shared" si="55"/>
        <v>sh603866</v>
      </c>
      <c r="E624" t="str">
        <f>VLOOKUP(A624,Table!B:C,2,0)</f>
        <v>桃李面包</v>
      </c>
      <c r="F624" t="str">
        <f>TRIM(VLOOKUP(A624,Table!B:O,14,0))</f>
        <v>食品饮料</v>
      </c>
      <c r="G624" t="str">
        <f>VLOOKUP(F624,industry!A:C,2,0)</f>
        <v>食品</v>
      </c>
      <c r="H624" t="str">
        <f>VLOOKUP(F624,industry!A:C,3,0)</f>
        <v>食</v>
      </c>
      <c r="J624" s="2" t="s">
        <v>12585</v>
      </c>
      <c r="K624" t="str">
        <f t="shared" si="56"/>
        <v>sh603866</v>
      </c>
      <c r="L624" t="str">
        <f t="shared" si="57"/>
        <v>桃李面包</v>
      </c>
      <c r="M624" t="str">
        <f t="shared" si="58"/>
        <v>食品</v>
      </c>
      <c r="N624" t="str">
        <f t="shared" si="59"/>
        <v>食</v>
      </c>
      <c r="P624" s="2" t="s">
        <v>12585</v>
      </c>
      <c r="Q624" t="s">
        <v>12322</v>
      </c>
      <c r="R624">
        <v>0</v>
      </c>
    </row>
    <row r="625" spans="1:18" x14ac:dyDescent="0.25">
      <c r="A625" t="s">
        <v>11323</v>
      </c>
      <c r="C625" t="str">
        <f t="shared" si="54"/>
        <v>sz</v>
      </c>
      <c r="D625" t="str">
        <f t="shared" si="55"/>
        <v>sz000729</v>
      </c>
      <c r="E625" t="str">
        <f>VLOOKUP(A625,Table!B:C,2,0)</f>
        <v>燕京啤酒</v>
      </c>
      <c r="F625" t="str">
        <f>TRIM(VLOOKUP(A625,Table!B:O,14,0))</f>
        <v>酿酒行业</v>
      </c>
      <c r="G625" t="str">
        <f>VLOOKUP(F625,industry!A:C,2,0)</f>
        <v>酿酒</v>
      </c>
      <c r="H625" t="str">
        <f>VLOOKUP(F625,industry!A:C,3,0)</f>
        <v>酒</v>
      </c>
      <c r="J625" s="2" t="s">
        <v>12585</v>
      </c>
      <c r="K625" t="str">
        <f t="shared" si="56"/>
        <v>sz000729</v>
      </c>
      <c r="L625" t="str">
        <f t="shared" si="57"/>
        <v>燕京啤酒</v>
      </c>
      <c r="M625" t="str">
        <f t="shared" si="58"/>
        <v>酿酒</v>
      </c>
      <c r="N625" t="str">
        <f t="shared" si="59"/>
        <v>酒</v>
      </c>
      <c r="P625" s="2" t="s">
        <v>12585</v>
      </c>
      <c r="Q625" t="s">
        <v>10572</v>
      </c>
      <c r="R625">
        <v>0</v>
      </c>
    </row>
    <row r="626" spans="1:18" x14ac:dyDescent="0.25">
      <c r="A626" t="s">
        <v>11324</v>
      </c>
      <c r="C626" t="str">
        <f t="shared" si="54"/>
        <v>sz</v>
      </c>
      <c r="D626" t="str">
        <f t="shared" si="55"/>
        <v>sz000950</v>
      </c>
      <c r="E626" t="str">
        <f>VLOOKUP(A626,Table!B:C,2,0)</f>
        <v>*ST建峰</v>
      </c>
      <c r="F626" t="str">
        <f>TRIM(VLOOKUP(A626,Table!B:O,14,0))</f>
        <v>化肥行业</v>
      </c>
      <c r="G626" t="str">
        <f>VLOOKUP(F626,industry!A:C,2,0)</f>
        <v>化肥</v>
      </c>
      <c r="H626" t="str">
        <f>VLOOKUP(F626,industry!A:C,3,0)</f>
        <v>肥</v>
      </c>
      <c r="J626" s="2" t="s">
        <v>12585</v>
      </c>
      <c r="K626" t="str">
        <f t="shared" si="56"/>
        <v>sz000950</v>
      </c>
      <c r="L626" t="str">
        <f t="shared" si="57"/>
        <v>*ST建峰</v>
      </c>
      <c r="M626" t="str">
        <f t="shared" si="58"/>
        <v>化肥</v>
      </c>
      <c r="N626" t="str">
        <f t="shared" si="59"/>
        <v>肥</v>
      </c>
      <c r="P626" s="2" t="s">
        <v>12585</v>
      </c>
      <c r="Q626" t="s">
        <v>12670</v>
      </c>
      <c r="R626">
        <v>0</v>
      </c>
    </row>
    <row r="627" spans="1:18" x14ac:dyDescent="0.25">
      <c r="A627" t="s">
        <v>11325</v>
      </c>
      <c r="C627" t="str">
        <f t="shared" si="54"/>
        <v>sz</v>
      </c>
      <c r="D627" t="str">
        <f t="shared" si="55"/>
        <v>sz002372</v>
      </c>
      <c r="E627" t="str">
        <f>VLOOKUP(A627,Table!B:C,2,0)</f>
        <v>伟星新材</v>
      </c>
      <c r="F627" t="str">
        <f>TRIM(VLOOKUP(A627,Table!B:O,14,0))</f>
        <v>水泥建材</v>
      </c>
      <c r="G627" t="str">
        <f>VLOOKUP(F627,industry!A:C,2,0)</f>
        <v>水泥</v>
      </c>
      <c r="H627" t="str">
        <f>VLOOKUP(F627,industry!A:C,3,0)</f>
        <v>泥</v>
      </c>
      <c r="J627" s="2" t="s">
        <v>12585</v>
      </c>
      <c r="K627" t="str">
        <f t="shared" si="56"/>
        <v>sz002372</v>
      </c>
      <c r="L627" t="str">
        <f t="shared" si="57"/>
        <v>伟星新材</v>
      </c>
      <c r="M627" t="str">
        <f t="shared" si="58"/>
        <v>水泥</v>
      </c>
      <c r="N627" t="str">
        <f t="shared" si="59"/>
        <v>泥</v>
      </c>
      <c r="P627" s="2" t="s">
        <v>12585</v>
      </c>
      <c r="Q627" t="s">
        <v>12671</v>
      </c>
      <c r="R627">
        <v>0</v>
      </c>
    </row>
    <row r="628" spans="1:18" x14ac:dyDescent="0.25">
      <c r="A628" t="s">
        <v>11326</v>
      </c>
      <c r="C628" t="str">
        <f t="shared" si="54"/>
        <v>sh</v>
      </c>
      <c r="D628" t="str">
        <f t="shared" si="55"/>
        <v>sh600466</v>
      </c>
      <c r="E628" t="str">
        <f>VLOOKUP(A628,Table!B:C,2,0)</f>
        <v>蓝光发展</v>
      </c>
      <c r="F628" t="str">
        <f>TRIM(VLOOKUP(A628,Table!B:O,14,0))</f>
        <v>房地产</v>
      </c>
      <c r="G628" t="str">
        <f>VLOOKUP(F628,industry!A:C,2,0)</f>
        <v>房产</v>
      </c>
      <c r="H628" t="str">
        <f>VLOOKUP(F628,industry!A:C,3,0)</f>
        <v>产</v>
      </c>
      <c r="J628" s="2" t="s">
        <v>12585</v>
      </c>
      <c r="K628" t="str">
        <f t="shared" si="56"/>
        <v>sh600466</v>
      </c>
      <c r="L628" t="str">
        <f t="shared" si="57"/>
        <v>蓝光发展</v>
      </c>
      <c r="M628" t="str">
        <f t="shared" si="58"/>
        <v>房产</v>
      </c>
      <c r="N628" t="str">
        <f t="shared" si="59"/>
        <v>产</v>
      </c>
      <c r="P628" s="2" t="s">
        <v>12585</v>
      </c>
      <c r="Q628" t="s">
        <v>12137</v>
      </c>
      <c r="R628">
        <v>0</v>
      </c>
    </row>
    <row r="629" spans="1:18" x14ac:dyDescent="0.25">
      <c r="A629" t="s">
        <v>11327</v>
      </c>
      <c r="C629" t="str">
        <f t="shared" si="54"/>
        <v>sz</v>
      </c>
      <c r="D629" t="str">
        <f t="shared" si="55"/>
        <v>sz000820</v>
      </c>
      <c r="E629" t="str">
        <f>VLOOKUP(A629,Table!B:C,2,0)</f>
        <v>神雾节能</v>
      </c>
      <c r="F629" t="str">
        <f>TRIM(VLOOKUP(A629,Table!B:O,14,0))</f>
        <v>环保工程</v>
      </c>
      <c r="G629" t="str">
        <f>VLOOKUP(F629,industry!A:C,2,0)</f>
        <v>环保</v>
      </c>
      <c r="H629" t="str">
        <f>VLOOKUP(F629,industry!A:C,3,0)</f>
        <v>环</v>
      </c>
      <c r="J629" s="2" t="s">
        <v>12585</v>
      </c>
      <c r="K629" t="str">
        <f t="shared" si="56"/>
        <v>sz000820</v>
      </c>
      <c r="L629" t="str">
        <f t="shared" si="57"/>
        <v>神雾节能</v>
      </c>
      <c r="M629" t="str">
        <f t="shared" si="58"/>
        <v>环保</v>
      </c>
      <c r="N629" t="str">
        <f t="shared" si="59"/>
        <v>环</v>
      </c>
      <c r="P629" s="2" t="s">
        <v>12585</v>
      </c>
      <c r="Q629" t="s">
        <v>12672</v>
      </c>
      <c r="R629">
        <v>0</v>
      </c>
    </row>
    <row r="630" spans="1:18" x14ac:dyDescent="0.25">
      <c r="A630" t="s">
        <v>11328</v>
      </c>
      <c r="C630" t="str">
        <f t="shared" si="54"/>
        <v>sz</v>
      </c>
      <c r="D630" t="str">
        <f t="shared" si="55"/>
        <v>sz002221</v>
      </c>
      <c r="E630" t="str">
        <f>VLOOKUP(A630,Table!B:C,2,0)</f>
        <v>东华能源</v>
      </c>
      <c r="F630" t="str">
        <f>TRIM(VLOOKUP(A630,Table!B:O,14,0))</f>
        <v>石油行业</v>
      </c>
      <c r="G630" t="str">
        <f>VLOOKUP(F630,industry!A:C,2,0)</f>
        <v>石油</v>
      </c>
      <c r="H630" t="str">
        <f>VLOOKUP(F630,industry!A:C,3,0)</f>
        <v>油</v>
      </c>
      <c r="J630" s="2" t="s">
        <v>12585</v>
      </c>
      <c r="K630" t="str">
        <f t="shared" si="56"/>
        <v>sz002221</v>
      </c>
      <c r="L630" t="str">
        <f t="shared" si="57"/>
        <v>东华能源</v>
      </c>
      <c r="M630" t="str">
        <f t="shared" si="58"/>
        <v>石油</v>
      </c>
      <c r="N630" t="str">
        <f t="shared" si="59"/>
        <v>油</v>
      </c>
      <c r="P630" s="2" t="s">
        <v>12585</v>
      </c>
      <c r="Q630" t="s">
        <v>10606</v>
      </c>
      <c r="R630">
        <v>0</v>
      </c>
    </row>
    <row r="631" spans="1:18" x14ac:dyDescent="0.25">
      <c r="A631" t="s">
        <v>11329</v>
      </c>
      <c r="C631" t="str">
        <f t="shared" si="54"/>
        <v>sz</v>
      </c>
      <c r="D631" t="str">
        <f t="shared" si="55"/>
        <v>sz000550</v>
      </c>
      <c r="E631" t="str">
        <f>VLOOKUP(A631,Table!B:C,2,0)</f>
        <v>江铃汽车</v>
      </c>
      <c r="F631" t="str">
        <f>TRIM(VLOOKUP(A631,Table!B:O,14,0))</f>
        <v>汽车行业</v>
      </c>
      <c r="G631" t="str">
        <f>VLOOKUP(F631,industry!A:C,2,0)</f>
        <v>汽车</v>
      </c>
      <c r="H631" t="str">
        <f>VLOOKUP(F631,industry!A:C,3,0)</f>
        <v>车</v>
      </c>
      <c r="J631" s="2" t="s">
        <v>12585</v>
      </c>
      <c r="K631" t="str">
        <f t="shared" si="56"/>
        <v>sz000550</v>
      </c>
      <c r="L631" t="str">
        <f t="shared" si="57"/>
        <v>江铃汽车</v>
      </c>
      <c r="M631" t="str">
        <f t="shared" si="58"/>
        <v>汽车</v>
      </c>
      <c r="N631" t="str">
        <f t="shared" si="59"/>
        <v>车</v>
      </c>
      <c r="P631" s="2" t="s">
        <v>12585</v>
      </c>
      <c r="Q631" t="s">
        <v>10480</v>
      </c>
      <c r="R631">
        <v>0</v>
      </c>
    </row>
    <row r="632" spans="1:18" x14ac:dyDescent="0.25">
      <c r="A632" t="s">
        <v>11330</v>
      </c>
      <c r="C632" t="str">
        <f t="shared" si="54"/>
        <v>sh</v>
      </c>
      <c r="D632" t="str">
        <f t="shared" si="55"/>
        <v>sh600277</v>
      </c>
      <c r="E632" t="str">
        <f>VLOOKUP(A632,Table!B:C,2,0)</f>
        <v>亿利洁能</v>
      </c>
      <c r="F632" t="str">
        <f>TRIM(VLOOKUP(A632,Table!B:O,14,0))</f>
        <v>化工行业</v>
      </c>
      <c r="G632" t="str">
        <f>VLOOKUP(F632,industry!A:C,2,0)</f>
        <v>化工</v>
      </c>
      <c r="H632" t="str">
        <f>VLOOKUP(F632,industry!A:C,3,0)</f>
        <v>化</v>
      </c>
      <c r="J632" s="2" t="s">
        <v>12585</v>
      </c>
      <c r="K632" t="str">
        <f t="shared" si="56"/>
        <v>sh600277</v>
      </c>
      <c r="L632" t="str">
        <f t="shared" si="57"/>
        <v>亿利洁能</v>
      </c>
      <c r="M632" t="str">
        <f t="shared" si="58"/>
        <v>化工</v>
      </c>
      <c r="N632" t="str">
        <f t="shared" si="59"/>
        <v>化</v>
      </c>
      <c r="P632" s="2" t="s">
        <v>12585</v>
      </c>
      <c r="Q632" t="s">
        <v>12449</v>
      </c>
      <c r="R632">
        <v>0</v>
      </c>
    </row>
    <row r="633" spans="1:18" x14ac:dyDescent="0.25">
      <c r="A633" t="s">
        <v>11331</v>
      </c>
      <c r="C633" t="str">
        <f t="shared" si="54"/>
        <v>sh</v>
      </c>
      <c r="D633" t="str">
        <f t="shared" si="55"/>
        <v>sh603888</v>
      </c>
      <c r="E633" t="str">
        <f>VLOOKUP(A633,Table!B:C,2,0)</f>
        <v>新华网</v>
      </c>
      <c r="F633" t="str">
        <f>TRIM(VLOOKUP(A633,Table!B:O,14,0))</f>
        <v>电子信息</v>
      </c>
      <c r="G633" t="str">
        <f>VLOOKUP(F633,industry!A:C,2,0)</f>
        <v>信息</v>
      </c>
      <c r="H633" t="str">
        <f>VLOOKUP(F633,industry!A:C,3,0)</f>
        <v>咨</v>
      </c>
      <c r="J633" s="2" t="s">
        <v>12585</v>
      </c>
      <c r="K633" t="str">
        <f t="shared" si="56"/>
        <v>sh603888</v>
      </c>
      <c r="L633" t="str">
        <f t="shared" si="57"/>
        <v>新华网</v>
      </c>
      <c r="M633" t="str">
        <f t="shared" si="58"/>
        <v>信息</v>
      </c>
      <c r="N633" t="str">
        <f t="shared" si="59"/>
        <v>咨</v>
      </c>
      <c r="P633" s="2" t="s">
        <v>12585</v>
      </c>
      <c r="Q633" t="s">
        <v>12673</v>
      </c>
      <c r="R633">
        <v>0</v>
      </c>
    </row>
    <row r="634" spans="1:18" x14ac:dyDescent="0.25">
      <c r="A634" t="s">
        <v>11332</v>
      </c>
      <c r="C634" t="str">
        <f t="shared" si="54"/>
        <v>sh</v>
      </c>
      <c r="D634" t="str">
        <f t="shared" si="55"/>
        <v>sh600864</v>
      </c>
      <c r="E634" t="str">
        <f>VLOOKUP(A634,Table!B:C,2,0)</f>
        <v>哈投股份</v>
      </c>
      <c r="F634" t="str">
        <f>TRIM(VLOOKUP(A634,Table!B:O,14,0))</f>
        <v>公用事业</v>
      </c>
      <c r="G634" t="str">
        <f>VLOOKUP(F634,industry!A:C,2,0)</f>
        <v>公用</v>
      </c>
      <c r="H634" t="str">
        <f>VLOOKUP(F634,industry!A:C,3,0)</f>
        <v>公</v>
      </c>
      <c r="J634" s="2" t="s">
        <v>12585</v>
      </c>
      <c r="K634" t="str">
        <f t="shared" si="56"/>
        <v>sh600864</v>
      </c>
      <c r="L634" t="str">
        <f t="shared" si="57"/>
        <v>哈投股份</v>
      </c>
      <c r="M634" t="str">
        <f t="shared" si="58"/>
        <v>公用</v>
      </c>
      <c r="N634" t="str">
        <f t="shared" si="59"/>
        <v>公</v>
      </c>
      <c r="P634" s="2" t="s">
        <v>12585</v>
      </c>
      <c r="Q634" t="s">
        <v>10444</v>
      </c>
      <c r="R634">
        <v>0</v>
      </c>
    </row>
    <row r="635" spans="1:18" x14ac:dyDescent="0.25">
      <c r="A635" t="s">
        <v>11333</v>
      </c>
      <c r="C635" t="str">
        <f t="shared" si="54"/>
        <v>sz</v>
      </c>
      <c r="D635" t="str">
        <f t="shared" si="55"/>
        <v>sz300159</v>
      </c>
      <c r="E635" t="str">
        <f>VLOOKUP(A635,Table!B:C,2,0)</f>
        <v>新研股份</v>
      </c>
      <c r="F635" t="str">
        <f>TRIM(VLOOKUP(A635,Table!B:O,14,0))</f>
        <v>机械行业</v>
      </c>
      <c r="G635" t="str">
        <f>VLOOKUP(F635,industry!A:C,2,0)</f>
        <v>机械</v>
      </c>
      <c r="H635" t="str">
        <f>VLOOKUP(F635,industry!A:C,3,0)</f>
        <v>械</v>
      </c>
      <c r="J635" s="2" t="s">
        <v>12585</v>
      </c>
      <c r="K635" t="str">
        <f t="shared" si="56"/>
        <v>sz300159</v>
      </c>
      <c r="L635" t="str">
        <f t="shared" si="57"/>
        <v>新研股份</v>
      </c>
      <c r="M635" t="str">
        <f t="shared" si="58"/>
        <v>机械</v>
      </c>
      <c r="N635" t="str">
        <f t="shared" si="59"/>
        <v>械</v>
      </c>
      <c r="P635" s="2" t="s">
        <v>12585</v>
      </c>
      <c r="Q635" t="s">
        <v>10390</v>
      </c>
      <c r="R635">
        <v>0</v>
      </c>
    </row>
    <row r="636" spans="1:18" x14ac:dyDescent="0.25">
      <c r="A636" t="s">
        <v>11334</v>
      </c>
      <c r="C636" t="str">
        <f t="shared" si="54"/>
        <v>sh</v>
      </c>
      <c r="D636" t="str">
        <f t="shared" si="55"/>
        <v>sh603233</v>
      </c>
      <c r="E636" t="str">
        <f>VLOOKUP(A636,Table!B:C,2,0)</f>
        <v>大参林</v>
      </c>
      <c r="F636" t="str">
        <f>TRIM(VLOOKUP(A636,Table!B:O,14,0))</f>
        <v>医药制造</v>
      </c>
      <c r="G636" t="str">
        <f>VLOOKUP(F636,industry!A:C,2,0)</f>
        <v>医药</v>
      </c>
      <c r="H636" t="str">
        <f>VLOOKUP(F636,industry!A:C,3,0)</f>
        <v>药</v>
      </c>
      <c r="J636" s="2" t="s">
        <v>12585</v>
      </c>
      <c r="K636" t="str">
        <f t="shared" si="56"/>
        <v>sh603233</v>
      </c>
      <c r="L636" t="str">
        <f t="shared" si="57"/>
        <v>大参林</v>
      </c>
      <c r="M636" t="str">
        <f t="shared" si="58"/>
        <v>医药</v>
      </c>
      <c r="N636" t="str">
        <f t="shared" si="59"/>
        <v>药</v>
      </c>
      <c r="P636" s="2" t="s">
        <v>12585</v>
      </c>
      <c r="Q636" t="s">
        <v>12674</v>
      </c>
      <c r="R636">
        <v>0</v>
      </c>
    </row>
    <row r="637" spans="1:18" x14ac:dyDescent="0.25">
      <c r="A637" t="s">
        <v>11335</v>
      </c>
      <c r="C637" t="str">
        <f t="shared" si="54"/>
        <v>sh</v>
      </c>
      <c r="D637" t="str">
        <f t="shared" si="55"/>
        <v>sh600863</v>
      </c>
      <c r="E637" t="str">
        <f>VLOOKUP(A637,Table!B:C,2,0)</f>
        <v>内蒙华电</v>
      </c>
      <c r="F637" t="str">
        <f>TRIM(VLOOKUP(A637,Table!B:O,14,0))</f>
        <v>电力行业</v>
      </c>
      <c r="G637" t="str">
        <f>VLOOKUP(F637,industry!A:C,2,0)</f>
        <v>电力</v>
      </c>
      <c r="H637" t="str">
        <f>VLOOKUP(F637,industry!A:C,3,0)</f>
        <v>电力</v>
      </c>
      <c r="J637" s="2" t="s">
        <v>12585</v>
      </c>
      <c r="K637" t="str">
        <f t="shared" si="56"/>
        <v>sh600863</v>
      </c>
      <c r="L637" t="str">
        <f t="shared" si="57"/>
        <v>内蒙华电</v>
      </c>
      <c r="M637" t="str">
        <f t="shared" si="58"/>
        <v>电力</v>
      </c>
      <c r="N637" t="str">
        <f t="shared" si="59"/>
        <v>电力</v>
      </c>
      <c r="P637" s="2" t="s">
        <v>12585</v>
      </c>
      <c r="Q637" t="s">
        <v>12190</v>
      </c>
      <c r="R637">
        <v>0</v>
      </c>
    </row>
    <row r="638" spans="1:18" x14ac:dyDescent="0.25">
      <c r="A638" t="s">
        <v>11336</v>
      </c>
      <c r="C638" t="str">
        <f t="shared" si="54"/>
        <v>sz</v>
      </c>
      <c r="D638" t="str">
        <f t="shared" si="55"/>
        <v>sz300055</v>
      </c>
      <c r="E638" t="str">
        <f>VLOOKUP(A638,Table!B:C,2,0)</f>
        <v>万邦达</v>
      </c>
      <c r="F638" t="str">
        <f>TRIM(VLOOKUP(A638,Table!B:O,14,0))</f>
        <v>环保工程</v>
      </c>
      <c r="G638" t="str">
        <f>VLOOKUP(F638,industry!A:C,2,0)</f>
        <v>环保</v>
      </c>
      <c r="H638" t="str">
        <f>VLOOKUP(F638,industry!A:C,3,0)</f>
        <v>环</v>
      </c>
      <c r="J638" s="2" t="s">
        <v>12585</v>
      </c>
      <c r="K638" t="str">
        <f t="shared" si="56"/>
        <v>sz300055</v>
      </c>
      <c r="L638" t="str">
        <f t="shared" si="57"/>
        <v>万邦达</v>
      </c>
      <c r="M638" t="str">
        <f t="shared" si="58"/>
        <v>环保</v>
      </c>
      <c r="N638" t="str">
        <f t="shared" si="59"/>
        <v>环</v>
      </c>
      <c r="P638" s="2" t="s">
        <v>12585</v>
      </c>
      <c r="Q638" t="s">
        <v>12355</v>
      </c>
      <c r="R638">
        <v>0</v>
      </c>
    </row>
    <row r="639" spans="1:18" x14ac:dyDescent="0.25">
      <c r="A639" t="s">
        <v>11337</v>
      </c>
      <c r="C639" t="str">
        <f t="shared" si="54"/>
        <v>sz</v>
      </c>
      <c r="D639" t="str">
        <f t="shared" si="55"/>
        <v>sz000970</v>
      </c>
      <c r="E639" t="str">
        <f>VLOOKUP(A639,Table!B:C,2,0)</f>
        <v>中科三环</v>
      </c>
      <c r="F639" t="str">
        <f>TRIM(VLOOKUP(A639,Table!B:O,14,0))</f>
        <v>电子元件</v>
      </c>
      <c r="G639" t="str">
        <f>VLOOKUP(F639,industry!A:C,2,0)</f>
        <v>原件</v>
      </c>
      <c r="H639" t="str">
        <f>VLOOKUP(F639,industry!A:C,3,0)</f>
        <v>元件</v>
      </c>
      <c r="J639" s="2" t="s">
        <v>12585</v>
      </c>
      <c r="K639" t="str">
        <f t="shared" si="56"/>
        <v>sz000970</v>
      </c>
      <c r="L639" t="str">
        <f t="shared" si="57"/>
        <v>中科三环</v>
      </c>
      <c r="M639" t="str">
        <f t="shared" si="58"/>
        <v>原件</v>
      </c>
      <c r="N639" t="str">
        <f t="shared" si="59"/>
        <v>元件</v>
      </c>
      <c r="P639" s="2" t="s">
        <v>12585</v>
      </c>
      <c r="Q639" t="s">
        <v>12535</v>
      </c>
      <c r="R639">
        <v>0</v>
      </c>
    </row>
    <row r="640" spans="1:18" x14ac:dyDescent="0.25">
      <c r="A640" t="s">
        <v>11338</v>
      </c>
      <c r="C640" t="str">
        <f t="shared" si="54"/>
        <v>sz</v>
      </c>
      <c r="D640" t="str">
        <f t="shared" si="55"/>
        <v>sz000429</v>
      </c>
      <c r="E640" t="str">
        <f>VLOOKUP(A640,Table!B:C,2,0)</f>
        <v>粤高速Ａ</v>
      </c>
      <c r="F640" t="str">
        <f>TRIM(VLOOKUP(A640,Table!B:O,14,0))</f>
        <v>高速公路</v>
      </c>
      <c r="G640" t="str">
        <f>VLOOKUP(F640,industry!A:C,2,0)</f>
        <v>高速</v>
      </c>
      <c r="H640" t="str">
        <f>VLOOKUP(F640,industry!A:C,3,0)</f>
        <v>速</v>
      </c>
      <c r="J640" s="2" t="s">
        <v>12585</v>
      </c>
      <c r="K640" t="str">
        <f t="shared" si="56"/>
        <v>sz000429</v>
      </c>
      <c r="L640" t="str">
        <f t="shared" si="57"/>
        <v>粤高速Ａ</v>
      </c>
      <c r="M640" t="str">
        <f t="shared" si="58"/>
        <v>高速</v>
      </c>
      <c r="N640" t="str">
        <f t="shared" si="59"/>
        <v>速</v>
      </c>
      <c r="P640" s="2" t="s">
        <v>12585</v>
      </c>
      <c r="Q640" t="s">
        <v>12675</v>
      </c>
      <c r="R640">
        <v>0</v>
      </c>
    </row>
    <row r="641" spans="1:18" x14ac:dyDescent="0.25">
      <c r="A641" t="s">
        <v>11339</v>
      </c>
      <c r="C641" t="str">
        <f t="shared" si="54"/>
        <v>sz</v>
      </c>
      <c r="D641" t="str">
        <f t="shared" si="55"/>
        <v>sz002185</v>
      </c>
      <c r="E641" t="str">
        <f>VLOOKUP(A641,Table!B:C,2,0)</f>
        <v>华天科技</v>
      </c>
      <c r="F641" t="str">
        <f>TRIM(VLOOKUP(A641,Table!B:O,14,0))</f>
        <v>电子元件</v>
      </c>
      <c r="G641" t="str">
        <f>VLOOKUP(F641,industry!A:C,2,0)</f>
        <v>原件</v>
      </c>
      <c r="H641" t="str">
        <f>VLOOKUP(F641,industry!A:C,3,0)</f>
        <v>元件</v>
      </c>
      <c r="J641" s="2" t="s">
        <v>12585</v>
      </c>
      <c r="K641" t="str">
        <f t="shared" si="56"/>
        <v>sz002185</v>
      </c>
      <c r="L641" t="str">
        <f t="shared" si="57"/>
        <v>华天科技</v>
      </c>
      <c r="M641" t="str">
        <f t="shared" si="58"/>
        <v>原件</v>
      </c>
      <c r="N641" t="str">
        <f t="shared" si="59"/>
        <v>元件</v>
      </c>
      <c r="P641" s="2" t="s">
        <v>12585</v>
      </c>
      <c r="Q641" t="s">
        <v>12676</v>
      </c>
      <c r="R641">
        <v>0</v>
      </c>
    </row>
    <row r="642" spans="1:18" x14ac:dyDescent="0.25">
      <c r="A642" t="s">
        <v>11340</v>
      </c>
      <c r="C642" t="str">
        <f t="shared" si="54"/>
        <v>sh</v>
      </c>
      <c r="D642" t="str">
        <f t="shared" si="55"/>
        <v>sh600862</v>
      </c>
      <c r="E642" t="str">
        <f>VLOOKUP(A642,Table!B:C,2,0)</f>
        <v>中航高科</v>
      </c>
      <c r="F642" t="str">
        <f>TRIM(VLOOKUP(A642,Table!B:O,14,0))</f>
        <v>航天航空</v>
      </c>
      <c r="G642" t="str">
        <f>VLOOKUP(F642,industry!A:C,2,0)</f>
        <v>航空</v>
      </c>
      <c r="H642" t="str">
        <f>VLOOKUP(F642,industry!A:C,3,0)</f>
        <v>航</v>
      </c>
      <c r="J642" s="2" t="s">
        <v>12585</v>
      </c>
      <c r="K642" t="str">
        <f t="shared" si="56"/>
        <v>sh600862</v>
      </c>
      <c r="L642" t="str">
        <f t="shared" si="57"/>
        <v>中航高科</v>
      </c>
      <c r="M642" t="str">
        <f t="shared" si="58"/>
        <v>航空</v>
      </c>
      <c r="N642" t="str">
        <f t="shared" si="59"/>
        <v>航</v>
      </c>
      <c r="P642" s="2" t="s">
        <v>12585</v>
      </c>
      <c r="Q642" t="s">
        <v>12522</v>
      </c>
      <c r="R642">
        <v>0</v>
      </c>
    </row>
    <row r="643" spans="1:18" x14ac:dyDescent="0.25">
      <c r="A643" t="s">
        <v>11341</v>
      </c>
      <c r="C643" t="str">
        <f t="shared" ref="C643:C706" si="60">IF(LEFT(A643,1)="6","sh","sz")</f>
        <v>sh</v>
      </c>
      <c r="D643" t="str">
        <f t="shared" ref="D643:D706" si="61">C643 &amp; A643</f>
        <v>sh600881</v>
      </c>
      <c r="E643" t="str">
        <f>VLOOKUP(A643,Table!B:C,2,0)</f>
        <v>亚泰集团</v>
      </c>
      <c r="F643" t="str">
        <f>TRIM(VLOOKUP(A643,Table!B:O,14,0))</f>
        <v>水泥建材</v>
      </c>
      <c r="G643" t="str">
        <f>VLOOKUP(F643,industry!A:C,2,0)</f>
        <v>水泥</v>
      </c>
      <c r="H643" t="str">
        <f>VLOOKUP(F643,industry!A:C,3,0)</f>
        <v>泥</v>
      </c>
      <c r="J643" s="2" t="s">
        <v>12585</v>
      </c>
      <c r="K643" t="str">
        <f t="shared" ref="K643:K706" si="62">D643</f>
        <v>sh600881</v>
      </c>
      <c r="L643" t="str">
        <f t="shared" ref="L643:L706" si="63">E643</f>
        <v>亚泰集团</v>
      </c>
      <c r="M643" t="str">
        <f t="shared" ref="M643:M706" si="64">G643</f>
        <v>水泥</v>
      </c>
      <c r="N643" t="str">
        <f t="shared" ref="N643:N706" si="65">H643</f>
        <v>泥</v>
      </c>
      <c r="P643" s="2" t="s">
        <v>12585</v>
      </c>
      <c r="Q643" t="s">
        <v>12430</v>
      </c>
      <c r="R643">
        <v>0</v>
      </c>
    </row>
    <row r="644" spans="1:18" x14ac:dyDescent="0.25">
      <c r="A644" t="s">
        <v>11342</v>
      </c>
      <c r="C644" t="str">
        <f t="shared" si="60"/>
        <v>sz</v>
      </c>
      <c r="D644" t="str">
        <f t="shared" si="61"/>
        <v>sz000813</v>
      </c>
      <c r="E644" t="str">
        <f>VLOOKUP(A644,Table!B:C,2,0)</f>
        <v>德展健康</v>
      </c>
      <c r="F644" t="str">
        <f>TRIM(VLOOKUP(A644,Table!B:O,14,0))</f>
        <v>医药制造</v>
      </c>
      <c r="G644" t="str">
        <f>VLOOKUP(F644,industry!A:C,2,0)</f>
        <v>医药</v>
      </c>
      <c r="H644" t="str">
        <f>VLOOKUP(F644,industry!A:C,3,0)</f>
        <v>药</v>
      </c>
      <c r="J644" s="2" t="s">
        <v>12585</v>
      </c>
      <c r="K644" t="str">
        <f t="shared" si="62"/>
        <v>sz000813</v>
      </c>
      <c r="L644" t="str">
        <f t="shared" si="63"/>
        <v>德展健康</v>
      </c>
      <c r="M644" t="str">
        <f t="shared" si="64"/>
        <v>医药</v>
      </c>
      <c r="N644" t="str">
        <f t="shared" si="65"/>
        <v>药</v>
      </c>
      <c r="P644" s="2" t="s">
        <v>12585</v>
      </c>
      <c r="Q644" t="s">
        <v>10610</v>
      </c>
      <c r="R644">
        <v>0</v>
      </c>
    </row>
    <row r="645" spans="1:18" x14ac:dyDescent="0.25">
      <c r="A645" t="s">
        <v>11343</v>
      </c>
      <c r="C645" t="str">
        <f t="shared" si="60"/>
        <v>sh</v>
      </c>
      <c r="D645" t="str">
        <f t="shared" si="61"/>
        <v>sh600673</v>
      </c>
      <c r="E645" t="str">
        <f>VLOOKUP(A645,Table!B:C,2,0)</f>
        <v>东阳光科</v>
      </c>
      <c r="F645" t="str">
        <f>TRIM(VLOOKUP(A645,Table!B:O,14,0))</f>
        <v>有色金属</v>
      </c>
      <c r="G645" t="str">
        <f>VLOOKUP(F645,industry!A:C,2,0)</f>
        <v>有色</v>
      </c>
      <c r="H645" t="str">
        <f>VLOOKUP(F645,industry!A:C,3,0)</f>
        <v>色</v>
      </c>
      <c r="J645" s="2" t="s">
        <v>12585</v>
      </c>
      <c r="K645" t="str">
        <f t="shared" si="62"/>
        <v>sh600673</v>
      </c>
      <c r="L645" t="str">
        <f t="shared" si="63"/>
        <v>东阳光科</v>
      </c>
      <c r="M645" t="str">
        <f t="shared" si="64"/>
        <v>有色</v>
      </c>
      <c r="N645" t="str">
        <f t="shared" si="65"/>
        <v>色</v>
      </c>
      <c r="P645" s="2" t="s">
        <v>12585</v>
      </c>
      <c r="Q645" t="s">
        <v>11891</v>
      </c>
      <c r="R645">
        <v>0</v>
      </c>
    </row>
    <row r="646" spans="1:18" x14ac:dyDescent="0.25">
      <c r="A646" t="s">
        <v>11344</v>
      </c>
      <c r="C646" t="str">
        <f t="shared" si="60"/>
        <v>sz</v>
      </c>
      <c r="D646" t="str">
        <f t="shared" si="61"/>
        <v>sz000078</v>
      </c>
      <c r="E646" t="str">
        <f>VLOOKUP(A646,Table!B:C,2,0)</f>
        <v>海王生物</v>
      </c>
      <c r="F646" t="str">
        <f>TRIM(VLOOKUP(A646,Table!B:O,14,0))</f>
        <v>医药制造</v>
      </c>
      <c r="G646" t="str">
        <f>VLOOKUP(F646,industry!A:C,2,0)</f>
        <v>医药</v>
      </c>
      <c r="H646" t="str">
        <f>VLOOKUP(F646,industry!A:C,3,0)</f>
        <v>药</v>
      </c>
      <c r="J646" s="2" t="s">
        <v>12585</v>
      </c>
      <c r="K646" t="str">
        <f t="shared" si="62"/>
        <v>sz000078</v>
      </c>
      <c r="L646" t="str">
        <f t="shared" si="63"/>
        <v>海王生物</v>
      </c>
      <c r="M646" t="str">
        <f t="shared" si="64"/>
        <v>医药</v>
      </c>
      <c r="N646" t="str">
        <f t="shared" si="65"/>
        <v>药</v>
      </c>
      <c r="P646" s="2" t="s">
        <v>12585</v>
      </c>
      <c r="Q646" t="s">
        <v>11969</v>
      </c>
      <c r="R646">
        <v>0</v>
      </c>
    </row>
    <row r="647" spans="1:18" x14ac:dyDescent="0.25">
      <c r="A647" t="s">
        <v>11345</v>
      </c>
      <c r="C647" t="str">
        <f t="shared" si="60"/>
        <v>sh</v>
      </c>
      <c r="D647" t="str">
        <f t="shared" si="61"/>
        <v>sh600782</v>
      </c>
      <c r="E647" t="str">
        <f>VLOOKUP(A647,Table!B:C,2,0)</f>
        <v>新钢股份</v>
      </c>
      <c r="F647" t="str">
        <f>TRIM(VLOOKUP(A647,Table!B:O,14,0))</f>
        <v>钢铁行业</v>
      </c>
      <c r="G647" t="str">
        <f>VLOOKUP(F647,industry!A:C,2,0)</f>
        <v>钢铁</v>
      </c>
      <c r="H647" t="str">
        <f>VLOOKUP(F647,industry!A:C,3,0)</f>
        <v>钢</v>
      </c>
      <c r="J647" s="2" t="s">
        <v>12585</v>
      </c>
      <c r="K647" t="str">
        <f t="shared" si="62"/>
        <v>sh600782</v>
      </c>
      <c r="L647" t="str">
        <f t="shared" si="63"/>
        <v>新钢股份</v>
      </c>
      <c r="M647" t="str">
        <f t="shared" si="64"/>
        <v>钢铁</v>
      </c>
      <c r="N647" t="str">
        <f t="shared" si="65"/>
        <v>钢</v>
      </c>
      <c r="P647" s="2" t="s">
        <v>12585</v>
      </c>
      <c r="Q647" t="s">
        <v>12677</v>
      </c>
      <c r="R647">
        <v>0</v>
      </c>
    </row>
    <row r="648" spans="1:18" x14ac:dyDescent="0.25">
      <c r="A648" t="s">
        <v>11346</v>
      </c>
      <c r="C648" t="str">
        <f t="shared" si="60"/>
        <v>sz</v>
      </c>
      <c r="D648" t="str">
        <f t="shared" si="61"/>
        <v>sz002273</v>
      </c>
      <c r="E648" t="str">
        <f>VLOOKUP(A648,Table!B:C,2,0)</f>
        <v>水晶光电</v>
      </c>
      <c r="F648" t="str">
        <f>TRIM(VLOOKUP(A648,Table!B:O,14,0))</f>
        <v>电子元件</v>
      </c>
      <c r="G648" t="str">
        <f>VLOOKUP(F648,industry!A:C,2,0)</f>
        <v>原件</v>
      </c>
      <c r="H648" t="str">
        <f>VLOOKUP(F648,industry!A:C,3,0)</f>
        <v>元件</v>
      </c>
      <c r="J648" s="2" t="s">
        <v>12585</v>
      </c>
      <c r="K648" t="str">
        <f t="shared" si="62"/>
        <v>sz002273</v>
      </c>
      <c r="L648" t="str">
        <f t="shared" si="63"/>
        <v>水晶光电</v>
      </c>
      <c r="M648" t="str">
        <f t="shared" si="64"/>
        <v>原件</v>
      </c>
      <c r="N648" t="str">
        <f t="shared" si="65"/>
        <v>元件</v>
      </c>
      <c r="P648" s="2" t="s">
        <v>12585</v>
      </c>
      <c r="Q648" t="s">
        <v>12291</v>
      </c>
      <c r="R648">
        <v>0</v>
      </c>
    </row>
    <row r="649" spans="1:18" x14ac:dyDescent="0.25">
      <c r="A649" t="s">
        <v>11347</v>
      </c>
      <c r="C649" t="str">
        <f t="shared" si="60"/>
        <v>sh</v>
      </c>
      <c r="D649" t="str">
        <f t="shared" si="61"/>
        <v>sh600477</v>
      </c>
      <c r="E649" t="str">
        <f>VLOOKUP(A649,Table!B:C,2,0)</f>
        <v>杭萧钢构</v>
      </c>
      <c r="F649" t="str">
        <f>TRIM(VLOOKUP(A649,Table!B:O,14,0))</f>
        <v>水泥建材</v>
      </c>
      <c r="G649" t="str">
        <f>VLOOKUP(F649,industry!A:C,2,0)</f>
        <v>水泥</v>
      </c>
      <c r="H649" t="str">
        <f>VLOOKUP(F649,industry!A:C,3,0)</f>
        <v>泥</v>
      </c>
      <c r="J649" s="2" t="s">
        <v>12585</v>
      </c>
      <c r="K649" t="str">
        <f t="shared" si="62"/>
        <v>sh600477</v>
      </c>
      <c r="L649" t="str">
        <f t="shared" si="63"/>
        <v>杭萧钢构</v>
      </c>
      <c r="M649" t="str">
        <f t="shared" si="64"/>
        <v>水泥</v>
      </c>
      <c r="N649" t="str">
        <f t="shared" si="65"/>
        <v>泥</v>
      </c>
      <c r="P649" s="2" t="s">
        <v>12585</v>
      </c>
      <c r="Q649" t="s">
        <v>12678</v>
      </c>
      <c r="R649">
        <v>0</v>
      </c>
    </row>
    <row r="650" spans="1:18" x14ac:dyDescent="0.25">
      <c r="A650" t="s">
        <v>11348</v>
      </c>
      <c r="C650" t="str">
        <f t="shared" si="60"/>
        <v>sz</v>
      </c>
      <c r="D650" t="str">
        <f t="shared" si="61"/>
        <v>sz000598</v>
      </c>
      <c r="E650" t="str">
        <f>VLOOKUP(A650,Table!B:C,2,0)</f>
        <v>兴蓉环境</v>
      </c>
      <c r="F650" t="str">
        <f>TRIM(VLOOKUP(A650,Table!B:O,14,0))</f>
        <v>公用事业</v>
      </c>
      <c r="G650" t="str">
        <f>VLOOKUP(F650,industry!A:C,2,0)</f>
        <v>公用</v>
      </c>
      <c r="H650" t="str">
        <f>VLOOKUP(F650,industry!A:C,3,0)</f>
        <v>公</v>
      </c>
      <c r="J650" s="2" t="s">
        <v>12585</v>
      </c>
      <c r="K650" t="str">
        <f t="shared" si="62"/>
        <v>sz000598</v>
      </c>
      <c r="L650" t="str">
        <f t="shared" si="63"/>
        <v>兴蓉环境</v>
      </c>
      <c r="M650" t="str">
        <f t="shared" si="64"/>
        <v>公用</v>
      </c>
      <c r="N650" t="str">
        <f t="shared" si="65"/>
        <v>公</v>
      </c>
      <c r="P650" s="2" t="s">
        <v>12585</v>
      </c>
      <c r="Q650" t="s">
        <v>12416</v>
      </c>
      <c r="R650">
        <v>0</v>
      </c>
    </row>
    <row r="651" spans="1:18" x14ac:dyDescent="0.25">
      <c r="A651" t="s">
        <v>11349</v>
      </c>
      <c r="C651" t="str">
        <f t="shared" si="60"/>
        <v>sz</v>
      </c>
      <c r="D651" t="str">
        <f t="shared" si="61"/>
        <v>sz000158</v>
      </c>
      <c r="E651" t="str">
        <f>VLOOKUP(A651,Table!B:C,2,0)</f>
        <v>常山股份</v>
      </c>
      <c r="F651" t="str">
        <f>TRIM(VLOOKUP(A651,Table!B:O,14,0))</f>
        <v>纺织服装</v>
      </c>
      <c r="G651" t="str">
        <f>VLOOKUP(F651,industry!A:C,2,0)</f>
        <v>纺织</v>
      </c>
      <c r="H651" t="str">
        <f>VLOOKUP(F651,industry!A:C,3,0)</f>
        <v>纺</v>
      </c>
      <c r="J651" s="2" t="s">
        <v>12585</v>
      </c>
      <c r="K651" t="str">
        <f t="shared" si="62"/>
        <v>sz000158</v>
      </c>
      <c r="L651" t="str">
        <f t="shared" si="63"/>
        <v>常山股份</v>
      </c>
      <c r="M651" t="str">
        <f t="shared" si="64"/>
        <v>纺织</v>
      </c>
      <c r="N651" t="str">
        <f t="shared" si="65"/>
        <v>纺</v>
      </c>
      <c r="P651" s="2" t="s">
        <v>12585</v>
      </c>
      <c r="Q651" t="s">
        <v>11835</v>
      </c>
      <c r="R651">
        <v>0</v>
      </c>
    </row>
    <row r="652" spans="1:18" x14ac:dyDescent="0.25">
      <c r="A652" t="s">
        <v>11350</v>
      </c>
      <c r="C652" t="str">
        <f t="shared" si="60"/>
        <v>sz</v>
      </c>
      <c r="D652" t="str">
        <f t="shared" si="61"/>
        <v>sz000088</v>
      </c>
      <c r="E652" t="str">
        <f>VLOOKUP(A652,Table!B:C,2,0)</f>
        <v>盐 田 港</v>
      </c>
      <c r="F652" t="str">
        <f>TRIM(VLOOKUP(A652,Table!B:O,14,0))</f>
        <v>港口水运</v>
      </c>
      <c r="G652" t="str">
        <f>VLOOKUP(F652,industry!A:C,2,0)</f>
        <v>港口</v>
      </c>
      <c r="H652" t="str">
        <f>VLOOKUP(F652,industry!A:C,3,0)</f>
        <v>港</v>
      </c>
      <c r="J652" s="2" t="s">
        <v>12585</v>
      </c>
      <c r="K652" t="str">
        <f t="shared" si="62"/>
        <v>sz000088</v>
      </c>
      <c r="L652" t="str">
        <f t="shared" si="63"/>
        <v>盐 田 港</v>
      </c>
      <c r="M652" t="str">
        <f t="shared" si="64"/>
        <v>港口</v>
      </c>
      <c r="N652" t="str">
        <f t="shared" si="65"/>
        <v>港</v>
      </c>
      <c r="P652" s="2" t="s">
        <v>12585</v>
      </c>
      <c r="Q652" t="s">
        <v>12679</v>
      </c>
      <c r="R652">
        <v>0</v>
      </c>
    </row>
    <row r="653" spans="1:18" x14ac:dyDescent="0.25">
      <c r="A653" t="s">
        <v>11351</v>
      </c>
      <c r="C653" t="str">
        <f t="shared" si="60"/>
        <v>sz</v>
      </c>
      <c r="D653" t="str">
        <f t="shared" si="61"/>
        <v>sz000566</v>
      </c>
      <c r="E653" t="str">
        <f>VLOOKUP(A653,Table!B:C,2,0)</f>
        <v>海南海药</v>
      </c>
      <c r="F653" t="str">
        <f>TRIM(VLOOKUP(A653,Table!B:O,14,0))</f>
        <v>医药制造</v>
      </c>
      <c r="G653" t="str">
        <f>VLOOKUP(F653,industry!A:C,2,0)</f>
        <v>医药</v>
      </c>
      <c r="H653" t="str">
        <f>VLOOKUP(F653,industry!A:C,3,0)</f>
        <v>药</v>
      </c>
      <c r="J653" s="2" t="s">
        <v>12585</v>
      </c>
      <c r="K653" t="str">
        <f t="shared" si="62"/>
        <v>sz000566</v>
      </c>
      <c r="L653" t="str">
        <f t="shared" si="63"/>
        <v>海南海药</v>
      </c>
      <c r="M653" t="str">
        <f t="shared" si="64"/>
        <v>医药</v>
      </c>
      <c r="N653" t="str">
        <f t="shared" si="65"/>
        <v>药</v>
      </c>
      <c r="P653" s="2" t="s">
        <v>12585</v>
      </c>
      <c r="Q653" t="s">
        <v>11965</v>
      </c>
      <c r="R653">
        <v>0</v>
      </c>
    </row>
    <row r="654" spans="1:18" x14ac:dyDescent="0.25">
      <c r="A654" t="s">
        <v>11352</v>
      </c>
      <c r="C654" t="str">
        <f t="shared" si="60"/>
        <v>sh</v>
      </c>
      <c r="D654" t="str">
        <f t="shared" si="61"/>
        <v>sh600622</v>
      </c>
      <c r="E654" t="str">
        <f>VLOOKUP(A654,Table!B:C,2,0)</f>
        <v>嘉宝集团</v>
      </c>
      <c r="F654" t="str">
        <f>TRIM(VLOOKUP(A654,Table!B:O,14,0))</f>
        <v>房地产</v>
      </c>
      <c r="G654" t="str">
        <f>VLOOKUP(F654,industry!A:C,2,0)</f>
        <v>房产</v>
      </c>
      <c r="H654" t="str">
        <f>VLOOKUP(F654,industry!A:C,3,0)</f>
        <v>产</v>
      </c>
      <c r="J654" s="2" t="s">
        <v>12585</v>
      </c>
      <c r="K654" t="str">
        <f t="shared" si="62"/>
        <v>sh600622</v>
      </c>
      <c r="L654" t="str">
        <f t="shared" si="63"/>
        <v>嘉宝集团</v>
      </c>
      <c r="M654" t="str">
        <f t="shared" si="64"/>
        <v>房产</v>
      </c>
      <c r="N654" t="str">
        <f t="shared" si="65"/>
        <v>产</v>
      </c>
      <c r="P654" s="2" t="s">
        <v>12585</v>
      </c>
      <c r="Q654" t="s">
        <v>12680</v>
      </c>
      <c r="R654">
        <v>0</v>
      </c>
    </row>
    <row r="655" spans="1:18" x14ac:dyDescent="0.25">
      <c r="A655" t="s">
        <v>11353</v>
      </c>
      <c r="C655" t="str">
        <f t="shared" si="60"/>
        <v>sh</v>
      </c>
      <c r="D655" t="str">
        <f t="shared" si="61"/>
        <v>sh603882</v>
      </c>
      <c r="E655" t="str">
        <f>VLOOKUP(A655,Table!B:C,2,0)</f>
        <v>金域医学</v>
      </c>
      <c r="F655" t="str">
        <f>TRIM(VLOOKUP(A655,Table!B:O,14,0))</f>
        <v>医疗行业</v>
      </c>
      <c r="G655" t="str">
        <f>VLOOKUP(F655,industry!A:C,2,0)</f>
        <v>医疗</v>
      </c>
      <c r="H655" t="str">
        <f>VLOOKUP(F655,industry!A:C,3,0)</f>
        <v>疗</v>
      </c>
      <c r="J655" s="2" t="s">
        <v>12585</v>
      </c>
      <c r="K655" t="str">
        <f t="shared" si="62"/>
        <v>sh603882</v>
      </c>
      <c r="L655" t="str">
        <f t="shared" si="63"/>
        <v>金域医学</v>
      </c>
      <c r="M655" t="str">
        <f t="shared" si="64"/>
        <v>医疗</v>
      </c>
      <c r="N655" t="str">
        <f t="shared" si="65"/>
        <v>疗</v>
      </c>
      <c r="P655" s="2" t="s">
        <v>12585</v>
      </c>
      <c r="Q655" t="s">
        <v>12681</v>
      </c>
      <c r="R655">
        <v>0</v>
      </c>
    </row>
    <row r="656" spans="1:18" x14ac:dyDescent="0.25">
      <c r="A656" t="s">
        <v>11354</v>
      </c>
      <c r="C656" t="str">
        <f t="shared" si="60"/>
        <v>sz</v>
      </c>
      <c r="D656" t="str">
        <f t="shared" si="61"/>
        <v>sz002807</v>
      </c>
      <c r="E656" t="str">
        <f>VLOOKUP(A656,Table!B:C,2,0)</f>
        <v>江阴银行</v>
      </c>
      <c r="F656" t="str">
        <f>TRIM(VLOOKUP(A656,Table!B:O,14,0))</f>
        <v>银行</v>
      </c>
      <c r="G656" t="str">
        <f>VLOOKUP(F656,industry!A:C,2,0)</f>
        <v>银行</v>
      </c>
      <c r="H656" t="str">
        <f>VLOOKUP(F656,industry!A:C,3,0)</f>
        <v>银</v>
      </c>
      <c r="J656" s="2" t="s">
        <v>12585</v>
      </c>
      <c r="K656" t="str">
        <f t="shared" si="62"/>
        <v>sz002807</v>
      </c>
      <c r="L656" t="str">
        <f t="shared" si="63"/>
        <v>江阴银行</v>
      </c>
      <c r="M656" t="str">
        <f t="shared" si="64"/>
        <v>银行</v>
      </c>
      <c r="N656" t="str">
        <f t="shared" si="65"/>
        <v>银</v>
      </c>
      <c r="P656" s="2" t="s">
        <v>12585</v>
      </c>
      <c r="Q656" t="s">
        <v>10494</v>
      </c>
      <c r="R656">
        <v>0</v>
      </c>
    </row>
    <row r="657" spans="1:18" x14ac:dyDescent="0.25">
      <c r="A657" t="s">
        <v>11355</v>
      </c>
      <c r="C657" t="str">
        <f t="shared" si="60"/>
        <v>sh</v>
      </c>
      <c r="D657" t="str">
        <f t="shared" si="61"/>
        <v>sh600751</v>
      </c>
      <c r="E657" t="str">
        <f>VLOOKUP(A657,Table!B:C,2,0)</f>
        <v>天海投资</v>
      </c>
      <c r="F657" t="str">
        <f>TRIM(VLOOKUP(A657,Table!B:O,14,0))</f>
        <v>港口水运</v>
      </c>
      <c r="G657" t="str">
        <f>VLOOKUP(F657,industry!A:C,2,0)</f>
        <v>港口</v>
      </c>
      <c r="H657" t="str">
        <f>VLOOKUP(F657,industry!A:C,3,0)</f>
        <v>港</v>
      </c>
      <c r="J657" s="2" t="s">
        <v>12585</v>
      </c>
      <c r="K657" t="str">
        <f t="shared" si="62"/>
        <v>sh600751</v>
      </c>
      <c r="L657" t="str">
        <f t="shared" si="63"/>
        <v>天海投资</v>
      </c>
      <c r="M657" t="str">
        <f t="shared" si="64"/>
        <v>港口</v>
      </c>
      <c r="N657" t="str">
        <f t="shared" si="65"/>
        <v>港</v>
      </c>
      <c r="P657" s="2" t="s">
        <v>12585</v>
      </c>
      <c r="Q657" t="s">
        <v>10364</v>
      </c>
      <c r="R657">
        <v>0</v>
      </c>
    </row>
    <row r="658" spans="1:18" x14ac:dyDescent="0.25">
      <c r="A658" t="s">
        <v>11356</v>
      </c>
      <c r="C658" t="str">
        <f t="shared" si="60"/>
        <v>sz</v>
      </c>
      <c r="D658" t="str">
        <f t="shared" si="61"/>
        <v>sz000089</v>
      </c>
      <c r="E658" t="str">
        <f>VLOOKUP(A658,Table!B:C,2,0)</f>
        <v>深圳机场</v>
      </c>
      <c r="F658" t="str">
        <f>TRIM(VLOOKUP(A658,Table!B:O,14,0))</f>
        <v>民航机场</v>
      </c>
      <c r="G658" t="str">
        <f>VLOOKUP(F658,industry!A:C,2,0)</f>
        <v>民航</v>
      </c>
      <c r="H658" t="str">
        <f>VLOOKUP(F658,industry!A:C,3,0)</f>
        <v>飞</v>
      </c>
      <c r="J658" s="2" t="s">
        <v>12585</v>
      </c>
      <c r="K658" t="str">
        <f t="shared" si="62"/>
        <v>sz000089</v>
      </c>
      <c r="L658" t="str">
        <f t="shared" si="63"/>
        <v>深圳机场</v>
      </c>
      <c r="M658" t="str">
        <f t="shared" si="64"/>
        <v>民航</v>
      </c>
      <c r="N658" t="str">
        <f t="shared" si="65"/>
        <v>飞</v>
      </c>
      <c r="P658" s="2" t="s">
        <v>12585</v>
      </c>
      <c r="Q658" t="s">
        <v>12264</v>
      </c>
      <c r="R658">
        <v>0</v>
      </c>
    </row>
    <row r="659" spans="1:18" x14ac:dyDescent="0.25">
      <c r="A659" t="s">
        <v>11357</v>
      </c>
      <c r="C659" t="str">
        <f t="shared" si="60"/>
        <v>sh</v>
      </c>
      <c r="D659" t="str">
        <f t="shared" si="61"/>
        <v>sh600597</v>
      </c>
      <c r="E659" t="str">
        <f>VLOOKUP(A659,Table!B:C,2,0)</f>
        <v>光明乳业</v>
      </c>
      <c r="F659" t="str">
        <f>TRIM(VLOOKUP(A659,Table!B:O,14,0))</f>
        <v>食品饮料</v>
      </c>
      <c r="G659" t="str">
        <f>VLOOKUP(F659,industry!A:C,2,0)</f>
        <v>食品</v>
      </c>
      <c r="H659" t="str">
        <f>VLOOKUP(F659,industry!A:C,3,0)</f>
        <v>食</v>
      </c>
      <c r="J659" s="2" t="s">
        <v>12585</v>
      </c>
      <c r="K659" t="str">
        <f t="shared" si="62"/>
        <v>sh600597</v>
      </c>
      <c r="L659" t="str">
        <f t="shared" si="63"/>
        <v>光明乳业</v>
      </c>
      <c r="M659" t="str">
        <f t="shared" si="64"/>
        <v>食品</v>
      </c>
      <c r="N659" t="str">
        <f t="shared" si="65"/>
        <v>食</v>
      </c>
      <c r="P659" s="2" t="s">
        <v>12585</v>
      </c>
      <c r="Q659" t="s">
        <v>11940</v>
      </c>
      <c r="R659">
        <v>0</v>
      </c>
    </row>
    <row r="660" spans="1:18" x14ac:dyDescent="0.25">
      <c r="A660" t="s">
        <v>11358</v>
      </c>
      <c r="C660" t="str">
        <f t="shared" si="60"/>
        <v>sh</v>
      </c>
      <c r="D660" t="str">
        <f t="shared" si="61"/>
        <v>sh601011</v>
      </c>
      <c r="E660" t="str">
        <f>VLOOKUP(A660,Table!B:C,2,0)</f>
        <v>宝泰隆</v>
      </c>
      <c r="F660" t="str">
        <f>TRIM(VLOOKUP(A660,Table!B:O,14,0))</f>
        <v>煤炭采选</v>
      </c>
      <c r="G660" t="str">
        <f>VLOOKUP(F660,industry!A:C,2,0)</f>
        <v>煤炭</v>
      </c>
      <c r="H660" t="str">
        <f>VLOOKUP(F660,industry!A:C,3,0)</f>
        <v>煤</v>
      </c>
      <c r="J660" s="2" t="s">
        <v>12585</v>
      </c>
      <c r="K660" t="str">
        <f t="shared" si="62"/>
        <v>sh601011</v>
      </c>
      <c r="L660" t="str">
        <f t="shared" si="63"/>
        <v>宝泰隆</v>
      </c>
      <c r="M660" t="str">
        <f t="shared" si="64"/>
        <v>煤炭</v>
      </c>
      <c r="N660" t="str">
        <f t="shared" si="65"/>
        <v>煤</v>
      </c>
      <c r="P660" s="2" t="s">
        <v>12585</v>
      </c>
      <c r="Q660" t="s">
        <v>12682</v>
      </c>
      <c r="R660">
        <v>0</v>
      </c>
    </row>
    <row r="661" spans="1:18" x14ac:dyDescent="0.25">
      <c r="A661" t="s">
        <v>11359</v>
      </c>
      <c r="C661" t="str">
        <f t="shared" si="60"/>
        <v>sz</v>
      </c>
      <c r="D661" t="str">
        <f t="shared" si="61"/>
        <v>sz002491</v>
      </c>
      <c r="E661" t="str">
        <f>VLOOKUP(A661,Table!B:C,2,0)</f>
        <v>通鼎互联</v>
      </c>
      <c r="F661" t="str">
        <f>TRIM(VLOOKUP(A661,Table!B:O,14,0))</f>
        <v>通讯行业</v>
      </c>
      <c r="G661" t="str">
        <f>VLOOKUP(F661,industry!A:C,2,0)</f>
        <v>通讯</v>
      </c>
      <c r="H661" t="str">
        <f>VLOOKUP(F661,industry!A:C,3,0)</f>
        <v>讯</v>
      </c>
      <c r="J661" s="2" t="s">
        <v>12585</v>
      </c>
      <c r="K661" t="str">
        <f t="shared" si="62"/>
        <v>sz002491</v>
      </c>
      <c r="L661" t="str">
        <f t="shared" si="63"/>
        <v>通鼎互联</v>
      </c>
      <c r="M661" t="str">
        <f t="shared" si="64"/>
        <v>通讯</v>
      </c>
      <c r="N661" t="str">
        <f t="shared" si="65"/>
        <v>讯</v>
      </c>
      <c r="P661" s="2" t="s">
        <v>12585</v>
      </c>
      <c r="Q661" t="s">
        <v>10568</v>
      </c>
      <c r="R661">
        <v>0</v>
      </c>
    </row>
    <row r="662" spans="1:18" x14ac:dyDescent="0.25">
      <c r="A662" t="s">
        <v>11360</v>
      </c>
      <c r="C662" t="str">
        <f t="shared" si="60"/>
        <v>sz</v>
      </c>
      <c r="D662" t="str">
        <f t="shared" si="61"/>
        <v>sz002268</v>
      </c>
      <c r="E662" t="str">
        <f>VLOOKUP(A662,Table!B:C,2,0)</f>
        <v>卫 士 通</v>
      </c>
      <c r="F662" t="str">
        <f>TRIM(VLOOKUP(A662,Table!B:O,14,0))</f>
        <v>软件服务</v>
      </c>
      <c r="G662" t="str">
        <f>VLOOKUP(F662,industry!A:C,2,0)</f>
        <v>软件</v>
      </c>
      <c r="H662" t="str">
        <f>VLOOKUP(F662,industry!A:C,3,0)</f>
        <v>软</v>
      </c>
      <c r="J662" s="2" t="s">
        <v>12585</v>
      </c>
      <c r="K662" t="str">
        <f t="shared" si="62"/>
        <v>sz002268</v>
      </c>
      <c r="L662" t="str">
        <f t="shared" si="63"/>
        <v>卫 士 通</v>
      </c>
      <c r="M662" t="str">
        <f t="shared" si="64"/>
        <v>软件</v>
      </c>
      <c r="N662" t="str">
        <f t="shared" si="65"/>
        <v>软</v>
      </c>
      <c r="P662" s="2" t="s">
        <v>12585</v>
      </c>
      <c r="Q662" t="s">
        <v>12367</v>
      </c>
      <c r="R662">
        <v>0</v>
      </c>
    </row>
    <row r="663" spans="1:18" x14ac:dyDescent="0.25">
      <c r="A663" t="s">
        <v>11361</v>
      </c>
      <c r="C663" t="str">
        <f t="shared" si="60"/>
        <v>sh</v>
      </c>
      <c r="D663" t="str">
        <f t="shared" si="61"/>
        <v>sh600143</v>
      </c>
      <c r="E663" t="str">
        <f>VLOOKUP(A663,Table!B:C,2,0)</f>
        <v>金发科技</v>
      </c>
      <c r="F663" t="str">
        <f>TRIM(VLOOKUP(A663,Table!B:O,14,0))</f>
        <v>塑胶制品</v>
      </c>
      <c r="G663" t="str">
        <f>VLOOKUP(F663,industry!A:C,2,0)</f>
        <v>塑胶</v>
      </c>
      <c r="H663" t="str">
        <f>VLOOKUP(F663,industry!A:C,3,0)</f>
        <v>塑</v>
      </c>
      <c r="J663" s="2" t="s">
        <v>12585</v>
      </c>
      <c r="K663" t="str">
        <f t="shared" si="62"/>
        <v>sh600143</v>
      </c>
      <c r="L663" t="str">
        <f t="shared" si="63"/>
        <v>金发科技</v>
      </c>
      <c r="M663" t="str">
        <f t="shared" si="64"/>
        <v>塑胶</v>
      </c>
      <c r="N663" t="str">
        <f t="shared" si="65"/>
        <v>塑</v>
      </c>
      <c r="P663" s="2" t="s">
        <v>12585</v>
      </c>
      <c r="Q663" t="s">
        <v>12069</v>
      </c>
      <c r="R663">
        <v>0</v>
      </c>
    </row>
    <row r="664" spans="1:18" x14ac:dyDescent="0.25">
      <c r="A664" t="s">
        <v>11362</v>
      </c>
      <c r="C664" t="str">
        <f t="shared" si="60"/>
        <v>sh</v>
      </c>
      <c r="D664" t="str">
        <f t="shared" si="61"/>
        <v>sh600499</v>
      </c>
      <c r="E664" t="str">
        <f>VLOOKUP(A664,Table!B:C,2,0)</f>
        <v>科达洁能</v>
      </c>
      <c r="F664" t="str">
        <f>TRIM(VLOOKUP(A664,Table!B:O,14,0))</f>
        <v>机械行业</v>
      </c>
      <c r="G664" t="str">
        <f>VLOOKUP(F664,industry!A:C,2,0)</f>
        <v>机械</v>
      </c>
      <c r="H664" t="str">
        <f>VLOOKUP(F664,industry!A:C,3,0)</f>
        <v>械</v>
      </c>
      <c r="J664" s="2" t="s">
        <v>12585</v>
      </c>
      <c r="K664" t="str">
        <f t="shared" si="62"/>
        <v>sh600499</v>
      </c>
      <c r="L664" t="str">
        <f t="shared" si="63"/>
        <v>科达洁能</v>
      </c>
      <c r="M664" t="str">
        <f t="shared" si="64"/>
        <v>机械</v>
      </c>
      <c r="N664" t="str">
        <f t="shared" si="65"/>
        <v>械</v>
      </c>
      <c r="P664" s="2" t="s">
        <v>12585</v>
      </c>
      <c r="Q664" t="s">
        <v>12119</v>
      </c>
      <c r="R664">
        <v>0</v>
      </c>
    </row>
    <row r="665" spans="1:18" x14ac:dyDescent="0.25">
      <c r="A665" t="s">
        <v>11363</v>
      </c>
      <c r="C665" t="str">
        <f t="shared" si="60"/>
        <v>sz</v>
      </c>
      <c r="D665" t="str">
        <f t="shared" si="61"/>
        <v>sz300616</v>
      </c>
      <c r="E665" t="str">
        <f>VLOOKUP(A665,Table!B:C,2,0)</f>
        <v>尚品宅配</v>
      </c>
      <c r="F665" t="str">
        <f>TRIM(VLOOKUP(A665,Table!B:O,14,0))</f>
        <v>木业家具</v>
      </c>
      <c r="G665" t="str">
        <f>VLOOKUP(F665,industry!A:C,2,0)</f>
        <v>木业</v>
      </c>
      <c r="H665" t="str">
        <f>VLOOKUP(F665,industry!A:C,3,0)</f>
        <v>木</v>
      </c>
      <c r="J665" s="2" t="s">
        <v>12585</v>
      </c>
      <c r="K665" t="str">
        <f t="shared" si="62"/>
        <v>sz300616</v>
      </c>
      <c r="L665" t="str">
        <f t="shared" si="63"/>
        <v>尚品宅配</v>
      </c>
      <c r="M665" t="str">
        <f t="shared" si="64"/>
        <v>木业</v>
      </c>
      <c r="N665" t="str">
        <f t="shared" si="65"/>
        <v>木</v>
      </c>
      <c r="P665" s="2" t="s">
        <v>12585</v>
      </c>
      <c r="Q665" t="s">
        <v>12683</v>
      </c>
      <c r="R665">
        <v>0</v>
      </c>
    </row>
    <row r="666" spans="1:18" x14ac:dyDescent="0.25">
      <c r="A666" t="s">
        <v>11364</v>
      </c>
      <c r="C666" t="str">
        <f t="shared" si="60"/>
        <v>sz</v>
      </c>
      <c r="D666" t="str">
        <f t="shared" si="61"/>
        <v>sz300038</v>
      </c>
      <c r="E666" t="str">
        <f>VLOOKUP(A666,Table!B:C,2,0)</f>
        <v>梅泰诺</v>
      </c>
      <c r="F666" t="str">
        <f>TRIM(VLOOKUP(A666,Table!B:O,14,0))</f>
        <v>通讯行业</v>
      </c>
      <c r="G666" t="str">
        <f>VLOOKUP(F666,industry!A:C,2,0)</f>
        <v>通讯</v>
      </c>
      <c r="H666" t="str">
        <f>VLOOKUP(F666,industry!A:C,3,0)</f>
        <v>讯</v>
      </c>
      <c r="J666" s="2" t="s">
        <v>12585</v>
      </c>
      <c r="K666" t="str">
        <f t="shared" si="62"/>
        <v>sz300038</v>
      </c>
      <c r="L666" t="str">
        <f t="shared" si="63"/>
        <v>梅泰诺</v>
      </c>
      <c r="M666" t="str">
        <f t="shared" si="64"/>
        <v>通讯</v>
      </c>
      <c r="N666" t="str">
        <f t="shared" si="65"/>
        <v>讯</v>
      </c>
      <c r="P666" s="2" t="s">
        <v>12585</v>
      </c>
      <c r="Q666" t="s">
        <v>12684</v>
      </c>
      <c r="R666">
        <v>0</v>
      </c>
    </row>
    <row r="667" spans="1:18" x14ac:dyDescent="0.25">
      <c r="A667" t="s">
        <v>11365</v>
      </c>
      <c r="C667" t="str">
        <f t="shared" si="60"/>
        <v>sh</v>
      </c>
      <c r="D667" t="str">
        <f t="shared" si="61"/>
        <v>sh600393</v>
      </c>
      <c r="E667" t="str">
        <f>VLOOKUP(A667,Table!B:C,2,0)</f>
        <v>粤泰股份</v>
      </c>
      <c r="F667" t="str">
        <f>TRIM(VLOOKUP(A667,Table!B:O,14,0))</f>
        <v>房地产</v>
      </c>
      <c r="G667" t="str">
        <f>VLOOKUP(F667,industry!A:C,2,0)</f>
        <v>房产</v>
      </c>
      <c r="H667" t="str">
        <f>VLOOKUP(F667,industry!A:C,3,0)</f>
        <v>产</v>
      </c>
      <c r="J667" s="2" t="s">
        <v>12585</v>
      </c>
      <c r="K667" t="str">
        <f t="shared" si="62"/>
        <v>sh600393</v>
      </c>
      <c r="L667" t="str">
        <f t="shared" si="63"/>
        <v>粤泰股份</v>
      </c>
      <c r="M667" t="str">
        <f t="shared" si="64"/>
        <v>房产</v>
      </c>
      <c r="N667" t="str">
        <f t="shared" si="65"/>
        <v>产</v>
      </c>
      <c r="P667" s="2" t="s">
        <v>12585</v>
      </c>
      <c r="Q667" t="s">
        <v>12685</v>
      </c>
      <c r="R667">
        <v>0</v>
      </c>
    </row>
    <row r="668" spans="1:18" x14ac:dyDescent="0.25">
      <c r="A668" t="s">
        <v>11366</v>
      </c>
      <c r="C668" t="str">
        <f t="shared" si="60"/>
        <v>sh</v>
      </c>
      <c r="D668" t="str">
        <f t="shared" si="61"/>
        <v>sh600575</v>
      </c>
      <c r="E668" t="str">
        <f>VLOOKUP(A668,Table!B:C,2,0)</f>
        <v>皖江物流</v>
      </c>
      <c r="F668" t="str">
        <f>TRIM(VLOOKUP(A668,Table!B:O,14,0))</f>
        <v>港口水运</v>
      </c>
      <c r="G668" t="str">
        <f>VLOOKUP(F668,industry!A:C,2,0)</f>
        <v>港口</v>
      </c>
      <c r="H668" t="str">
        <f>VLOOKUP(F668,industry!A:C,3,0)</f>
        <v>港</v>
      </c>
      <c r="J668" s="2" t="s">
        <v>12585</v>
      </c>
      <c r="K668" t="str">
        <f t="shared" si="62"/>
        <v>sh600575</v>
      </c>
      <c r="L668" t="str">
        <f t="shared" si="63"/>
        <v>皖江物流</v>
      </c>
      <c r="M668" t="str">
        <f t="shared" si="64"/>
        <v>港口</v>
      </c>
      <c r="N668" t="str">
        <f t="shared" si="65"/>
        <v>港</v>
      </c>
      <c r="P668" s="2" t="s">
        <v>12585</v>
      </c>
      <c r="Q668" t="s">
        <v>12351</v>
      </c>
      <c r="R668">
        <v>0</v>
      </c>
    </row>
    <row r="669" spans="1:18" x14ac:dyDescent="0.25">
      <c r="A669" t="s">
        <v>11367</v>
      </c>
      <c r="C669" t="str">
        <f t="shared" si="60"/>
        <v>sz</v>
      </c>
      <c r="D669" t="str">
        <f t="shared" si="61"/>
        <v>sz000881</v>
      </c>
      <c r="E669" t="str">
        <f>VLOOKUP(A669,Table!B:C,2,0)</f>
        <v>中广核技</v>
      </c>
      <c r="F669" t="str">
        <f>TRIM(VLOOKUP(A669,Table!B:O,14,0))</f>
        <v>综合行业</v>
      </c>
      <c r="G669" t="str">
        <f>VLOOKUP(F669,industry!A:C,2,0)</f>
        <v>综合</v>
      </c>
      <c r="H669" t="str">
        <f>VLOOKUP(F669,industry!A:C,3,0)</f>
        <v>综</v>
      </c>
      <c r="J669" s="2" t="s">
        <v>12585</v>
      </c>
      <c r="K669" t="str">
        <f t="shared" si="62"/>
        <v>sz000881</v>
      </c>
      <c r="L669" t="str">
        <f t="shared" si="63"/>
        <v>中广核技</v>
      </c>
      <c r="M669" t="str">
        <f t="shared" si="64"/>
        <v>综合</v>
      </c>
      <c r="N669" t="str">
        <f t="shared" si="65"/>
        <v>综</v>
      </c>
      <c r="P669" s="2" t="s">
        <v>12585</v>
      </c>
      <c r="Q669" t="s">
        <v>12686</v>
      </c>
      <c r="R669">
        <v>0</v>
      </c>
    </row>
    <row r="670" spans="1:18" x14ac:dyDescent="0.25">
      <c r="A670" t="s">
        <v>11368</v>
      </c>
      <c r="C670" t="str">
        <f t="shared" si="60"/>
        <v>sz</v>
      </c>
      <c r="D670" t="str">
        <f t="shared" si="61"/>
        <v>sz002299</v>
      </c>
      <c r="E670" t="str">
        <f>VLOOKUP(A670,Table!B:C,2,0)</f>
        <v>圣农发展</v>
      </c>
      <c r="F670" t="str">
        <f>TRIM(VLOOKUP(A670,Table!B:O,14,0))</f>
        <v>农牧饲渔</v>
      </c>
      <c r="G670" t="str">
        <f>VLOOKUP(F670,industry!A:C,2,0)</f>
        <v>农渔</v>
      </c>
      <c r="H670" t="str">
        <f>VLOOKUP(F670,industry!A:C,3,0)</f>
        <v>渔</v>
      </c>
      <c r="J670" s="2" t="s">
        <v>12585</v>
      </c>
      <c r="K670" t="str">
        <f t="shared" si="62"/>
        <v>sz002299</v>
      </c>
      <c r="L670" t="str">
        <f t="shared" si="63"/>
        <v>圣农发展</v>
      </c>
      <c r="M670" t="str">
        <f t="shared" si="64"/>
        <v>农渔</v>
      </c>
      <c r="N670" t="str">
        <f t="shared" si="65"/>
        <v>渔</v>
      </c>
      <c r="P670" s="2" t="s">
        <v>12585</v>
      </c>
      <c r="Q670" t="s">
        <v>10270</v>
      </c>
      <c r="R670">
        <v>0</v>
      </c>
    </row>
    <row r="671" spans="1:18" x14ac:dyDescent="0.25">
      <c r="A671" t="s">
        <v>11369</v>
      </c>
      <c r="C671" t="str">
        <f t="shared" si="60"/>
        <v>sh</v>
      </c>
      <c r="D671" t="str">
        <f t="shared" si="61"/>
        <v>sh600420</v>
      </c>
      <c r="E671" t="str">
        <f>VLOOKUP(A671,Table!B:C,2,0)</f>
        <v>现代制药</v>
      </c>
      <c r="F671" t="str">
        <f>TRIM(VLOOKUP(A671,Table!B:O,14,0))</f>
        <v>医药制造</v>
      </c>
      <c r="G671" t="str">
        <f>VLOOKUP(F671,industry!A:C,2,0)</f>
        <v>医药</v>
      </c>
      <c r="H671" t="str">
        <f>VLOOKUP(F671,industry!A:C,3,0)</f>
        <v>药</v>
      </c>
      <c r="J671" s="2" t="s">
        <v>12585</v>
      </c>
      <c r="K671" t="str">
        <f t="shared" si="62"/>
        <v>sh600420</v>
      </c>
      <c r="L671" t="str">
        <f t="shared" si="63"/>
        <v>现代制药</v>
      </c>
      <c r="M671" t="str">
        <f t="shared" si="64"/>
        <v>医药</v>
      </c>
      <c r="N671" t="str">
        <f t="shared" si="65"/>
        <v>药</v>
      </c>
      <c r="P671" s="2" t="s">
        <v>12585</v>
      </c>
      <c r="Q671" t="s">
        <v>12687</v>
      </c>
      <c r="R671">
        <v>0</v>
      </c>
    </row>
    <row r="672" spans="1:18" x14ac:dyDescent="0.25">
      <c r="A672" t="s">
        <v>11370</v>
      </c>
      <c r="C672" t="str">
        <f t="shared" si="60"/>
        <v>sh</v>
      </c>
      <c r="D672" t="str">
        <f t="shared" si="61"/>
        <v>sh600507</v>
      </c>
      <c r="E672" t="str">
        <f>VLOOKUP(A672,Table!B:C,2,0)</f>
        <v>方大特钢</v>
      </c>
      <c r="F672" t="str">
        <f>TRIM(VLOOKUP(A672,Table!B:O,14,0))</f>
        <v>钢铁行业</v>
      </c>
      <c r="G672" t="str">
        <f>VLOOKUP(F672,industry!A:C,2,0)</f>
        <v>钢铁</v>
      </c>
      <c r="H672" t="str">
        <f>VLOOKUP(F672,industry!A:C,3,0)</f>
        <v>钢</v>
      </c>
      <c r="J672" s="2" t="s">
        <v>12585</v>
      </c>
      <c r="K672" t="str">
        <f t="shared" si="62"/>
        <v>sh600507</v>
      </c>
      <c r="L672" t="str">
        <f t="shared" si="63"/>
        <v>方大特钢</v>
      </c>
      <c r="M672" t="str">
        <f t="shared" si="64"/>
        <v>钢铁</v>
      </c>
      <c r="N672" t="str">
        <f t="shared" si="65"/>
        <v>钢</v>
      </c>
      <c r="P672" s="2" t="s">
        <v>12585</v>
      </c>
      <c r="Q672" t="s">
        <v>12688</v>
      </c>
      <c r="R672">
        <v>0</v>
      </c>
    </row>
    <row r="673" spans="1:18" x14ac:dyDescent="0.25">
      <c r="A673" t="s">
        <v>11371</v>
      </c>
      <c r="C673" t="str">
        <f t="shared" si="60"/>
        <v>sh</v>
      </c>
      <c r="D673" t="str">
        <f t="shared" si="61"/>
        <v>sh603113</v>
      </c>
      <c r="E673" t="str">
        <f>VLOOKUP(A673,Table!B:C,2,0)</f>
        <v>金能科技</v>
      </c>
      <c r="F673" t="str">
        <f>TRIM(VLOOKUP(A673,Table!B:O,14,0))</f>
        <v>煤炭采选</v>
      </c>
      <c r="G673" t="str">
        <f>VLOOKUP(F673,industry!A:C,2,0)</f>
        <v>煤炭</v>
      </c>
      <c r="H673" t="str">
        <f>VLOOKUP(F673,industry!A:C,3,0)</f>
        <v>煤</v>
      </c>
      <c r="J673" s="2" t="s">
        <v>12585</v>
      </c>
      <c r="K673" t="str">
        <f t="shared" si="62"/>
        <v>sh603113</v>
      </c>
      <c r="L673" t="str">
        <f t="shared" si="63"/>
        <v>金能科技</v>
      </c>
      <c r="M673" t="str">
        <f t="shared" si="64"/>
        <v>煤炭</v>
      </c>
      <c r="N673" t="str">
        <f t="shared" si="65"/>
        <v>煤</v>
      </c>
      <c r="P673" s="2" t="s">
        <v>12585</v>
      </c>
      <c r="Q673" t="s">
        <v>12689</v>
      </c>
      <c r="R673">
        <v>0</v>
      </c>
    </row>
    <row r="674" spans="1:18" x14ac:dyDescent="0.25">
      <c r="A674" t="s">
        <v>11372</v>
      </c>
      <c r="C674" t="str">
        <f t="shared" si="60"/>
        <v>sh</v>
      </c>
      <c r="D674" t="str">
        <f t="shared" si="61"/>
        <v>sh603305</v>
      </c>
      <c r="E674" t="str">
        <f>VLOOKUP(A674,Table!B:C,2,0)</f>
        <v>旭升股份</v>
      </c>
      <c r="F674" t="str">
        <f>TRIM(VLOOKUP(A674,Table!B:O,14,0))</f>
        <v>汽车行业</v>
      </c>
      <c r="G674" t="str">
        <f>VLOOKUP(F674,industry!A:C,2,0)</f>
        <v>汽车</v>
      </c>
      <c r="H674" t="str">
        <f>VLOOKUP(F674,industry!A:C,3,0)</f>
        <v>车</v>
      </c>
      <c r="J674" s="2" t="s">
        <v>12585</v>
      </c>
      <c r="K674" t="str">
        <f t="shared" si="62"/>
        <v>sh603305</v>
      </c>
      <c r="L674" t="str">
        <f t="shared" si="63"/>
        <v>旭升股份</v>
      </c>
      <c r="M674" t="str">
        <f t="shared" si="64"/>
        <v>汽车</v>
      </c>
      <c r="N674" t="str">
        <f t="shared" si="65"/>
        <v>车</v>
      </c>
      <c r="P674" s="2" t="s">
        <v>12585</v>
      </c>
      <c r="Q674" t="s">
        <v>12690</v>
      </c>
      <c r="R674">
        <v>0</v>
      </c>
    </row>
    <row r="675" spans="1:18" x14ac:dyDescent="0.25">
      <c r="A675" t="s">
        <v>11373</v>
      </c>
      <c r="C675" t="str">
        <f t="shared" si="60"/>
        <v>sh</v>
      </c>
      <c r="D675" t="str">
        <f t="shared" si="61"/>
        <v>sh601619</v>
      </c>
      <c r="E675" t="str">
        <f>VLOOKUP(A675,Table!B:C,2,0)</f>
        <v>嘉泽新能</v>
      </c>
      <c r="F675" t="str">
        <f>TRIM(VLOOKUP(A675,Table!B:O,14,0))</f>
        <v>电力行业</v>
      </c>
      <c r="G675" t="str">
        <f>VLOOKUP(F675,industry!A:C,2,0)</f>
        <v>电力</v>
      </c>
      <c r="H675" t="str">
        <f>VLOOKUP(F675,industry!A:C,3,0)</f>
        <v>电力</v>
      </c>
      <c r="J675" s="2" t="s">
        <v>12585</v>
      </c>
      <c r="K675" t="str">
        <f t="shared" si="62"/>
        <v>sh601619</v>
      </c>
      <c r="L675" t="str">
        <f t="shared" si="63"/>
        <v>嘉泽新能</v>
      </c>
      <c r="M675" t="str">
        <f t="shared" si="64"/>
        <v>电力</v>
      </c>
      <c r="N675" t="str">
        <f t="shared" si="65"/>
        <v>电力</v>
      </c>
      <c r="P675" s="2" t="s">
        <v>12585</v>
      </c>
      <c r="Q675" t="s">
        <v>12691</v>
      </c>
      <c r="R675">
        <v>0</v>
      </c>
    </row>
    <row r="676" spans="1:18" x14ac:dyDescent="0.25">
      <c r="A676" t="s">
        <v>11374</v>
      </c>
      <c r="C676" t="str">
        <f t="shared" si="60"/>
        <v>sz</v>
      </c>
      <c r="D676" t="str">
        <f t="shared" si="61"/>
        <v>sz002444</v>
      </c>
      <c r="E676" t="str">
        <f>VLOOKUP(A676,Table!B:C,2,0)</f>
        <v>巨星科技</v>
      </c>
      <c r="F676" t="str">
        <f>TRIM(VLOOKUP(A676,Table!B:O,14,0))</f>
        <v>金属制品</v>
      </c>
      <c r="G676" t="str">
        <f>VLOOKUP(F676,industry!A:C,2,0)</f>
        <v>金属</v>
      </c>
      <c r="H676" t="str">
        <f>VLOOKUP(F676,industry!A:C,3,0)</f>
        <v>金</v>
      </c>
      <c r="J676" s="2" t="s">
        <v>12585</v>
      </c>
      <c r="K676" t="str">
        <f t="shared" si="62"/>
        <v>sz002444</v>
      </c>
      <c r="L676" t="str">
        <f t="shared" si="63"/>
        <v>巨星科技</v>
      </c>
      <c r="M676" t="str">
        <f t="shared" si="64"/>
        <v>金属</v>
      </c>
      <c r="N676" t="str">
        <f t="shared" si="65"/>
        <v>金</v>
      </c>
      <c r="P676" s="2" t="s">
        <v>12585</v>
      </c>
      <c r="Q676" t="s">
        <v>12105</v>
      </c>
      <c r="R676">
        <v>0</v>
      </c>
    </row>
    <row r="677" spans="1:18" x14ac:dyDescent="0.25">
      <c r="A677" t="s">
        <v>11375</v>
      </c>
      <c r="C677" t="str">
        <f t="shared" si="60"/>
        <v>sz</v>
      </c>
      <c r="D677" t="str">
        <f t="shared" si="61"/>
        <v>sz000059</v>
      </c>
      <c r="E677" t="str">
        <f>VLOOKUP(A677,Table!B:C,2,0)</f>
        <v>华锦股份</v>
      </c>
      <c r="F677" t="str">
        <f>TRIM(VLOOKUP(A677,Table!B:O,14,0))</f>
        <v>石油行业</v>
      </c>
      <c r="G677" t="str">
        <f>VLOOKUP(F677,industry!A:C,2,0)</f>
        <v>石油</v>
      </c>
      <c r="H677" t="str">
        <f>VLOOKUP(F677,industry!A:C,3,0)</f>
        <v>油</v>
      </c>
      <c r="J677" s="2" t="s">
        <v>12585</v>
      </c>
      <c r="K677" t="str">
        <f t="shared" si="62"/>
        <v>sz000059</v>
      </c>
      <c r="L677" t="str">
        <f t="shared" si="63"/>
        <v>华锦股份</v>
      </c>
      <c r="M677" t="str">
        <f t="shared" si="64"/>
        <v>石油</v>
      </c>
      <c r="N677" t="str">
        <f t="shared" si="65"/>
        <v>油</v>
      </c>
      <c r="P677" s="2" t="s">
        <v>12585</v>
      </c>
      <c r="Q677" t="s">
        <v>12692</v>
      </c>
      <c r="R677">
        <v>0</v>
      </c>
    </row>
    <row r="678" spans="1:18" x14ac:dyDescent="0.25">
      <c r="A678" t="s">
        <v>11376</v>
      </c>
      <c r="C678" t="str">
        <f t="shared" si="60"/>
        <v>sz</v>
      </c>
      <c r="D678" t="str">
        <f t="shared" si="61"/>
        <v>sz002901</v>
      </c>
      <c r="E678" t="str">
        <f>VLOOKUP(A678,Table!B:C,2,0)</f>
        <v>大博医疗</v>
      </c>
      <c r="F678" t="str">
        <f>TRIM(VLOOKUP(A678,Table!B:O,14,0))</f>
        <v>医疗行业</v>
      </c>
      <c r="G678" t="str">
        <f>VLOOKUP(F678,industry!A:C,2,0)</f>
        <v>医疗</v>
      </c>
      <c r="H678" t="str">
        <f>VLOOKUP(F678,industry!A:C,3,0)</f>
        <v>疗</v>
      </c>
      <c r="J678" s="2" t="s">
        <v>12585</v>
      </c>
      <c r="K678" t="str">
        <f t="shared" si="62"/>
        <v>sz002901</v>
      </c>
      <c r="L678" t="str">
        <f t="shared" si="63"/>
        <v>大博医疗</v>
      </c>
      <c r="M678" t="str">
        <f t="shared" si="64"/>
        <v>医疗</v>
      </c>
      <c r="N678" t="str">
        <f t="shared" si="65"/>
        <v>疗</v>
      </c>
      <c r="P678" s="2" t="s">
        <v>12585</v>
      </c>
      <c r="Q678" t="s">
        <v>12693</v>
      </c>
      <c r="R678">
        <v>0</v>
      </c>
    </row>
    <row r="679" spans="1:18" x14ac:dyDescent="0.25">
      <c r="A679" t="s">
        <v>11377</v>
      </c>
      <c r="C679" t="str">
        <f t="shared" si="60"/>
        <v>sz</v>
      </c>
      <c r="D679" t="str">
        <f t="shared" si="61"/>
        <v>sz002505</v>
      </c>
      <c r="E679" t="str">
        <f>VLOOKUP(A679,Table!B:C,2,0)</f>
        <v>大康农业</v>
      </c>
      <c r="F679" t="str">
        <f>TRIM(VLOOKUP(A679,Table!B:O,14,0))</f>
        <v>农牧饲渔</v>
      </c>
      <c r="G679" t="str">
        <f>VLOOKUP(F679,industry!A:C,2,0)</f>
        <v>农渔</v>
      </c>
      <c r="H679" t="str">
        <f>VLOOKUP(F679,industry!A:C,3,0)</f>
        <v>渔</v>
      </c>
      <c r="J679" s="2" t="s">
        <v>12585</v>
      </c>
      <c r="K679" t="str">
        <f t="shared" si="62"/>
        <v>sz002505</v>
      </c>
      <c r="L679" t="str">
        <f t="shared" si="63"/>
        <v>大康农业</v>
      </c>
      <c r="M679" t="str">
        <f t="shared" si="64"/>
        <v>农渔</v>
      </c>
      <c r="N679" t="str">
        <f t="shared" si="65"/>
        <v>渔</v>
      </c>
      <c r="P679" s="2" t="s">
        <v>12585</v>
      </c>
      <c r="Q679" t="s">
        <v>11856</v>
      </c>
      <c r="R679">
        <v>0</v>
      </c>
    </row>
    <row r="680" spans="1:18" x14ac:dyDescent="0.25">
      <c r="A680" t="s">
        <v>11378</v>
      </c>
      <c r="C680" t="str">
        <f t="shared" si="60"/>
        <v>sz</v>
      </c>
      <c r="D680" t="str">
        <f t="shared" si="61"/>
        <v>sz002056</v>
      </c>
      <c r="E680" t="str">
        <f>VLOOKUP(A680,Table!B:C,2,0)</f>
        <v>横店东磁</v>
      </c>
      <c r="F680" t="str">
        <f>TRIM(VLOOKUP(A680,Table!B:O,14,0))</f>
        <v>电子元件</v>
      </c>
      <c r="G680" t="str">
        <f>VLOOKUP(F680,industry!A:C,2,0)</f>
        <v>原件</v>
      </c>
      <c r="H680" t="str">
        <f>VLOOKUP(F680,industry!A:C,3,0)</f>
        <v>元件</v>
      </c>
      <c r="J680" s="2" t="s">
        <v>12585</v>
      </c>
      <c r="K680" t="str">
        <f t="shared" si="62"/>
        <v>sz002056</v>
      </c>
      <c r="L680" t="str">
        <f t="shared" si="63"/>
        <v>横店东磁</v>
      </c>
      <c r="M680" t="str">
        <f t="shared" si="64"/>
        <v>原件</v>
      </c>
      <c r="N680" t="str">
        <f t="shared" si="65"/>
        <v>元件</v>
      </c>
      <c r="P680" s="2" t="s">
        <v>12585</v>
      </c>
      <c r="Q680" t="s">
        <v>11998</v>
      </c>
      <c r="R680">
        <v>0</v>
      </c>
    </row>
    <row r="681" spans="1:18" x14ac:dyDescent="0.25">
      <c r="A681" t="s">
        <v>11379</v>
      </c>
      <c r="C681" t="str">
        <f t="shared" si="60"/>
        <v>sz</v>
      </c>
      <c r="D681" t="str">
        <f t="shared" si="61"/>
        <v>sz000022</v>
      </c>
      <c r="E681" t="str">
        <f>VLOOKUP(A681,Table!B:C,2,0)</f>
        <v>深赤湾Ａ</v>
      </c>
      <c r="F681" t="str">
        <f>TRIM(VLOOKUP(A681,Table!B:O,14,0))</f>
        <v>港口水运</v>
      </c>
      <c r="G681" t="str">
        <f>VLOOKUP(F681,industry!A:C,2,0)</f>
        <v>港口</v>
      </c>
      <c r="H681" t="str">
        <f>VLOOKUP(F681,industry!A:C,3,0)</f>
        <v>港</v>
      </c>
      <c r="J681" s="2" t="s">
        <v>12585</v>
      </c>
      <c r="K681" t="str">
        <f t="shared" si="62"/>
        <v>sz000022</v>
      </c>
      <c r="L681" t="str">
        <f t="shared" si="63"/>
        <v>深赤湾Ａ</v>
      </c>
      <c r="M681" t="str">
        <f t="shared" si="64"/>
        <v>港口</v>
      </c>
      <c r="N681" t="str">
        <f t="shared" si="65"/>
        <v>港</v>
      </c>
      <c r="P681" s="2" t="s">
        <v>12585</v>
      </c>
      <c r="Q681" t="s">
        <v>12694</v>
      </c>
      <c r="R681">
        <v>0</v>
      </c>
    </row>
    <row r="682" spans="1:18" x14ac:dyDescent="0.25">
      <c r="A682" t="s">
        <v>11380</v>
      </c>
      <c r="C682" t="str">
        <f t="shared" si="60"/>
        <v>sz</v>
      </c>
      <c r="D682" t="str">
        <f t="shared" si="61"/>
        <v>sz000968</v>
      </c>
      <c r="E682" t="str">
        <f>VLOOKUP(A682,Table!B:C,2,0)</f>
        <v>蓝焰控股</v>
      </c>
      <c r="F682" t="str">
        <f>TRIM(VLOOKUP(A682,Table!B:O,14,0))</f>
        <v>石油行业</v>
      </c>
      <c r="G682" t="str">
        <f>VLOOKUP(F682,industry!A:C,2,0)</f>
        <v>石油</v>
      </c>
      <c r="H682" t="str">
        <f>VLOOKUP(F682,industry!A:C,3,0)</f>
        <v>油</v>
      </c>
      <c r="J682" s="2" t="s">
        <v>12585</v>
      </c>
      <c r="K682" t="str">
        <f t="shared" si="62"/>
        <v>sz000968</v>
      </c>
      <c r="L682" t="str">
        <f t="shared" si="63"/>
        <v>蓝焰控股</v>
      </c>
      <c r="M682" t="str">
        <f t="shared" si="64"/>
        <v>石油</v>
      </c>
      <c r="N682" t="str">
        <f t="shared" si="65"/>
        <v>油</v>
      </c>
      <c r="P682" s="2" t="s">
        <v>12585</v>
      </c>
      <c r="Q682" t="s">
        <v>12695</v>
      </c>
      <c r="R682">
        <v>0</v>
      </c>
    </row>
    <row r="683" spans="1:18" x14ac:dyDescent="0.25">
      <c r="A683" t="s">
        <v>11381</v>
      </c>
      <c r="C683" t="str">
        <f t="shared" si="60"/>
        <v>sh</v>
      </c>
      <c r="D683" t="str">
        <f t="shared" si="61"/>
        <v>sh600604</v>
      </c>
      <c r="E683" t="str">
        <f>VLOOKUP(A683,Table!B:C,2,0)</f>
        <v>市北高新</v>
      </c>
      <c r="F683" t="str">
        <f>TRIM(VLOOKUP(A683,Table!B:O,14,0))</f>
        <v>房地产</v>
      </c>
      <c r="G683" t="str">
        <f>VLOOKUP(F683,industry!A:C,2,0)</f>
        <v>房产</v>
      </c>
      <c r="H683" t="str">
        <f>VLOOKUP(F683,industry!A:C,3,0)</f>
        <v>产</v>
      </c>
      <c r="J683" s="2" t="s">
        <v>12585</v>
      </c>
      <c r="K683" t="str">
        <f t="shared" si="62"/>
        <v>sh600604</v>
      </c>
      <c r="L683" t="str">
        <f t="shared" si="63"/>
        <v>市北高新</v>
      </c>
      <c r="M683" t="str">
        <f t="shared" si="64"/>
        <v>房产</v>
      </c>
      <c r="N683" t="str">
        <f t="shared" si="65"/>
        <v>产</v>
      </c>
      <c r="P683" s="2" t="s">
        <v>12585</v>
      </c>
      <c r="Q683" t="s">
        <v>12696</v>
      </c>
      <c r="R683">
        <v>0</v>
      </c>
    </row>
    <row r="684" spans="1:18" x14ac:dyDescent="0.25">
      <c r="A684" t="s">
        <v>11382</v>
      </c>
      <c r="C684" t="str">
        <f t="shared" si="60"/>
        <v>sh</v>
      </c>
      <c r="D684" t="str">
        <f t="shared" si="61"/>
        <v>sh600226</v>
      </c>
      <c r="E684" t="str">
        <f>VLOOKUP(A684,Table!B:C,2,0)</f>
        <v>瀚叶股份</v>
      </c>
      <c r="F684" t="str">
        <f>TRIM(VLOOKUP(A684,Table!B:O,14,0))</f>
        <v>农药兽药</v>
      </c>
      <c r="G684" t="str">
        <f>VLOOKUP(F684,industry!A:C,2,0)</f>
        <v>农药</v>
      </c>
      <c r="H684" t="str">
        <f>VLOOKUP(F684,industry!A:C,3,0)</f>
        <v>兽</v>
      </c>
      <c r="J684" s="2" t="s">
        <v>12585</v>
      </c>
      <c r="K684" t="str">
        <f t="shared" si="62"/>
        <v>sh600226</v>
      </c>
      <c r="L684" t="str">
        <f t="shared" si="63"/>
        <v>瀚叶股份</v>
      </c>
      <c r="M684" t="str">
        <f t="shared" si="64"/>
        <v>农药</v>
      </c>
      <c r="N684" t="str">
        <f t="shared" si="65"/>
        <v>兽</v>
      </c>
      <c r="P684" s="2" t="s">
        <v>12585</v>
      </c>
      <c r="Q684" t="s">
        <v>12697</v>
      </c>
      <c r="R684">
        <v>0</v>
      </c>
    </row>
    <row r="685" spans="1:18" x14ac:dyDescent="0.25">
      <c r="A685" t="s">
        <v>11383</v>
      </c>
      <c r="C685" t="str">
        <f t="shared" si="60"/>
        <v>sz</v>
      </c>
      <c r="D685" t="str">
        <f t="shared" si="61"/>
        <v>sz000690</v>
      </c>
      <c r="E685" t="str">
        <f>VLOOKUP(A685,Table!B:C,2,0)</f>
        <v>宝新能源</v>
      </c>
      <c r="F685" t="str">
        <f>TRIM(VLOOKUP(A685,Table!B:O,14,0))</f>
        <v>电力行业</v>
      </c>
      <c r="G685" t="str">
        <f>VLOOKUP(F685,industry!A:C,2,0)</f>
        <v>电力</v>
      </c>
      <c r="H685" t="str">
        <f>VLOOKUP(F685,industry!A:C,3,0)</f>
        <v>电力</v>
      </c>
      <c r="J685" s="2" t="s">
        <v>12585</v>
      </c>
      <c r="K685" t="str">
        <f t="shared" si="62"/>
        <v>sz000690</v>
      </c>
      <c r="L685" t="str">
        <f t="shared" si="63"/>
        <v>宝新能源</v>
      </c>
      <c r="M685" t="str">
        <f t="shared" si="64"/>
        <v>电力</v>
      </c>
      <c r="N685" t="str">
        <f t="shared" si="65"/>
        <v>电力</v>
      </c>
      <c r="P685" s="2" t="s">
        <v>12585</v>
      </c>
      <c r="Q685" t="s">
        <v>11815</v>
      </c>
      <c r="R685">
        <v>0</v>
      </c>
    </row>
    <row r="686" spans="1:18" x14ac:dyDescent="0.25">
      <c r="A686" t="s">
        <v>11384</v>
      </c>
      <c r="C686" t="str">
        <f t="shared" si="60"/>
        <v>sz</v>
      </c>
      <c r="D686" t="str">
        <f t="shared" si="61"/>
        <v>sz300058</v>
      </c>
      <c r="E686" t="str">
        <f>VLOOKUP(A686,Table!B:C,2,0)</f>
        <v>蓝色光标</v>
      </c>
      <c r="F686" t="str">
        <f>TRIM(VLOOKUP(A686,Table!B:O,14,0))</f>
        <v>文化传媒</v>
      </c>
      <c r="G686" t="str">
        <f>VLOOKUP(F686,industry!A:C,2,0)</f>
        <v>传媒</v>
      </c>
      <c r="H686" t="str">
        <f>VLOOKUP(F686,industry!A:C,3,0)</f>
        <v>传</v>
      </c>
      <c r="J686" s="2" t="s">
        <v>12585</v>
      </c>
      <c r="K686" t="str">
        <f t="shared" si="62"/>
        <v>sz300058</v>
      </c>
      <c r="L686" t="str">
        <f t="shared" si="63"/>
        <v>蓝色光标</v>
      </c>
      <c r="M686" t="str">
        <f t="shared" si="64"/>
        <v>传媒</v>
      </c>
      <c r="N686" t="str">
        <f t="shared" si="65"/>
        <v>传</v>
      </c>
      <c r="P686" s="2" t="s">
        <v>12585</v>
      </c>
      <c r="Q686" t="s">
        <v>10636</v>
      </c>
      <c r="R686">
        <v>0</v>
      </c>
    </row>
    <row r="687" spans="1:18" x14ac:dyDescent="0.25">
      <c r="A687" t="s">
        <v>11385</v>
      </c>
      <c r="C687" t="str">
        <f t="shared" si="60"/>
        <v>sz</v>
      </c>
      <c r="D687" t="str">
        <f t="shared" si="61"/>
        <v>sz000935</v>
      </c>
      <c r="E687" t="str">
        <f>VLOOKUP(A687,Table!B:C,2,0)</f>
        <v>四川双马</v>
      </c>
      <c r="F687" t="str">
        <f>TRIM(VLOOKUP(A687,Table!B:O,14,0))</f>
        <v>水泥建材</v>
      </c>
      <c r="G687" t="str">
        <f>VLOOKUP(F687,industry!A:C,2,0)</f>
        <v>水泥</v>
      </c>
      <c r="H687" t="str">
        <f>VLOOKUP(F687,industry!A:C,3,0)</f>
        <v>泥</v>
      </c>
      <c r="J687" s="2" t="s">
        <v>12585</v>
      </c>
      <c r="K687" t="str">
        <f t="shared" si="62"/>
        <v>sz000935</v>
      </c>
      <c r="L687" t="str">
        <f t="shared" si="63"/>
        <v>四川双马</v>
      </c>
      <c r="M687" t="str">
        <f t="shared" si="64"/>
        <v>水泥</v>
      </c>
      <c r="N687" t="str">
        <f t="shared" si="65"/>
        <v>泥</v>
      </c>
      <c r="P687" s="2" t="s">
        <v>12585</v>
      </c>
      <c r="Q687" t="s">
        <v>10570</v>
      </c>
      <c r="R687">
        <v>0</v>
      </c>
    </row>
    <row r="688" spans="1:18" x14ac:dyDescent="0.25">
      <c r="A688" t="s">
        <v>11386</v>
      </c>
      <c r="C688" t="str">
        <f t="shared" si="60"/>
        <v>sz</v>
      </c>
      <c r="D688" t="str">
        <f t="shared" si="61"/>
        <v>sz002818</v>
      </c>
      <c r="E688" t="str">
        <f>VLOOKUP(A688,Table!B:C,2,0)</f>
        <v>富森美</v>
      </c>
      <c r="F688" t="str">
        <f>TRIM(VLOOKUP(A688,Table!B:O,14,0))</f>
        <v>商业百货</v>
      </c>
      <c r="G688" t="str">
        <f>VLOOKUP(F688,industry!A:C,2,0)</f>
        <v>百货</v>
      </c>
      <c r="H688" t="str">
        <f>VLOOKUP(F688,industry!A:C,3,0)</f>
        <v>商</v>
      </c>
      <c r="J688" s="2" t="s">
        <v>12585</v>
      </c>
      <c r="K688" t="str">
        <f t="shared" si="62"/>
        <v>sz002818</v>
      </c>
      <c r="L688" t="str">
        <f t="shared" si="63"/>
        <v>富森美</v>
      </c>
      <c r="M688" t="str">
        <f t="shared" si="64"/>
        <v>百货</v>
      </c>
      <c r="N688" t="str">
        <f t="shared" si="65"/>
        <v>商</v>
      </c>
      <c r="P688" s="2" t="s">
        <v>12585</v>
      </c>
      <c r="Q688" t="s">
        <v>12698</v>
      </c>
      <c r="R688">
        <v>0</v>
      </c>
    </row>
    <row r="689" spans="1:18" x14ac:dyDescent="0.25">
      <c r="A689" t="s">
        <v>11387</v>
      </c>
      <c r="C689" t="str">
        <f t="shared" si="60"/>
        <v>sh</v>
      </c>
      <c r="D689" t="str">
        <f t="shared" si="61"/>
        <v>sh600839</v>
      </c>
      <c r="E689" t="str">
        <f>VLOOKUP(A689,Table!B:C,2,0)</f>
        <v>四川长虹</v>
      </c>
      <c r="F689" t="str">
        <f>TRIM(VLOOKUP(A689,Table!B:O,14,0))</f>
        <v>家电行业</v>
      </c>
      <c r="G689" t="str">
        <f>VLOOKUP(F689,industry!A:C,2,0)</f>
        <v>家电</v>
      </c>
      <c r="H689" t="str">
        <f>VLOOKUP(F689,industry!A:C,3,0)</f>
        <v>家</v>
      </c>
      <c r="J689" s="2" t="s">
        <v>12585</v>
      </c>
      <c r="K689" t="str">
        <f t="shared" si="62"/>
        <v>sh600839</v>
      </c>
      <c r="L689" t="str">
        <f t="shared" si="63"/>
        <v>四川长虹</v>
      </c>
      <c r="M689" t="str">
        <f t="shared" si="64"/>
        <v>家电</v>
      </c>
      <c r="N689" t="str">
        <f t="shared" si="65"/>
        <v>家</v>
      </c>
      <c r="P689" s="2" t="s">
        <v>12585</v>
      </c>
      <c r="Q689" t="s">
        <v>12301</v>
      </c>
      <c r="R689">
        <v>0</v>
      </c>
    </row>
    <row r="690" spans="1:18" x14ac:dyDescent="0.25">
      <c r="A690" t="s">
        <v>11388</v>
      </c>
      <c r="C690" t="str">
        <f t="shared" si="60"/>
        <v>sh</v>
      </c>
      <c r="D690" t="str">
        <f t="shared" si="61"/>
        <v>sh600908</v>
      </c>
      <c r="E690" t="str">
        <f>VLOOKUP(A690,Table!B:C,2,0)</f>
        <v>无锡银行</v>
      </c>
      <c r="F690" t="str">
        <f>TRIM(VLOOKUP(A690,Table!B:O,14,0))</f>
        <v>银行</v>
      </c>
      <c r="G690" t="str">
        <f>VLOOKUP(F690,industry!A:C,2,0)</f>
        <v>银行</v>
      </c>
      <c r="H690" t="str">
        <f>VLOOKUP(F690,industry!A:C,3,0)</f>
        <v>银</v>
      </c>
      <c r="J690" s="2" t="s">
        <v>12585</v>
      </c>
      <c r="K690" t="str">
        <f t="shared" si="62"/>
        <v>sh600908</v>
      </c>
      <c r="L690" t="str">
        <f t="shared" si="63"/>
        <v>无锡银行</v>
      </c>
      <c r="M690" t="str">
        <f t="shared" si="64"/>
        <v>银行</v>
      </c>
      <c r="N690" t="str">
        <f t="shared" si="65"/>
        <v>银</v>
      </c>
      <c r="P690" s="2" t="s">
        <v>12585</v>
      </c>
      <c r="Q690" t="s">
        <v>10442</v>
      </c>
      <c r="R690">
        <v>0</v>
      </c>
    </row>
    <row r="691" spans="1:18" x14ac:dyDescent="0.25">
      <c r="A691" t="s">
        <v>11389</v>
      </c>
      <c r="C691" t="str">
        <f t="shared" si="60"/>
        <v>sz</v>
      </c>
      <c r="D691" t="str">
        <f t="shared" si="61"/>
        <v>sz002648</v>
      </c>
      <c r="E691" t="str">
        <f>VLOOKUP(A691,Table!B:C,2,0)</f>
        <v>卫星石化</v>
      </c>
      <c r="F691" t="str">
        <f>TRIM(VLOOKUP(A691,Table!B:O,14,0))</f>
        <v>化工行业</v>
      </c>
      <c r="G691" t="str">
        <f>VLOOKUP(F691,industry!A:C,2,0)</f>
        <v>化工</v>
      </c>
      <c r="H691" t="str">
        <f>VLOOKUP(F691,industry!A:C,3,0)</f>
        <v>化</v>
      </c>
      <c r="J691" s="2" t="s">
        <v>12585</v>
      </c>
      <c r="K691" t="str">
        <f t="shared" si="62"/>
        <v>sz002648</v>
      </c>
      <c r="L691" t="str">
        <f t="shared" si="63"/>
        <v>卫星石化</v>
      </c>
      <c r="M691" t="str">
        <f t="shared" si="64"/>
        <v>化工</v>
      </c>
      <c r="N691" t="str">
        <f t="shared" si="65"/>
        <v>化</v>
      </c>
      <c r="P691" s="2" t="s">
        <v>12585</v>
      </c>
      <c r="Q691" t="s">
        <v>12699</v>
      </c>
      <c r="R691">
        <v>0</v>
      </c>
    </row>
    <row r="692" spans="1:18" x14ac:dyDescent="0.25">
      <c r="A692" t="s">
        <v>11390</v>
      </c>
      <c r="C692" t="str">
        <f t="shared" si="60"/>
        <v>sz</v>
      </c>
      <c r="D692" t="str">
        <f t="shared" si="61"/>
        <v>sz002497</v>
      </c>
      <c r="E692" t="str">
        <f>VLOOKUP(A692,Table!B:C,2,0)</f>
        <v>雅化集团</v>
      </c>
      <c r="F692" t="str">
        <f>TRIM(VLOOKUP(A692,Table!B:O,14,0))</f>
        <v>化工行业</v>
      </c>
      <c r="G692" t="str">
        <f>VLOOKUP(F692,industry!A:C,2,0)</f>
        <v>化工</v>
      </c>
      <c r="H692" t="str">
        <f>VLOOKUP(F692,industry!A:C,3,0)</f>
        <v>化</v>
      </c>
      <c r="J692" s="2" t="s">
        <v>12585</v>
      </c>
      <c r="K692" t="str">
        <f t="shared" si="62"/>
        <v>sz002497</v>
      </c>
      <c r="L692" t="str">
        <f t="shared" si="63"/>
        <v>雅化集团</v>
      </c>
      <c r="M692" t="str">
        <f t="shared" si="64"/>
        <v>化工</v>
      </c>
      <c r="N692" t="str">
        <f t="shared" si="65"/>
        <v>化</v>
      </c>
      <c r="P692" s="2" t="s">
        <v>12585</v>
      </c>
      <c r="Q692" t="s">
        <v>12700</v>
      </c>
      <c r="R692">
        <v>0</v>
      </c>
    </row>
    <row r="693" spans="1:18" x14ac:dyDescent="0.25">
      <c r="A693" t="s">
        <v>11391</v>
      </c>
      <c r="C693" t="str">
        <f t="shared" si="60"/>
        <v>sh</v>
      </c>
      <c r="D693" t="str">
        <f t="shared" si="61"/>
        <v>sh603766</v>
      </c>
      <c r="E693" t="str">
        <f>VLOOKUP(A693,Table!B:C,2,0)</f>
        <v>隆鑫通用</v>
      </c>
      <c r="F693" t="str">
        <f>TRIM(VLOOKUP(A693,Table!B:O,14,0))</f>
        <v>机械行业</v>
      </c>
      <c r="G693" t="str">
        <f>VLOOKUP(F693,industry!A:C,2,0)</f>
        <v>机械</v>
      </c>
      <c r="H693" t="str">
        <f>VLOOKUP(F693,industry!A:C,3,0)</f>
        <v>械</v>
      </c>
      <c r="J693" s="2" t="s">
        <v>12585</v>
      </c>
      <c r="K693" t="str">
        <f t="shared" si="62"/>
        <v>sh603766</v>
      </c>
      <c r="L693" t="str">
        <f t="shared" si="63"/>
        <v>隆鑫通用</v>
      </c>
      <c r="M693" t="str">
        <f t="shared" si="64"/>
        <v>机械</v>
      </c>
      <c r="N693" t="str">
        <f t="shared" si="65"/>
        <v>械</v>
      </c>
      <c r="P693" s="2" t="s">
        <v>12585</v>
      </c>
      <c r="Q693" t="s">
        <v>12153</v>
      </c>
      <c r="R693">
        <v>0</v>
      </c>
    </row>
    <row r="694" spans="1:18" x14ac:dyDescent="0.25">
      <c r="A694" t="s">
        <v>11392</v>
      </c>
      <c r="C694" t="str">
        <f t="shared" si="60"/>
        <v>sz</v>
      </c>
      <c r="D694" t="str">
        <f t="shared" si="61"/>
        <v>sz002699</v>
      </c>
      <c r="E694" t="str">
        <f>VLOOKUP(A694,Table!B:C,2,0)</f>
        <v>美盛文化</v>
      </c>
      <c r="F694" t="str">
        <f>TRIM(VLOOKUP(A694,Table!B:O,14,0))</f>
        <v>文教休闲</v>
      </c>
      <c r="G694" t="str">
        <f>VLOOKUP(F694,industry!A:C,2,0)</f>
        <v>文教</v>
      </c>
      <c r="H694" t="str">
        <f>VLOOKUP(F694,industry!A:C,3,0)</f>
        <v>文</v>
      </c>
      <c r="J694" s="2" t="s">
        <v>12585</v>
      </c>
      <c r="K694" t="str">
        <f t="shared" si="62"/>
        <v>sz002699</v>
      </c>
      <c r="L694" t="str">
        <f t="shared" si="63"/>
        <v>美盛文化</v>
      </c>
      <c r="M694" t="str">
        <f t="shared" si="64"/>
        <v>文教</v>
      </c>
      <c r="N694" t="str">
        <f t="shared" si="65"/>
        <v>文</v>
      </c>
      <c r="P694" s="2" t="s">
        <v>12585</v>
      </c>
      <c r="Q694" t="s">
        <v>12177</v>
      </c>
      <c r="R694">
        <v>0</v>
      </c>
    </row>
    <row r="695" spans="1:18" x14ac:dyDescent="0.25">
      <c r="A695" t="s">
        <v>11393</v>
      </c>
      <c r="C695" t="str">
        <f t="shared" si="60"/>
        <v>sz</v>
      </c>
      <c r="D695" t="str">
        <f t="shared" si="61"/>
        <v>sz002287</v>
      </c>
      <c r="E695" t="str">
        <f>VLOOKUP(A695,Table!B:C,2,0)</f>
        <v>奇正藏药</v>
      </c>
      <c r="F695" t="str">
        <f>TRIM(VLOOKUP(A695,Table!B:O,14,0))</f>
        <v>医药制造</v>
      </c>
      <c r="G695" t="str">
        <f>VLOOKUP(F695,industry!A:C,2,0)</f>
        <v>医药</v>
      </c>
      <c r="H695" t="str">
        <f>VLOOKUP(F695,industry!A:C,3,0)</f>
        <v>药</v>
      </c>
      <c r="J695" s="2" t="s">
        <v>12585</v>
      </c>
      <c r="K695" t="str">
        <f t="shared" si="62"/>
        <v>sz002287</v>
      </c>
      <c r="L695" t="str">
        <f t="shared" si="63"/>
        <v>奇正藏药</v>
      </c>
      <c r="M695" t="str">
        <f t="shared" si="64"/>
        <v>医药</v>
      </c>
      <c r="N695" t="str">
        <f t="shared" si="65"/>
        <v>药</v>
      </c>
      <c r="P695" s="2" t="s">
        <v>12585</v>
      </c>
      <c r="Q695" t="s">
        <v>12701</v>
      </c>
      <c r="R695">
        <v>0</v>
      </c>
    </row>
    <row r="696" spans="1:18" x14ac:dyDescent="0.25">
      <c r="A696" t="s">
        <v>11394</v>
      </c>
      <c r="C696" t="str">
        <f t="shared" si="60"/>
        <v>sh</v>
      </c>
      <c r="D696" t="str">
        <f t="shared" si="61"/>
        <v>sh600231</v>
      </c>
      <c r="E696" t="str">
        <f>VLOOKUP(A696,Table!B:C,2,0)</f>
        <v>凌钢股份</v>
      </c>
      <c r="F696" t="str">
        <f>TRIM(VLOOKUP(A696,Table!B:O,14,0))</f>
        <v>钢铁行业</v>
      </c>
      <c r="G696" t="str">
        <f>VLOOKUP(F696,industry!A:C,2,0)</f>
        <v>钢铁</v>
      </c>
      <c r="H696" t="str">
        <f>VLOOKUP(F696,industry!A:C,3,0)</f>
        <v>钢</v>
      </c>
      <c r="J696" s="2" t="s">
        <v>12585</v>
      </c>
      <c r="K696" t="str">
        <f t="shared" si="62"/>
        <v>sh600231</v>
      </c>
      <c r="L696" t="str">
        <f t="shared" si="63"/>
        <v>凌钢股份</v>
      </c>
      <c r="M696" t="str">
        <f t="shared" si="64"/>
        <v>钢铁</v>
      </c>
      <c r="N696" t="str">
        <f t="shared" si="65"/>
        <v>钢</v>
      </c>
      <c r="P696" s="2" t="s">
        <v>12585</v>
      </c>
      <c r="Q696" t="s">
        <v>12702</v>
      </c>
      <c r="R696">
        <v>0</v>
      </c>
    </row>
    <row r="697" spans="1:18" x14ac:dyDescent="0.25">
      <c r="A697" t="s">
        <v>11395</v>
      </c>
      <c r="C697" t="str">
        <f t="shared" si="60"/>
        <v>sh</v>
      </c>
      <c r="D697" t="str">
        <f t="shared" si="61"/>
        <v>sh601952</v>
      </c>
      <c r="E697" t="str">
        <f>VLOOKUP(A697,Table!B:C,2,0)</f>
        <v>苏垦农发</v>
      </c>
      <c r="F697" t="str">
        <f>TRIM(VLOOKUP(A697,Table!B:O,14,0))</f>
        <v>农牧饲渔</v>
      </c>
      <c r="G697" t="str">
        <f>VLOOKUP(F697,industry!A:C,2,0)</f>
        <v>农渔</v>
      </c>
      <c r="H697" t="str">
        <f>VLOOKUP(F697,industry!A:C,3,0)</f>
        <v>渔</v>
      </c>
      <c r="J697" s="2" t="s">
        <v>12585</v>
      </c>
      <c r="K697" t="str">
        <f t="shared" si="62"/>
        <v>sh601952</v>
      </c>
      <c r="L697" t="str">
        <f t="shared" si="63"/>
        <v>苏垦农发</v>
      </c>
      <c r="M697" t="str">
        <f t="shared" si="64"/>
        <v>农渔</v>
      </c>
      <c r="N697" t="str">
        <f t="shared" si="65"/>
        <v>渔</v>
      </c>
      <c r="P697" s="2" t="s">
        <v>12585</v>
      </c>
      <c r="Q697" t="s">
        <v>12703</v>
      </c>
      <c r="R697">
        <v>0</v>
      </c>
    </row>
    <row r="698" spans="1:18" x14ac:dyDescent="0.25">
      <c r="A698" t="s">
        <v>11396</v>
      </c>
      <c r="C698" t="str">
        <f t="shared" si="60"/>
        <v>sz</v>
      </c>
      <c r="D698" t="str">
        <f t="shared" si="61"/>
        <v>sz300496</v>
      </c>
      <c r="E698" t="str">
        <f>VLOOKUP(A698,Table!B:C,2,0)</f>
        <v>中科创达</v>
      </c>
      <c r="F698" t="str">
        <f>TRIM(VLOOKUP(A698,Table!B:O,14,0))</f>
        <v>电子信息</v>
      </c>
      <c r="G698" t="str">
        <f>VLOOKUP(F698,industry!A:C,2,0)</f>
        <v>信息</v>
      </c>
      <c r="H698" t="str">
        <f>VLOOKUP(F698,industry!A:C,3,0)</f>
        <v>咨</v>
      </c>
      <c r="J698" s="2" t="s">
        <v>12585</v>
      </c>
      <c r="K698" t="str">
        <f t="shared" si="62"/>
        <v>sz300496</v>
      </c>
      <c r="L698" t="str">
        <f t="shared" si="63"/>
        <v>中科创达</v>
      </c>
      <c r="M698" t="str">
        <f t="shared" si="64"/>
        <v>信息</v>
      </c>
      <c r="N698" t="str">
        <f t="shared" si="65"/>
        <v>咨</v>
      </c>
      <c r="P698" s="2" t="s">
        <v>12585</v>
      </c>
      <c r="Q698" t="s">
        <v>10634</v>
      </c>
      <c r="R698">
        <v>0</v>
      </c>
    </row>
    <row r="699" spans="1:18" x14ac:dyDescent="0.25">
      <c r="A699" t="s">
        <v>11397</v>
      </c>
      <c r="C699" t="str">
        <f t="shared" si="60"/>
        <v>sh</v>
      </c>
      <c r="D699" t="str">
        <f t="shared" si="61"/>
        <v>sh600939</v>
      </c>
      <c r="E699" t="str">
        <f>VLOOKUP(A699,Table!B:C,2,0)</f>
        <v>重庆建工</v>
      </c>
      <c r="F699" t="str">
        <f>TRIM(VLOOKUP(A699,Table!B:O,14,0))</f>
        <v>工程建设</v>
      </c>
      <c r="G699" t="str">
        <f>VLOOKUP(F699,industry!A:C,2,0)</f>
        <v>工建</v>
      </c>
      <c r="H699" t="str">
        <f>VLOOKUP(F699,industry!A:C,3,0)</f>
        <v>建</v>
      </c>
      <c r="J699" s="2" t="s">
        <v>12585</v>
      </c>
      <c r="K699" t="str">
        <f t="shared" si="62"/>
        <v>sh600939</v>
      </c>
      <c r="L699" t="str">
        <f t="shared" si="63"/>
        <v>重庆建工</v>
      </c>
      <c r="M699" t="str">
        <f t="shared" si="64"/>
        <v>工建</v>
      </c>
      <c r="N699" t="str">
        <f t="shared" si="65"/>
        <v>建</v>
      </c>
      <c r="P699" s="2" t="s">
        <v>12585</v>
      </c>
      <c r="Q699" t="s">
        <v>12704</v>
      </c>
      <c r="R699">
        <v>0</v>
      </c>
    </row>
    <row r="700" spans="1:18" x14ac:dyDescent="0.25">
      <c r="A700" t="s">
        <v>11398</v>
      </c>
      <c r="C700" t="str">
        <f t="shared" si="60"/>
        <v>sh</v>
      </c>
      <c r="D700" t="str">
        <f t="shared" si="61"/>
        <v>sh600446</v>
      </c>
      <c r="E700" t="str">
        <f>VLOOKUP(A700,Table!B:C,2,0)</f>
        <v>金证股份</v>
      </c>
      <c r="F700" t="str">
        <f>TRIM(VLOOKUP(A700,Table!B:O,14,0))</f>
        <v>软件服务</v>
      </c>
      <c r="G700" t="str">
        <f>VLOOKUP(F700,industry!A:C,2,0)</f>
        <v>软件</v>
      </c>
      <c r="H700" t="str">
        <f>VLOOKUP(F700,industry!A:C,3,0)</f>
        <v>软</v>
      </c>
      <c r="J700" s="2" t="s">
        <v>12585</v>
      </c>
      <c r="K700" t="str">
        <f t="shared" si="62"/>
        <v>sh600446</v>
      </c>
      <c r="L700" t="str">
        <f t="shared" si="63"/>
        <v>金证股份</v>
      </c>
      <c r="M700" t="str">
        <f t="shared" si="64"/>
        <v>软件</v>
      </c>
      <c r="N700" t="str">
        <f t="shared" si="65"/>
        <v>软</v>
      </c>
      <c r="P700" s="2" t="s">
        <v>12585</v>
      </c>
      <c r="Q700" t="s">
        <v>10386</v>
      </c>
      <c r="R700">
        <v>0</v>
      </c>
    </row>
    <row r="701" spans="1:18" x14ac:dyDescent="0.25">
      <c r="A701" t="s">
        <v>11399</v>
      </c>
      <c r="C701" t="str">
        <f t="shared" si="60"/>
        <v>sh</v>
      </c>
      <c r="D701" t="str">
        <f t="shared" si="61"/>
        <v>sh603000</v>
      </c>
      <c r="E701" t="str">
        <f>VLOOKUP(A701,Table!B:C,2,0)</f>
        <v>人民网</v>
      </c>
      <c r="F701" t="str">
        <f>TRIM(VLOOKUP(A701,Table!B:O,14,0))</f>
        <v>电子信息</v>
      </c>
      <c r="G701" t="str">
        <f>VLOOKUP(F701,industry!A:C,2,0)</f>
        <v>信息</v>
      </c>
      <c r="H701" t="str">
        <f>VLOOKUP(F701,industry!A:C,3,0)</f>
        <v>咨</v>
      </c>
      <c r="J701" s="2" t="s">
        <v>12585</v>
      </c>
      <c r="K701" t="str">
        <f t="shared" si="62"/>
        <v>sh603000</v>
      </c>
      <c r="L701" t="str">
        <f t="shared" si="63"/>
        <v>人民网</v>
      </c>
      <c r="M701" t="str">
        <f t="shared" si="64"/>
        <v>信息</v>
      </c>
      <c r="N701" t="str">
        <f t="shared" si="65"/>
        <v>咨</v>
      </c>
      <c r="P701" s="2" t="s">
        <v>12585</v>
      </c>
      <c r="Q701" t="s">
        <v>10586</v>
      </c>
      <c r="R701">
        <v>0</v>
      </c>
    </row>
    <row r="702" spans="1:18" x14ac:dyDescent="0.25">
      <c r="A702" t="s">
        <v>11400</v>
      </c>
      <c r="C702" t="str">
        <f t="shared" si="60"/>
        <v>sz</v>
      </c>
      <c r="D702" t="str">
        <f t="shared" si="61"/>
        <v>sz000718</v>
      </c>
      <c r="E702" t="str">
        <f>VLOOKUP(A702,Table!B:C,2,0)</f>
        <v>苏宁环球</v>
      </c>
      <c r="F702" t="str">
        <f>TRIM(VLOOKUP(A702,Table!B:O,14,0))</f>
        <v>房地产</v>
      </c>
      <c r="G702" t="str">
        <f>VLOOKUP(F702,industry!A:C,2,0)</f>
        <v>房产</v>
      </c>
      <c r="H702" t="str">
        <f>VLOOKUP(F702,industry!A:C,3,0)</f>
        <v>产</v>
      </c>
      <c r="J702" s="2" t="s">
        <v>12585</v>
      </c>
      <c r="K702" t="str">
        <f t="shared" si="62"/>
        <v>sz000718</v>
      </c>
      <c r="L702" t="str">
        <f t="shared" si="63"/>
        <v>苏宁环球</v>
      </c>
      <c r="M702" t="str">
        <f t="shared" si="64"/>
        <v>房产</v>
      </c>
      <c r="N702" t="str">
        <f t="shared" si="65"/>
        <v>产</v>
      </c>
      <c r="P702" s="2" t="s">
        <v>12585</v>
      </c>
      <c r="Q702" t="s">
        <v>10316</v>
      </c>
      <c r="R702">
        <v>0</v>
      </c>
    </row>
    <row r="703" spans="1:18" x14ac:dyDescent="0.25">
      <c r="A703" t="s">
        <v>11401</v>
      </c>
      <c r="C703" t="str">
        <f t="shared" si="60"/>
        <v>sz</v>
      </c>
      <c r="D703" t="str">
        <f t="shared" si="61"/>
        <v>sz002091</v>
      </c>
      <c r="E703" t="str">
        <f>VLOOKUP(A703,Table!B:C,2,0)</f>
        <v>江苏国泰</v>
      </c>
      <c r="F703" t="str">
        <f>TRIM(VLOOKUP(A703,Table!B:O,14,0))</f>
        <v>国际贸易</v>
      </c>
      <c r="G703" t="str">
        <f>VLOOKUP(F703,industry!A:C,2,0)</f>
        <v>国贸</v>
      </c>
      <c r="H703" t="str">
        <f>VLOOKUP(F703,industry!A:C,3,0)</f>
        <v>贸</v>
      </c>
      <c r="J703" s="2" t="s">
        <v>12585</v>
      </c>
      <c r="K703" t="str">
        <f t="shared" si="62"/>
        <v>sz002091</v>
      </c>
      <c r="L703" t="str">
        <f t="shared" si="63"/>
        <v>江苏国泰</v>
      </c>
      <c r="M703" t="str">
        <f t="shared" si="64"/>
        <v>国贸</v>
      </c>
      <c r="N703" t="str">
        <f t="shared" si="65"/>
        <v>贸</v>
      </c>
      <c r="P703" s="2" t="s">
        <v>12585</v>
      </c>
      <c r="Q703" t="s">
        <v>12705</v>
      </c>
      <c r="R703">
        <v>0</v>
      </c>
    </row>
    <row r="704" spans="1:18" x14ac:dyDescent="0.25">
      <c r="A704" t="s">
        <v>11402</v>
      </c>
      <c r="C704" t="str">
        <f t="shared" si="60"/>
        <v>sh</v>
      </c>
      <c r="D704" t="str">
        <f t="shared" si="61"/>
        <v>sh600797</v>
      </c>
      <c r="E704" t="str">
        <f>VLOOKUP(A704,Table!B:C,2,0)</f>
        <v>浙大网新</v>
      </c>
      <c r="F704" t="str">
        <f>TRIM(VLOOKUP(A704,Table!B:O,14,0))</f>
        <v>电子信息</v>
      </c>
      <c r="G704" t="str">
        <f>VLOOKUP(F704,industry!A:C,2,0)</f>
        <v>信息</v>
      </c>
      <c r="H704" t="str">
        <f>VLOOKUP(F704,industry!A:C,3,0)</f>
        <v>咨</v>
      </c>
      <c r="J704" s="2" t="s">
        <v>12585</v>
      </c>
      <c r="K704" t="str">
        <f t="shared" si="62"/>
        <v>sh600797</v>
      </c>
      <c r="L704" t="str">
        <f t="shared" si="63"/>
        <v>浙大网新</v>
      </c>
      <c r="M704" t="str">
        <f t="shared" si="64"/>
        <v>信息</v>
      </c>
      <c r="N704" t="str">
        <f t="shared" si="65"/>
        <v>咨</v>
      </c>
      <c r="P704" s="2" t="s">
        <v>12585</v>
      </c>
      <c r="Q704" t="s">
        <v>12706</v>
      </c>
      <c r="R704">
        <v>0</v>
      </c>
    </row>
    <row r="705" spans="1:18" x14ac:dyDescent="0.25">
      <c r="A705" t="s">
        <v>11403</v>
      </c>
      <c r="C705" t="str">
        <f t="shared" si="60"/>
        <v>sz</v>
      </c>
      <c r="D705" t="str">
        <f t="shared" si="61"/>
        <v>sz000989</v>
      </c>
      <c r="E705" t="str">
        <f>VLOOKUP(A705,Table!B:C,2,0)</f>
        <v>九 芝 堂</v>
      </c>
      <c r="F705" t="str">
        <f>TRIM(VLOOKUP(A705,Table!B:O,14,0))</f>
        <v>医药制造</v>
      </c>
      <c r="G705" t="str">
        <f>VLOOKUP(F705,industry!A:C,2,0)</f>
        <v>医药</v>
      </c>
      <c r="H705" t="str">
        <f>VLOOKUP(F705,industry!A:C,3,0)</f>
        <v>药</v>
      </c>
      <c r="J705" s="2" t="s">
        <v>12585</v>
      </c>
      <c r="K705" t="str">
        <f t="shared" si="62"/>
        <v>sz000989</v>
      </c>
      <c r="L705" t="str">
        <f t="shared" si="63"/>
        <v>九 芝 堂</v>
      </c>
      <c r="M705" t="str">
        <f t="shared" si="64"/>
        <v>医药</v>
      </c>
      <c r="N705" t="str">
        <f t="shared" si="65"/>
        <v>药</v>
      </c>
      <c r="P705" s="2" t="s">
        <v>12585</v>
      </c>
      <c r="Q705" t="s">
        <v>10616</v>
      </c>
      <c r="R705">
        <v>0</v>
      </c>
    </row>
    <row r="706" spans="1:18" x14ac:dyDescent="0.25">
      <c r="A706" t="s">
        <v>11404</v>
      </c>
      <c r="C706" t="str">
        <f t="shared" si="60"/>
        <v>sz</v>
      </c>
      <c r="D706" t="str">
        <f t="shared" si="61"/>
        <v>sz000547</v>
      </c>
      <c r="E706" t="str">
        <f>VLOOKUP(A706,Table!B:C,2,0)</f>
        <v>航天发展</v>
      </c>
      <c r="F706" t="str">
        <f>TRIM(VLOOKUP(A706,Table!B:O,14,0))</f>
        <v>通讯行业</v>
      </c>
      <c r="G706" t="str">
        <f>VLOOKUP(F706,industry!A:C,2,0)</f>
        <v>通讯</v>
      </c>
      <c r="H706" t="str">
        <f>VLOOKUP(F706,industry!A:C,3,0)</f>
        <v>讯</v>
      </c>
      <c r="J706" s="2" t="s">
        <v>12585</v>
      </c>
      <c r="K706" t="str">
        <f t="shared" si="62"/>
        <v>sz000547</v>
      </c>
      <c r="L706" t="str">
        <f t="shared" si="63"/>
        <v>航天发展</v>
      </c>
      <c r="M706" t="str">
        <f t="shared" si="64"/>
        <v>通讯</v>
      </c>
      <c r="N706" t="str">
        <f t="shared" si="65"/>
        <v>讯</v>
      </c>
      <c r="P706" s="2" t="s">
        <v>12585</v>
      </c>
      <c r="Q706" t="s">
        <v>10576</v>
      </c>
      <c r="R706">
        <v>0</v>
      </c>
    </row>
    <row r="707" spans="1:18" x14ac:dyDescent="0.25">
      <c r="A707" t="s">
        <v>11405</v>
      </c>
      <c r="C707" t="str">
        <f t="shared" ref="C707:C770" si="66">IF(LEFT(A707,1)="6","sh","sz")</f>
        <v>sz</v>
      </c>
      <c r="D707" t="str">
        <f t="shared" ref="D707:D770" si="67">C707 &amp; A707</f>
        <v>sz002138</v>
      </c>
      <c r="E707" t="str">
        <f>VLOOKUP(A707,Table!B:C,2,0)</f>
        <v>顺络电子</v>
      </c>
      <c r="F707" t="str">
        <f>TRIM(VLOOKUP(A707,Table!B:O,14,0))</f>
        <v>电子元件</v>
      </c>
      <c r="G707" t="str">
        <f>VLOOKUP(F707,industry!A:C,2,0)</f>
        <v>原件</v>
      </c>
      <c r="H707" t="str">
        <f>VLOOKUP(F707,industry!A:C,3,0)</f>
        <v>元件</v>
      </c>
      <c r="J707" s="2" t="s">
        <v>12585</v>
      </c>
      <c r="K707" t="str">
        <f t="shared" ref="K707:K770" si="68">D707</f>
        <v>sz002138</v>
      </c>
      <c r="L707" t="str">
        <f t="shared" ref="L707:L770" si="69">E707</f>
        <v>顺络电子</v>
      </c>
      <c r="M707" t="str">
        <f t="shared" ref="M707:M770" si="70">G707</f>
        <v>原件</v>
      </c>
      <c r="N707" t="str">
        <f t="shared" ref="N707:N770" si="71">H707</f>
        <v>元件</v>
      </c>
      <c r="P707" s="2" t="s">
        <v>12585</v>
      </c>
      <c r="Q707" t="s">
        <v>12707</v>
      </c>
      <c r="R707">
        <v>0</v>
      </c>
    </row>
    <row r="708" spans="1:18" x14ac:dyDescent="0.25">
      <c r="A708" t="s">
        <v>11406</v>
      </c>
      <c r="C708" t="str">
        <f t="shared" si="66"/>
        <v>sz</v>
      </c>
      <c r="D708" t="str">
        <f t="shared" si="67"/>
        <v>sz002709</v>
      </c>
      <c r="E708" t="str">
        <f>VLOOKUP(A708,Table!B:C,2,0)</f>
        <v>天赐材料</v>
      </c>
      <c r="F708" t="str">
        <f>TRIM(VLOOKUP(A708,Table!B:O,14,0))</f>
        <v>化工行业</v>
      </c>
      <c r="G708" t="str">
        <f>VLOOKUP(F708,industry!A:C,2,0)</f>
        <v>化工</v>
      </c>
      <c r="H708" t="str">
        <f>VLOOKUP(F708,industry!A:C,3,0)</f>
        <v>化</v>
      </c>
      <c r="J708" s="2" t="s">
        <v>12585</v>
      </c>
      <c r="K708" t="str">
        <f t="shared" si="68"/>
        <v>sz002709</v>
      </c>
      <c r="L708" t="str">
        <f t="shared" si="69"/>
        <v>天赐材料</v>
      </c>
      <c r="M708" t="str">
        <f t="shared" si="70"/>
        <v>化工</v>
      </c>
      <c r="N708" t="str">
        <f t="shared" si="71"/>
        <v>化</v>
      </c>
      <c r="P708" s="2" t="s">
        <v>12585</v>
      </c>
      <c r="Q708" t="s">
        <v>12708</v>
      </c>
      <c r="R708">
        <v>0</v>
      </c>
    </row>
    <row r="709" spans="1:18" x14ac:dyDescent="0.25">
      <c r="A709" t="s">
        <v>11407</v>
      </c>
      <c r="C709" t="str">
        <f t="shared" si="66"/>
        <v>sh</v>
      </c>
      <c r="D709" t="str">
        <f t="shared" si="67"/>
        <v>sh600380</v>
      </c>
      <c r="E709" t="str">
        <f>VLOOKUP(A709,Table!B:C,2,0)</f>
        <v>健康元</v>
      </c>
      <c r="F709" t="str">
        <f>TRIM(VLOOKUP(A709,Table!B:O,14,0))</f>
        <v>医药制造</v>
      </c>
      <c r="G709" t="str">
        <f>VLOOKUP(F709,industry!A:C,2,0)</f>
        <v>医药</v>
      </c>
      <c r="H709" t="str">
        <f>VLOOKUP(F709,industry!A:C,3,0)</f>
        <v>药</v>
      </c>
      <c r="J709" s="2" t="s">
        <v>12585</v>
      </c>
      <c r="K709" t="str">
        <f t="shared" si="68"/>
        <v>sh600380</v>
      </c>
      <c r="L709" t="str">
        <f t="shared" si="69"/>
        <v>健康元</v>
      </c>
      <c r="M709" t="str">
        <f t="shared" si="70"/>
        <v>医药</v>
      </c>
      <c r="N709" t="str">
        <f t="shared" si="71"/>
        <v>药</v>
      </c>
      <c r="P709" s="2" t="s">
        <v>12585</v>
      </c>
      <c r="Q709" t="s">
        <v>12048</v>
      </c>
      <c r="R709">
        <v>0</v>
      </c>
    </row>
    <row r="710" spans="1:18" x14ac:dyDescent="0.25">
      <c r="A710" t="s">
        <v>11408</v>
      </c>
      <c r="C710" t="str">
        <f t="shared" si="66"/>
        <v>sz</v>
      </c>
      <c r="D710" t="str">
        <f t="shared" si="67"/>
        <v>sz002035</v>
      </c>
      <c r="E710" t="str">
        <f>VLOOKUP(A710,Table!B:C,2,0)</f>
        <v>华帝股份</v>
      </c>
      <c r="F710" t="str">
        <f>TRIM(VLOOKUP(A710,Table!B:O,14,0))</f>
        <v>家电行业</v>
      </c>
      <c r="G710" t="str">
        <f>VLOOKUP(F710,industry!A:C,2,0)</f>
        <v>家电</v>
      </c>
      <c r="H710" t="str">
        <f>VLOOKUP(F710,industry!A:C,3,0)</f>
        <v>家</v>
      </c>
      <c r="J710" s="2" t="s">
        <v>12585</v>
      </c>
      <c r="K710" t="str">
        <f t="shared" si="68"/>
        <v>sz002035</v>
      </c>
      <c r="L710" t="str">
        <f t="shared" si="69"/>
        <v>华帝股份</v>
      </c>
      <c r="M710" t="str">
        <f t="shared" si="70"/>
        <v>家电</v>
      </c>
      <c r="N710" t="str">
        <f t="shared" si="71"/>
        <v>家</v>
      </c>
      <c r="P710" s="2" t="s">
        <v>12585</v>
      </c>
      <c r="Q710" t="s">
        <v>12709</v>
      </c>
      <c r="R710">
        <v>0</v>
      </c>
    </row>
    <row r="711" spans="1:18" x14ac:dyDescent="0.25">
      <c r="A711" t="s">
        <v>11409</v>
      </c>
      <c r="C711" t="str">
        <f t="shared" si="66"/>
        <v>sz</v>
      </c>
      <c r="D711" t="str">
        <f t="shared" si="67"/>
        <v>sz000400</v>
      </c>
      <c r="E711" t="str">
        <f>VLOOKUP(A711,Table!B:C,2,0)</f>
        <v>许继电气</v>
      </c>
      <c r="F711" t="str">
        <f>TRIM(VLOOKUP(A711,Table!B:O,14,0))</f>
        <v>输配电气</v>
      </c>
      <c r="G711" t="str">
        <f>VLOOKUP(F711,industry!A:C,2,0)</f>
        <v>配电</v>
      </c>
      <c r="H711" t="str">
        <f>VLOOKUP(F711,industry!A:C,3,0)</f>
        <v>输电</v>
      </c>
      <c r="J711" s="2" t="s">
        <v>12585</v>
      </c>
      <c r="K711" t="str">
        <f t="shared" si="68"/>
        <v>sz000400</v>
      </c>
      <c r="L711" t="str">
        <f t="shared" si="69"/>
        <v>许继电气</v>
      </c>
      <c r="M711" t="str">
        <f t="shared" si="70"/>
        <v>配电</v>
      </c>
      <c r="N711" t="str">
        <f t="shared" si="71"/>
        <v>输电</v>
      </c>
      <c r="P711" s="2" t="s">
        <v>12585</v>
      </c>
      <c r="Q711" t="s">
        <v>12420</v>
      </c>
      <c r="R711">
        <v>0</v>
      </c>
    </row>
    <row r="712" spans="1:18" x14ac:dyDescent="0.25">
      <c r="A712" t="s">
        <v>11410</v>
      </c>
      <c r="C712" t="str">
        <f t="shared" si="66"/>
        <v>sh</v>
      </c>
      <c r="D712" t="str">
        <f t="shared" si="67"/>
        <v>sh600745</v>
      </c>
      <c r="E712" t="str">
        <f>VLOOKUP(A712,Table!B:C,2,0)</f>
        <v>闻泰科技</v>
      </c>
      <c r="F712" t="str">
        <f>TRIM(VLOOKUP(A712,Table!B:O,14,0))</f>
        <v>通讯行业</v>
      </c>
      <c r="G712" t="str">
        <f>VLOOKUP(F712,industry!A:C,2,0)</f>
        <v>通讯</v>
      </c>
      <c r="H712" t="str">
        <f>VLOOKUP(F712,industry!A:C,3,0)</f>
        <v>讯</v>
      </c>
      <c r="J712" s="2" t="s">
        <v>12585</v>
      </c>
      <c r="K712" t="str">
        <f t="shared" si="68"/>
        <v>sh600745</v>
      </c>
      <c r="L712" t="str">
        <f t="shared" si="69"/>
        <v>闻泰科技</v>
      </c>
      <c r="M712" t="str">
        <f t="shared" si="70"/>
        <v>通讯</v>
      </c>
      <c r="N712" t="str">
        <f t="shared" si="71"/>
        <v>讯</v>
      </c>
      <c r="P712" s="2" t="s">
        <v>12585</v>
      </c>
      <c r="Q712" t="s">
        <v>12710</v>
      </c>
      <c r="R712">
        <v>0</v>
      </c>
    </row>
    <row r="713" spans="1:18" x14ac:dyDescent="0.25">
      <c r="A713" t="s">
        <v>11411</v>
      </c>
      <c r="C713" t="str">
        <f t="shared" si="66"/>
        <v>sh</v>
      </c>
      <c r="D713" t="str">
        <f t="shared" si="67"/>
        <v>sh600728</v>
      </c>
      <c r="E713" t="str">
        <f>VLOOKUP(A713,Table!B:C,2,0)</f>
        <v>佳都科技</v>
      </c>
      <c r="F713" t="str">
        <f>TRIM(VLOOKUP(A713,Table!B:O,14,0))</f>
        <v>软件服务</v>
      </c>
      <c r="G713" t="str">
        <f>VLOOKUP(F713,industry!A:C,2,0)</f>
        <v>软件</v>
      </c>
      <c r="H713" t="str">
        <f>VLOOKUP(F713,industry!A:C,3,0)</f>
        <v>软</v>
      </c>
      <c r="J713" s="2" t="s">
        <v>12585</v>
      </c>
      <c r="K713" t="str">
        <f t="shared" si="68"/>
        <v>sh600728</v>
      </c>
      <c r="L713" t="str">
        <f t="shared" si="69"/>
        <v>佳都科技</v>
      </c>
      <c r="M713" t="str">
        <f t="shared" si="70"/>
        <v>软件</v>
      </c>
      <c r="N713" t="str">
        <f t="shared" si="71"/>
        <v>软</v>
      </c>
      <c r="P713" s="2" t="s">
        <v>12585</v>
      </c>
      <c r="Q713" t="s">
        <v>12711</v>
      </c>
      <c r="R713">
        <v>0</v>
      </c>
    </row>
    <row r="714" spans="1:18" x14ac:dyDescent="0.25">
      <c r="A714" t="s">
        <v>11412</v>
      </c>
      <c r="C714" t="str">
        <f t="shared" si="66"/>
        <v>sh</v>
      </c>
      <c r="D714" t="str">
        <f t="shared" si="67"/>
        <v>sh600039</v>
      </c>
      <c r="E714" t="str">
        <f>VLOOKUP(A714,Table!B:C,2,0)</f>
        <v>四川路桥</v>
      </c>
      <c r="F714" t="str">
        <f>TRIM(VLOOKUP(A714,Table!B:O,14,0))</f>
        <v>工程建设</v>
      </c>
      <c r="G714" t="str">
        <f>VLOOKUP(F714,industry!A:C,2,0)</f>
        <v>工建</v>
      </c>
      <c r="H714" t="str">
        <f>VLOOKUP(F714,industry!A:C,3,0)</f>
        <v>建</v>
      </c>
      <c r="J714" s="2" t="s">
        <v>12585</v>
      </c>
      <c r="K714" t="str">
        <f t="shared" si="68"/>
        <v>sh600039</v>
      </c>
      <c r="L714" t="str">
        <f t="shared" si="69"/>
        <v>四川路桥</v>
      </c>
      <c r="M714" t="str">
        <f t="shared" si="70"/>
        <v>工建</v>
      </c>
      <c r="N714" t="str">
        <f t="shared" si="71"/>
        <v>建</v>
      </c>
      <c r="P714" s="2" t="s">
        <v>12585</v>
      </c>
      <c r="Q714" t="s">
        <v>12299</v>
      </c>
      <c r="R714">
        <v>0</v>
      </c>
    </row>
    <row r="715" spans="1:18" x14ac:dyDescent="0.25">
      <c r="A715" t="s">
        <v>11413</v>
      </c>
      <c r="C715" t="str">
        <f t="shared" si="66"/>
        <v>sz</v>
      </c>
      <c r="D715" t="str">
        <f t="shared" si="67"/>
        <v>sz300001</v>
      </c>
      <c r="E715" t="str">
        <f>VLOOKUP(A715,Table!B:C,2,0)</f>
        <v>特锐德</v>
      </c>
      <c r="F715" t="str">
        <f>TRIM(VLOOKUP(A715,Table!B:O,14,0))</f>
        <v>输配电气</v>
      </c>
      <c r="G715" t="str">
        <f>VLOOKUP(F715,industry!A:C,2,0)</f>
        <v>配电</v>
      </c>
      <c r="H715" t="str">
        <f>VLOOKUP(F715,industry!A:C,3,0)</f>
        <v>输电</v>
      </c>
      <c r="J715" s="2" t="s">
        <v>12585</v>
      </c>
      <c r="K715" t="str">
        <f t="shared" si="68"/>
        <v>sz300001</v>
      </c>
      <c r="L715" t="str">
        <f t="shared" si="69"/>
        <v>特锐德</v>
      </c>
      <c r="M715" t="str">
        <f t="shared" si="70"/>
        <v>配电</v>
      </c>
      <c r="N715" t="str">
        <f t="shared" si="71"/>
        <v>输电</v>
      </c>
      <c r="P715" s="2" t="s">
        <v>12585</v>
      </c>
      <c r="Q715" t="s">
        <v>12326</v>
      </c>
      <c r="R715">
        <v>0</v>
      </c>
    </row>
    <row r="716" spans="1:18" x14ac:dyDescent="0.25">
      <c r="A716" t="s">
        <v>11414</v>
      </c>
      <c r="C716" t="str">
        <f t="shared" si="66"/>
        <v>sz</v>
      </c>
      <c r="D716" t="str">
        <f t="shared" si="67"/>
        <v>sz000748</v>
      </c>
      <c r="E716" t="str">
        <f>VLOOKUP(A716,Table!B:C,2,0)</f>
        <v>长城信息</v>
      </c>
      <c r="F716" t="str">
        <f>TRIM(VLOOKUP(A716,Table!B:O,14,0))</f>
        <v>电子信息</v>
      </c>
      <c r="G716" t="str">
        <f>VLOOKUP(F716,industry!A:C,2,0)</f>
        <v>信息</v>
      </c>
      <c r="H716" t="str">
        <f>VLOOKUP(F716,industry!A:C,3,0)</f>
        <v>咨</v>
      </c>
      <c r="J716" s="2" t="s">
        <v>12585</v>
      </c>
      <c r="K716" t="str">
        <f t="shared" si="68"/>
        <v>sz000748</v>
      </c>
      <c r="L716" t="str">
        <f t="shared" si="69"/>
        <v>长城信息</v>
      </c>
      <c r="M716" t="str">
        <f t="shared" si="70"/>
        <v>信息</v>
      </c>
      <c r="N716" t="str">
        <f t="shared" si="71"/>
        <v>咨</v>
      </c>
      <c r="P716" s="2" t="s">
        <v>12585</v>
      </c>
      <c r="Q716" t="s">
        <v>12712</v>
      </c>
      <c r="R716">
        <v>0</v>
      </c>
    </row>
    <row r="717" spans="1:18" x14ac:dyDescent="0.25">
      <c r="A717" t="s">
        <v>11415</v>
      </c>
      <c r="C717" t="str">
        <f t="shared" si="66"/>
        <v>sz</v>
      </c>
      <c r="D717" t="str">
        <f t="shared" si="67"/>
        <v>sz002434</v>
      </c>
      <c r="E717" t="str">
        <f>VLOOKUP(A717,Table!B:C,2,0)</f>
        <v>万里扬</v>
      </c>
      <c r="F717" t="str">
        <f>TRIM(VLOOKUP(A717,Table!B:O,14,0))</f>
        <v>汽车行业</v>
      </c>
      <c r="G717" t="str">
        <f>VLOOKUP(F717,industry!A:C,2,0)</f>
        <v>汽车</v>
      </c>
      <c r="H717" t="str">
        <f>VLOOKUP(F717,industry!A:C,3,0)</f>
        <v>车</v>
      </c>
      <c r="J717" s="2" t="s">
        <v>12585</v>
      </c>
      <c r="K717" t="str">
        <f t="shared" si="68"/>
        <v>sz002434</v>
      </c>
      <c r="L717" t="str">
        <f t="shared" si="69"/>
        <v>万里扬</v>
      </c>
      <c r="M717" t="str">
        <f t="shared" si="70"/>
        <v>汽车</v>
      </c>
      <c r="N717" t="str">
        <f t="shared" si="71"/>
        <v>车</v>
      </c>
      <c r="P717" s="2" t="s">
        <v>12585</v>
      </c>
      <c r="Q717" t="s">
        <v>12713</v>
      </c>
      <c r="R717">
        <v>0</v>
      </c>
    </row>
    <row r="718" spans="1:18" x14ac:dyDescent="0.25">
      <c r="A718" t="s">
        <v>11416</v>
      </c>
      <c r="C718" t="str">
        <f t="shared" si="66"/>
        <v>sh</v>
      </c>
      <c r="D718" t="str">
        <f t="shared" si="67"/>
        <v>sh600325</v>
      </c>
      <c r="E718" t="str">
        <f>VLOOKUP(A718,Table!B:C,2,0)</f>
        <v>华发股份</v>
      </c>
      <c r="F718" t="str">
        <f>TRIM(VLOOKUP(A718,Table!B:O,14,0))</f>
        <v>房地产</v>
      </c>
      <c r="G718" t="str">
        <f>VLOOKUP(F718,industry!A:C,2,0)</f>
        <v>房产</v>
      </c>
      <c r="H718" t="str">
        <f>VLOOKUP(F718,industry!A:C,3,0)</f>
        <v>产</v>
      </c>
      <c r="J718" s="2" t="s">
        <v>12585</v>
      </c>
      <c r="K718" t="str">
        <f t="shared" si="68"/>
        <v>sh600325</v>
      </c>
      <c r="L718" t="str">
        <f t="shared" si="69"/>
        <v>华发股份</v>
      </c>
      <c r="M718" t="str">
        <f t="shared" si="70"/>
        <v>房产</v>
      </c>
      <c r="N718" t="str">
        <f t="shared" si="71"/>
        <v>产</v>
      </c>
      <c r="P718" s="2" t="s">
        <v>12585</v>
      </c>
      <c r="Q718" t="s">
        <v>12019</v>
      </c>
      <c r="R718">
        <v>0</v>
      </c>
    </row>
    <row r="719" spans="1:18" x14ac:dyDescent="0.25">
      <c r="A719" t="s">
        <v>11417</v>
      </c>
      <c r="C719" t="str">
        <f t="shared" si="66"/>
        <v>sz</v>
      </c>
      <c r="D719" t="str">
        <f t="shared" si="67"/>
        <v>sz000587</v>
      </c>
      <c r="E719" t="str">
        <f>VLOOKUP(A719,Table!B:C,2,0)</f>
        <v>金洲慈航</v>
      </c>
      <c r="F719" t="str">
        <f>TRIM(VLOOKUP(A719,Table!B:O,14,0))</f>
        <v>珠宝首饰</v>
      </c>
      <c r="G719" t="str">
        <f>VLOOKUP(F719,industry!A:C,2,0)</f>
        <v>珠宝</v>
      </c>
      <c r="H719" t="str">
        <f>VLOOKUP(F719,industry!A:C,3,0)</f>
        <v>珠</v>
      </c>
      <c r="J719" s="2" t="s">
        <v>12585</v>
      </c>
      <c r="K719" t="str">
        <f t="shared" si="68"/>
        <v>sz000587</v>
      </c>
      <c r="L719" t="str">
        <f t="shared" si="69"/>
        <v>金洲慈航</v>
      </c>
      <c r="M719" t="str">
        <f t="shared" si="70"/>
        <v>珠宝</v>
      </c>
      <c r="N719" t="str">
        <f t="shared" si="71"/>
        <v>珠</v>
      </c>
      <c r="P719" s="2" t="s">
        <v>12585</v>
      </c>
      <c r="Q719" t="s">
        <v>12079</v>
      </c>
      <c r="R719">
        <v>0</v>
      </c>
    </row>
    <row r="720" spans="1:18" x14ac:dyDescent="0.25">
      <c r="A720" t="s">
        <v>11418</v>
      </c>
      <c r="C720" t="str">
        <f t="shared" si="66"/>
        <v>sh</v>
      </c>
      <c r="D720" t="str">
        <f t="shared" si="67"/>
        <v>sh600270</v>
      </c>
      <c r="E720" t="str">
        <f>VLOOKUP(A720,Table!B:C,2,0)</f>
        <v>外运发展</v>
      </c>
      <c r="F720" t="str">
        <f>TRIM(VLOOKUP(A720,Table!B:O,14,0))</f>
        <v>交运物流</v>
      </c>
      <c r="G720" t="str">
        <f>VLOOKUP(F720,industry!A:C,2,0)</f>
        <v>物流</v>
      </c>
      <c r="H720" t="str">
        <f>VLOOKUP(F720,industry!A:C,3,0)</f>
        <v>物</v>
      </c>
      <c r="J720" s="2" t="s">
        <v>12585</v>
      </c>
      <c r="K720" t="str">
        <f t="shared" si="68"/>
        <v>sh600270</v>
      </c>
      <c r="L720" t="str">
        <f t="shared" si="69"/>
        <v>外运发展</v>
      </c>
      <c r="M720" t="str">
        <f t="shared" si="70"/>
        <v>物流</v>
      </c>
      <c r="N720" t="str">
        <f t="shared" si="71"/>
        <v>物</v>
      </c>
      <c r="P720" s="2" t="s">
        <v>12585</v>
      </c>
      <c r="Q720" t="s">
        <v>12349</v>
      </c>
      <c r="R720">
        <v>0</v>
      </c>
    </row>
    <row r="721" spans="1:18" x14ac:dyDescent="0.25">
      <c r="A721" t="s">
        <v>11419</v>
      </c>
      <c r="C721" t="str">
        <f t="shared" si="66"/>
        <v>sz</v>
      </c>
      <c r="D721" t="str">
        <f t="shared" si="67"/>
        <v>sz000563</v>
      </c>
      <c r="E721" t="str">
        <f>VLOOKUP(A721,Table!B:C,2,0)</f>
        <v>陕国投Ａ</v>
      </c>
      <c r="F721" t="str">
        <f>TRIM(VLOOKUP(A721,Table!B:O,14,0))</f>
        <v>多元金融</v>
      </c>
      <c r="G721" t="str">
        <f>VLOOKUP(F721,industry!A:C,2,0)</f>
        <v>多元</v>
      </c>
      <c r="H721" t="str">
        <f>VLOOKUP(F721,industry!A:C,3,0)</f>
        <v>融</v>
      </c>
      <c r="J721" s="2" t="s">
        <v>12585</v>
      </c>
      <c r="K721" t="str">
        <f t="shared" si="68"/>
        <v>sz000563</v>
      </c>
      <c r="L721" t="str">
        <f t="shared" si="69"/>
        <v>陕国投Ａ</v>
      </c>
      <c r="M721" t="str">
        <f t="shared" si="70"/>
        <v>多元</v>
      </c>
      <c r="N721" t="str">
        <f t="shared" si="71"/>
        <v>融</v>
      </c>
      <c r="P721" s="2" t="s">
        <v>12585</v>
      </c>
      <c r="Q721" t="s">
        <v>10510</v>
      </c>
      <c r="R721">
        <v>0</v>
      </c>
    </row>
    <row r="722" spans="1:18" x14ac:dyDescent="0.25">
      <c r="A722" t="s">
        <v>11420</v>
      </c>
      <c r="C722" t="str">
        <f t="shared" si="66"/>
        <v>sh</v>
      </c>
      <c r="D722" t="str">
        <f t="shared" si="67"/>
        <v>sh603568</v>
      </c>
      <c r="E722" t="str">
        <f>VLOOKUP(A722,Table!B:C,2,0)</f>
        <v>伟明环保</v>
      </c>
      <c r="F722" t="str">
        <f>TRIM(VLOOKUP(A722,Table!B:O,14,0))</f>
        <v>环保工程</v>
      </c>
      <c r="G722" t="str">
        <f>VLOOKUP(F722,industry!A:C,2,0)</f>
        <v>环保</v>
      </c>
      <c r="H722" t="str">
        <f>VLOOKUP(F722,industry!A:C,3,0)</f>
        <v>环</v>
      </c>
      <c r="J722" s="2" t="s">
        <v>12585</v>
      </c>
      <c r="K722" t="str">
        <f t="shared" si="68"/>
        <v>sh603568</v>
      </c>
      <c r="L722" t="str">
        <f t="shared" si="69"/>
        <v>伟明环保</v>
      </c>
      <c r="M722" t="str">
        <f t="shared" si="70"/>
        <v>环保</v>
      </c>
      <c r="N722" t="str">
        <f t="shared" si="71"/>
        <v>环</v>
      </c>
      <c r="P722" s="2" t="s">
        <v>12585</v>
      </c>
      <c r="Q722" t="s">
        <v>12365</v>
      </c>
      <c r="R722">
        <v>0</v>
      </c>
    </row>
    <row r="723" spans="1:18" x14ac:dyDescent="0.25">
      <c r="A723" t="s">
        <v>11421</v>
      </c>
      <c r="C723" t="str">
        <f t="shared" si="66"/>
        <v>sz</v>
      </c>
      <c r="D723" t="str">
        <f t="shared" si="67"/>
        <v>sz002281</v>
      </c>
      <c r="E723" t="str">
        <f>VLOOKUP(A723,Table!B:C,2,0)</f>
        <v>光迅科技</v>
      </c>
      <c r="F723" t="str">
        <f>TRIM(VLOOKUP(A723,Table!B:O,14,0))</f>
        <v>通讯行业</v>
      </c>
      <c r="G723" t="str">
        <f>VLOOKUP(F723,industry!A:C,2,0)</f>
        <v>通讯</v>
      </c>
      <c r="H723" t="str">
        <f>VLOOKUP(F723,industry!A:C,3,0)</f>
        <v>讯</v>
      </c>
      <c r="J723" s="2" t="s">
        <v>12585</v>
      </c>
      <c r="K723" t="str">
        <f t="shared" si="68"/>
        <v>sz002281</v>
      </c>
      <c r="L723" t="str">
        <f t="shared" si="69"/>
        <v>光迅科技</v>
      </c>
      <c r="M723" t="str">
        <f t="shared" si="70"/>
        <v>通讯</v>
      </c>
      <c r="N723" t="str">
        <f t="shared" si="71"/>
        <v>讯</v>
      </c>
      <c r="P723" s="2" t="s">
        <v>12585</v>
      </c>
      <c r="Q723" t="s">
        <v>11942</v>
      </c>
      <c r="R723">
        <v>0</v>
      </c>
    </row>
    <row r="724" spans="1:18" x14ac:dyDescent="0.25">
      <c r="A724" t="s">
        <v>11422</v>
      </c>
      <c r="C724" t="str">
        <f t="shared" si="66"/>
        <v>sz</v>
      </c>
      <c r="D724" t="str">
        <f t="shared" si="67"/>
        <v>sz002429</v>
      </c>
      <c r="E724" t="str">
        <f>VLOOKUP(A724,Table!B:C,2,0)</f>
        <v>兆驰股份</v>
      </c>
      <c r="F724" t="str">
        <f>TRIM(VLOOKUP(A724,Table!B:O,14,0))</f>
        <v>家电行业</v>
      </c>
      <c r="G724" t="str">
        <f>VLOOKUP(F724,industry!A:C,2,0)</f>
        <v>家电</v>
      </c>
      <c r="H724" t="str">
        <f>VLOOKUP(F724,industry!A:C,3,0)</f>
        <v>家</v>
      </c>
      <c r="J724" s="2" t="s">
        <v>12585</v>
      </c>
      <c r="K724" t="str">
        <f t="shared" si="68"/>
        <v>sz002429</v>
      </c>
      <c r="L724" t="str">
        <f t="shared" si="69"/>
        <v>兆驰股份</v>
      </c>
      <c r="M724" t="str">
        <f t="shared" si="70"/>
        <v>家电</v>
      </c>
      <c r="N724" t="str">
        <f t="shared" si="71"/>
        <v>家</v>
      </c>
      <c r="P724" s="2" t="s">
        <v>12585</v>
      </c>
      <c r="Q724" t="s">
        <v>12714</v>
      </c>
      <c r="R724">
        <v>0</v>
      </c>
    </row>
    <row r="725" spans="1:18" x14ac:dyDescent="0.25">
      <c r="A725" t="s">
        <v>11423</v>
      </c>
      <c r="C725" t="str">
        <f t="shared" si="66"/>
        <v>sz</v>
      </c>
      <c r="D725" t="str">
        <f t="shared" si="67"/>
        <v>sz300317</v>
      </c>
      <c r="E725" t="str">
        <f>VLOOKUP(A725,Table!B:C,2,0)</f>
        <v>珈伟股份</v>
      </c>
      <c r="F725" t="str">
        <f>TRIM(VLOOKUP(A725,Table!B:O,14,0))</f>
        <v>电子元件</v>
      </c>
      <c r="G725" t="str">
        <f>VLOOKUP(F725,industry!A:C,2,0)</f>
        <v>原件</v>
      </c>
      <c r="H725" t="str">
        <f>VLOOKUP(F725,industry!A:C,3,0)</f>
        <v>元件</v>
      </c>
      <c r="J725" s="2" t="s">
        <v>12585</v>
      </c>
      <c r="K725" t="str">
        <f t="shared" si="68"/>
        <v>sz300317</v>
      </c>
      <c r="L725" t="str">
        <f t="shared" si="69"/>
        <v>珈伟股份</v>
      </c>
      <c r="M725" t="str">
        <f t="shared" si="70"/>
        <v>原件</v>
      </c>
      <c r="N725" t="str">
        <f t="shared" si="71"/>
        <v>元件</v>
      </c>
      <c r="P725" s="2" t="s">
        <v>12585</v>
      </c>
      <c r="Q725" t="s">
        <v>12715</v>
      </c>
      <c r="R725">
        <v>0</v>
      </c>
    </row>
    <row r="726" spans="1:18" x14ac:dyDescent="0.25">
      <c r="A726" t="s">
        <v>11424</v>
      </c>
      <c r="C726" t="str">
        <f t="shared" si="66"/>
        <v>sh</v>
      </c>
      <c r="D726" t="str">
        <f t="shared" si="67"/>
        <v>sh601016</v>
      </c>
      <c r="E726" t="str">
        <f>VLOOKUP(A726,Table!B:C,2,0)</f>
        <v>节能风电</v>
      </c>
      <c r="F726" t="str">
        <f>TRIM(VLOOKUP(A726,Table!B:O,14,0))</f>
        <v>输配电气</v>
      </c>
      <c r="G726" t="str">
        <f>VLOOKUP(F726,industry!A:C,2,0)</f>
        <v>配电</v>
      </c>
      <c r="H726" t="str">
        <f>VLOOKUP(F726,industry!A:C,3,0)</f>
        <v>输电</v>
      </c>
      <c r="J726" s="2" t="s">
        <v>12585</v>
      </c>
      <c r="K726" t="str">
        <f t="shared" si="68"/>
        <v>sh601016</v>
      </c>
      <c r="L726" t="str">
        <f t="shared" si="69"/>
        <v>节能风电</v>
      </c>
      <c r="M726" t="str">
        <f t="shared" si="70"/>
        <v>配电</v>
      </c>
      <c r="N726" t="str">
        <f t="shared" si="71"/>
        <v>输电</v>
      </c>
      <c r="P726" s="2" t="s">
        <v>12585</v>
      </c>
      <c r="Q726" t="s">
        <v>10670</v>
      </c>
      <c r="R726">
        <v>0</v>
      </c>
    </row>
    <row r="727" spans="1:18" x14ac:dyDescent="0.25">
      <c r="A727" t="s">
        <v>11425</v>
      </c>
      <c r="C727" t="str">
        <f t="shared" si="66"/>
        <v>sz</v>
      </c>
      <c r="D727" t="str">
        <f t="shared" si="67"/>
        <v>sz000685</v>
      </c>
      <c r="E727" t="str">
        <f>VLOOKUP(A727,Table!B:C,2,0)</f>
        <v>中山公用</v>
      </c>
      <c r="F727" t="str">
        <f>TRIM(VLOOKUP(A727,Table!B:O,14,0))</f>
        <v>公用事业</v>
      </c>
      <c r="G727" t="str">
        <f>VLOOKUP(F727,industry!A:C,2,0)</f>
        <v>公用</v>
      </c>
      <c r="H727" t="str">
        <f>VLOOKUP(F727,industry!A:C,3,0)</f>
        <v>公</v>
      </c>
      <c r="J727" s="2" t="s">
        <v>12585</v>
      </c>
      <c r="K727" t="str">
        <f t="shared" si="68"/>
        <v>sz000685</v>
      </c>
      <c r="L727" t="str">
        <f t="shared" si="69"/>
        <v>中山公用</v>
      </c>
      <c r="M727" t="str">
        <f t="shared" si="70"/>
        <v>公用</v>
      </c>
      <c r="N727" t="str">
        <f t="shared" si="71"/>
        <v>公</v>
      </c>
      <c r="P727" s="2" t="s">
        <v>12585</v>
      </c>
      <c r="Q727" t="s">
        <v>12549</v>
      </c>
      <c r="R727">
        <v>0</v>
      </c>
    </row>
    <row r="728" spans="1:18" x14ac:dyDescent="0.25">
      <c r="A728" t="s">
        <v>11426</v>
      </c>
      <c r="C728" t="str">
        <f t="shared" si="66"/>
        <v>sz</v>
      </c>
      <c r="D728" t="str">
        <f t="shared" si="67"/>
        <v>sz000979</v>
      </c>
      <c r="E728" t="str">
        <f>VLOOKUP(A728,Table!B:C,2,0)</f>
        <v>中弘股份</v>
      </c>
      <c r="F728" t="str">
        <f>TRIM(VLOOKUP(A728,Table!B:O,14,0))</f>
        <v>房地产</v>
      </c>
      <c r="G728" t="str">
        <f>VLOOKUP(F728,industry!A:C,2,0)</f>
        <v>房产</v>
      </c>
      <c r="H728" t="str">
        <f>VLOOKUP(F728,industry!A:C,3,0)</f>
        <v>产</v>
      </c>
      <c r="J728" s="2" t="s">
        <v>12585</v>
      </c>
      <c r="K728" t="str">
        <f t="shared" si="68"/>
        <v>sz000979</v>
      </c>
      <c r="L728" t="str">
        <f t="shared" si="69"/>
        <v>中弘股份</v>
      </c>
      <c r="M728" t="str">
        <f t="shared" si="70"/>
        <v>房产</v>
      </c>
      <c r="N728" t="str">
        <f t="shared" si="71"/>
        <v>产</v>
      </c>
      <c r="P728" s="2" t="s">
        <v>12585</v>
      </c>
      <c r="Q728" t="s">
        <v>12529</v>
      </c>
      <c r="R728">
        <v>0</v>
      </c>
    </row>
    <row r="729" spans="1:18" x14ac:dyDescent="0.25">
      <c r="A729" t="s">
        <v>11427</v>
      </c>
      <c r="C729" t="str">
        <f t="shared" si="66"/>
        <v>sh</v>
      </c>
      <c r="D729" t="str">
        <f t="shared" si="67"/>
        <v>sh600655</v>
      </c>
      <c r="E729" t="str">
        <f>VLOOKUP(A729,Table!B:C,2,0)</f>
        <v>豫园股份</v>
      </c>
      <c r="F729" t="str">
        <f>TRIM(VLOOKUP(A729,Table!B:O,14,0))</f>
        <v>商业百货</v>
      </c>
      <c r="G729" t="str">
        <f>VLOOKUP(F729,industry!A:C,2,0)</f>
        <v>百货</v>
      </c>
      <c r="H729" t="str">
        <f>VLOOKUP(F729,industry!A:C,3,0)</f>
        <v>商</v>
      </c>
      <c r="J729" s="2" t="s">
        <v>12585</v>
      </c>
      <c r="K729" t="str">
        <f t="shared" si="68"/>
        <v>sh600655</v>
      </c>
      <c r="L729" t="str">
        <f t="shared" si="69"/>
        <v>豫园股份</v>
      </c>
      <c r="M729" t="str">
        <f t="shared" si="70"/>
        <v>百货</v>
      </c>
      <c r="N729" t="str">
        <f t="shared" si="71"/>
        <v>商</v>
      </c>
      <c r="P729" s="2" t="s">
        <v>12585</v>
      </c>
      <c r="Q729" t="s">
        <v>12467</v>
      </c>
      <c r="R729">
        <v>0</v>
      </c>
    </row>
    <row r="730" spans="1:18" x14ac:dyDescent="0.25">
      <c r="A730" t="s">
        <v>11428</v>
      </c>
      <c r="C730" t="str">
        <f t="shared" si="66"/>
        <v>sh</v>
      </c>
      <c r="D730" t="str">
        <f t="shared" si="67"/>
        <v>sh603198</v>
      </c>
      <c r="E730" t="str">
        <f>VLOOKUP(A730,Table!B:C,2,0)</f>
        <v>迎驾贡酒</v>
      </c>
      <c r="F730" t="str">
        <f>TRIM(VLOOKUP(A730,Table!B:O,14,0))</f>
        <v>酿酒行业</v>
      </c>
      <c r="G730" t="str">
        <f>VLOOKUP(F730,industry!A:C,2,0)</f>
        <v>酿酒</v>
      </c>
      <c r="H730" t="str">
        <f>VLOOKUP(F730,industry!A:C,3,0)</f>
        <v>酒</v>
      </c>
      <c r="J730" s="2" t="s">
        <v>12585</v>
      </c>
      <c r="K730" t="str">
        <f t="shared" si="68"/>
        <v>sh603198</v>
      </c>
      <c r="L730" t="str">
        <f t="shared" si="69"/>
        <v>迎驾贡酒</v>
      </c>
      <c r="M730" t="str">
        <f t="shared" si="70"/>
        <v>酿酒</v>
      </c>
      <c r="N730" t="str">
        <f t="shared" si="71"/>
        <v>酒</v>
      </c>
      <c r="P730" s="2" t="s">
        <v>12585</v>
      </c>
      <c r="Q730" t="s">
        <v>12461</v>
      </c>
      <c r="R730">
        <v>0</v>
      </c>
    </row>
    <row r="731" spans="1:18" x14ac:dyDescent="0.25">
      <c r="A731" t="s">
        <v>11429</v>
      </c>
      <c r="C731" t="str">
        <f t="shared" si="66"/>
        <v>sz</v>
      </c>
      <c r="D731" t="str">
        <f t="shared" si="67"/>
        <v>sz300203</v>
      </c>
      <c r="E731" t="str">
        <f>VLOOKUP(A731,Table!B:C,2,0)</f>
        <v>聚光科技</v>
      </c>
      <c r="F731" t="str">
        <f>TRIM(VLOOKUP(A731,Table!B:O,14,0))</f>
        <v>仪器仪表</v>
      </c>
      <c r="G731" t="str">
        <f>VLOOKUP(F731,industry!A:C,2,0)</f>
        <v>仪表</v>
      </c>
      <c r="H731" t="str">
        <f>VLOOKUP(F731,industry!A:C,3,0)</f>
        <v>表</v>
      </c>
      <c r="J731" s="2" t="s">
        <v>12585</v>
      </c>
      <c r="K731" t="str">
        <f t="shared" si="68"/>
        <v>sz300203</v>
      </c>
      <c r="L731" t="str">
        <f t="shared" si="69"/>
        <v>聚光科技</v>
      </c>
      <c r="M731" t="str">
        <f t="shared" si="70"/>
        <v>仪表</v>
      </c>
      <c r="N731" t="str">
        <f t="shared" si="71"/>
        <v>表</v>
      </c>
      <c r="P731" s="2" t="s">
        <v>12585</v>
      </c>
      <c r="Q731" t="s">
        <v>12716</v>
      </c>
      <c r="R731">
        <v>0</v>
      </c>
    </row>
    <row r="732" spans="1:18" x14ac:dyDescent="0.25">
      <c r="A732" t="s">
        <v>11430</v>
      </c>
      <c r="C732" t="str">
        <f t="shared" si="66"/>
        <v>sh</v>
      </c>
      <c r="D732" t="str">
        <f t="shared" si="67"/>
        <v>sh600312</v>
      </c>
      <c r="E732" t="str">
        <f>VLOOKUP(A732,Table!B:C,2,0)</f>
        <v>平高电气</v>
      </c>
      <c r="F732" t="str">
        <f>TRIM(VLOOKUP(A732,Table!B:O,14,0))</f>
        <v>输配电气</v>
      </c>
      <c r="G732" t="str">
        <f>VLOOKUP(F732,industry!A:C,2,0)</f>
        <v>配电</v>
      </c>
      <c r="H732" t="str">
        <f>VLOOKUP(F732,industry!A:C,3,0)</f>
        <v>输电</v>
      </c>
      <c r="J732" s="2" t="s">
        <v>12585</v>
      </c>
      <c r="K732" t="str">
        <f t="shared" si="68"/>
        <v>sh600312</v>
      </c>
      <c r="L732" t="str">
        <f t="shared" si="69"/>
        <v>平高电气</v>
      </c>
      <c r="M732" t="str">
        <f t="shared" si="70"/>
        <v>配电</v>
      </c>
      <c r="N732" t="str">
        <f t="shared" si="71"/>
        <v>输电</v>
      </c>
      <c r="P732" s="2" t="s">
        <v>12585</v>
      </c>
      <c r="Q732" t="s">
        <v>12201</v>
      </c>
      <c r="R732">
        <v>0</v>
      </c>
    </row>
    <row r="733" spans="1:18" x14ac:dyDescent="0.25">
      <c r="A733" t="s">
        <v>11431</v>
      </c>
      <c r="C733" t="str">
        <f t="shared" si="66"/>
        <v>sz</v>
      </c>
      <c r="D733" t="str">
        <f t="shared" si="67"/>
        <v>sz300068</v>
      </c>
      <c r="E733" t="str">
        <f>VLOOKUP(A733,Table!B:C,2,0)</f>
        <v>南都电源</v>
      </c>
      <c r="F733" t="str">
        <f>TRIM(VLOOKUP(A733,Table!B:O,14,0))</f>
        <v>电子元件</v>
      </c>
      <c r="G733" t="str">
        <f>VLOOKUP(F733,industry!A:C,2,0)</f>
        <v>原件</v>
      </c>
      <c r="H733" t="str">
        <f>VLOOKUP(F733,industry!A:C,3,0)</f>
        <v>元件</v>
      </c>
      <c r="J733" s="2" t="s">
        <v>12585</v>
      </c>
      <c r="K733" t="str">
        <f t="shared" si="68"/>
        <v>sz300068</v>
      </c>
      <c r="L733" t="str">
        <f t="shared" si="69"/>
        <v>南都电源</v>
      </c>
      <c r="M733" t="str">
        <f t="shared" si="70"/>
        <v>原件</v>
      </c>
      <c r="N733" t="str">
        <f t="shared" si="71"/>
        <v>元件</v>
      </c>
      <c r="P733" s="2" t="s">
        <v>12585</v>
      </c>
      <c r="Q733" t="s">
        <v>12717</v>
      </c>
      <c r="R733">
        <v>0</v>
      </c>
    </row>
    <row r="734" spans="1:18" x14ac:dyDescent="0.25">
      <c r="A734" t="s">
        <v>11432</v>
      </c>
      <c r="C734" t="str">
        <f t="shared" si="66"/>
        <v>sz</v>
      </c>
      <c r="D734" t="str">
        <f t="shared" si="67"/>
        <v>sz002108</v>
      </c>
      <c r="E734" t="str">
        <f>VLOOKUP(A734,Table!B:C,2,0)</f>
        <v>沧州明珠</v>
      </c>
      <c r="F734" t="str">
        <f>TRIM(VLOOKUP(A734,Table!B:O,14,0))</f>
        <v>塑胶制品</v>
      </c>
      <c r="G734" t="str">
        <f>VLOOKUP(F734,industry!A:C,2,0)</f>
        <v>塑胶</v>
      </c>
      <c r="H734" t="str">
        <f>VLOOKUP(F734,industry!A:C,3,0)</f>
        <v>塑</v>
      </c>
      <c r="J734" s="2" t="s">
        <v>12585</v>
      </c>
      <c r="K734" t="str">
        <f t="shared" si="68"/>
        <v>sz002108</v>
      </c>
      <c r="L734" t="str">
        <f t="shared" si="69"/>
        <v>沧州明珠</v>
      </c>
      <c r="M734" t="str">
        <f t="shared" si="70"/>
        <v>塑胶</v>
      </c>
      <c r="N734" t="str">
        <f t="shared" si="71"/>
        <v>塑</v>
      </c>
      <c r="P734" s="2" t="s">
        <v>12585</v>
      </c>
      <c r="Q734" t="s">
        <v>12718</v>
      </c>
      <c r="R734">
        <v>0</v>
      </c>
    </row>
    <row r="735" spans="1:18" x14ac:dyDescent="0.25">
      <c r="A735" t="s">
        <v>11433</v>
      </c>
      <c r="C735" t="str">
        <f t="shared" si="66"/>
        <v>sz</v>
      </c>
      <c r="D735" t="str">
        <f t="shared" si="67"/>
        <v>sz300064</v>
      </c>
      <c r="E735" t="str">
        <f>VLOOKUP(A735,Table!B:C,2,0)</f>
        <v>豫金刚石</v>
      </c>
      <c r="F735" t="str">
        <f>TRIM(VLOOKUP(A735,Table!B:O,14,0))</f>
        <v>材料行业</v>
      </c>
      <c r="G735" t="str">
        <f>VLOOKUP(F735,industry!A:C,2,0)</f>
        <v>材料</v>
      </c>
      <c r="H735" t="str">
        <f>VLOOKUP(F735,industry!A:C,3,0)</f>
        <v>材</v>
      </c>
      <c r="J735" s="2" t="s">
        <v>12585</v>
      </c>
      <c r="K735" t="str">
        <f t="shared" si="68"/>
        <v>sz300064</v>
      </c>
      <c r="L735" t="str">
        <f t="shared" si="69"/>
        <v>豫金刚石</v>
      </c>
      <c r="M735" t="str">
        <f t="shared" si="70"/>
        <v>材料</v>
      </c>
      <c r="N735" t="str">
        <f t="shared" si="71"/>
        <v>材</v>
      </c>
      <c r="P735" s="2" t="s">
        <v>12585</v>
      </c>
      <c r="Q735" t="s">
        <v>12719</v>
      </c>
      <c r="R735">
        <v>0</v>
      </c>
    </row>
    <row r="736" spans="1:18" x14ac:dyDescent="0.25">
      <c r="A736" t="s">
        <v>11434</v>
      </c>
      <c r="C736" t="str">
        <f t="shared" si="66"/>
        <v>sz</v>
      </c>
      <c r="D736" t="str">
        <f t="shared" si="67"/>
        <v>sz002611</v>
      </c>
      <c r="E736" t="str">
        <f>VLOOKUP(A736,Table!B:C,2,0)</f>
        <v>东方精工</v>
      </c>
      <c r="F736" t="str">
        <f>TRIM(VLOOKUP(A736,Table!B:O,14,0))</f>
        <v>专用设备</v>
      </c>
      <c r="G736" t="str">
        <f>VLOOKUP(F736,industry!A:C,2,0)</f>
        <v>专用</v>
      </c>
      <c r="H736" t="str">
        <f>VLOOKUP(F736,industry!A:C,3,0)</f>
        <v>专</v>
      </c>
      <c r="J736" s="2" t="s">
        <v>12585</v>
      </c>
      <c r="K736" t="str">
        <f t="shared" si="68"/>
        <v>sz002611</v>
      </c>
      <c r="L736" t="str">
        <f t="shared" si="69"/>
        <v>东方精工</v>
      </c>
      <c r="M736" t="str">
        <f t="shared" si="70"/>
        <v>专用</v>
      </c>
      <c r="N736" t="str">
        <f t="shared" si="71"/>
        <v>专</v>
      </c>
      <c r="P736" s="2" t="s">
        <v>12585</v>
      </c>
      <c r="Q736" t="s">
        <v>12720</v>
      </c>
      <c r="R736">
        <v>0</v>
      </c>
    </row>
    <row r="737" spans="1:18" x14ac:dyDescent="0.25">
      <c r="A737" t="s">
        <v>11435</v>
      </c>
      <c r="C737" t="str">
        <f t="shared" si="66"/>
        <v>sz</v>
      </c>
      <c r="D737" t="str">
        <f t="shared" si="67"/>
        <v>sz000555</v>
      </c>
      <c r="E737" t="str">
        <f>VLOOKUP(A737,Table!B:C,2,0)</f>
        <v>神州信息</v>
      </c>
      <c r="F737" t="str">
        <f>TRIM(VLOOKUP(A737,Table!B:O,14,0))</f>
        <v>电子信息</v>
      </c>
      <c r="G737" t="str">
        <f>VLOOKUP(F737,industry!A:C,2,0)</f>
        <v>信息</v>
      </c>
      <c r="H737" t="str">
        <f>VLOOKUP(F737,industry!A:C,3,0)</f>
        <v>咨</v>
      </c>
      <c r="J737" s="2" t="s">
        <v>12585</v>
      </c>
      <c r="K737" t="str">
        <f t="shared" si="68"/>
        <v>sz000555</v>
      </c>
      <c r="L737" t="str">
        <f t="shared" si="69"/>
        <v>神州信息</v>
      </c>
      <c r="M737" t="str">
        <f t="shared" si="70"/>
        <v>信息</v>
      </c>
      <c r="N737" t="str">
        <f t="shared" si="71"/>
        <v>咨</v>
      </c>
      <c r="P737" s="2" t="s">
        <v>12585</v>
      </c>
      <c r="Q737" t="s">
        <v>10416</v>
      </c>
      <c r="R737">
        <v>0</v>
      </c>
    </row>
    <row r="738" spans="1:18" x14ac:dyDescent="0.25">
      <c r="A738" t="s">
        <v>11436</v>
      </c>
      <c r="C738" t="str">
        <f t="shared" si="66"/>
        <v>sh</v>
      </c>
      <c r="D738" t="str">
        <f t="shared" si="67"/>
        <v>sh603730</v>
      </c>
      <c r="E738" t="str">
        <f>VLOOKUP(A738,Table!B:C,2,0)</f>
        <v>岱美股份</v>
      </c>
      <c r="F738" t="str">
        <f>TRIM(VLOOKUP(A738,Table!B:O,14,0))</f>
        <v>汽车行业</v>
      </c>
      <c r="G738" t="str">
        <f>VLOOKUP(F738,industry!A:C,2,0)</f>
        <v>汽车</v>
      </c>
      <c r="H738" t="str">
        <f>VLOOKUP(F738,industry!A:C,3,0)</f>
        <v>车</v>
      </c>
      <c r="J738" s="2" t="s">
        <v>12585</v>
      </c>
      <c r="K738" t="str">
        <f t="shared" si="68"/>
        <v>sh603730</v>
      </c>
      <c r="L738" t="str">
        <f t="shared" si="69"/>
        <v>岱美股份</v>
      </c>
      <c r="M738" t="str">
        <f t="shared" si="70"/>
        <v>汽车</v>
      </c>
      <c r="N738" t="str">
        <f t="shared" si="71"/>
        <v>车</v>
      </c>
      <c r="P738" s="2" t="s">
        <v>12585</v>
      </c>
      <c r="Q738" t="s">
        <v>12721</v>
      </c>
      <c r="R738">
        <v>0</v>
      </c>
    </row>
    <row r="739" spans="1:18" x14ac:dyDescent="0.25">
      <c r="A739" t="s">
        <v>11437</v>
      </c>
      <c r="C739" t="str">
        <f t="shared" si="66"/>
        <v>sh</v>
      </c>
      <c r="D739" t="str">
        <f t="shared" si="67"/>
        <v>sh603556</v>
      </c>
      <c r="E739" t="str">
        <f>VLOOKUP(A739,Table!B:C,2,0)</f>
        <v>海兴电力</v>
      </c>
      <c r="F739" t="str">
        <f>TRIM(VLOOKUP(A739,Table!B:O,14,0))</f>
        <v>输配电气</v>
      </c>
      <c r="G739" t="str">
        <f>VLOOKUP(F739,industry!A:C,2,0)</f>
        <v>配电</v>
      </c>
      <c r="H739" t="str">
        <f>VLOOKUP(F739,industry!A:C,3,0)</f>
        <v>输电</v>
      </c>
      <c r="J739" s="2" t="s">
        <v>12585</v>
      </c>
      <c r="K739" t="str">
        <f t="shared" si="68"/>
        <v>sh603556</v>
      </c>
      <c r="L739" t="str">
        <f t="shared" si="69"/>
        <v>海兴电力</v>
      </c>
      <c r="M739" t="str">
        <f t="shared" si="70"/>
        <v>配电</v>
      </c>
      <c r="N739" t="str">
        <f t="shared" si="71"/>
        <v>输电</v>
      </c>
      <c r="P739" s="2" t="s">
        <v>12585</v>
      </c>
      <c r="Q739" t="s">
        <v>12722</v>
      </c>
      <c r="R739">
        <v>0</v>
      </c>
    </row>
    <row r="740" spans="1:18" x14ac:dyDescent="0.25">
      <c r="A740" t="s">
        <v>11438</v>
      </c>
      <c r="C740" t="str">
        <f t="shared" si="66"/>
        <v>sz</v>
      </c>
      <c r="D740" t="str">
        <f t="shared" si="67"/>
        <v>sz002407</v>
      </c>
      <c r="E740" t="str">
        <f>VLOOKUP(A740,Table!B:C,2,0)</f>
        <v>多氟多</v>
      </c>
      <c r="F740" t="str">
        <f>TRIM(VLOOKUP(A740,Table!B:O,14,0))</f>
        <v>化工行业</v>
      </c>
      <c r="G740" t="str">
        <f>VLOOKUP(F740,industry!A:C,2,0)</f>
        <v>化工</v>
      </c>
      <c r="H740" t="str">
        <f>VLOOKUP(F740,industry!A:C,3,0)</f>
        <v>化</v>
      </c>
      <c r="J740" s="2" t="s">
        <v>12585</v>
      </c>
      <c r="K740" t="str">
        <f t="shared" si="68"/>
        <v>sz002407</v>
      </c>
      <c r="L740" t="str">
        <f t="shared" si="69"/>
        <v>多氟多</v>
      </c>
      <c r="M740" t="str">
        <f t="shared" si="70"/>
        <v>化工</v>
      </c>
      <c r="N740" t="str">
        <f t="shared" si="71"/>
        <v>化</v>
      </c>
      <c r="P740" s="2" t="s">
        <v>12585</v>
      </c>
      <c r="Q740" t="s">
        <v>10638</v>
      </c>
      <c r="R740">
        <v>0</v>
      </c>
    </row>
    <row r="741" spans="1:18" x14ac:dyDescent="0.25">
      <c r="A741" t="s">
        <v>11439</v>
      </c>
      <c r="C741" t="str">
        <f t="shared" si="66"/>
        <v>sh</v>
      </c>
      <c r="D741" t="str">
        <f t="shared" si="67"/>
        <v>sh600125</v>
      </c>
      <c r="E741" t="str">
        <f>VLOOKUP(A741,Table!B:C,2,0)</f>
        <v>铁龙物流</v>
      </c>
      <c r="F741" t="str">
        <f>TRIM(VLOOKUP(A741,Table!B:O,14,0))</f>
        <v>交运物流</v>
      </c>
      <c r="G741" t="str">
        <f>VLOOKUP(F741,industry!A:C,2,0)</f>
        <v>物流</v>
      </c>
      <c r="H741" t="str">
        <f>VLOOKUP(F741,industry!A:C,3,0)</f>
        <v>物</v>
      </c>
      <c r="J741" s="2" t="s">
        <v>12585</v>
      </c>
      <c r="K741" t="str">
        <f t="shared" si="68"/>
        <v>sh600125</v>
      </c>
      <c r="L741" t="str">
        <f t="shared" si="69"/>
        <v>铁龙物流</v>
      </c>
      <c r="M741" t="str">
        <f t="shared" si="70"/>
        <v>物流</v>
      </c>
      <c r="N741" t="str">
        <f t="shared" si="71"/>
        <v>物</v>
      </c>
      <c r="P741" s="2" t="s">
        <v>12585</v>
      </c>
      <c r="Q741" t="s">
        <v>12341</v>
      </c>
      <c r="R741">
        <v>0</v>
      </c>
    </row>
    <row r="742" spans="1:18" x14ac:dyDescent="0.25">
      <c r="A742" t="s">
        <v>11440</v>
      </c>
      <c r="C742" t="str">
        <f t="shared" si="66"/>
        <v>sz</v>
      </c>
      <c r="D742" t="str">
        <f t="shared" si="67"/>
        <v>sz002595</v>
      </c>
      <c r="E742" t="str">
        <f>VLOOKUP(A742,Table!B:C,2,0)</f>
        <v>豪迈科技</v>
      </c>
      <c r="F742" t="str">
        <f>TRIM(VLOOKUP(A742,Table!B:O,14,0))</f>
        <v>汽车行业</v>
      </c>
      <c r="G742" t="str">
        <f>VLOOKUP(F742,industry!A:C,2,0)</f>
        <v>汽车</v>
      </c>
      <c r="H742" t="str">
        <f>VLOOKUP(F742,industry!A:C,3,0)</f>
        <v>车</v>
      </c>
      <c r="J742" s="2" t="s">
        <v>12585</v>
      </c>
      <c r="K742" t="str">
        <f t="shared" si="68"/>
        <v>sz002595</v>
      </c>
      <c r="L742" t="str">
        <f t="shared" si="69"/>
        <v>豪迈科技</v>
      </c>
      <c r="M742" t="str">
        <f t="shared" si="70"/>
        <v>汽车</v>
      </c>
      <c r="N742" t="str">
        <f t="shared" si="71"/>
        <v>车</v>
      </c>
      <c r="P742" s="2" t="s">
        <v>12585</v>
      </c>
      <c r="Q742" t="s">
        <v>11986</v>
      </c>
      <c r="R742">
        <v>0</v>
      </c>
    </row>
    <row r="743" spans="1:18" x14ac:dyDescent="0.25">
      <c r="A743" t="s">
        <v>11441</v>
      </c>
      <c r="C743" t="str">
        <f t="shared" si="66"/>
        <v>sz</v>
      </c>
      <c r="D743" t="str">
        <f t="shared" si="67"/>
        <v>sz300207</v>
      </c>
      <c r="E743" t="str">
        <f>VLOOKUP(A743,Table!B:C,2,0)</f>
        <v>欣旺达</v>
      </c>
      <c r="F743" t="str">
        <f>TRIM(VLOOKUP(A743,Table!B:O,14,0))</f>
        <v>输配电气</v>
      </c>
      <c r="G743" t="str">
        <f>VLOOKUP(F743,industry!A:C,2,0)</f>
        <v>配电</v>
      </c>
      <c r="H743" t="str">
        <f>VLOOKUP(F743,industry!A:C,3,0)</f>
        <v>输电</v>
      </c>
      <c r="J743" s="2" t="s">
        <v>12585</v>
      </c>
      <c r="K743" t="str">
        <f t="shared" si="68"/>
        <v>sz300207</v>
      </c>
      <c r="L743" t="str">
        <f t="shared" si="69"/>
        <v>欣旺达</v>
      </c>
      <c r="M743" t="str">
        <f t="shared" si="70"/>
        <v>配电</v>
      </c>
      <c r="N743" t="str">
        <f t="shared" si="71"/>
        <v>输电</v>
      </c>
      <c r="P743" s="2" t="s">
        <v>12585</v>
      </c>
      <c r="Q743" t="s">
        <v>12723</v>
      </c>
      <c r="R743">
        <v>0</v>
      </c>
    </row>
    <row r="744" spans="1:18" x14ac:dyDescent="0.25">
      <c r="A744" t="s">
        <v>11442</v>
      </c>
      <c r="C744" t="str">
        <f t="shared" si="66"/>
        <v>sh</v>
      </c>
      <c r="D744" t="str">
        <f t="shared" si="67"/>
        <v>sh600869</v>
      </c>
      <c r="E744" t="str">
        <f>VLOOKUP(A744,Table!B:C,2,0)</f>
        <v>智慧能源</v>
      </c>
      <c r="F744" t="str">
        <f>TRIM(VLOOKUP(A744,Table!B:O,14,0))</f>
        <v>输配电气</v>
      </c>
      <c r="G744" t="str">
        <f>VLOOKUP(F744,industry!A:C,2,0)</f>
        <v>配电</v>
      </c>
      <c r="H744" t="str">
        <f>VLOOKUP(F744,industry!A:C,3,0)</f>
        <v>输电</v>
      </c>
      <c r="J744" s="2" t="s">
        <v>12585</v>
      </c>
      <c r="K744" t="str">
        <f t="shared" si="68"/>
        <v>sh600869</v>
      </c>
      <c r="L744" t="str">
        <f t="shared" si="69"/>
        <v>智慧能源</v>
      </c>
      <c r="M744" t="str">
        <f t="shared" si="70"/>
        <v>配电</v>
      </c>
      <c r="N744" t="str">
        <f t="shared" si="71"/>
        <v>输电</v>
      </c>
      <c r="P744" s="2" t="s">
        <v>12585</v>
      </c>
      <c r="Q744" t="s">
        <v>12504</v>
      </c>
      <c r="R744">
        <v>0</v>
      </c>
    </row>
    <row r="745" spans="1:18" x14ac:dyDescent="0.25">
      <c r="A745" t="s">
        <v>11443</v>
      </c>
      <c r="C745" t="str">
        <f t="shared" si="66"/>
        <v>sh</v>
      </c>
      <c r="D745" t="str">
        <f t="shared" si="67"/>
        <v>sh600667</v>
      </c>
      <c r="E745" t="str">
        <f>VLOOKUP(A745,Table!B:C,2,0)</f>
        <v>太极实业</v>
      </c>
      <c r="F745" t="str">
        <f>TRIM(VLOOKUP(A745,Table!B:O,14,0))</f>
        <v>电子元件</v>
      </c>
      <c r="G745" t="str">
        <f>VLOOKUP(F745,industry!A:C,2,0)</f>
        <v>原件</v>
      </c>
      <c r="H745" t="str">
        <f>VLOOKUP(F745,industry!A:C,3,0)</f>
        <v>元件</v>
      </c>
      <c r="J745" s="2" t="s">
        <v>12585</v>
      </c>
      <c r="K745" t="str">
        <f t="shared" si="68"/>
        <v>sh600667</v>
      </c>
      <c r="L745" t="str">
        <f t="shared" si="69"/>
        <v>太极实业</v>
      </c>
      <c r="M745" t="str">
        <f t="shared" si="70"/>
        <v>原件</v>
      </c>
      <c r="N745" t="str">
        <f t="shared" si="71"/>
        <v>元件</v>
      </c>
      <c r="P745" s="2" t="s">
        <v>12585</v>
      </c>
      <c r="Q745" t="s">
        <v>12724</v>
      </c>
      <c r="R745">
        <v>0</v>
      </c>
    </row>
    <row r="746" spans="1:18" x14ac:dyDescent="0.25">
      <c r="A746" t="s">
        <v>11444</v>
      </c>
      <c r="C746" t="str">
        <f t="shared" si="66"/>
        <v>sz</v>
      </c>
      <c r="D746" t="str">
        <f t="shared" si="67"/>
        <v>sz002004</v>
      </c>
      <c r="E746" t="str">
        <f>VLOOKUP(A746,Table!B:C,2,0)</f>
        <v>华邦健康</v>
      </c>
      <c r="F746" t="str">
        <f>TRIM(VLOOKUP(A746,Table!B:O,14,0))</f>
        <v>农药兽药</v>
      </c>
      <c r="G746" t="str">
        <f>VLOOKUP(F746,industry!A:C,2,0)</f>
        <v>农药</v>
      </c>
      <c r="H746" t="str">
        <f>VLOOKUP(F746,industry!A:C,3,0)</f>
        <v>兽</v>
      </c>
      <c r="J746" s="2" t="s">
        <v>12585</v>
      </c>
      <c r="K746" t="str">
        <f t="shared" si="68"/>
        <v>sz002004</v>
      </c>
      <c r="L746" t="str">
        <f t="shared" si="69"/>
        <v>华邦健康</v>
      </c>
      <c r="M746" t="str">
        <f t="shared" si="70"/>
        <v>农药</v>
      </c>
      <c r="N746" t="str">
        <f t="shared" si="71"/>
        <v>兽</v>
      </c>
      <c r="P746" s="2" t="s">
        <v>12585</v>
      </c>
      <c r="Q746" t="s">
        <v>12014</v>
      </c>
      <c r="R746">
        <v>0</v>
      </c>
    </row>
    <row r="747" spans="1:18" x14ac:dyDescent="0.25">
      <c r="A747" t="s">
        <v>11445</v>
      </c>
      <c r="C747" t="str">
        <f t="shared" si="66"/>
        <v>sz</v>
      </c>
      <c r="D747" t="str">
        <f t="shared" si="67"/>
        <v>sz000830</v>
      </c>
      <c r="E747" t="str">
        <f>VLOOKUP(A747,Table!B:C,2,0)</f>
        <v>鲁西化工</v>
      </c>
      <c r="F747" t="str">
        <f>TRIM(VLOOKUP(A747,Table!B:O,14,0))</f>
        <v>化肥行业</v>
      </c>
      <c r="G747" t="str">
        <f>VLOOKUP(F747,industry!A:C,2,0)</f>
        <v>化肥</v>
      </c>
      <c r="H747" t="str">
        <f>VLOOKUP(F747,industry!A:C,3,0)</f>
        <v>肥</v>
      </c>
      <c r="J747" s="2" t="s">
        <v>12585</v>
      </c>
      <c r="K747" t="str">
        <f t="shared" si="68"/>
        <v>sz000830</v>
      </c>
      <c r="L747" t="str">
        <f t="shared" si="69"/>
        <v>鲁西化工</v>
      </c>
      <c r="M747" t="str">
        <f t="shared" si="70"/>
        <v>化肥</v>
      </c>
      <c r="N747" t="str">
        <f t="shared" si="71"/>
        <v>肥</v>
      </c>
      <c r="P747" s="2" t="s">
        <v>12585</v>
      </c>
      <c r="Q747" t="s">
        <v>12157</v>
      </c>
      <c r="R747">
        <v>0</v>
      </c>
    </row>
    <row r="748" spans="1:18" x14ac:dyDescent="0.25">
      <c r="A748" t="s">
        <v>11446</v>
      </c>
      <c r="C748" t="str">
        <f t="shared" si="66"/>
        <v>sz</v>
      </c>
      <c r="D748" t="str">
        <f t="shared" si="67"/>
        <v>sz000536</v>
      </c>
      <c r="E748" t="str">
        <f>VLOOKUP(A748,Table!B:C,2,0)</f>
        <v>华映科技</v>
      </c>
      <c r="F748" t="str">
        <f>TRIM(VLOOKUP(A748,Table!B:O,14,0))</f>
        <v>电子元件</v>
      </c>
      <c r="G748" t="str">
        <f>VLOOKUP(F748,industry!A:C,2,0)</f>
        <v>原件</v>
      </c>
      <c r="H748" t="str">
        <f>VLOOKUP(F748,industry!A:C,3,0)</f>
        <v>元件</v>
      </c>
      <c r="J748" s="2" t="s">
        <v>12585</v>
      </c>
      <c r="K748" t="str">
        <f t="shared" si="68"/>
        <v>sz000536</v>
      </c>
      <c r="L748" t="str">
        <f t="shared" si="69"/>
        <v>华映科技</v>
      </c>
      <c r="M748" t="str">
        <f t="shared" si="70"/>
        <v>原件</v>
      </c>
      <c r="N748" t="str">
        <f t="shared" si="71"/>
        <v>元件</v>
      </c>
      <c r="P748" s="2" t="s">
        <v>12585</v>
      </c>
      <c r="Q748" t="s">
        <v>10418</v>
      </c>
      <c r="R748">
        <v>0</v>
      </c>
    </row>
    <row r="749" spans="1:18" x14ac:dyDescent="0.25">
      <c r="A749" t="s">
        <v>11447</v>
      </c>
      <c r="C749" t="str">
        <f t="shared" si="66"/>
        <v>sz</v>
      </c>
      <c r="D749" t="str">
        <f t="shared" si="67"/>
        <v>sz300323</v>
      </c>
      <c r="E749" t="str">
        <f>VLOOKUP(A749,Table!B:C,2,0)</f>
        <v>华灿光电</v>
      </c>
      <c r="F749" t="str">
        <f>TRIM(VLOOKUP(A749,Table!B:O,14,0))</f>
        <v>电子元件</v>
      </c>
      <c r="G749" t="str">
        <f>VLOOKUP(F749,industry!A:C,2,0)</f>
        <v>原件</v>
      </c>
      <c r="H749" t="str">
        <f>VLOOKUP(F749,industry!A:C,3,0)</f>
        <v>元件</v>
      </c>
      <c r="J749" s="2" t="s">
        <v>12585</v>
      </c>
      <c r="K749" t="str">
        <f t="shared" si="68"/>
        <v>sz300323</v>
      </c>
      <c r="L749" t="str">
        <f t="shared" si="69"/>
        <v>华灿光电</v>
      </c>
      <c r="M749" t="str">
        <f t="shared" si="70"/>
        <v>原件</v>
      </c>
      <c r="N749" t="str">
        <f t="shared" si="71"/>
        <v>元件</v>
      </c>
      <c r="P749" s="2" t="s">
        <v>12585</v>
      </c>
      <c r="Q749" t="s">
        <v>12725</v>
      </c>
      <c r="R749">
        <v>0</v>
      </c>
    </row>
    <row r="750" spans="1:18" x14ac:dyDescent="0.25">
      <c r="A750" t="s">
        <v>11448</v>
      </c>
      <c r="C750" t="str">
        <f t="shared" si="66"/>
        <v>sz</v>
      </c>
      <c r="D750" t="str">
        <f t="shared" si="67"/>
        <v>sz300244</v>
      </c>
      <c r="E750" t="str">
        <f>VLOOKUP(A750,Table!B:C,2,0)</f>
        <v>迪安诊断</v>
      </c>
      <c r="F750" t="str">
        <f>TRIM(VLOOKUP(A750,Table!B:O,14,0))</f>
        <v>医药制造</v>
      </c>
      <c r="G750" t="str">
        <f>VLOOKUP(F750,industry!A:C,2,0)</f>
        <v>医药</v>
      </c>
      <c r="H750" t="str">
        <f>VLOOKUP(F750,industry!A:C,3,0)</f>
        <v>药</v>
      </c>
      <c r="J750" s="2" t="s">
        <v>12585</v>
      </c>
      <c r="K750" t="str">
        <f t="shared" si="68"/>
        <v>sz300244</v>
      </c>
      <c r="L750" t="str">
        <f t="shared" si="69"/>
        <v>迪安诊断</v>
      </c>
      <c r="M750" t="str">
        <f t="shared" si="70"/>
        <v>医药</v>
      </c>
      <c r="N750" t="str">
        <f t="shared" si="71"/>
        <v>药</v>
      </c>
      <c r="P750" s="2" t="s">
        <v>12585</v>
      </c>
      <c r="Q750" t="s">
        <v>11873</v>
      </c>
      <c r="R750">
        <v>0</v>
      </c>
    </row>
    <row r="751" spans="1:18" x14ac:dyDescent="0.25">
      <c r="A751" t="s">
        <v>11449</v>
      </c>
      <c r="C751" t="str">
        <f t="shared" si="66"/>
        <v>sh</v>
      </c>
      <c r="D751" t="str">
        <f t="shared" si="67"/>
        <v>sh600981</v>
      </c>
      <c r="E751" t="str">
        <f>VLOOKUP(A751,Table!B:C,2,0)</f>
        <v>汇鸿集团</v>
      </c>
      <c r="F751" t="str">
        <f>TRIM(VLOOKUP(A751,Table!B:O,14,0))</f>
        <v>国际贸易</v>
      </c>
      <c r="G751" t="str">
        <f>VLOOKUP(F751,industry!A:C,2,0)</f>
        <v>国贸</v>
      </c>
      <c r="H751" t="str">
        <f>VLOOKUP(F751,industry!A:C,3,0)</f>
        <v>贸</v>
      </c>
      <c r="J751" s="2" t="s">
        <v>12585</v>
      </c>
      <c r="K751" t="str">
        <f t="shared" si="68"/>
        <v>sh600981</v>
      </c>
      <c r="L751" t="str">
        <f t="shared" si="69"/>
        <v>汇鸿集团</v>
      </c>
      <c r="M751" t="str">
        <f t="shared" si="70"/>
        <v>国贸</v>
      </c>
      <c r="N751" t="str">
        <f t="shared" si="71"/>
        <v>贸</v>
      </c>
      <c r="P751" s="2" t="s">
        <v>12585</v>
      </c>
      <c r="Q751" t="s">
        <v>12040</v>
      </c>
      <c r="R751">
        <v>0</v>
      </c>
    </row>
    <row r="752" spans="1:18" x14ac:dyDescent="0.25">
      <c r="A752" t="s">
        <v>11450</v>
      </c>
      <c r="C752" t="str">
        <f t="shared" si="66"/>
        <v>sz</v>
      </c>
      <c r="D752" t="str">
        <f t="shared" si="67"/>
        <v>sz300347</v>
      </c>
      <c r="E752" t="str">
        <f>VLOOKUP(A752,Table!B:C,2,0)</f>
        <v>泰格医药</v>
      </c>
      <c r="F752" t="str">
        <f>TRIM(VLOOKUP(A752,Table!B:O,14,0))</f>
        <v>医药制造</v>
      </c>
      <c r="G752" t="str">
        <f>VLOOKUP(F752,industry!A:C,2,0)</f>
        <v>医药</v>
      </c>
      <c r="H752" t="str">
        <f>VLOOKUP(F752,industry!A:C,3,0)</f>
        <v>药</v>
      </c>
      <c r="J752" s="2" t="s">
        <v>12585</v>
      </c>
      <c r="K752" t="str">
        <f t="shared" si="68"/>
        <v>sz300347</v>
      </c>
      <c r="L752" t="str">
        <f t="shared" si="69"/>
        <v>泰格医药</v>
      </c>
      <c r="M752" t="str">
        <f t="shared" si="70"/>
        <v>医药</v>
      </c>
      <c r="N752" t="str">
        <f t="shared" si="71"/>
        <v>药</v>
      </c>
      <c r="P752" s="2" t="s">
        <v>12585</v>
      </c>
      <c r="Q752" t="s">
        <v>12726</v>
      </c>
      <c r="R752">
        <v>0</v>
      </c>
    </row>
    <row r="753" spans="1:18" x14ac:dyDescent="0.25">
      <c r="A753" t="s">
        <v>11451</v>
      </c>
      <c r="C753" t="str">
        <f t="shared" si="66"/>
        <v>sz</v>
      </c>
      <c r="D753" t="str">
        <f t="shared" si="67"/>
        <v>sz000988</v>
      </c>
      <c r="E753" t="str">
        <f>VLOOKUP(A753,Table!B:C,2,0)</f>
        <v>华工科技</v>
      </c>
      <c r="F753" t="str">
        <f>TRIM(VLOOKUP(A753,Table!B:O,14,0))</f>
        <v>电子元件</v>
      </c>
      <c r="G753" t="str">
        <f>VLOOKUP(F753,industry!A:C,2,0)</f>
        <v>原件</v>
      </c>
      <c r="H753" t="str">
        <f>VLOOKUP(F753,industry!A:C,3,0)</f>
        <v>元件</v>
      </c>
      <c r="J753" s="2" t="s">
        <v>12585</v>
      </c>
      <c r="K753" t="str">
        <f t="shared" si="68"/>
        <v>sz000988</v>
      </c>
      <c r="L753" t="str">
        <f t="shared" si="69"/>
        <v>华工科技</v>
      </c>
      <c r="M753" t="str">
        <f t="shared" si="70"/>
        <v>原件</v>
      </c>
      <c r="N753" t="str">
        <f t="shared" si="71"/>
        <v>元件</v>
      </c>
      <c r="P753" s="2" t="s">
        <v>12585</v>
      </c>
      <c r="Q753" t="s">
        <v>12023</v>
      </c>
      <c r="R753">
        <v>0</v>
      </c>
    </row>
    <row r="754" spans="1:18" x14ac:dyDescent="0.25">
      <c r="A754" t="s">
        <v>11452</v>
      </c>
      <c r="C754" t="str">
        <f t="shared" si="66"/>
        <v>sz</v>
      </c>
      <c r="D754" t="str">
        <f t="shared" si="67"/>
        <v>sz002701</v>
      </c>
      <c r="E754" t="str">
        <f>VLOOKUP(A754,Table!B:C,2,0)</f>
        <v>奥瑞金</v>
      </c>
      <c r="F754" t="str">
        <f>TRIM(VLOOKUP(A754,Table!B:O,14,0))</f>
        <v>金属制品</v>
      </c>
      <c r="G754" t="str">
        <f>VLOOKUP(F754,industry!A:C,2,0)</f>
        <v>金属</v>
      </c>
      <c r="H754" t="str">
        <f>VLOOKUP(F754,industry!A:C,3,0)</f>
        <v>金</v>
      </c>
      <c r="J754" s="2" t="s">
        <v>12585</v>
      </c>
      <c r="K754" t="str">
        <f t="shared" si="68"/>
        <v>sz002701</v>
      </c>
      <c r="L754" t="str">
        <f t="shared" si="69"/>
        <v>奥瑞金</v>
      </c>
      <c r="M754" t="str">
        <f t="shared" si="70"/>
        <v>金属</v>
      </c>
      <c r="N754" t="str">
        <f t="shared" si="71"/>
        <v>金</v>
      </c>
      <c r="P754" s="2" t="s">
        <v>12585</v>
      </c>
      <c r="Q754" t="s">
        <v>10516</v>
      </c>
      <c r="R754">
        <v>0</v>
      </c>
    </row>
    <row r="755" spans="1:18" x14ac:dyDescent="0.25">
      <c r="A755" t="s">
        <v>11453</v>
      </c>
      <c r="C755" t="str">
        <f t="shared" si="66"/>
        <v>sz</v>
      </c>
      <c r="D755" t="str">
        <f t="shared" si="67"/>
        <v>sz002431</v>
      </c>
      <c r="E755" t="str">
        <f>VLOOKUP(A755,Table!B:C,2,0)</f>
        <v>棕榈股份</v>
      </c>
      <c r="F755" t="str">
        <f>TRIM(VLOOKUP(A755,Table!B:O,14,0))</f>
        <v>园林工程</v>
      </c>
      <c r="G755" t="str">
        <f>VLOOKUP(F755,industry!A:C,2,0)</f>
        <v>园林</v>
      </c>
      <c r="H755" t="str">
        <f>VLOOKUP(F755,industry!A:C,3,0)</f>
        <v>园</v>
      </c>
      <c r="J755" s="2" t="s">
        <v>12585</v>
      </c>
      <c r="K755" t="str">
        <f t="shared" si="68"/>
        <v>sz002431</v>
      </c>
      <c r="L755" t="str">
        <f t="shared" si="69"/>
        <v>棕榈股份</v>
      </c>
      <c r="M755" t="str">
        <f t="shared" si="70"/>
        <v>园林</v>
      </c>
      <c r="N755" t="str">
        <f t="shared" si="71"/>
        <v>园</v>
      </c>
      <c r="P755" s="2" t="s">
        <v>12585</v>
      </c>
      <c r="Q755" t="s">
        <v>12580</v>
      </c>
      <c r="R755">
        <v>0</v>
      </c>
    </row>
    <row r="756" spans="1:18" x14ac:dyDescent="0.25">
      <c r="A756" t="s">
        <v>11454</v>
      </c>
      <c r="C756" t="str">
        <f t="shared" si="66"/>
        <v>sz</v>
      </c>
      <c r="D756" t="str">
        <f t="shared" si="67"/>
        <v>sz300199</v>
      </c>
      <c r="E756" t="str">
        <f>VLOOKUP(A756,Table!B:C,2,0)</f>
        <v>翰宇药业</v>
      </c>
      <c r="F756" t="str">
        <f>TRIM(VLOOKUP(A756,Table!B:O,14,0))</f>
        <v>医药制造</v>
      </c>
      <c r="G756" t="str">
        <f>VLOOKUP(F756,industry!A:C,2,0)</f>
        <v>医药</v>
      </c>
      <c r="H756" t="str">
        <f>VLOOKUP(F756,industry!A:C,3,0)</f>
        <v>药</v>
      </c>
      <c r="J756" s="2" t="s">
        <v>12585</v>
      </c>
      <c r="K756" t="str">
        <f t="shared" si="68"/>
        <v>sz300199</v>
      </c>
      <c r="L756" t="str">
        <f t="shared" si="69"/>
        <v>翰宇药业</v>
      </c>
      <c r="M756" t="str">
        <f t="shared" si="70"/>
        <v>医药</v>
      </c>
      <c r="N756" t="str">
        <f t="shared" si="71"/>
        <v>药</v>
      </c>
      <c r="P756" s="2" t="s">
        <v>12585</v>
      </c>
      <c r="Q756" t="s">
        <v>11979</v>
      </c>
      <c r="R756">
        <v>0</v>
      </c>
    </row>
    <row r="757" spans="1:18" x14ac:dyDescent="0.25">
      <c r="A757" t="s">
        <v>11455</v>
      </c>
      <c r="C757" t="str">
        <f t="shared" si="66"/>
        <v>sh</v>
      </c>
      <c r="D757" t="str">
        <f t="shared" si="67"/>
        <v>sh601567</v>
      </c>
      <c r="E757" t="str">
        <f>VLOOKUP(A757,Table!B:C,2,0)</f>
        <v>三星医疗</v>
      </c>
      <c r="F757" t="str">
        <f>TRIM(VLOOKUP(A757,Table!B:O,14,0))</f>
        <v>仪器仪表</v>
      </c>
      <c r="G757" t="str">
        <f>VLOOKUP(F757,industry!A:C,2,0)</f>
        <v>仪表</v>
      </c>
      <c r="H757" t="str">
        <f>VLOOKUP(F757,industry!A:C,3,0)</f>
        <v>表</v>
      </c>
      <c r="J757" s="2" t="s">
        <v>12585</v>
      </c>
      <c r="K757" t="str">
        <f t="shared" si="68"/>
        <v>sh601567</v>
      </c>
      <c r="L757" t="str">
        <f t="shared" si="69"/>
        <v>三星医疗</v>
      </c>
      <c r="M757" t="str">
        <f t="shared" si="70"/>
        <v>仪表</v>
      </c>
      <c r="N757" t="str">
        <f t="shared" si="71"/>
        <v>表</v>
      </c>
      <c r="P757" s="2" t="s">
        <v>12585</v>
      </c>
      <c r="Q757" t="s">
        <v>12727</v>
      </c>
      <c r="R757">
        <v>0</v>
      </c>
    </row>
    <row r="758" spans="1:18" x14ac:dyDescent="0.25">
      <c r="A758" t="s">
        <v>11456</v>
      </c>
      <c r="C758" t="str">
        <f t="shared" si="66"/>
        <v>sh</v>
      </c>
      <c r="D758" t="str">
        <f t="shared" si="67"/>
        <v>sh603444</v>
      </c>
      <c r="E758" t="str">
        <f>VLOOKUP(A758,Table!B:C,2,0)</f>
        <v>吉比特</v>
      </c>
      <c r="F758" t="str">
        <f>TRIM(VLOOKUP(A758,Table!B:O,14,0))</f>
        <v>软件服务</v>
      </c>
      <c r="G758" t="str">
        <f>VLOOKUP(F758,industry!A:C,2,0)</f>
        <v>软件</v>
      </c>
      <c r="H758" t="str">
        <f>VLOOKUP(F758,industry!A:C,3,0)</f>
        <v>软</v>
      </c>
      <c r="J758" s="2" t="s">
        <v>12585</v>
      </c>
      <c r="K758" t="str">
        <f t="shared" si="68"/>
        <v>sh603444</v>
      </c>
      <c r="L758" t="str">
        <f t="shared" si="69"/>
        <v>吉比特</v>
      </c>
      <c r="M758" t="str">
        <f t="shared" si="70"/>
        <v>软件</v>
      </c>
      <c r="N758" t="str">
        <f t="shared" si="71"/>
        <v>软</v>
      </c>
      <c r="P758" s="2" t="s">
        <v>12585</v>
      </c>
      <c r="Q758" t="s">
        <v>12728</v>
      </c>
      <c r="R758">
        <v>0</v>
      </c>
    </row>
    <row r="759" spans="1:18" x14ac:dyDescent="0.25">
      <c r="A759" t="s">
        <v>11457</v>
      </c>
      <c r="C759" t="str">
        <f t="shared" si="66"/>
        <v>sz</v>
      </c>
      <c r="D759" t="str">
        <f t="shared" si="67"/>
        <v>sz000519</v>
      </c>
      <c r="E759" t="str">
        <f>VLOOKUP(A759,Table!B:C,2,0)</f>
        <v>中兵红箭</v>
      </c>
      <c r="F759" t="str">
        <f>TRIM(VLOOKUP(A759,Table!B:O,14,0))</f>
        <v>机械行业</v>
      </c>
      <c r="G759" t="str">
        <f>VLOOKUP(F759,industry!A:C,2,0)</f>
        <v>机械</v>
      </c>
      <c r="H759" t="str">
        <f>VLOOKUP(F759,industry!A:C,3,0)</f>
        <v>械</v>
      </c>
      <c r="J759" s="2" t="s">
        <v>12585</v>
      </c>
      <c r="K759" t="str">
        <f t="shared" si="68"/>
        <v>sz000519</v>
      </c>
      <c r="L759" t="str">
        <f t="shared" si="69"/>
        <v>中兵红箭</v>
      </c>
      <c r="M759" t="str">
        <f t="shared" si="70"/>
        <v>机械</v>
      </c>
      <c r="N759" t="str">
        <f t="shared" si="71"/>
        <v>械</v>
      </c>
      <c r="P759" s="2" t="s">
        <v>12585</v>
      </c>
      <c r="Q759" t="s">
        <v>12512</v>
      </c>
      <c r="R759">
        <v>0</v>
      </c>
    </row>
    <row r="760" spans="1:18" x14ac:dyDescent="0.25">
      <c r="A760" t="s">
        <v>11458</v>
      </c>
      <c r="C760" t="str">
        <f t="shared" si="66"/>
        <v>sh</v>
      </c>
      <c r="D760" t="str">
        <f t="shared" si="67"/>
        <v>sh603157</v>
      </c>
      <c r="E760" t="str">
        <f>VLOOKUP(A760,Table!B:C,2,0)</f>
        <v>拉夏贝尔</v>
      </c>
      <c r="F760" t="str">
        <f>TRIM(VLOOKUP(A760,Table!B:O,14,0))</f>
        <v>纺织服装</v>
      </c>
      <c r="G760" t="str">
        <f>VLOOKUP(F760,industry!A:C,2,0)</f>
        <v>纺织</v>
      </c>
      <c r="H760" t="str">
        <f>VLOOKUP(F760,industry!A:C,3,0)</f>
        <v>纺</v>
      </c>
      <c r="J760" s="2" t="s">
        <v>12585</v>
      </c>
      <c r="K760" t="str">
        <f t="shared" si="68"/>
        <v>sh603157</v>
      </c>
      <c r="L760" t="str">
        <f t="shared" si="69"/>
        <v>拉夏贝尔</v>
      </c>
      <c r="M760" t="str">
        <f t="shared" si="70"/>
        <v>纺织</v>
      </c>
      <c r="N760" t="str">
        <f t="shared" si="71"/>
        <v>纺</v>
      </c>
      <c r="P760" s="2" t="s">
        <v>12585</v>
      </c>
      <c r="Q760" t="s">
        <v>12729</v>
      </c>
      <c r="R760">
        <v>0</v>
      </c>
    </row>
    <row r="761" spans="1:18" x14ac:dyDescent="0.25">
      <c r="A761" t="s">
        <v>11459</v>
      </c>
      <c r="C761" t="str">
        <f t="shared" si="66"/>
        <v>sz</v>
      </c>
      <c r="D761" t="str">
        <f t="shared" si="67"/>
        <v>sz300316</v>
      </c>
      <c r="E761" t="str">
        <f>VLOOKUP(A761,Table!B:C,2,0)</f>
        <v>晶盛机电</v>
      </c>
      <c r="F761" t="str">
        <f>TRIM(VLOOKUP(A761,Table!B:O,14,0))</f>
        <v>机械行业</v>
      </c>
      <c r="G761" t="str">
        <f>VLOOKUP(F761,industry!A:C,2,0)</f>
        <v>机械</v>
      </c>
      <c r="H761" t="str">
        <f>VLOOKUP(F761,industry!A:C,3,0)</f>
        <v>械</v>
      </c>
      <c r="J761" s="2" t="s">
        <v>12585</v>
      </c>
      <c r="K761" t="str">
        <f t="shared" si="68"/>
        <v>sz300316</v>
      </c>
      <c r="L761" t="str">
        <f t="shared" si="69"/>
        <v>晶盛机电</v>
      </c>
      <c r="M761" t="str">
        <f t="shared" si="70"/>
        <v>机械</v>
      </c>
      <c r="N761" t="str">
        <f t="shared" si="71"/>
        <v>械</v>
      </c>
      <c r="P761" s="2" t="s">
        <v>12585</v>
      </c>
      <c r="Q761" t="s">
        <v>12730</v>
      </c>
      <c r="R761">
        <v>0</v>
      </c>
    </row>
    <row r="762" spans="1:18" x14ac:dyDescent="0.25">
      <c r="A762" t="s">
        <v>11460</v>
      </c>
      <c r="C762" t="str">
        <f t="shared" si="66"/>
        <v>sz</v>
      </c>
      <c r="D762" t="str">
        <f t="shared" si="67"/>
        <v>sz300180</v>
      </c>
      <c r="E762" t="str">
        <f>VLOOKUP(A762,Table!B:C,2,0)</f>
        <v>华峰超纤</v>
      </c>
      <c r="F762" t="str">
        <f>TRIM(VLOOKUP(A762,Table!B:O,14,0))</f>
        <v>塑胶制品</v>
      </c>
      <c r="G762" t="str">
        <f>VLOOKUP(F762,industry!A:C,2,0)</f>
        <v>塑胶</v>
      </c>
      <c r="H762" t="str">
        <f>VLOOKUP(F762,industry!A:C,3,0)</f>
        <v>塑</v>
      </c>
      <c r="J762" s="2" t="s">
        <v>12585</v>
      </c>
      <c r="K762" t="str">
        <f t="shared" si="68"/>
        <v>sz300180</v>
      </c>
      <c r="L762" t="str">
        <f t="shared" si="69"/>
        <v>华峰超纤</v>
      </c>
      <c r="M762" t="str">
        <f t="shared" si="70"/>
        <v>塑胶</v>
      </c>
      <c r="N762" t="str">
        <f t="shared" si="71"/>
        <v>塑</v>
      </c>
      <c r="P762" s="2" t="s">
        <v>12585</v>
      </c>
      <c r="Q762" t="s">
        <v>12731</v>
      </c>
      <c r="R762">
        <v>0</v>
      </c>
    </row>
    <row r="763" spans="1:18" x14ac:dyDescent="0.25">
      <c r="A763" t="s">
        <v>11461</v>
      </c>
      <c r="C763" t="str">
        <f t="shared" si="66"/>
        <v>sz</v>
      </c>
      <c r="D763" t="str">
        <f t="shared" si="67"/>
        <v>sz300098</v>
      </c>
      <c r="E763" t="str">
        <f>VLOOKUP(A763,Table!B:C,2,0)</f>
        <v>高新兴</v>
      </c>
      <c r="F763" t="str">
        <f>TRIM(VLOOKUP(A763,Table!B:O,14,0))</f>
        <v>安防设备</v>
      </c>
      <c r="G763" t="str">
        <f>VLOOKUP(F763,industry!A:C,2,0)</f>
        <v>安防</v>
      </c>
      <c r="H763" t="str">
        <f>VLOOKUP(F763,industry!A:C,3,0)</f>
        <v>防</v>
      </c>
      <c r="J763" s="2" t="s">
        <v>12585</v>
      </c>
      <c r="K763" t="str">
        <f t="shared" si="68"/>
        <v>sz300098</v>
      </c>
      <c r="L763" t="str">
        <f t="shared" si="69"/>
        <v>高新兴</v>
      </c>
      <c r="M763" t="str">
        <f t="shared" si="70"/>
        <v>安防</v>
      </c>
      <c r="N763" t="str">
        <f t="shared" si="71"/>
        <v>防</v>
      </c>
      <c r="P763" s="2" t="s">
        <v>12585</v>
      </c>
      <c r="Q763" t="s">
        <v>12732</v>
      </c>
      <c r="R763">
        <v>0</v>
      </c>
    </row>
    <row r="764" spans="1:18" x14ac:dyDescent="0.25">
      <c r="A764" t="s">
        <v>11462</v>
      </c>
      <c r="C764" t="str">
        <f t="shared" si="66"/>
        <v>sz</v>
      </c>
      <c r="D764" t="str">
        <f t="shared" si="67"/>
        <v>sz002530</v>
      </c>
      <c r="E764" t="str">
        <f>VLOOKUP(A764,Table!B:C,2,0)</f>
        <v>金财互联</v>
      </c>
      <c r="F764" t="str">
        <f>TRIM(VLOOKUP(A764,Table!B:O,14,0))</f>
        <v>软件服务</v>
      </c>
      <c r="G764" t="str">
        <f>VLOOKUP(F764,industry!A:C,2,0)</f>
        <v>软件</v>
      </c>
      <c r="H764" t="str">
        <f>VLOOKUP(F764,industry!A:C,3,0)</f>
        <v>软</v>
      </c>
      <c r="J764" s="2" t="s">
        <v>12585</v>
      </c>
      <c r="K764" t="str">
        <f t="shared" si="68"/>
        <v>sz002530</v>
      </c>
      <c r="L764" t="str">
        <f t="shared" si="69"/>
        <v>金财互联</v>
      </c>
      <c r="M764" t="str">
        <f t="shared" si="70"/>
        <v>软件</v>
      </c>
      <c r="N764" t="str">
        <f t="shared" si="71"/>
        <v>软</v>
      </c>
      <c r="P764" s="2" t="s">
        <v>12585</v>
      </c>
      <c r="Q764" t="s">
        <v>12733</v>
      </c>
      <c r="R764">
        <v>0</v>
      </c>
    </row>
    <row r="765" spans="1:18" x14ac:dyDescent="0.25">
      <c r="A765" t="s">
        <v>11463</v>
      </c>
      <c r="C765" t="str">
        <f t="shared" si="66"/>
        <v>sh</v>
      </c>
      <c r="D765" t="str">
        <f t="shared" si="67"/>
        <v>sh603323</v>
      </c>
      <c r="E765" t="str">
        <f>VLOOKUP(A765,Table!B:C,2,0)</f>
        <v>吴江银行</v>
      </c>
      <c r="F765" t="str">
        <f>TRIM(VLOOKUP(A765,Table!B:O,14,0))</f>
        <v>银行</v>
      </c>
      <c r="G765" t="str">
        <f>VLOOKUP(F765,industry!A:C,2,0)</f>
        <v>银行</v>
      </c>
      <c r="H765" t="str">
        <f>VLOOKUP(F765,industry!A:C,3,0)</f>
        <v>银</v>
      </c>
      <c r="J765" s="2" t="s">
        <v>12585</v>
      </c>
      <c r="K765" t="str">
        <f t="shared" si="68"/>
        <v>sh603323</v>
      </c>
      <c r="L765" t="str">
        <f t="shared" si="69"/>
        <v>吴江银行</v>
      </c>
      <c r="M765" t="str">
        <f t="shared" si="70"/>
        <v>银行</v>
      </c>
      <c r="N765" t="str">
        <f t="shared" si="71"/>
        <v>银</v>
      </c>
      <c r="P765" s="2" t="s">
        <v>12585</v>
      </c>
      <c r="Q765" t="s">
        <v>12734</v>
      </c>
      <c r="R765">
        <v>0</v>
      </c>
    </row>
    <row r="766" spans="1:18" x14ac:dyDescent="0.25">
      <c r="A766" t="s">
        <v>11464</v>
      </c>
      <c r="C766" t="str">
        <f t="shared" si="66"/>
        <v>sz</v>
      </c>
      <c r="D766" t="str">
        <f t="shared" si="67"/>
        <v>sz000975</v>
      </c>
      <c r="E766" t="str">
        <f>VLOOKUP(A766,Table!B:C,2,0)</f>
        <v>银泰资源</v>
      </c>
      <c r="F766" t="str">
        <f>TRIM(VLOOKUP(A766,Table!B:O,14,0))</f>
        <v>有色金属</v>
      </c>
      <c r="G766" t="str">
        <f>VLOOKUP(F766,industry!A:C,2,0)</f>
        <v>有色</v>
      </c>
      <c r="H766" t="str">
        <f>VLOOKUP(F766,industry!A:C,3,0)</f>
        <v>色</v>
      </c>
      <c r="J766" s="2" t="s">
        <v>12585</v>
      </c>
      <c r="K766" t="str">
        <f t="shared" si="68"/>
        <v>sz000975</v>
      </c>
      <c r="L766" t="str">
        <f t="shared" si="69"/>
        <v>银泰资源</v>
      </c>
      <c r="M766" t="str">
        <f t="shared" si="70"/>
        <v>有色</v>
      </c>
      <c r="N766" t="str">
        <f t="shared" si="71"/>
        <v>色</v>
      </c>
      <c r="P766" s="2" t="s">
        <v>12585</v>
      </c>
      <c r="Q766" t="s">
        <v>12457</v>
      </c>
      <c r="R766">
        <v>0</v>
      </c>
    </row>
    <row r="767" spans="1:18" x14ac:dyDescent="0.25">
      <c r="A767" t="s">
        <v>11465</v>
      </c>
      <c r="C767" t="str">
        <f t="shared" si="66"/>
        <v>sz</v>
      </c>
      <c r="D767" t="str">
        <f t="shared" si="67"/>
        <v>sz002672</v>
      </c>
      <c r="E767" t="str">
        <f>VLOOKUP(A767,Table!B:C,2,0)</f>
        <v>东江环保</v>
      </c>
      <c r="F767" t="str">
        <f>TRIM(VLOOKUP(A767,Table!B:O,14,0))</f>
        <v>环保工程</v>
      </c>
      <c r="G767" t="str">
        <f>VLOOKUP(F767,industry!A:C,2,0)</f>
        <v>环保</v>
      </c>
      <c r="H767" t="str">
        <f>VLOOKUP(F767,industry!A:C,3,0)</f>
        <v>环</v>
      </c>
      <c r="J767" s="2" t="s">
        <v>12585</v>
      </c>
      <c r="K767" t="str">
        <f t="shared" si="68"/>
        <v>sz002672</v>
      </c>
      <c r="L767" t="str">
        <f t="shared" si="69"/>
        <v>东江环保</v>
      </c>
      <c r="M767" t="str">
        <f t="shared" si="70"/>
        <v>环保</v>
      </c>
      <c r="N767" t="str">
        <f t="shared" si="71"/>
        <v>环</v>
      </c>
      <c r="P767" s="2" t="s">
        <v>12585</v>
      </c>
      <c r="Q767" t="s">
        <v>11887</v>
      </c>
      <c r="R767">
        <v>0</v>
      </c>
    </row>
    <row r="768" spans="1:18" x14ac:dyDescent="0.25">
      <c r="A768" t="s">
        <v>11466</v>
      </c>
      <c r="C768" t="str">
        <f t="shared" si="66"/>
        <v>sz</v>
      </c>
      <c r="D768" t="str">
        <f t="shared" si="67"/>
        <v>sz000917</v>
      </c>
      <c r="E768" t="str">
        <f>VLOOKUP(A768,Table!B:C,2,0)</f>
        <v>电广传媒</v>
      </c>
      <c r="F768" t="str">
        <f>TRIM(VLOOKUP(A768,Table!B:O,14,0))</f>
        <v>文化传媒</v>
      </c>
      <c r="G768" t="str">
        <f>VLOOKUP(F768,industry!A:C,2,0)</f>
        <v>传媒</v>
      </c>
      <c r="H768" t="str">
        <f>VLOOKUP(F768,industry!A:C,3,0)</f>
        <v>传</v>
      </c>
      <c r="J768" s="2" t="s">
        <v>12585</v>
      </c>
      <c r="K768" t="str">
        <f t="shared" si="68"/>
        <v>sz000917</v>
      </c>
      <c r="L768" t="str">
        <f t="shared" si="69"/>
        <v>电广传媒</v>
      </c>
      <c r="M768" t="str">
        <f t="shared" si="70"/>
        <v>传媒</v>
      </c>
      <c r="N768" t="str">
        <f t="shared" si="71"/>
        <v>传</v>
      </c>
      <c r="P768" s="2" t="s">
        <v>12585</v>
      </c>
      <c r="Q768" t="s">
        <v>10535</v>
      </c>
      <c r="R768">
        <v>0</v>
      </c>
    </row>
    <row r="769" spans="1:18" x14ac:dyDescent="0.25">
      <c r="A769" t="s">
        <v>11467</v>
      </c>
      <c r="C769" t="str">
        <f t="shared" si="66"/>
        <v>sh</v>
      </c>
      <c r="D769" t="str">
        <f t="shared" si="67"/>
        <v>sh600856</v>
      </c>
      <c r="E769" t="str">
        <f>VLOOKUP(A769,Table!B:C,2,0)</f>
        <v>中天能源</v>
      </c>
      <c r="F769" t="str">
        <f>TRIM(VLOOKUP(A769,Table!B:O,14,0))</f>
        <v>石油行业</v>
      </c>
      <c r="G769" t="str">
        <f>VLOOKUP(F769,industry!A:C,2,0)</f>
        <v>石油</v>
      </c>
      <c r="H769" t="str">
        <f>VLOOKUP(F769,industry!A:C,3,0)</f>
        <v>油</v>
      </c>
      <c r="J769" s="2" t="s">
        <v>12585</v>
      </c>
      <c r="K769" t="str">
        <f t="shared" si="68"/>
        <v>sh600856</v>
      </c>
      <c r="L769" t="str">
        <f t="shared" si="69"/>
        <v>中天能源</v>
      </c>
      <c r="M769" t="str">
        <f t="shared" si="70"/>
        <v>石油</v>
      </c>
      <c r="N769" t="str">
        <f t="shared" si="71"/>
        <v>油</v>
      </c>
      <c r="P769" s="2" t="s">
        <v>12585</v>
      </c>
      <c r="Q769" t="s">
        <v>12735</v>
      </c>
      <c r="R769">
        <v>0</v>
      </c>
    </row>
    <row r="770" spans="1:18" x14ac:dyDescent="0.25">
      <c r="A770" t="s">
        <v>11468</v>
      </c>
      <c r="C770" t="str">
        <f t="shared" si="66"/>
        <v>sh</v>
      </c>
      <c r="D770" t="str">
        <f t="shared" si="67"/>
        <v>sh600635</v>
      </c>
      <c r="E770" t="str">
        <f>VLOOKUP(A770,Table!B:C,2,0)</f>
        <v>大众公用</v>
      </c>
      <c r="F770" t="str">
        <f>TRIM(VLOOKUP(A770,Table!B:O,14,0))</f>
        <v>公用事业</v>
      </c>
      <c r="G770" t="str">
        <f>VLOOKUP(F770,industry!A:C,2,0)</f>
        <v>公用</v>
      </c>
      <c r="H770" t="str">
        <f>VLOOKUP(F770,industry!A:C,3,0)</f>
        <v>公</v>
      </c>
      <c r="J770" s="2" t="s">
        <v>12585</v>
      </c>
      <c r="K770" t="str">
        <f t="shared" si="68"/>
        <v>sh600635</v>
      </c>
      <c r="L770" t="str">
        <f t="shared" si="69"/>
        <v>大众公用</v>
      </c>
      <c r="M770" t="str">
        <f t="shared" si="70"/>
        <v>公用</v>
      </c>
      <c r="N770" t="str">
        <f t="shared" si="71"/>
        <v>公</v>
      </c>
      <c r="P770" s="2" t="s">
        <v>12585</v>
      </c>
      <c r="Q770" t="s">
        <v>11863</v>
      </c>
      <c r="R770">
        <v>0</v>
      </c>
    </row>
    <row r="771" spans="1:18" x14ac:dyDescent="0.25">
      <c r="A771" t="s">
        <v>11469</v>
      </c>
      <c r="C771" t="str">
        <f t="shared" ref="C771:C834" si="72">IF(LEFT(A771,1)="6","sh","sz")</f>
        <v>sz</v>
      </c>
      <c r="D771" t="str">
        <f t="shared" ref="D771:D834" si="73">C771 &amp; A771</f>
        <v>sz002353</v>
      </c>
      <c r="E771" t="str">
        <f>VLOOKUP(A771,Table!B:C,2,0)</f>
        <v>杰瑞股份</v>
      </c>
      <c r="F771" t="str">
        <f>TRIM(VLOOKUP(A771,Table!B:O,14,0))</f>
        <v>机械行业</v>
      </c>
      <c r="G771" t="str">
        <f>VLOOKUP(F771,industry!A:C,2,0)</f>
        <v>机械</v>
      </c>
      <c r="H771" t="str">
        <f>VLOOKUP(F771,industry!A:C,3,0)</f>
        <v>械</v>
      </c>
      <c r="J771" s="2" t="s">
        <v>12585</v>
      </c>
      <c r="K771" t="str">
        <f t="shared" ref="K771:K834" si="74">D771</f>
        <v>sz002353</v>
      </c>
      <c r="L771" t="str">
        <f t="shared" ref="L771:L834" si="75">E771</f>
        <v>杰瑞股份</v>
      </c>
      <c r="M771" t="str">
        <f t="shared" ref="M771:M834" si="76">G771</f>
        <v>机械</v>
      </c>
      <c r="N771" t="str">
        <f t="shared" ref="N771:N834" si="77">H771</f>
        <v>械</v>
      </c>
      <c r="P771" s="2" t="s">
        <v>12585</v>
      </c>
      <c r="Q771" t="s">
        <v>12063</v>
      </c>
      <c r="R771">
        <v>0</v>
      </c>
    </row>
    <row r="772" spans="1:18" x14ac:dyDescent="0.25">
      <c r="A772" t="s">
        <v>11470</v>
      </c>
      <c r="C772" t="str">
        <f t="shared" si="72"/>
        <v>sh</v>
      </c>
      <c r="D772" t="str">
        <f t="shared" si="73"/>
        <v>sh600978</v>
      </c>
      <c r="E772" t="str">
        <f>VLOOKUP(A772,Table!B:C,2,0)</f>
        <v>宜华生活</v>
      </c>
      <c r="F772" t="str">
        <f>TRIM(VLOOKUP(A772,Table!B:O,14,0))</f>
        <v>木业家具</v>
      </c>
      <c r="G772" t="str">
        <f>VLOOKUP(F772,industry!A:C,2,0)</f>
        <v>木业</v>
      </c>
      <c r="H772" t="str">
        <f>VLOOKUP(F772,industry!A:C,3,0)</f>
        <v>木</v>
      </c>
      <c r="J772" s="2" t="s">
        <v>12585</v>
      </c>
      <c r="K772" t="str">
        <f t="shared" si="74"/>
        <v>sh600978</v>
      </c>
      <c r="L772" t="str">
        <f t="shared" si="75"/>
        <v>宜华生活</v>
      </c>
      <c r="M772" t="str">
        <f t="shared" si="76"/>
        <v>木业</v>
      </c>
      <c r="N772" t="str">
        <f t="shared" si="77"/>
        <v>木</v>
      </c>
      <c r="P772" s="2" t="s">
        <v>12585</v>
      </c>
      <c r="Q772" t="s">
        <v>12441</v>
      </c>
      <c r="R772">
        <v>0</v>
      </c>
    </row>
    <row r="773" spans="1:18" x14ac:dyDescent="0.25">
      <c r="A773" t="s">
        <v>11471</v>
      </c>
      <c r="C773" t="str">
        <f t="shared" si="72"/>
        <v>sz</v>
      </c>
      <c r="D773" t="str">
        <f t="shared" si="73"/>
        <v>sz002373</v>
      </c>
      <c r="E773" t="str">
        <f>VLOOKUP(A773,Table!B:C,2,0)</f>
        <v>千方科技</v>
      </c>
      <c r="F773" t="str">
        <f>TRIM(VLOOKUP(A773,Table!B:O,14,0))</f>
        <v>软件服务</v>
      </c>
      <c r="G773" t="str">
        <f>VLOOKUP(F773,industry!A:C,2,0)</f>
        <v>软件</v>
      </c>
      <c r="H773" t="str">
        <f>VLOOKUP(F773,industry!A:C,3,0)</f>
        <v>软</v>
      </c>
      <c r="J773" s="2" t="s">
        <v>12585</v>
      </c>
      <c r="K773" t="str">
        <f t="shared" si="74"/>
        <v>sz002373</v>
      </c>
      <c r="L773" t="str">
        <f t="shared" si="75"/>
        <v>千方科技</v>
      </c>
      <c r="M773" t="str">
        <f t="shared" si="76"/>
        <v>软件</v>
      </c>
      <c r="N773" t="str">
        <f t="shared" si="77"/>
        <v>软</v>
      </c>
      <c r="P773" s="2" t="s">
        <v>12585</v>
      </c>
      <c r="Q773" t="s">
        <v>12217</v>
      </c>
      <c r="R773">
        <v>0</v>
      </c>
    </row>
    <row r="774" spans="1:18" x14ac:dyDescent="0.25">
      <c r="A774" t="s">
        <v>11472</v>
      </c>
      <c r="C774" t="str">
        <f t="shared" si="72"/>
        <v>sh</v>
      </c>
      <c r="D774" t="str">
        <f t="shared" si="73"/>
        <v>sh600252</v>
      </c>
      <c r="E774" t="str">
        <f>VLOOKUP(A774,Table!B:C,2,0)</f>
        <v>中恒集团</v>
      </c>
      <c r="F774" t="str">
        <f>TRIM(VLOOKUP(A774,Table!B:O,14,0))</f>
        <v>医药制造</v>
      </c>
      <c r="G774" t="str">
        <f>VLOOKUP(F774,industry!A:C,2,0)</f>
        <v>医药</v>
      </c>
      <c r="H774" t="str">
        <f>VLOOKUP(F774,industry!A:C,3,0)</f>
        <v>药</v>
      </c>
      <c r="J774" s="2" t="s">
        <v>12585</v>
      </c>
      <c r="K774" t="str">
        <f t="shared" si="74"/>
        <v>sh600252</v>
      </c>
      <c r="L774" t="str">
        <f t="shared" si="75"/>
        <v>中恒集团</v>
      </c>
      <c r="M774" t="str">
        <f t="shared" si="76"/>
        <v>医药</v>
      </c>
      <c r="N774" t="str">
        <f t="shared" si="77"/>
        <v>药</v>
      </c>
      <c r="P774" s="2" t="s">
        <v>12585</v>
      </c>
      <c r="Q774" t="s">
        <v>12527</v>
      </c>
      <c r="R774">
        <v>0</v>
      </c>
    </row>
    <row r="775" spans="1:18" x14ac:dyDescent="0.25">
      <c r="A775" t="s">
        <v>11473</v>
      </c>
      <c r="C775" t="str">
        <f t="shared" si="72"/>
        <v>sh</v>
      </c>
      <c r="D775" t="str">
        <f t="shared" si="73"/>
        <v>sh601222</v>
      </c>
      <c r="E775" t="str">
        <f>VLOOKUP(A775,Table!B:C,2,0)</f>
        <v>林洋能源</v>
      </c>
      <c r="F775" t="str">
        <f>TRIM(VLOOKUP(A775,Table!B:O,14,0))</f>
        <v>仪器仪表</v>
      </c>
      <c r="G775" t="str">
        <f>VLOOKUP(F775,industry!A:C,2,0)</f>
        <v>仪表</v>
      </c>
      <c r="H775" t="str">
        <f>VLOOKUP(F775,industry!A:C,3,0)</f>
        <v>表</v>
      </c>
      <c r="J775" s="2" t="s">
        <v>12585</v>
      </c>
      <c r="K775" t="str">
        <f t="shared" si="74"/>
        <v>sh601222</v>
      </c>
      <c r="L775" t="str">
        <f t="shared" si="75"/>
        <v>林洋能源</v>
      </c>
      <c r="M775" t="str">
        <f t="shared" si="76"/>
        <v>仪表</v>
      </c>
      <c r="N775" t="str">
        <f t="shared" si="77"/>
        <v>表</v>
      </c>
      <c r="P775" s="2" t="s">
        <v>12585</v>
      </c>
      <c r="Q775" t="s">
        <v>12736</v>
      </c>
      <c r="R775">
        <v>0</v>
      </c>
    </row>
    <row r="776" spans="1:18" x14ac:dyDescent="0.25">
      <c r="A776" t="s">
        <v>11474</v>
      </c>
      <c r="C776" t="str">
        <f t="shared" si="72"/>
        <v>sz</v>
      </c>
      <c r="D776" t="str">
        <f t="shared" si="73"/>
        <v>sz300166</v>
      </c>
      <c r="E776" t="str">
        <f>VLOOKUP(A776,Table!B:C,2,0)</f>
        <v>东方国信</v>
      </c>
      <c r="F776" t="str">
        <f>TRIM(VLOOKUP(A776,Table!B:O,14,0))</f>
        <v>软件服务</v>
      </c>
      <c r="G776" t="str">
        <f>VLOOKUP(F776,industry!A:C,2,0)</f>
        <v>软件</v>
      </c>
      <c r="H776" t="str">
        <f>VLOOKUP(F776,industry!A:C,3,0)</f>
        <v>软</v>
      </c>
      <c r="J776" s="2" t="s">
        <v>12585</v>
      </c>
      <c r="K776" t="str">
        <f t="shared" si="74"/>
        <v>sz300166</v>
      </c>
      <c r="L776" t="str">
        <f t="shared" si="75"/>
        <v>东方国信</v>
      </c>
      <c r="M776" t="str">
        <f t="shared" si="76"/>
        <v>软件</v>
      </c>
      <c r="N776" t="str">
        <f t="shared" si="77"/>
        <v>软</v>
      </c>
      <c r="P776" s="2" t="s">
        <v>12585</v>
      </c>
      <c r="Q776" t="s">
        <v>11877</v>
      </c>
      <c r="R776">
        <v>0</v>
      </c>
    </row>
    <row r="777" spans="1:18" x14ac:dyDescent="0.25">
      <c r="A777" t="s">
        <v>11475</v>
      </c>
      <c r="C777" t="str">
        <f t="shared" si="72"/>
        <v>sh</v>
      </c>
      <c r="D777" t="str">
        <f t="shared" si="73"/>
        <v>sh601666</v>
      </c>
      <c r="E777" t="str">
        <f>VLOOKUP(A777,Table!B:C,2,0)</f>
        <v>平煤股份</v>
      </c>
      <c r="F777" t="str">
        <f>TRIM(VLOOKUP(A777,Table!B:O,14,0))</f>
        <v>煤炭采选</v>
      </c>
      <c r="G777" t="str">
        <f>VLOOKUP(F777,industry!A:C,2,0)</f>
        <v>煤炭</v>
      </c>
      <c r="H777" t="str">
        <f>VLOOKUP(F777,industry!A:C,3,0)</f>
        <v>煤</v>
      </c>
      <c r="J777" s="2" t="s">
        <v>12585</v>
      </c>
      <c r="K777" t="str">
        <f t="shared" si="74"/>
        <v>sh601666</v>
      </c>
      <c r="L777" t="str">
        <f t="shared" si="75"/>
        <v>平煤股份</v>
      </c>
      <c r="M777" t="str">
        <f t="shared" si="76"/>
        <v>煤炭</v>
      </c>
      <c r="N777" t="str">
        <f t="shared" si="77"/>
        <v>煤</v>
      </c>
      <c r="P777" s="2" t="s">
        <v>12585</v>
      </c>
      <c r="Q777" t="s">
        <v>12737</v>
      </c>
      <c r="R777">
        <v>0</v>
      </c>
    </row>
    <row r="778" spans="1:18" x14ac:dyDescent="0.25">
      <c r="A778" t="s">
        <v>11476</v>
      </c>
      <c r="C778" t="str">
        <f t="shared" si="72"/>
        <v>sh</v>
      </c>
      <c r="D778" t="str">
        <f t="shared" si="73"/>
        <v>sh600618</v>
      </c>
      <c r="E778" t="str">
        <f>VLOOKUP(A778,Table!B:C,2,0)</f>
        <v>氯碱化工</v>
      </c>
      <c r="F778" t="str">
        <f>TRIM(VLOOKUP(A778,Table!B:O,14,0))</f>
        <v>化工行业</v>
      </c>
      <c r="G778" t="str">
        <f>VLOOKUP(F778,industry!A:C,2,0)</f>
        <v>化工</v>
      </c>
      <c r="H778" t="str">
        <f>VLOOKUP(F778,industry!A:C,3,0)</f>
        <v>化</v>
      </c>
      <c r="J778" s="2" t="s">
        <v>12585</v>
      </c>
      <c r="K778" t="str">
        <f t="shared" si="74"/>
        <v>sh600618</v>
      </c>
      <c r="L778" t="str">
        <f t="shared" si="75"/>
        <v>氯碱化工</v>
      </c>
      <c r="M778" t="str">
        <f t="shared" si="76"/>
        <v>化工</v>
      </c>
      <c r="N778" t="str">
        <f t="shared" si="77"/>
        <v>化</v>
      </c>
      <c r="P778" s="2" t="s">
        <v>12585</v>
      </c>
      <c r="Q778" t="s">
        <v>12165</v>
      </c>
      <c r="R778">
        <v>0</v>
      </c>
    </row>
    <row r="779" spans="1:18" x14ac:dyDescent="0.25">
      <c r="A779" t="s">
        <v>11477</v>
      </c>
      <c r="C779" t="str">
        <f t="shared" si="72"/>
        <v>sz</v>
      </c>
      <c r="D779" t="str">
        <f t="shared" si="73"/>
        <v>sz002030</v>
      </c>
      <c r="E779" t="str">
        <f>VLOOKUP(A779,Table!B:C,2,0)</f>
        <v>达安基因</v>
      </c>
      <c r="F779" t="str">
        <f>TRIM(VLOOKUP(A779,Table!B:O,14,0))</f>
        <v>医药制造</v>
      </c>
      <c r="G779" t="str">
        <f>VLOOKUP(F779,industry!A:C,2,0)</f>
        <v>医药</v>
      </c>
      <c r="H779" t="str">
        <f>VLOOKUP(F779,industry!A:C,3,0)</f>
        <v>药</v>
      </c>
      <c r="J779" s="2" t="s">
        <v>12585</v>
      </c>
      <c r="K779" t="str">
        <f t="shared" si="74"/>
        <v>sz002030</v>
      </c>
      <c r="L779" t="str">
        <f t="shared" si="75"/>
        <v>达安基因</v>
      </c>
      <c r="M779" t="str">
        <f t="shared" si="76"/>
        <v>医药</v>
      </c>
      <c r="N779" t="str">
        <f t="shared" si="77"/>
        <v>药</v>
      </c>
      <c r="P779" s="2" t="s">
        <v>12585</v>
      </c>
      <c r="Q779" t="s">
        <v>11850</v>
      </c>
      <c r="R779">
        <v>0</v>
      </c>
    </row>
    <row r="780" spans="1:18" x14ac:dyDescent="0.25">
      <c r="A780" t="s">
        <v>11478</v>
      </c>
      <c r="C780" t="str">
        <f t="shared" si="72"/>
        <v>sz</v>
      </c>
      <c r="D780" t="str">
        <f t="shared" si="73"/>
        <v>sz002680</v>
      </c>
      <c r="E780" t="str">
        <f>VLOOKUP(A780,Table!B:C,2,0)</f>
        <v>长生生物</v>
      </c>
      <c r="F780" t="str">
        <f>TRIM(VLOOKUP(A780,Table!B:O,14,0))</f>
        <v>医药制造</v>
      </c>
      <c r="G780" t="str">
        <f>VLOOKUP(F780,industry!A:C,2,0)</f>
        <v>医药</v>
      </c>
      <c r="H780" t="str">
        <f>VLOOKUP(F780,industry!A:C,3,0)</f>
        <v>药</v>
      </c>
      <c r="J780" s="2" t="s">
        <v>12585</v>
      </c>
      <c r="K780" t="str">
        <f t="shared" si="74"/>
        <v>sz002680</v>
      </c>
      <c r="L780" t="str">
        <f t="shared" si="75"/>
        <v>长生生物</v>
      </c>
      <c r="M780" t="str">
        <f t="shared" si="76"/>
        <v>医药</v>
      </c>
      <c r="N780" t="str">
        <f t="shared" si="77"/>
        <v>药</v>
      </c>
      <c r="P780" s="2" t="s">
        <v>12585</v>
      </c>
      <c r="Q780" t="s">
        <v>12738</v>
      </c>
      <c r="R780">
        <v>0</v>
      </c>
    </row>
    <row r="781" spans="1:18" x14ac:dyDescent="0.25">
      <c r="A781" t="s">
        <v>11479</v>
      </c>
      <c r="C781" t="str">
        <f t="shared" si="72"/>
        <v>sh</v>
      </c>
      <c r="D781" t="str">
        <f t="shared" si="73"/>
        <v>sh600681</v>
      </c>
      <c r="E781" t="str">
        <f>VLOOKUP(A781,Table!B:C,2,0)</f>
        <v>百川能源</v>
      </c>
      <c r="F781" t="str">
        <f>TRIM(VLOOKUP(A781,Table!B:O,14,0))</f>
        <v>公用事业</v>
      </c>
      <c r="G781" t="str">
        <f>VLOOKUP(F781,industry!A:C,2,0)</f>
        <v>公用</v>
      </c>
      <c r="H781" t="str">
        <f>VLOOKUP(F781,industry!A:C,3,0)</f>
        <v>公</v>
      </c>
      <c r="J781" s="2" t="s">
        <v>12585</v>
      </c>
      <c r="K781" t="str">
        <f t="shared" si="74"/>
        <v>sh600681</v>
      </c>
      <c r="L781" t="str">
        <f t="shared" si="75"/>
        <v>百川能源</v>
      </c>
      <c r="M781" t="str">
        <f t="shared" si="76"/>
        <v>公用</v>
      </c>
      <c r="N781" t="str">
        <f t="shared" si="77"/>
        <v>公</v>
      </c>
      <c r="P781" s="2" t="s">
        <v>12585</v>
      </c>
      <c r="Q781" t="s">
        <v>12739</v>
      </c>
      <c r="R781">
        <v>0</v>
      </c>
    </row>
    <row r="782" spans="1:18" x14ac:dyDescent="0.25">
      <c r="A782" t="s">
        <v>11480</v>
      </c>
      <c r="C782" t="str">
        <f t="shared" si="72"/>
        <v>sz</v>
      </c>
      <c r="D782" t="str">
        <f t="shared" si="73"/>
        <v>sz002662</v>
      </c>
      <c r="E782" t="str">
        <f>VLOOKUP(A782,Table!B:C,2,0)</f>
        <v>京威股份</v>
      </c>
      <c r="F782" t="str">
        <f>TRIM(VLOOKUP(A782,Table!B:O,14,0))</f>
        <v>汽车行业</v>
      </c>
      <c r="G782" t="str">
        <f>VLOOKUP(F782,industry!A:C,2,0)</f>
        <v>汽车</v>
      </c>
      <c r="H782" t="str">
        <f>VLOOKUP(F782,industry!A:C,3,0)</f>
        <v>车</v>
      </c>
      <c r="J782" s="2" t="s">
        <v>12585</v>
      </c>
      <c r="K782" t="str">
        <f t="shared" si="74"/>
        <v>sz002662</v>
      </c>
      <c r="L782" t="str">
        <f t="shared" si="75"/>
        <v>京威股份</v>
      </c>
      <c r="M782" t="str">
        <f t="shared" si="76"/>
        <v>汽车</v>
      </c>
      <c r="N782" t="str">
        <f t="shared" si="77"/>
        <v>车</v>
      </c>
      <c r="P782" s="2" t="s">
        <v>12585</v>
      </c>
      <c r="Q782" t="s">
        <v>12740</v>
      </c>
      <c r="R782">
        <v>0</v>
      </c>
    </row>
    <row r="783" spans="1:18" x14ac:dyDescent="0.25">
      <c r="A783" t="s">
        <v>11481</v>
      </c>
      <c r="C783" t="str">
        <f t="shared" si="72"/>
        <v>sh</v>
      </c>
      <c r="D783" t="str">
        <f t="shared" si="73"/>
        <v>sh603328</v>
      </c>
      <c r="E783" t="str">
        <f>VLOOKUP(A783,Table!B:C,2,0)</f>
        <v>依顿电子</v>
      </c>
      <c r="F783" t="str">
        <f>TRIM(VLOOKUP(A783,Table!B:O,14,0))</f>
        <v>电子元件</v>
      </c>
      <c r="G783" t="str">
        <f>VLOOKUP(F783,industry!A:C,2,0)</f>
        <v>原件</v>
      </c>
      <c r="H783" t="str">
        <f>VLOOKUP(F783,industry!A:C,3,0)</f>
        <v>元件</v>
      </c>
      <c r="J783" s="2" t="s">
        <v>12585</v>
      </c>
      <c r="K783" t="str">
        <f t="shared" si="74"/>
        <v>sh603328</v>
      </c>
      <c r="L783" t="str">
        <f t="shared" si="75"/>
        <v>依顿电子</v>
      </c>
      <c r="M783" t="str">
        <f t="shared" si="76"/>
        <v>原件</v>
      </c>
      <c r="N783" t="str">
        <f t="shared" si="77"/>
        <v>元件</v>
      </c>
      <c r="P783" s="2" t="s">
        <v>12585</v>
      </c>
      <c r="Q783" t="s">
        <v>12439</v>
      </c>
      <c r="R783">
        <v>0</v>
      </c>
    </row>
    <row r="784" spans="1:18" x14ac:dyDescent="0.25">
      <c r="A784" t="s">
        <v>11482</v>
      </c>
      <c r="C784" t="str">
        <f t="shared" si="72"/>
        <v>sz</v>
      </c>
      <c r="D784" t="str">
        <f t="shared" si="73"/>
        <v>sz002437</v>
      </c>
      <c r="E784" t="str">
        <f>VLOOKUP(A784,Table!B:C,2,0)</f>
        <v>誉衡药业</v>
      </c>
      <c r="F784" t="str">
        <f>TRIM(VLOOKUP(A784,Table!B:O,14,0))</f>
        <v>医药制造</v>
      </c>
      <c r="G784" t="str">
        <f>VLOOKUP(F784,industry!A:C,2,0)</f>
        <v>医药</v>
      </c>
      <c r="H784" t="str">
        <f>VLOOKUP(F784,industry!A:C,3,0)</f>
        <v>药</v>
      </c>
      <c r="J784" s="2" t="s">
        <v>12585</v>
      </c>
      <c r="K784" t="str">
        <f t="shared" si="74"/>
        <v>sz002437</v>
      </c>
      <c r="L784" t="str">
        <f t="shared" si="75"/>
        <v>誉衡药业</v>
      </c>
      <c r="M784" t="str">
        <f t="shared" si="76"/>
        <v>医药</v>
      </c>
      <c r="N784" t="str">
        <f t="shared" si="77"/>
        <v>药</v>
      </c>
      <c r="P784" s="2" t="s">
        <v>12585</v>
      </c>
      <c r="Q784" t="s">
        <v>12465</v>
      </c>
      <c r="R784">
        <v>0</v>
      </c>
    </row>
    <row r="785" spans="1:18" x14ac:dyDescent="0.25">
      <c r="A785" t="s">
        <v>11483</v>
      </c>
      <c r="C785" t="str">
        <f t="shared" si="72"/>
        <v>sz</v>
      </c>
      <c r="D785" t="str">
        <f t="shared" si="73"/>
        <v>sz300002</v>
      </c>
      <c r="E785" t="str">
        <f>VLOOKUP(A785,Table!B:C,2,0)</f>
        <v>神州泰岳</v>
      </c>
      <c r="F785" t="str">
        <f>TRIM(VLOOKUP(A785,Table!B:O,14,0))</f>
        <v>软件服务</v>
      </c>
      <c r="G785" t="str">
        <f>VLOOKUP(F785,industry!A:C,2,0)</f>
        <v>软件</v>
      </c>
      <c r="H785" t="str">
        <f>VLOOKUP(F785,industry!A:C,3,0)</f>
        <v>软</v>
      </c>
      <c r="J785" s="2" t="s">
        <v>12585</v>
      </c>
      <c r="K785" t="str">
        <f t="shared" si="74"/>
        <v>sz300002</v>
      </c>
      <c r="L785" t="str">
        <f t="shared" si="75"/>
        <v>神州泰岳</v>
      </c>
      <c r="M785" t="str">
        <f t="shared" si="76"/>
        <v>软件</v>
      </c>
      <c r="N785" t="str">
        <f t="shared" si="77"/>
        <v>软</v>
      </c>
      <c r="P785" s="2" t="s">
        <v>12585</v>
      </c>
      <c r="Q785" t="s">
        <v>10676</v>
      </c>
      <c r="R785">
        <v>0</v>
      </c>
    </row>
    <row r="786" spans="1:18" x14ac:dyDescent="0.25">
      <c r="A786" t="s">
        <v>11484</v>
      </c>
      <c r="C786" t="str">
        <f t="shared" si="72"/>
        <v>sh</v>
      </c>
      <c r="D786" t="str">
        <f t="shared" si="73"/>
        <v>sh603517</v>
      </c>
      <c r="E786" t="str">
        <f>VLOOKUP(A786,Table!B:C,2,0)</f>
        <v>绝味食品</v>
      </c>
      <c r="F786" t="str">
        <f>TRIM(VLOOKUP(A786,Table!B:O,14,0))</f>
        <v>食品饮料</v>
      </c>
      <c r="G786" t="str">
        <f>VLOOKUP(F786,industry!A:C,2,0)</f>
        <v>食品</v>
      </c>
      <c r="H786" t="str">
        <f>VLOOKUP(F786,industry!A:C,3,0)</f>
        <v>食</v>
      </c>
      <c r="J786" s="2" t="s">
        <v>12585</v>
      </c>
      <c r="K786" t="str">
        <f t="shared" si="74"/>
        <v>sh603517</v>
      </c>
      <c r="L786" t="str">
        <f t="shared" si="75"/>
        <v>绝味食品</v>
      </c>
      <c r="M786" t="str">
        <f t="shared" si="76"/>
        <v>食品</v>
      </c>
      <c r="N786" t="str">
        <f t="shared" si="77"/>
        <v>食</v>
      </c>
      <c r="P786" s="2" t="s">
        <v>12585</v>
      </c>
      <c r="Q786" t="s">
        <v>12741</v>
      </c>
      <c r="R786">
        <v>0</v>
      </c>
    </row>
    <row r="787" spans="1:18" x14ac:dyDescent="0.25">
      <c r="A787" t="s">
        <v>11485</v>
      </c>
      <c r="C787" t="str">
        <f t="shared" si="72"/>
        <v>sz</v>
      </c>
      <c r="D787" t="str">
        <f t="shared" si="73"/>
        <v>sz300168</v>
      </c>
      <c r="E787" t="str">
        <f>VLOOKUP(A787,Table!B:C,2,0)</f>
        <v>万达信息</v>
      </c>
      <c r="F787" t="str">
        <f>TRIM(VLOOKUP(A787,Table!B:O,14,0))</f>
        <v>软件服务</v>
      </c>
      <c r="G787" t="str">
        <f>VLOOKUP(F787,industry!A:C,2,0)</f>
        <v>软件</v>
      </c>
      <c r="H787" t="str">
        <f>VLOOKUP(F787,industry!A:C,3,0)</f>
        <v>软</v>
      </c>
      <c r="J787" s="2" t="s">
        <v>12585</v>
      </c>
      <c r="K787" t="str">
        <f t="shared" si="74"/>
        <v>sz300168</v>
      </c>
      <c r="L787" t="str">
        <f t="shared" si="75"/>
        <v>万达信息</v>
      </c>
      <c r="M787" t="str">
        <f t="shared" si="76"/>
        <v>软件</v>
      </c>
      <c r="N787" t="str">
        <f t="shared" si="77"/>
        <v>软</v>
      </c>
      <c r="P787" s="2" t="s">
        <v>12585</v>
      </c>
      <c r="Q787" t="s">
        <v>10530</v>
      </c>
      <c r="R787">
        <v>0</v>
      </c>
    </row>
    <row r="788" spans="1:18" x14ac:dyDescent="0.25">
      <c r="A788" t="s">
        <v>11486</v>
      </c>
      <c r="C788" t="str">
        <f t="shared" si="72"/>
        <v>sz</v>
      </c>
      <c r="D788" t="str">
        <f t="shared" si="73"/>
        <v>sz300257</v>
      </c>
      <c r="E788" t="str">
        <f>VLOOKUP(A788,Table!B:C,2,0)</f>
        <v>开山股份</v>
      </c>
      <c r="F788" t="str">
        <f>TRIM(VLOOKUP(A788,Table!B:O,14,0))</f>
        <v>机械行业</v>
      </c>
      <c r="G788" t="str">
        <f>VLOOKUP(F788,industry!A:C,2,0)</f>
        <v>机械</v>
      </c>
      <c r="H788" t="str">
        <f>VLOOKUP(F788,industry!A:C,3,0)</f>
        <v>械</v>
      </c>
      <c r="J788" s="2" t="s">
        <v>12585</v>
      </c>
      <c r="K788" t="str">
        <f t="shared" si="74"/>
        <v>sz300257</v>
      </c>
      <c r="L788" t="str">
        <f t="shared" si="75"/>
        <v>开山股份</v>
      </c>
      <c r="M788" t="str">
        <f t="shared" si="76"/>
        <v>机械</v>
      </c>
      <c r="N788" t="str">
        <f t="shared" si="77"/>
        <v>械</v>
      </c>
      <c r="P788" s="2" t="s">
        <v>12585</v>
      </c>
      <c r="Q788" t="s">
        <v>12109</v>
      </c>
      <c r="R788">
        <v>0</v>
      </c>
    </row>
    <row r="789" spans="1:18" x14ac:dyDescent="0.25">
      <c r="A789" t="s">
        <v>11487</v>
      </c>
      <c r="C789" t="str">
        <f t="shared" si="72"/>
        <v>sz</v>
      </c>
      <c r="D789" t="str">
        <f t="shared" si="73"/>
        <v>sz002812</v>
      </c>
      <c r="E789" t="str">
        <f>VLOOKUP(A789,Table!B:C,2,0)</f>
        <v>创新股份</v>
      </c>
      <c r="F789" t="str">
        <f>TRIM(VLOOKUP(A789,Table!B:O,14,0))</f>
        <v>包装材料</v>
      </c>
      <c r="G789" t="str">
        <f>VLOOKUP(F789,industry!A:C,2,0)</f>
        <v>包装</v>
      </c>
      <c r="H789" t="str">
        <f>VLOOKUP(F789,industry!A:C,3,0)</f>
        <v>包</v>
      </c>
      <c r="J789" s="2" t="s">
        <v>12585</v>
      </c>
      <c r="K789" t="str">
        <f t="shared" si="74"/>
        <v>sz002812</v>
      </c>
      <c r="L789" t="str">
        <f t="shared" si="75"/>
        <v>创新股份</v>
      </c>
      <c r="M789" t="str">
        <f t="shared" si="76"/>
        <v>包装</v>
      </c>
      <c r="N789" t="str">
        <f t="shared" si="77"/>
        <v>包</v>
      </c>
      <c r="P789" s="2" t="s">
        <v>12585</v>
      </c>
      <c r="Q789" t="s">
        <v>12742</v>
      </c>
      <c r="R789">
        <v>0</v>
      </c>
    </row>
    <row r="790" spans="1:18" x14ac:dyDescent="0.25">
      <c r="A790" t="s">
        <v>11488</v>
      </c>
      <c r="C790" t="str">
        <f t="shared" si="72"/>
        <v>sz</v>
      </c>
      <c r="D790" t="str">
        <f t="shared" si="73"/>
        <v>sz002262</v>
      </c>
      <c r="E790" t="str">
        <f>VLOOKUP(A790,Table!B:C,2,0)</f>
        <v>恩华药业</v>
      </c>
      <c r="F790" t="str">
        <f>TRIM(VLOOKUP(A790,Table!B:O,14,0))</f>
        <v>医药制造</v>
      </c>
      <c r="G790" t="str">
        <f>VLOOKUP(F790,industry!A:C,2,0)</f>
        <v>医药</v>
      </c>
      <c r="H790" t="str">
        <f>VLOOKUP(F790,industry!A:C,3,0)</f>
        <v>药</v>
      </c>
      <c r="J790" s="2" t="s">
        <v>12585</v>
      </c>
      <c r="K790" t="str">
        <f t="shared" si="74"/>
        <v>sz002262</v>
      </c>
      <c r="L790" t="str">
        <f t="shared" si="75"/>
        <v>恩华药业</v>
      </c>
      <c r="M790" t="str">
        <f t="shared" si="76"/>
        <v>医药</v>
      </c>
      <c r="N790" t="str">
        <f t="shared" si="77"/>
        <v>药</v>
      </c>
      <c r="P790" s="2" t="s">
        <v>12585</v>
      </c>
      <c r="Q790" t="s">
        <v>12743</v>
      </c>
      <c r="R790">
        <v>0</v>
      </c>
    </row>
    <row r="791" spans="1:18" x14ac:dyDescent="0.25">
      <c r="A791" t="s">
        <v>11489</v>
      </c>
      <c r="C791" t="str">
        <f t="shared" si="72"/>
        <v>sz</v>
      </c>
      <c r="D791" t="str">
        <f t="shared" si="73"/>
        <v>sz000061</v>
      </c>
      <c r="E791" t="str">
        <f>VLOOKUP(A791,Table!B:C,2,0)</f>
        <v>农 产 品</v>
      </c>
      <c r="F791" t="str">
        <f>TRIM(VLOOKUP(A791,Table!B:O,14,0))</f>
        <v>农牧饲渔</v>
      </c>
      <c r="G791" t="str">
        <f>VLOOKUP(F791,industry!A:C,2,0)</f>
        <v>农渔</v>
      </c>
      <c r="H791" t="str">
        <f>VLOOKUP(F791,industry!A:C,3,0)</f>
        <v>渔</v>
      </c>
      <c r="J791" s="2" t="s">
        <v>12585</v>
      </c>
      <c r="K791" t="str">
        <f t="shared" si="74"/>
        <v>sz000061</v>
      </c>
      <c r="L791" t="str">
        <f t="shared" si="75"/>
        <v>农 产 品</v>
      </c>
      <c r="M791" t="str">
        <f t="shared" si="76"/>
        <v>农渔</v>
      </c>
      <c r="N791" t="str">
        <f t="shared" si="77"/>
        <v>渔</v>
      </c>
      <c r="P791" s="2" t="s">
        <v>12585</v>
      </c>
      <c r="Q791" t="s">
        <v>10650</v>
      </c>
      <c r="R791">
        <v>0</v>
      </c>
    </row>
    <row r="792" spans="1:18" x14ac:dyDescent="0.25">
      <c r="A792" t="s">
        <v>11490</v>
      </c>
      <c r="C792" t="str">
        <f t="shared" si="72"/>
        <v>sz</v>
      </c>
      <c r="D792" t="str">
        <f t="shared" si="73"/>
        <v>sz300463</v>
      </c>
      <c r="E792" t="str">
        <f>VLOOKUP(A792,Table!B:C,2,0)</f>
        <v>迈克生物</v>
      </c>
      <c r="F792" t="str">
        <f>TRIM(VLOOKUP(A792,Table!B:O,14,0))</f>
        <v>医疗行业</v>
      </c>
      <c r="G792" t="str">
        <f>VLOOKUP(F792,industry!A:C,2,0)</f>
        <v>医疗</v>
      </c>
      <c r="H792" t="str">
        <f>VLOOKUP(F792,industry!A:C,3,0)</f>
        <v>疗</v>
      </c>
      <c r="J792" s="2" t="s">
        <v>12585</v>
      </c>
      <c r="K792" t="str">
        <f t="shared" si="74"/>
        <v>sz300463</v>
      </c>
      <c r="L792" t="str">
        <f t="shared" si="75"/>
        <v>迈克生物</v>
      </c>
      <c r="M792" t="str">
        <f t="shared" si="76"/>
        <v>医疗</v>
      </c>
      <c r="N792" t="str">
        <f t="shared" si="77"/>
        <v>疗</v>
      </c>
      <c r="P792" s="2" t="s">
        <v>12585</v>
      </c>
      <c r="Q792" t="s">
        <v>12744</v>
      </c>
      <c r="R792">
        <v>0</v>
      </c>
    </row>
    <row r="793" spans="1:18" x14ac:dyDescent="0.25">
      <c r="A793" t="s">
        <v>11491</v>
      </c>
      <c r="C793" t="str">
        <f t="shared" si="72"/>
        <v>sz</v>
      </c>
      <c r="D793" t="str">
        <f t="shared" si="73"/>
        <v>sz000582</v>
      </c>
      <c r="E793" t="str">
        <f>VLOOKUP(A793,Table!B:C,2,0)</f>
        <v>北部湾港</v>
      </c>
      <c r="F793" t="str">
        <f>TRIM(VLOOKUP(A793,Table!B:O,14,0))</f>
        <v>港口水运</v>
      </c>
      <c r="G793" t="str">
        <f>VLOOKUP(F793,industry!A:C,2,0)</f>
        <v>港口</v>
      </c>
      <c r="H793" t="str">
        <f>VLOOKUP(F793,industry!A:C,3,0)</f>
        <v>港</v>
      </c>
      <c r="J793" s="2" t="s">
        <v>12585</v>
      </c>
      <c r="K793" t="str">
        <f t="shared" si="74"/>
        <v>sz000582</v>
      </c>
      <c r="L793" t="str">
        <f t="shared" si="75"/>
        <v>北部湾港</v>
      </c>
      <c r="M793" t="str">
        <f t="shared" si="76"/>
        <v>港口</v>
      </c>
      <c r="N793" t="str">
        <f t="shared" si="77"/>
        <v>港</v>
      </c>
      <c r="P793" s="2" t="s">
        <v>12585</v>
      </c>
      <c r="Q793" t="s">
        <v>12745</v>
      </c>
      <c r="R793">
        <v>0</v>
      </c>
    </row>
    <row r="794" spans="1:18" x14ac:dyDescent="0.25">
      <c r="A794" t="s">
        <v>11492</v>
      </c>
      <c r="C794" t="str">
        <f t="shared" si="72"/>
        <v>sh</v>
      </c>
      <c r="D794" t="str">
        <f t="shared" si="73"/>
        <v>sh600230</v>
      </c>
      <c r="E794" t="str">
        <f>VLOOKUP(A794,Table!B:C,2,0)</f>
        <v>沧州大化</v>
      </c>
      <c r="F794" t="str">
        <f>TRIM(VLOOKUP(A794,Table!B:O,14,0))</f>
        <v>化工行业</v>
      </c>
      <c r="G794" t="str">
        <f>VLOOKUP(F794,industry!A:C,2,0)</f>
        <v>化工</v>
      </c>
      <c r="H794" t="str">
        <f>VLOOKUP(F794,industry!A:C,3,0)</f>
        <v>化</v>
      </c>
      <c r="J794" s="2" t="s">
        <v>12585</v>
      </c>
      <c r="K794" t="str">
        <f t="shared" si="74"/>
        <v>sh600230</v>
      </c>
      <c r="L794" t="str">
        <f t="shared" si="75"/>
        <v>沧州大化</v>
      </c>
      <c r="M794" t="str">
        <f t="shared" si="76"/>
        <v>化工</v>
      </c>
      <c r="N794" t="str">
        <f t="shared" si="77"/>
        <v>化</v>
      </c>
      <c r="P794" s="2" t="s">
        <v>12585</v>
      </c>
      <c r="Q794" t="s">
        <v>12746</v>
      </c>
      <c r="R794">
        <v>0</v>
      </c>
    </row>
    <row r="795" spans="1:18" x14ac:dyDescent="0.25">
      <c r="A795" t="s">
        <v>11493</v>
      </c>
      <c r="C795" t="str">
        <f t="shared" si="72"/>
        <v>sz</v>
      </c>
      <c r="D795" t="str">
        <f t="shared" si="73"/>
        <v>sz000976</v>
      </c>
      <c r="E795" t="str">
        <f>VLOOKUP(A795,Table!B:C,2,0)</f>
        <v>华铁股份</v>
      </c>
      <c r="F795" t="str">
        <f>TRIM(VLOOKUP(A795,Table!B:O,14,0))</f>
        <v>化纤行业</v>
      </c>
      <c r="G795" t="str">
        <f>VLOOKUP(F795,industry!A:C,2,0)</f>
        <v>化纤</v>
      </c>
      <c r="H795" t="str">
        <f>VLOOKUP(F795,industry!A:C,3,0)</f>
        <v>纤</v>
      </c>
      <c r="J795" s="2" t="s">
        <v>12585</v>
      </c>
      <c r="K795" t="str">
        <f t="shared" si="74"/>
        <v>sz000976</v>
      </c>
      <c r="L795" t="str">
        <f t="shared" si="75"/>
        <v>华铁股份</v>
      </c>
      <c r="M795" t="str">
        <f t="shared" si="76"/>
        <v>化纤</v>
      </c>
      <c r="N795" t="str">
        <f t="shared" si="77"/>
        <v>纤</v>
      </c>
      <c r="P795" s="2" t="s">
        <v>12585</v>
      </c>
      <c r="Q795" t="s">
        <v>12747</v>
      </c>
      <c r="R795">
        <v>0</v>
      </c>
    </row>
    <row r="796" spans="1:18" x14ac:dyDescent="0.25">
      <c r="A796" t="s">
        <v>11494</v>
      </c>
      <c r="C796" t="str">
        <f t="shared" si="72"/>
        <v>sz</v>
      </c>
      <c r="D796" t="str">
        <f t="shared" si="73"/>
        <v>sz000666</v>
      </c>
      <c r="E796" t="str">
        <f>VLOOKUP(A796,Table!B:C,2,0)</f>
        <v>经纬纺机</v>
      </c>
      <c r="F796" t="str">
        <f>TRIM(VLOOKUP(A796,Table!B:O,14,0))</f>
        <v>多元金融</v>
      </c>
      <c r="G796" t="str">
        <f>VLOOKUP(F796,industry!A:C,2,0)</f>
        <v>多元</v>
      </c>
      <c r="H796" t="str">
        <f>VLOOKUP(F796,industry!A:C,3,0)</f>
        <v>融</v>
      </c>
      <c r="J796" s="2" t="s">
        <v>12585</v>
      </c>
      <c r="K796" t="str">
        <f t="shared" si="74"/>
        <v>sz000666</v>
      </c>
      <c r="L796" t="str">
        <f t="shared" si="75"/>
        <v>经纬纺机</v>
      </c>
      <c r="M796" t="str">
        <f t="shared" si="76"/>
        <v>多元</v>
      </c>
      <c r="N796" t="str">
        <f t="shared" si="77"/>
        <v>融</v>
      </c>
      <c r="P796" s="2" t="s">
        <v>12585</v>
      </c>
      <c r="Q796" t="s">
        <v>12748</v>
      </c>
      <c r="R796">
        <v>0</v>
      </c>
    </row>
    <row r="797" spans="1:18" x14ac:dyDescent="0.25">
      <c r="A797" t="s">
        <v>11495</v>
      </c>
      <c r="C797" t="str">
        <f t="shared" si="72"/>
        <v>sz</v>
      </c>
      <c r="D797" t="str">
        <f t="shared" si="73"/>
        <v>sz002581</v>
      </c>
      <c r="E797" t="str">
        <f>VLOOKUP(A797,Table!B:C,2,0)</f>
        <v>未名医药</v>
      </c>
      <c r="F797" t="str">
        <f>TRIM(VLOOKUP(A797,Table!B:O,14,0))</f>
        <v>医药制造</v>
      </c>
      <c r="G797" t="str">
        <f>VLOOKUP(F797,industry!A:C,2,0)</f>
        <v>医药</v>
      </c>
      <c r="H797" t="str">
        <f>VLOOKUP(F797,industry!A:C,3,0)</f>
        <v>药</v>
      </c>
      <c r="J797" s="2" t="s">
        <v>12585</v>
      </c>
      <c r="K797" t="str">
        <f t="shared" si="74"/>
        <v>sz002581</v>
      </c>
      <c r="L797" t="str">
        <f t="shared" si="75"/>
        <v>未名医药</v>
      </c>
      <c r="M797" t="str">
        <f t="shared" si="76"/>
        <v>医药</v>
      </c>
      <c r="N797" t="str">
        <f t="shared" si="77"/>
        <v>药</v>
      </c>
      <c r="P797" s="2" t="s">
        <v>12585</v>
      </c>
      <c r="Q797" t="s">
        <v>12371</v>
      </c>
      <c r="R797">
        <v>0</v>
      </c>
    </row>
    <row r="798" spans="1:18" x14ac:dyDescent="0.25">
      <c r="A798" t="s">
        <v>11496</v>
      </c>
      <c r="C798" t="str">
        <f t="shared" si="72"/>
        <v>sh</v>
      </c>
      <c r="D798" t="str">
        <f t="shared" si="73"/>
        <v>sh600058</v>
      </c>
      <c r="E798" t="str">
        <f>VLOOKUP(A798,Table!B:C,2,0)</f>
        <v>五矿发展</v>
      </c>
      <c r="F798" t="str">
        <f>TRIM(VLOOKUP(A798,Table!B:O,14,0))</f>
        <v>国际贸易</v>
      </c>
      <c r="G798" t="str">
        <f>VLOOKUP(F798,industry!A:C,2,0)</f>
        <v>国贸</v>
      </c>
      <c r="H798" t="str">
        <f>VLOOKUP(F798,industry!A:C,3,0)</f>
        <v>贸</v>
      </c>
      <c r="J798" s="2" t="s">
        <v>12585</v>
      </c>
      <c r="K798" t="str">
        <f t="shared" si="74"/>
        <v>sh600058</v>
      </c>
      <c r="L798" t="str">
        <f t="shared" si="75"/>
        <v>五矿发展</v>
      </c>
      <c r="M798" t="str">
        <f t="shared" si="76"/>
        <v>国贸</v>
      </c>
      <c r="N798" t="str">
        <f t="shared" si="77"/>
        <v>贸</v>
      </c>
      <c r="P798" s="2" t="s">
        <v>12585</v>
      </c>
      <c r="Q798" t="s">
        <v>12377</v>
      </c>
      <c r="R798">
        <v>0</v>
      </c>
    </row>
    <row r="799" spans="1:18" x14ac:dyDescent="0.25">
      <c r="A799" t="s">
        <v>11497</v>
      </c>
      <c r="C799" t="str">
        <f t="shared" si="72"/>
        <v>sh</v>
      </c>
      <c r="D799" t="str">
        <f t="shared" si="73"/>
        <v>sh600110</v>
      </c>
      <c r="E799" t="str">
        <f>VLOOKUP(A799,Table!B:C,2,0)</f>
        <v>诺德股份</v>
      </c>
      <c r="F799" t="str">
        <f>TRIM(VLOOKUP(A799,Table!B:O,14,0))</f>
        <v>材料行业</v>
      </c>
      <c r="G799" t="str">
        <f>VLOOKUP(F799,industry!A:C,2,0)</f>
        <v>材料</v>
      </c>
      <c r="H799" t="str">
        <f>VLOOKUP(F799,industry!A:C,3,0)</f>
        <v>材</v>
      </c>
      <c r="J799" s="2" t="s">
        <v>12585</v>
      </c>
      <c r="K799" t="str">
        <f t="shared" si="74"/>
        <v>sh600110</v>
      </c>
      <c r="L799" t="str">
        <f t="shared" si="75"/>
        <v>诺德股份</v>
      </c>
      <c r="M799" t="str">
        <f t="shared" si="76"/>
        <v>材料</v>
      </c>
      <c r="N799" t="str">
        <f t="shared" si="77"/>
        <v>材</v>
      </c>
      <c r="P799" s="2" t="s">
        <v>12585</v>
      </c>
      <c r="Q799" t="s">
        <v>12749</v>
      </c>
      <c r="R799">
        <v>0</v>
      </c>
    </row>
    <row r="800" spans="1:18" x14ac:dyDescent="0.25">
      <c r="A800" t="s">
        <v>11498</v>
      </c>
      <c r="C800" t="str">
        <f t="shared" si="72"/>
        <v>sz</v>
      </c>
      <c r="D800" t="str">
        <f t="shared" si="73"/>
        <v>sz000056</v>
      </c>
      <c r="E800" t="str">
        <f>VLOOKUP(A800,Table!B:C,2,0)</f>
        <v>皇庭国际</v>
      </c>
      <c r="F800" t="str">
        <f>TRIM(VLOOKUP(A800,Table!B:O,14,0))</f>
        <v>房地产</v>
      </c>
      <c r="G800" t="str">
        <f>VLOOKUP(F800,industry!A:C,2,0)</f>
        <v>房产</v>
      </c>
      <c r="H800" t="str">
        <f>VLOOKUP(F800,industry!A:C,3,0)</f>
        <v>产</v>
      </c>
      <c r="J800" s="2" t="s">
        <v>12585</v>
      </c>
      <c r="K800" t="str">
        <f t="shared" si="74"/>
        <v>sz000056</v>
      </c>
      <c r="L800" t="str">
        <f t="shared" si="75"/>
        <v>皇庭国际</v>
      </c>
      <c r="M800" t="str">
        <f t="shared" si="76"/>
        <v>房产</v>
      </c>
      <c r="N800" t="str">
        <f t="shared" si="77"/>
        <v>产</v>
      </c>
      <c r="P800" s="2" t="s">
        <v>12585</v>
      </c>
      <c r="Q800" t="s">
        <v>12750</v>
      </c>
      <c r="R800">
        <v>0</v>
      </c>
    </row>
    <row r="801" spans="1:18" x14ac:dyDescent="0.25">
      <c r="A801" t="s">
        <v>11499</v>
      </c>
      <c r="C801" t="str">
        <f t="shared" si="72"/>
        <v>sh</v>
      </c>
      <c r="D801" t="str">
        <f t="shared" si="73"/>
        <v>sh600664</v>
      </c>
      <c r="E801" t="str">
        <f>VLOOKUP(A801,Table!B:C,2,0)</f>
        <v>哈药股份</v>
      </c>
      <c r="F801" t="str">
        <f>TRIM(VLOOKUP(A801,Table!B:O,14,0))</f>
        <v>医药制造</v>
      </c>
      <c r="G801" t="str">
        <f>VLOOKUP(F801,industry!A:C,2,0)</f>
        <v>医药</v>
      </c>
      <c r="H801" t="str">
        <f>VLOOKUP(F801,industry!A:C,3,0)</f>
        <v>药</v>
      </c>
      <c r="J801" s="2" t="s">
        <v>12585</v>
      </c>
      <c r="K801" t="str">
        <f t="shared" si="74"/>
        <v>sh600664</v>
      </c>
      <c r="L801" t="str">
        <f t="shared" si="75"/>
        <v>哈药股份</v>
      </c>
      <c r="M801" t="str">
        <f t="shared" si="76"/>
        <v>医药</v>
      </c>
      <c r="N801" t="str">
        <f t="shared" si="77"/>
        <v>药</v>
      </c>
      <c r="P801" s="2" t="s">
        <v>12585</v>
      </c>
      <c r="Q801" t="s">
        <v>10514</v>
      </c>
      <c r="R801">
        <v>0</v>
      </c>
    </row>
    <row r="802" spans="1:18" x14ac:dyDescent="0.25">
      <c r="A802" t="s">
        <v>11500</v>
      </c>
      <c r="C802" t="str">
        <f t="shared" si="72"/>
        <v>sz</v>
      </c>
      <c r="D802" t="str">
        <f t="shared" si="73"/>
        <v>sz000758</v>
      </c>
      <c r="E802" t="str">
        <f>VLOOKUP(A802,Table!B:C,2,0)</f>
        <v>中色股份</v>
      </c>
      <c r="F802" t="str">
        <f>TRIM(VLOOKUP(A802,Table!B:O,14,0))</f>
        <v>有色金属</v>
      </c>
      <c r="G802" t="str">
        <f>VLOOKUP(F802,industry!A:C,2,0)</f>
        <v>有色</v>
      </c>
      <c r="H802" t="str">
        <f>VLOOKUP(F802,industry!A:C,3,0)</f>
        <v>色</v>
      </c>
      <c r="J802" s="2" t="s">
        <v>12585</v>
      </c>
      <c r="K802" t="str">
        <f t="shared" si="74"/>
        <v>sz000758</v>
      </c>
      <c r="L802" t="str">
        <f t="shared" si="75"/>
        <v>中色股份</v>
      </c>
      <c r="M802" t="str">
        <f t="shared" si="76"/>
        <v>有色</v>
      </c>
      <c r="N802" t="str">
        <f t="shared" si="77"/>
        <v>色</v>
      </c>
      <c r="P802" s="2" t="s">
        <v>12585</v>
      </c>
      <c r="Q802" t="s">
        <v>12547</v>
      </c>
      <c r="R802">
        <v>0</v>
      </c>
    </row>
    <row r="803" spans="1:18" x14ac:dyDescent="0.25">
      <c r="A803" t="s">
        <v>11501</v>
      </c>
      <c r="C803" t="str">
        <f t="shared" si="72"/>
        <v>sh</v>
      </c>
      <c r="D803" t="str">
        <f t="shared" si="73"/>
        <v>sh600640</v>
      </c>
      <c r="E803" t="str">
        <f>VLOOKUP(A803,Table!B:C,2,0)</f>
        <v>号百控股</v>
      </c>
      <c r="F803" t="str">
        <f>TRIM(VLOOKUP(A803,Table!B:O,14,0))</f>
        <v>旅游酒店</v>
      </c>
      <c r="G803" t="str">
        <f>VLOOKUP(F803,industry!A:C,2,0)</f>
        <v>旅游</v>
      </c>
      <c r="H803" t="str">
        <f>VLOOKUP(F803,industry!A:C,3,0)</f>
        <v>旅</v>
      </c>
      <c r="J803" s="2" t="s">
        <v>12585</v>
      </c>
      <c r="K803" t="str">
        <f t="shared" si="74"/>
        <v>sh600640</v>
      </c>
      <c r="L803" t="str">
        <f t="shared" si="75"/>
        <v>号百控股</v>
      </c>
      <c r="M803" t="str">
        <f t="shared" si="76"/>
        <v>旅游</v>
      </c>
      <c r="N803" t="str">
        <f t="shared" si="77"/>
        <v>旅</v>
      </c>
      <c r="P803" s="2" t="s">
        <v>12585</v>
      </c>
      <c r="Q803" t="s">
        <v>11988</v>
      </c>
      <c r="R803">
        <v>0</v>
      </c>
    </row>
    <row r="804" spans="1:18" x14ac:dyDescent="0.25">
      <c r="A804" t="s">
        <v>11502</v>
      </c>
      <c r="C804" t="str">
        <f t="shared" si="72"/>
        <v>sz</v>
      </c>
      <c r="D804" t="str">
        <f t="shared" si="73"/>
        <v>sz002390</v>
      </c>
      <c r="E804" t="str">
        <f>VLOOKUP(A804,Table!B:C,2,0)</f>
        <v>信邦制药</v>
      </c>
      <c r="F804" t="str">
        <f>TRIM(VLOOKUP(A804,Table!B:O,14,0))</f>
        <v>医药制造</v>
      </c>
      <c r="G804" t="str">
        <f>VLOOKUP(F804,industry!A:C,2,0)</f>
        <v>医药</v>
      </c>
      <c r="H804" t="str">
        <f>VLOOKUP(F804,industry!A:C,3,0)</f>
        <v>药</v>
      </c>
      <c r="J804" s="2" t="s">
        <v>12585</v>
      </c>
      <c r="K804" t="str">
        <f t="shared" si="74"/>
        <v>sz002390</v>
      </c>
      <c r="L804" t="str">
        <f t="shared" si="75"/>
        <v>信邦制药</v>
      </c>
      <c r="M804" t="str">
        <f t="shared" si="76"/>
        <v>医药</v>
      </c>
      <c r="N804" t="str">
        <f t="shared" si="77"/>
        <v>药</v>
      </c>
      <c r="P804" s="2" t="s">
        <v>12585</v>
      </c>
      <c r="Q804" t="s">
        <v>12406</v>
      </c>
      <c r="R804">
        <v>0</v>
      </c>
    </row>
    <row r="805" spans="1:18" x14ac:dyDescent="0.25">
      <c r="A805" t="s">
        <v>11503</v>
      </c>
      <c r="C805" t="str">
        <f t="shared" si="72"/>
        <v>sz</v>
      </c>
      <c r="D805" t="str">
        <f t="shared" si="73"/>
        <v>sz300367</v>
      </c>
      <c r="E805" t="str">
        <f>VLOOKUP(A805,Table!B:C,2,0)</f>
        <v>东方网力</v>
      </c>
      <c r="F805" t="str">
        <f>TRIM(VLOOKUP(A805,Table!B:O,14,0))</f>
        <v>安防设备</v>
      </c>
      <c r="G805" t="str">
        <f>VLOOKUP(F805,industry!A:C,2,0)</f>
        <v>安防</v>
      </c>
      <c r="H805" t="str">
        <f>VLOOKUP(F805,industry!A:C,3,0)</f>
        <v>防</v>
      </c>
      <c r="J805" s="2" t="s">
        <v>12585</v>
      </c>
      <c r="K805" t="str">
        <f t="shared" si="74"/>
        <v>sz300367</v>
      </c>
      <c r="L805" t="str">
        <f t="shared" si="75"/>
        <v>东方网力</v>
      </c>
      <c r="M805" t="str">
        <f t="shared" si="76"/>
        <v>安防</v>
      </c>
      <c r="N805" t="str">
        <f t="shared" si="77"/>
        <v>防</v>
      </c>
      <c r="P805" s="2" t="s">
        <v>12585</v>
      </c>
      <c r="Q805" t="s">
        <v>12751</v>
      </c>
      <c r="R805">
        <v>0</v>
      </c>
    </row>
    <row r="806" spans="1:18" x14ac:dyDescent="0.25">
      <c r="A806" t="s">
        <v>11504</v>
      </c>
      <c r="C806" t="str">
        <f t="shared" si="72"/>
        <v>sh</v>
      </c>
      <c r="D806" t="str">
        <f t="shared" si="73"/>
        <v>sh600240</v>
      </c>
      <c r="E806" t="str">
        <f>VLOOKUP(A806,Table!B:C,2,0)</f>
        <v>华业资本</v>
      </c>
      <c r="F806" t="str">
        <f>TRIM(VLOOKUP(A806,Table!B:O,14,0))</f>
        <v>房地产</v>
      </c>
      <c r="G806" t="str">
        <f>VLOOKUP(F806,industry!A:C,2,0)</f>
        <v>房产</v>
      </c>
      <c r="H806" t="str">
        <f>VLOOKUP(F806,industry!A:C,3,0)</f>
        <v>产</v>
      </c>
      <c r="J806" s="2" t="s">
        <v>12585</v>
      </c>
      <c r="K806" t="str">
        <f t="shared" si="74"/>
        <v>sh600240</v>
      </c>
      <c r="L806" t="str">
        <f t="shared" si="75"/>
        <v>华业资本</v>
      </c>
      <c r="M806" t="str">
        <f t="shared" si="76"/>
        <v>房产</v>
      </c>
      <c r="N806" t="str">
        <f t="shared" si="77"/>
        <v>产</v>
      </c>
      <c r="P806" s="2" t="s">
        <v>12585</v>
      </c>
      <c r="Q806" t="s">
        <v>12036</v>
      </c>
      <c r="R806">
        <v>0</v>
      </c>
    </row>
    <row r="807" spans="1:18" x14ac:dyDescent="0.25">
      <c r="A807" t="s">
        <v>11505</v>
      </c>
      <c r="C807" t="str">
        <f t="shared" si="72"/>
        <v>sh</v>
      </c>
      <c r="D807" t="str">
        <f t="shared" si="73"/>
        <v>sh600970</v>
      </c>
      <c r="E807" t="str">
        <f>VLOOKUP(A807,Table!B:C,2,0)</f>
        <v>中材国际</v>
      </c>
      <c r="F807" t="str">
        <f>TRIM(VLOOKUP(A807,Table!B:O,14,0))</f>
        <v>水泥建材</v>
      </c>
      <c r="G807" t="str">
        <f>VLOOKUP(F807,industry!A:C,2,0)</f>
        <v>水泥</v>
      </c>
      <c r="H807" t="str">
        <f>VLOOKUP(F807,industry!A:C,3,0)</f>
        <v>泥</v>
      </c>
      <c r="J807" s="2" t="s">
        <v>12585</v>
      </c>
      <c r="K807" t="str">
        <f t="shared" si="74"/>
        <v>sh600970</v>
      </c>
      <c r="L807" t="str">
        <f t="shared" si="75"/>
        <v>中材国际</v>
      </c>
      <c r="M807" t="str">
        <f t="shared" si="76"/>
        <v>水泥</v>
      </c>
      <c r="N807" t="str">
        <f t="shared" si="77"/>
        <v>泥</v>
      </c>
      <c r="P807" s="2" t="s">
        <v>12585</v>
      </c>
      <c r="Q807" t="s">
        <v>12514</v>
      </c>
      <c r="R807">
        <v>0</v>
      </c>
    </row>
    <row r="808" spans="1:18" x14ac:dyDescent="0.25">
      <c r="A808" t="s">
        <v>11506</v>
      </c>
      <c r="C808" t="str">
        <f t="shared" si="72"/>
        <v>sz</v>
      </c>
      <c r="D808" t="str">
        <f t="shared" si="73"/>
        <v>sz300529</v>
      </c>
      <c r="E808" t="str">
        <f>VLOOKUP(A808,Table!B:C,2,0)</f>
        <v>健帆生物</v>
      </c>
      <c r="F808" t="str">
        <f>TRIM(VLOOKUP(A808,Table!B:O,14,0))</f>
        <v>医疗行业</v>
      </c>
      <c r="G808" t="str">
        <f>VLOOKUP(F808,industry!A:C,2,0)</f>
        <v>医疗</v>
      </c>
      <c r="H808" t="str">
        <f>VLOOKUP(F808,industry!A:C,3,0)</f>
        <v>疗</v>
      </c>
      <c r="J808" s="2" t="s">
        <v>12585</v>
      </c>
      <c r="K808" t="str">
        <f t="shared" si="74"/>
        <v>sz300529</v>
      </c>
      <c r="L808" t="str">
        <f t="shared" si="75"/>
        <v>健帆生物</v>
      </c>
      <c r="M808" t="str">
        <f t="shared" si="76"/>
        <v>医疗</v>
      </c>
      <c r="N808" t="str">
        <f t="shared" si="77"/>
        <v>疗</v>
      </c>
      <c r="P808" s="2" t="s">
        <v>12585</v>
      </c>
      <c r="Q808" t="s">
        <v>10436</v>
      </c>
      <c r="R808">
        <v>0</v>
      </c>
    </row>
    <row r="809" spans="1:18" x14ac:dyDescent="0.25">
      <c r="A809" t="s">
        <v>11507</v>
      </c>
      <c r="C809" t="str">
        <f t="shared" si="72"/>
        <v>sh</v>
      </c>
      <c r="D809" t="str">
        <f t="shared" si="73"/>
        <v>sh600138</v>
      </c>
      <c r="E809" t="str">
        <f>VLOOKUP(A809,Table!B:C,2,0)</f>
        <v>中青旅</v>
      </c>
      <c r="F809" t="str">
        <f>TRIM(VLOOKUP(A809,Table!B:O,14,0))</f>
        <v>旅游酒店</v>
      </c>
      <c r="G809" t="str">
        <f>VLOOKUP(F809,industry!A:C,2,0)</f>
        <v>旅游</v>
      </c>
      <c r="H809" t="str">
        <f>VLOOKUP(F809,industry!A:C,3,0)</f>
        <v>旅</v>
      </c>
      <c r="J809" s="2" t="s">
        <v>12585</v>
      </c>
      <c r="K809" t="str">
        <f t="shared" si="74"/>
        <v>sh600138</v>
      </c>
      <c r="L809" t="str">
        <f t="shared" si="75"/>
        <v>中青旅</v>
      </c>
      <c r="M809" t="str">
        <f t="shared" si="76"/>
        <v>旅游</v>
      </c>
      <c r="N809" t="str">
        <f t="shared" si="77"/>
        <v>旅</v>
      </c>
      <c r="P809" s="2" t="s">
        <v>12585</v>
      </c>
      <c r="Q809" t="s">
        <v>12545</v>
      </c>
      <c r="R809">
        <v>0</v>
      </c>
    </row>
    <row r="810" spans="1:18" x14ac:dyDescent="0.25">
      <c r="A810" t="s">
        <v>11508</v>
      </c>
      <c r="C810" t="str">
        <f t="shared" si="72"/>
        <v>sz</v>
      </c>
      <c r="D810" t="str">
        <f t="shared" si="73"/>
        <v>sz002242</v>
      </c>
      <c r="E810" t="str">
        <f>VLOOKUP(A810,Table!B:C,2,0)</f>
        <v>九阳股份</v>
      </c>
      <c r="F810" t="str">
        <f>TRIM(VLOOKUP(A810,Table!B:O,14,0))</f>
        <v>家电行业</v>
      </c>
      <c r="G810" t="str">
        <f>VLOOKUP(F810,industry!A:C,2,0)</f>
        <v>家电</v>
      </c>
      <c r="H810" t="str">
        <f>VLOOKUP(F810,industry!A:C,3,0)</f>
        <v>家</v>
      </c>
      <c r="J810" s="2" t="s">
        <v>12585</v>
      </c>
      <c r="K810" t="str">
        <f t="shared" si="74"/>
        <v>sz002242</v>
      </c>
      <c r="L810" t="str">
        <f t="shared" si="75"/>
        <v>九阳股份</v>
      </c>
      <c r="M810" t="str">
        <f t="shared" si="76"/>
        <v>家电</v>
      </c>
      <c r="N810" t="str">
        <f t="shared" si="77"/>
        <v>家</v>
      </c>
      <c r="P810" s="2" t="s">
        <v>12585</v>
      </c>
      <c r="Q810" t="s">
        <v>12099</v>
      </c>
      <c r="R810">
        <v>0</v>
      </c>
    </row>
    <row r="811" spans="1:18" x14ac:dyDescent="0.25">
      <c r="A811" t="s">
        <v>11509</v>
      </c>
      <c r="C811" t="str">
        <f t="shared" si="72"/>
        <v>sz</v>
      </c>
      <c r="D811" t="str">
        <f t="shared" si="73"/>
        <v>sz002821</v>
      </c>
      <c r="E811" t="str">
        <f>VLOOKUP(A811,Table!B:C,2,0)</f>
        <v>凯莱英</v>
      </c>
      <c r="F811" t="str">
        <f>TRIM(VLOOKUP(A811,Table!B:O,14,0))</f>
        <v>医疗行业</v>
      </c>
      <c r="G811" t="str">
        <f>VLOOKUP(F811,industry!A:C,2,0)</f>
        <v>医疗</v>
      </c>
      <c r="H811" t="str">
        <f>VLOOKUP(F811,industry!A:C,3,0)</f>
        <v>疗</v>
      </c>
      <c r="J811" s="2" t="s">
        <v>12585</v>
      </c>
      <c r="K811" t="str">
        <f t="shared" si="74"/>
        <v>sz002821</v>
      </c>
      <c r="L811" t="str">
        <f t="shared" si="75"/>
        <v>凯莱英</v>
      </c>
      <c r="M811" t="str">
        <f t="shared" si="76"/>
        <v>医疗</v>
      </c>
      <c r="N811" t="str">
        <f t="shared" si="77"/>
        <v>疗</v>
      </c>
      <c r="P811" s="2" t="s">
        <v>12585</v>
      </c>
      <c r="Q811" t="s">
        <v>12752</v>
      </c>
      <c r="R811">
        <v>0</v>
      </c>
    </row>
    <row r="812" spans="1:18" x14ac:dyDescent="0.25">
      <c r="A812" t="s">
        <v>11510</v>
      </c>
      <c r="C812" t="str">
        <f t="shared" si="72"/>
        <v>sz</v>
      </c>
      <c r="D812" t="str">
        <f t="shared" si="73"/>
        <v>sz002358</v>
      </c>
      <c r="E812" t="str">
        <f>VLOOKUP(A812,Table!B:C,2,0)</f>
        <v>森源电气</v>
      </c>
      <c r="F812" t="str">
        <f>TRIM(VLOOKUP(A812,Table!B:O,14,0))</f>
        <v>输配电气</v>
      </c>
      <c r="G812" t="str">
        <f>VLOOKUP(F812,industry!A:C,2,0)</f>
        <v>配电</v>
      </c>
      <c r="H812" t="str">
        <f>VLOOKUP(F812,industry!A:C,3,0)</f>
        <v>输电</v>
      </c>
      <c r="J812" s="2" t="s">
        <v>12585</v>
      </c>
      <c r="K812" t="str">
        <f t="shared" si="74"/>
        <v>sz002358</v>
      </c>
      <c r="L812" t="str">
        <f t="shared" si="75"/>
        <v>森源电气</v>
      </c>
      <c r="M812" t="str">
        <f t="shared" si="76"/>
        <v>配电</v>
      </c>
      <c r="N812" t="str">
        <f t="shared" si="77"/>
        <v>输电</v>
      </c>
      <c r="P812" s="2" t="s">
        <v>12585</v>
      </c>
      <c r="Q812" t="s">
        <v>12241</v>
      </c>
      <c r="R812">
        <v>0</v>
      </c>
    </row>
    <row r="813" spans="1:18" x14ac:dyDescent="0.25">
      <c r="A813" t="s">
        <v>11511</v>
      </c>
      <c r="C813" t="str">
        <f t="shared" si="72"/>
        <v>sz</v>
      </c>
      <c r="D813" t="str">
        <f t="shared" si="73"/>
        <v>sz002203</v>
      </c>
      <c r="E813" t="str">
        <f>VLOOKUP(A813,Table!B:C,2,0)</f>
        <v>海亮股份</v>
      </c>
      <c r="F813" t="str">
        <f>TRIM(VLOOKUP(A813,Table!B:O,14,0))</f>
        <v>有色金属</v>
      </c>
      <c r="G813" t="str">
        <f>VLOOKUP(F813,industry!A:C,2,0)</f>
        <v>有色</v>
      </c>
      <c r="H813" t="str">
        <f>VLOOKUP(F813,industry!A:C,3,0)</f>
        <v>色</v>
      </c>
      <c r="J813" s="2" t="s">
        <v>12585</v>
      </c>
      <c r="K813" t="str">
        <f t="shared" si="74"/>
        <v>sz002203</v>
      </c>
      <c r="L813" t="str">
        <f t="shared" si="75"/>
        <v>海亮股份</v>
      </c>
      <c r="M813" t="str">
        <f t="shared" si="76"/>
        <v>有色</v>
      </c>
      <c r="N813" t="str">
        <f t="shared" si="77"/>
        <v>色</v>
      </c>
      <c r="P813" s="2" t="s">
        <v>12585</v>
      </c>
      <c r="Q813" t="s">
        <v>12753</v>
      </c>
      <c r="R813">
        <v>0</v>
      </c>
    </row>
    <row r="814" spans="1:18" x14ac:dyDescent="0.25">
      <c r="A814" t="s">
        <v>11512</v>
      </c>
      <c r="C814" t="str">
        <f t="shared" si="72"/>
        <v>sz</v>
      </c>
      <c r="D814" t="str">
        <f t="shared" si="73"/>
        <v>sz002239</v>
      </c>
      <c r="E814" t="str">
        <f>VLOOKUP(A814,Table!B:C,2,0)</f>
        <v>奥特佳</v>
      </c>
      <c r="F814" t="str">
        <f>TRIM(VLOOKUP(A814,Table!B:O,14,0))</f>
        <v>纺织服装</v>
      </c>
      <c r="G814" t="str">
        <f>VLOOKUP(F814,industry!A:C,2,0)</f>
        <v>纺织</v>
      </c>
      <c r="H814" t="str">
        <f>VLOOKUP(F814,industry!A:C,3,0)</f>
        <v>纺</v>
      </c>
      <c r="J814" s="2" t="s">
        <v>12585</v>
      </c>
      <c r="K814" t="str">
        <f t="shared" si="74"/>
        <v>sz002239</v>
      </c>
      <c r="L814" t="str">
        <f t="shared" si="75"/>
        <v>奥特佳</v>
      </c>
      <c r="M814" t="str">
        <f t="shared" si="76"/>
        <v>纺织</v>
      </c>
      <c r="N814" t="str">
        <f t="shared" si="77"/>
        <v>纺</v>
      </c>
      <c r="P814" s="2" t="s">
        <v>12585</v>
      </c>
      <c r="Q814" t="s">
        <v>12754</v>
      </c>
      <c r="R814">
        <v>0</v>
      </c>
    </row>
    <row r="815" spans="1:18" x14ac:dyDescent="0.25">
      <c r="A815" t="s">
        <v>11513</v>
      </c>
      <c r="C815" t="str">
        <f t="shared" si="72"/>
        <v>sh</v>
      </c>
      <c r="D815" t="str">
        <f t="shared" si="73"/>
        <v>sh603421</v>
      </c>
      <c r="E815" t="str">
        <f>VLOOKUP(A815,Table!B:C,2,0)</f>
        <v>鼎信通讯</v>
      </c>
      <c r="F815" t="str">
        <f>TRIM(VLOOKUP(A815,Table!B:O,14,0))</f>
        <v>通讯行业</v>
      </c>
      <c r="G815" t="str">
        <f>VLOOKUP(F815,industry!A:C,2,0)</f>
        <v>通讯</v>
      </c>
      <c r="H815" t="str">
        <f>VLOOKUP(F815,industry!A:C,3,0)</f>
        <v>讯</v>
      </c>
      <c r="J815" s="2" t="s">
        <v>12585</v>
      </c>
      <c r="K815" t="str">
        <f t="shared" si="74"/>
        <v>sh603421</v>
      </c>
      <c r="L815" t="str">
        <f t="shared" si="75"/>
        <v>鼎信通讯</v>
      </c>
      <c r="M815" t="str">
        <f t="shared" si="76"/>
        <v>通讯</v>
      </c>
      <c r="N815" t="str">
        <f t="shared" si="77"/>
        <v>讯</v>
      </c>
      <c r="P815" s="2" t="s">
        <v>12585</v>
      </c>
      <c r="Q815" t="s">
        <v>10601</v>
      </c>
      <c r="R815">
        <v>0</v>
      </c>
    </row>
    <row r="816" spans="1:18" x14ac:dyDescent="0.25">
      <c r="A816" t="s">
        <v>11514</v>
      </c>
      <c r="C816" t="str">
        <f t="shared" si="72"/>
        <v>sh</v>
      </c>
      <c r="D816" t="str">
        <f t="shared" si="73"/>
        <v>sh600483</v>
      </c>
      <c r="E816" t="str">
        <f>VLOOKUP(A816,Table!B:C,2,0)</f>
        <v>福能股份</v>
      </c>
      <c r="F816" t="str">
        <f>TRIM(VLOOKUP(A816,Table!B:O,14,0))</f>
        <v>电力行业</v>
      </c>
      <c r="G816" t="str">
        <f>VLOOKUP(F816,industry!A:C,2,0)</f>
        <v>电力</v>
      </c>
      <c r="H816" t="str">
        <f>VLOOKUP(F816,industry!A:C,3,0)</f>
        <v>电力</v>
      </c>
      <c r="J816" s="2" t="s">
        <v>12585</v>
      </c>
      <c r="K816" t="str">
        <f t="shared" si="74"/>
        <v>sh600483</v>
      </c>
      <c r="L816" t="str">
        <f t="shared" si="75"/>
        <v>福能股份</v>
      </c>
      <c r="M816" t="str">
        <f t="shared" si="76"/>
        <v>电力</v>
      </c>
      <c r="N816" t="str">
        <f t="shared" si="77"/>
        <v>电力</v>
      </c>
      <c r="P816" s="2" t="s">
        <v>12585</v>
      </c>
      <c r="Q816" t="s">
        <v>11916</v>
      </c>
      <c r="R816">
        <v>0</v>
      </c>
    </row>
    <row r="817" spans="1:18" x14ac:dyDescent="0.25">
      <c r="A817" t="s">
        <v>11515</v>
      </c>
      <c r="C817" t="str">
        <f t="shared" si="72"/>
        <v>sh</v>
      </c>
      <c r="D817" t="str">
        <f t="shared" si="73"/>
        <v>sh600295</v>
      </c>
      <c r="E817" t="str">
        <f>VLOOKUP(A817,Table!B:C,2,0)</f>
        <v>鄂尔多斯</v>
      </c>
      <c r="F817" t="str">
        <f>TRIM(VLOOKUP(A817,Table!B:O,14,0))</f>
        <v>钢铁行业</v>
      </c>
      <c r="G817" t="str">
        <f>VLOOKUP(F817,industry!A:C,2,0)</f>
        <v>钢铁</v>
      </c>
      <c r="H817" t="str">
        <f>VLOOKUP(F817,industry!A:C,3,0)</f>
        <v>钢</v>
      </c>
      <c r="J817" s="2" t="s">
        <v>12585</v>
      </c>
      <c r="K817" t="str">
        <f t="shared" si="74"/>
        <v>sh600295</v>
      </c>
      <c r="L817" t="str">
        <f t="shared" si="75"/>
        <v>鄂尔多斯</v>
      </c>
      <c r="M817" t="str">
        <f t="shared" si="76"/>
        <v>钢铁</v>
      </c>
      <c r="N817" t="str">
        <f t="shared" si="77"/>
        <v>钢</v>
      </c>
      <c r="P817" s="2" t="s">
        <v>12585</v>
      </c>
      <c r="Q817" t="s">
        <v>12755</v>
      </c>
      <c r="R817">
        <v>0</v>
      </c>
    </row>
    <row r="818" spans="1:18" x14ac:dyDescent="0.25">
      <c r="A818" t="s">
        <v>11516</v>
      </c>
      <c r="C818" t="str">
        <f t="shared" si="72"/>
        <v>sz</v>
      </c>
      <c r="D818" t="str">
        <f t="shared" si="73"/>
        <v>sz002537</v>
      </c>
      <c r="E818" t="str">
        <f>VLOOKUP(A818,Table!B:C,2,0)</f>
        <v>海联金汇</v>
      </c>
      <c r="F818" t="str">
        <f>TRIM(VLOOKUP(A818,Table!B:O,14,0))</f>
        <v>材料行业</v>
      </c>
      <c r="G818" t="str">
        <f>VLOOKUP(F818,industry!A:C,2,0)</f>
        <v>材料</v>
      </c>
      <c r="H818" t="str">
        <f>VLOOKUP(F818,industry!A:C,3,0)</f>
        <v>材</v>
      </c>
      <c r="J818" s="2" t="s">
        <v>12585</v>
      </c>
      <c r="K818" t="str">
        <f t="shared" si="74"/>
        <v>sz002537</v>
      </c>
      <c r="L818" t="str">
        <f t="shared" si="75"/>
        <v>海联金汇</v>
      </c>
      <c r="M818" t="str">
        <f t="shared" si="76"/>
        <v>材料</v>
      </c>
      <c r="N818" t="str">
        <f t="shared" si="77"/>
        <v>材</v>
      </c>
      <c r="P818" s="2" t="s">
        <v>12585</v>
      </c>
      <c r="Q818" t="s">
        <v>12756</v>
      </c>
      <c r="R818">
        <v>0</v>
      </c>
    </row>
    <row r="819" spans="1:18" x14ac:dyDescent="0.25">
      <c r="A819" t="s">
        <v>11517</v>
      </c>
      <c r="C819" t="str">
        <f t="shared" si="72"/>
        <v>sh</v>
      </c>
      <c r="D819" t="str">
        <f t="shared" si="73"/>
        <v>sh603877</v>
      </c>
      <c r="E819" t="str">
        <f>VLOOKUP(A819,Table!B:C,2,0)</f>
        <v>太平鸟</v>
      </c>
      <c r="F819" t="str">
        <f>TRIM(VLOOKUP(A819,Table!B:O,14,0))</f>
        <v>纺织服装</v>
      </c>
      <c r="G819" t="str">
        <f>VLOOKUP(F819,industry!A:C,2,0)</f>
        <v>纺织</v>
      </c>
      <c r="H819" t="str">
        <f>VLOOKUP(F819,industry!A:C,3,0)</f>
        <v>纺</v>
      </c>
      <c r="J819" s="2" t="s">
        <v>12585</v>
      </c>
      <c r="K819" t="str">
        <f t="shared" si="74"/>
        <v>sh603877</v>
      </c>
      <c r="L819" t="str">
        <f t="shared" si="75"/>
        <v>太平鸟</v>
      </c>
      <c r="M819" t="str">
        <f t="shared" si="76"/>
        <v>纺织</v>
      </c>
      <c r="N819" t="str">
        <f t="shared" si="77"/>
        <v>纺</v>
      </c>
      <c r="P819" s="2" t="s">
        <v>12585</v>
      </c>
      <c r="Q819" t="s">
        <v>12757</v>
      </c>
      <c r="R819">
        <v>0</v>
      </c>
    </row>
    <row r="820" spans="1:18" x14ac:dyDescent="0.25">
      <c r="A820" t="s">
        <v>11518</v>
      </c>
      <c r="C820" t="str">
        <f t="shared" si="72"/>
        <v>sh</v>
      </c>
      <c r="D820" t="str">
        <f t="shared" si="73"/>
        <v>sh600428</v>
      </c>
      <c r="E820" t="str">
        <f>VLOOKUP(A820,Table!B:C,2,0)</f>
        <v>中远海特</v>
      </c>
      <c r="F820" t="str">
        <f>TRIM(VLOOKUP(A820,Table!B:O,14,0))</f>
        <v>港口水运</v>
      </c>
      <c r="G820" t="str">
        <f>VLOOKUP(F820,industry!A:C,2,0)</f>
        <v>港口</v>
      </c>
      <c r="H820" t="str">
        <f>VLOOKUP(F820,industry!A:C,3,0)</f>
        <v>港</v>
      </c>
      <c r="J820" s="2" t="s">
        <v>12585</v>
      </c>
      <c r="K820" t="str">
        <f t="shared" si="74"/>
        <v>sh600428</v>
      </c>
      <c r="L820" t="str">
        <f t="shared" si="75"/>
        <v>中远海特</v>
      </c>
      <c r="M820" t="str">
        <f t="shared" si="76"/>
        <v>港口</v>
      </c>
      <c r="N820" t="str">
        <f t="shared" si="77"/>
        <v>港</v>
      </c>
      <c r="P820" s="2" t="s">
        <v>12585</v>
      </c>
      <c r="Q820" t="s">
        <v>12565</v>
      </c>
      <c r="R820">
        <v>0</v>
      </c>
    </row>
    <row r="821" spans="1:18" x14ac:dyDescent="0.25">
      <c r="A821" t="s">
        <v>11519</v>
      </c>
      <c r="C821" t="str">
        <f t="shared" si="72"/>
        <v>sz</v>
      </c>
      <c r="D821" t="str">
        <f t="shared" si="73"/>
        <v>sz300294</v>
      </c>
      <c r="E821" t="str">
        <f>VLOOKUP(A821,Table!B:C,2,0)</f>
        <v>博雅生物</v>
      </c>
      <c r="F821" t="str">
        <f>TRIM(VLOOKUP(A821,Table!B:O,14,0))</f>
        <v>医药制造</v>
      </c>
      <c r="G821" t="str">
        <f>VLOOKUP(F821,industry!A:C,2,0)</f>
        <v>医药</v>
      </c>
      <c r="H821" t="str">
        <f>VLOOKUP(F821,industry!A:C,3,0)</f>
        <v>药</v>
      </c>
      <c r="J821" s="2" t="s">
        <v>12585</v>
      </c>
      <c r="K821" t="str">
        <f t="shared" si="74"/>
        <v>sz300294</v>
      </c>
      <c r="L821" t="str">
        <f t="shared" si="75"/>
        <v>博雅生物</v>
      </c>
      <c r="M821" t="str">
        <f t="shared" si="76"/>
        <v>医药</v>
      </c>
      <c r="N821" t="str">
        <f t="shared" si="77"/>
        <v>药</v>
      </c>
      <c r="P821" s="2" t="s">
        <v>12585</v>
      </c>
      <c r="Q821" t="s">
        <v>12758</v>
      </c>
      <c r="R821">
        <v>0</v>
      </c>
    </row>
    <row r="822" spans="1:18" x14ac:dyDescent="0.25">
      <c r="A822" t="s">
        <v>11520</v>
      </c>
      <c r="C822" t="str">
        <f t="shared" si="72"/>
        <v>sh</v>
      </c>
      <c r="D822" t="str">
        <f t="shared" si="73"/>
        <v>sh600491</v>
      </c>
      <c r="E822" t="str">
        <f>VLOOKUP(A822,Table!B:C,2,0)</f>
        <v>龙元建设</v>
      </c>
      <c r="F822" t="str">
        <f>TRIM(VLOOKUP(A822,Table!B:O,14,0))</f>
        <v>工程建设</v>
      </c>
      <c r="G822" t="str">
        <f>VLOOKUP(F822,industry!A:C,2,0)</f>
        <v>工建</v>
      </c>
      <c r="H822" t="str">
        <f>VLOOKUP(F822,industry!A:C,3,0)</f>
        <v>建</v>
      </c>
      <c r="J822" s="2" t="s">
        <v>12585</v>
      </c>
      <c r="K822" t="str">
        <f t="shared" si="74"/>
        <v>sh600491</v>
      </c>
      <c r="L822" t="str">
        <f t="shared" si="75"/>
        <v>龙元建设</v>
      </c>
      <c r="M822" t="str">
        <f t="shared" si="76"/>
        <v>工建</v>
      </c>
      <c r="N822" t="str">
        <f t="shared" si="77"/>
        <v>建</v>
      </c>
      <c r="P822" s="2" t="s">
        <v>12585</v>
      </c>
      <c r="Q822" t="s">
        <v>12759</v>
      </c>
      <c r="R822">
        <v>0</v>
      </c>
    </row>
    <row r="823" spans="1:18" x14ac:dyDescent="0.25">
      <c r="A823" t="s">
        <v>11521</v>
      </c>
      <c r="C823" t="str">
        <f t="shared" si="72"/>
        <v>sz</v>
      </c>
      <c r="D823" t="str">
        <f t="shared" si="73"/>
        <v>sz000031</v>
      </c>
      <c r="E823" t="str">
        <f>VLOOKUP(A823,Table!B:C,2,0)</f>
        <v>中粮地产</v>
      </c>
      <c r="F823" t="str">
        <f>TRIM(VLOOKUP(A823,Table!B:O,14,0))</f>
        <v>房地产</v>
      </c>
      <c r="G823" t="str">
        <f>VLOOKUP(F823,industry!A:C,2,0)</f>
        <v>房产</v>
      </c>
      <c r="H823" t="str">
        <f>VLOOKUP(F823,industry!A:C,3,0)</f>
        <v>产</v>
      </c>
      <c r="J823" s="2" t="s">
        <v>12585</v>
      </c>
      <c r="K823" t="str">
        <f t="shared" si="74"/>
        <v>sz000031</v>
      </c>
      <c r="L823" t="str">
        <f t="shared" si="75"/>
        <v>中粮地产</v>
      </c>
      <c r="M823" t="str">
        <f t="shared" si="76"/>
        <v>房产</v>
      </c>
      <c r="N823" t="str">
        <f t="shared" si="77"/>
        <v>产</v>
      </c>
      <c r="P823" s="2" t="s">
        <v>12585</v>
      </c>
      <c r="Q823" t="s">
        <v>12539</v>
      </c>
      <c r="R823">
        <v>0</v>
      </c>
    </row>
    <row r="824" spans="1:18" x14ac:dyDescent="0.25">
      <c r="A824" t="s">
        <v>11522</v>
      </c>
      <c r="C824" t="str">
        <f t="shared" si="72"/>
        <v>sz</v>
      </c>
      <c r="D824" t="str">
        <f t="shared" si="73"/>
        <v>sz002151</v>
      </c>
      <c r="E824" t="str">
        <f>VLOOKUP(A824,Table!B:C,2,0)</f>
        <v>北斗星通</v>
      </c>
      <c r="F824" t="str">
        <f>TRIM(VLOOKUP(A824,Table!B:O,14,0))</f>
        <v>电子信息</v>
      </c>
      <c r="G824" t="str">
        <f>VLOOKUP(F824,industry!A:C,2,0)</f>
        <v>信息</v>
      </c>
      <c r="H824" t="str">
        <f>VLOOKUP(F824,industry!A:C,3,0)</f>
        <v>咨</v>
      </c>
      <c r="J824" s="2" t="s">
        <v>12585</v>
      </c>
      <c r="K824" t="str">
        <f t="shared" si="74"/>
        <v>sz002151</v>
      </c>
      <c r="L824" t="str">
        <f t="shared" si="75"/>
        <v>北斗星通</v>
      </c>
      <c r="M824" t="str">
        <f t="shared" si="76"/>
        <v>信息</v>
      </c>
      <c r="N824" t="str">
        <f t="shared" si="77"/>
        <v>咨</v>
      </c>
      <c r="P824" s="2" t="s">
        <v>12585</v>
      </c>
      <c r="Q824" t="s">
        <v>12760</v>
      </c>
      <c r="R824">
        <v>0</v>
      </c>
    </row>
    <row r="825" spans="1:18" x14ac:dyDescent="0.25">
      <c r="A825" t="s">
        <v>11523</v>
      </c>
      <c r="C825" t="str">
        <f t="shared" si="72"/>
        <v>sz</v>
      </c>
      <c r="D825" t="str">
        <f t="shared" si="73"/>
        <v>sz000697</v>
      </c>
      <c r="E825" t="str">
        <f>VLOOKUP(A825,Table!B:C,2,0)</f>
        <v>炼石有色</v>
      </c>
      <c r="F825" t="str">
        <f>TRIM(VLOOKUP(A825,Table!B:O,14,0))</f>
        <v>有色金属</v>
      </c>
      <c r="G825" t="str">
        <f>VLOOKUP(F825,industry!A:C,2,0)</f>
        <v>有色</v>
      </c>
      <c r="H825" t="str">
        <f>VLOOKUP(F825,industry!A:C,3,0)</f>
        <v>色</v>
      </c>
      <c r="J825" s="2" t="s">
        <v>12585</v>
      </c>
      <c r="K825" t="str">
        <f t="shared" si="74"/>
        <v>sz000697</v>
      </c>
      <c r="L825" t="str">
        <f t="shared" si="75"/>
        <v>炼石有色</v>
      </c>
      <c r="M825" t="str">
        <f t="shared" si="76"/>
        <v>有色</v>
      </c>
      <c r="N825" t="str">
        <f t="shared" si="77"/>
        <v>色</v>
      </c>
      <c r="P825" s="2" t="s">
        <v>12585</v>
      </c>
      <c r="Q825" t="s">
        <v>12147</v>
      </c>
      <c r="R825">
        <v>0</v>
      </c>
    </row>
    <row r="826" spans="1:18" x14ac:dyDescent="0.25">
      <c r="A826" t="s">
        <v>11524</v>
      </c>
      <c r="C826" t="str">
        <f t="shared" si="72"/>
        <v>sz</v>
      </c>
      <c r="D826" t="str">
        <f t="shared" si="73"/>
        <v>sz000501</v>
      </c>
      <c r="E826" t="str">
        <f>VLOOKUP(A826,Table!B:C,2,0)</f>
        <v>鄂武商Ａ</v>
      </c>
      <c r="F826" t="str">
        <f>TRIM(VLOOKUP(A826,Table!B:O,14,0))</f>
        <v>商业百货</v>
      </c>
      <c r="G826" t="str">
        <f>VLOOKUP(F826,industry!A:C,2,0)</f>
        <v>百货</v>
      </c>
      <c r="H826" t="str">
        <f>VLOOKUP(F826,industry!A:C,3,0)</f>
        <v>商</v>
      </c>
      <c r="J826" s="2" t="s">
        <v>12585</v>
      </c>
      <c r="K826" t="str">
        <f t="shared" si="74"/>
        <v>sz000501</v>
      </c>
      <c r="L826" t="str">
        <f t="shared" si="75"/>
        <v>鄂武商Ａ</v>
      </c>
      <c r="M826" t="str">
        <f t="shared" si="76"/>
        <v>百货</v>
      </c>
      <c r="N826" t="str">
        <f t="shared" si="77"/>
        <v>商</v>
      </c>
      <c r="P826" s="2" t="s">
        <v>12585</v>
      </c>
      <c r="Q826" t="s">
        <v>11897</v>
      </c>
      <c r="R826">
        <v>0</v>
      </c>
    </row>
    <row r="827" spans="1:18" x14ac:dyDescent="0.25">
      <c r="A827" t="s">
        <v>11525</v>
      </c>
      <c r="C827" t="str">
        <f t="shared" si="72"/>
        <v>sz</v>
      </c>
      <c r="D827" t="str">
        <f t="shared" si="73"/>
        <v>sz002121</v>
      </c>
      <c r="E827" t="str">
        <f>VLOOKUP(A827,Table!B:C,2,0)</f>
        <v>科陆电子</v>
      </c>
      <c r="F827" t="str">
        <f>TRIM(VLOOKUP(A827,Table!B:O,14,0))</f>
        <v>仪器仪表</v>
      </c>
      <c r="G827" t="str">
        <f>VLOOKUP(F827,industry!A:C,2,0)</f>
        <v>仪表</v>
      </c>
      <c r="H827" t="str">
        <f>VLOOKUP(F827,industry!A:C,3,0)</f>
        <v>表</v>
      </c>
      <c r="J827" s="2" t="s">
        <v>12585</v>
      </c>
      <c r="K827" t="str">
        <f t="shared" si="74"/>
        <v>sz002121</v>
      </c>
      <c r="L827" t="str">
        <f t="shared" si="75"/>
        <v>科陆电子</v>
      </c>
      <c r="M827" t="str">
        <f t="shared" si="76"/>
        <v>仪表</v>
      </c>
      <c r="N827" t="str">
        <f t="shared" si="77"/>
        <v>表</v>
      </c>
      <c r="P827" s="2" t="s">
        <v>12585</v>
      </c>
      <c r="Q827" t="s">
        <v>12761</v>
      </c>
      <c r="R827">
        <v>0</v>
      </c>
    </row>
    <row r="828" spans="1:18" x14ac:dyDescent="0.25">
      <c r="A828" t="s">
        <v>11526</v>
      </c>
      <c r="C828" t="str">
        <f t="shared" si="72"/>
        <v>sh</v>
      </c>
      <c r="D828" t="str">
        <f t="shared" si="73"/>
        <v>sh600917</v>
      </c>
      <c r="E828" t="str">
        <f>VLOOKUP(A828,Table!B:C,2,0)</f>
        <v>重庆燃气</v>
      </c>
      <c r="F828" t="str">
        <f>TRIM(VLOOKUP(A828,Table!B:O,14,0))</f>
        <v>公用事业</v>
      </c>
      <c r="G828" t="str">
        <f>VLOOKUP(F828,industry!A:C,2,0)</f>
        <v>公用</v>
      </c>
      <c r="H828" t="str">
        <f>VLOOKUP(F828,industry!A:C,3,0)</f>
        <v>公</v>
      </c>
      <c r="J828" s="2" t="s">
        <v>12585</v>
      </c>
      <c r="K828" t="str">
        <f t="shared" si="74"/>
        <v>sh600917</v>
      </c>
      <c r="L828" t="str">
        <f t="shared" si="75"/>
        <v>重庆燃气</v>
      </c>
      <c r="M828" t="str">
        <f t="shared" si="76"/>
        <v>公用</v>
      </c>
      <c r="N828" t="str">
        <f t="shared" si="77"/>
        <v>公</v>
      </c>
      <c r="P828" s="2" t="s">
        <v>12585</v>
      </c>
      <c r="Q828" t="s">
        <v>10543</v>
      </c>
      <c r="R828">
        <v>0</v>
      </c>
    </row>
    <row r="829" spans="1:18" x14ac:dyDescent="0.25">
      <c r="A829" t="s">
        <v>11527</v>
      </c>
      <c r="C829" t="str">
        <f t="shared" si="72"/>
        <v>sz</v>
      </c>
      <c r="D829" t="str">
        <f t="shared" si="73"/>
        <v>sz002477</v>
      </c>
      <c r="E829" t="str">
        <f>VLOOKUP(A829,Table!B:C,2,0)</f>
        <v>雏鹰农牧</v>
      </c>
      <c r="F829" t="str">
        <f>TRIM(VLOOKUP(A829,Table!B:O,14,0))</f>
        <v>农牧饲渔</v>
      </c>
      <c r="G829" t="str">
        <f>VLOOKUP(F829,industry!A:C,2,0)</f>
        <v>农渔</v>
      </c>
      <c r="H829" t="str">
        <f>VLOOKUP(F829,industry!A:C,3,0)</f>
        <v>渔</v>
      </c>
      <c r="J829" s="2" t="s">
        <v>12585</v>
      </c>
      <c r="K829" t="str">
        <f t="shared" si="74"/>
        <v>sz002477</v>
      </c>
      <c r="L829" t="str">
        <f t="shared" si="75"/>
        <v>雏鹰农牧</v>
      </c>
      <c r="M829" t="str">
        <f t="shared" si="76"/>
        <v>农渔</v>
      </c>
      <c r="N829" t="str">
        <f t="shared" si="77"/>
        <v>渔</v>
      </c>
      <c r="P829" s="2" t="s">
        <v>12585</v>
      </c>
      <c r="Q829" t="s">
        <v>11845</v>
      </c>
      <c r="R829">
        <v>0</v>
      </c>
    </row>
    <row r="830" spans="1:18" x14ac:dyDescent="0.25">
      <c r="A830" t="s">
        <v>11528</v>
      </c>
      <c r="C830" t="str">
        <f t="shared" si="72"/>
        <v>sh</v>
      </c>
      <c r="D830" t="str">
        <f t="shared" si="73"/>
        <v>sh600711</v>
      </c>
      <c r="E830" t="str">
        <f>VLOOKUP(A830,Table!B:C,2,0)</f>
        <v>盛屯矿业</v>
      </c>
      <c r="F830" t="str">
        <f>TRIM(VLOOKUP(A830,Table!B:O,14,0))</f>
        <v>有色金属</v>
      </c>
      <c r="G830" t="str">
        <f>VLOOKUP(F830,industry!A:C,2,0)</f>
        <v>有色</v>
      </c>
      <c r="H830" t="str">
        <f>VLOOKUP(F830,industry!A:C,3,0)</f>
        <v>色</v>
      </c>
      <c r="J830" s="2" t="s">
        <v>12585</v>
      </c>
      <c r="K830" t="str">
        <f t="shared" si="74"/>
        <v>sh600711</v>
      </c>
      <c r="L830" t="str">
        <f t="shared" si="75"/>
        <v>盛屯矿业</v>
      </c>
      <c r="M830" t="str">
        <f t="shared" si="76"/>
        <v>有色</v>
      </c>
      <c r="N830" t="str">
        <f t="shared" si="77"/>
        <v>色</v>
      </c>
      <c r="P830" s="2" t="s">
        <v>12585</v>
      </c>
      <c r="Q830" t="s">
        <v>12762</v>
      </c>
      <c r="R830">
        <v>0</v>
      </c>
    </row>
    <row r="831" spans="1:18" x14ac:dyDescent="0.25">
      <c r="A831" t="s">
        <v>11529</v>
      </c>
      <c r="C831" t="str">
        <f t="shared" si="72"/>
        <v>sh</v>
      </c>
      <c r="D831" t="str">
        <f t="shared" si="73"/>
        <v>sh601107</v>
      </c>
      <c r="E831" t="str">
        <f>VLOOKUP(A831,Table!B:C,2,0)</f>
        <v>四川成渝</v>
      </c>
      <c r="F831" t="str">
        <f>TRIM(VLOOKUP(A831,Table!B:O,14,0))</f>
        <v>高速公路</v>
      </c>
      <c r="G831" t="str">
        <f>VLOOKUP(F831,industry!A:C,2,0)</f>
        <v>高速</v>
      </c>
      <c r="H831" t="str">
        <f>VLOOKUP(F831,industry!A:C,3,0)</f>
        <v>速</v>
      </c>
      <c r="J831" s="2" t="s">
        <v>12585</v>
      </c>
      <c r="K831" t="str">
        <f t="shared" si="74"/>
        <v>sh601107</v>
      </c>
      <c r="L831" t="str">
        <f t="shared" si="75"/>
        <v>四川成渝</v>
      </c>
      <c r="M831" t="str">
        <f t="shared" si="76"/>
        <v>高速</v>
      </c>
      <c r="N831" t="str">
        <f t="shared" si="77"/>
        <v>速</v>
      </c>
      <c r="P831" s="2" t="s">
        <v>12585</v>
      </c>
      <c r="Q831" t="s">
        <v>12763</v>
      </c>
      <c r="R831">
        <v>0</v>
      </c>
    </row>
    <row r="832" spans="1:18" x14ac:dyDescent="0.25">
      <c r="A832" t="s">
        <v>11530</v>
      </c>
      <c r="C832" t="str">
        <f t="shared" si="72"/>
        <v>sz</v>
      </c>
      <c r="D832" t="str">
        <f t="shared" si="73"/>
        <v>sz000016</v>
      </c>
      <c r="E832" t="str">
        <f>VLOOKUP(A832,Table!B:C,2,0)</f>
        <v>深康佳Ａ</v>
      </c>
      <c r="F832" t="str">
        <f>TRIM(VLOOKUP(A832,Table!B:O,14,0))</f>
        <v>家电行业</v>
      </c>
      <c r="G832" t="str">
        <f>VLOOKUP(F832,industry!A:C,2,0)</f>
        <v>家电</v>
      </c>
      <c r="H832" t="str">
        <f>VLOOKUP(F832,industry!A:C,3,0)</f>
        <v>家</v>
      </c>
      <c r="J832" s="2" t="s">
        <v>12585</v>
      </c>
      <c r="K832" t="str">
        <f t="shared" si="74"/>
        <v>sz000016</v>
      </c>
      <c r="L832" t="str">
        <f t="shared" si="75"/>
        <v>深康佳Ａ</v>
      </c>
      <c r="M832" t="str">
        <f t="shared" si="76"/>
        <v>家电</v>
      </c>
      <c r="N832" t="str">
        <f t="shared" si="77"/>
        <v>家</v>
      </c>
      <c r="P832" s="2" t="s">
        <v>12585</v>
      </c>
      <c r="Q832" t="s">
        <v>12764</v>
      </c>
      <c r="R832">
        <v>0</v>
      </c>
    </row>
    <row r="833" spans="1:18" x14ac:dyDescent="0.25">
      <c r="A833" t="s">
        <v>11531</v>
      </c>
      <c r="C833" t="str">
        <f t="shared" si="72"/>
        <v>sh</v>
      </c>
      <c r="D833" t="str">
        <f t="shared" si="73"/>
        <v>sh603567</v>
      </c>
      <c r="E833" t="str">
        <f>VLOOKUP(A833,Table!B:C,2,0)</f>
        <v>珍宝岛</v>
      </c>
      <c r="F833" t="str">
        <f>TRIM(VLOOKUP(A833,Table!B:O,14,0))</f>
        <v>医药制造</v>
      </c>
      <c r="G833" t="str">
        <f>VLOOKUP(F833,industry!A:C,2,0)</f>
        <v>医药</v>
      </c>
      <c r="H833" t="str">
        <f>VLOOKUP(F833,industry!A:C,3,0)</f>
        <v>药</v>
      </c>
      <c r="J833" s="2" t="s">
        <v>12585</v>
      </c>
      <c r="K833" t="str">
        <f t="shared" si="74"/>
        <v>sh603567</v>
      </c>
      <c r="L833" t="str">
        <f t="shared" si="75"/>
        <v>珍宝岛</v>
      </c>
      <c r="M833" t="str">
        <f t="shared" si="76"/>
        <v>医药</v>
      </c>
      <c r="N833" t="str">
        <f t="shared" si="77"/>
        <v>药</v>
      </c>
      <c r="P833" s="2" t="s">
        <v>12585</v>
      </c>
      <c r="Q833" t="s">
        <v>12500</v>
      </c>
      <c r="R833">
        <v>0</v>
      </c>
    </row>
    <row r="834" spans="1:18" x14ac:dyDescent="0.25">
      <c r="A834" t="s">
        <v>11532</v>
      </c>
      <c r="C834" t="str">
        <f t="shared" si="72"/>
        <v>sz</v>
      </c>
      <c r="D834" t="str">
        <f t="shared" si="73"/>
        <v>sz000681</v>
      </c>
      <c r="E834" t="str">
        <f>VLOOKUP(A834,Table!B:C,2,0)</f>
        <v>视觉中国</v>
      </c>
      <c r="F834" t="str">
        <f>TRIM(VLOOKUP(A834,Table!B:O,14,0))</f>
        <v>文化传媒</v>
      </c>
      <c r="G834" t="str">
        <f>VLOOKUP(F834,industry!A:C,2,0)</f>
        <v>传媒</v>
      </c>
      <c r="H834" t="str">
        <f>VLOOKUP(F834,industry!A:C,3,0)</f>
        <v>传</v>
      </c>
      <c r="J834" s="2" t="s">
        <v>12585</v>
      </c>
      <c r="K834" t="str">
        <f t="shared" si="74"/>
        <v>sz000681</v>
      </c>
      <c r="L834" t="str">
        <f t="shared" si="75"/>
        <v>视觉中国</v>
      </c>
      <c r="M834" t="str">
        <f t="shared" si="76"/>
        <v>传媒</v>
      </c>
      <c r="N834" t="str">
        <f t="shared" si="77"/>
        <v>传</v>
      </c>
      <c r="P834" s="2" t="s">
        <v>12585</v>
      </c>
      <c r="Q834" t="s">
        <v>12285</v>
      </c>
      <c r="R834">
        <v>0</v>
      </c>
    </row>
    <row r="835" spans="1:18" x14ac:dyDescent="0.25">
      <c r="A835" t="s">
        <v>11533</v>
      </c>
      <c r="C835" t="str">
        <f t="shared" ref="C835:C898" si="78">IF(LEFT(A835,1)="6","sh","sz")</f>
        <v>sz</v>
      </c>
      <c r="D835" t="str">
        <f t="shared" ref="D835:D898" si="79">C835 &amp; A835</f>
        <v>sz300113</v>
      </c>
      <c r="E835" t="str">
        <f>VLOOKUP(A835,Table!B:C,2,0)</f>
        <v>顺网科技</v>
      </c>
      <c r="F835" t="str">
        <f>TRIM(VLOOKUP(A835,Table!B:O,14,0))</f>
        <v>软件服务</v>
      </c>
      <c r="G835" t="str">
        <f>VLOOKUP(F835,industry!A:C,2,0)</f>
        <v>软件</v>
      </c>
      <c r="H835" t="str">
        <f>VLOOKUP(F835,industry!A:C,3,0)</f>
        <v>软</v>
      </c>
      <c r="J835" s="2" t="s">
        <v>12585</v>
      </c>
      <c r="K835" t="str">
        <f t="shared" ref="K835:K898" si="80">D835</f>
        <v>sz300113</v>
      </c>
      <c r="L835" t="str">
        <f t="shared" ref="L835:L898" si="81">E835</f>
        <v>顺网科技</v>
      </c>
      <c r="M835" t="str">
        <f t="shared" ref="M835:M898" si="82">G835</f>
        <v>软件</v>
      </c>
      <c r="N835" t="str">
        <f t="shared" ref="N835:N898" si="83">H835</f>
        <v>软</v>
      </c>
      <c r="P835" s="2" t="s">
        <v>12585</v>
      </c>
      <c r="Q835" t="s">
        <v>10528</v>
      </c>
      <c r="R835">
        <v>0</v>
      </c>
    </row>
    <row r="836" spans="1:18" x14ac:dyDescent="0.25">
      <c r="A836" t="s">
        <v>11534</v>
      </c>
      <c r="C836" t="str">
        <f t="shared" si="78"/>
        <v>sh</v>
      </c>
      <c r="D836" t="str">
        <f t="shared" si="79"/>
        <v>sh600086</v>
      </c>
      <c r="E836" t="str">
        <f>VLOOKUP(A836,Table!B:C,2,0)</f>
        <v>东方金钰</v>
      </c>
      <c r="F836" t="str">
        <f>TRIM(VLOOKUP(A836,Table!B:O,14,0))</f>
        <v>珠宝首饰</v>
      </c>
      <c r="G836" t="str">
        <f>VLOOKUP(F836,industry!A:C,2,0)</f>
        <v>珠宝</v>
      </c>
      <c r="H836" t="str">
        <f>VLOOKUP(F836,industry!A:C,3,0)</f>
        <v>珠</v>
      </c>
      <c r="J836" s="2" t="s">
        <v>12585</v>
      </c>
      <c r="K836" t="str">
        <f t="shared" si="80"/>
        <v>sh600086</v>
      </c>
      <c r="L836" t="str">
        <f t="shared" si="81"/>
        <v>东方金钰</v>
      </c>
      <c r="M836" t="str">
        <f t="shared" si="82"/>
        <v>珠宝</v>
      </c>
      <c r="N836" t="str">
        <f t="shared" si="83"/>
        <v>珠</v>
      </c>
      <c r="P836" s="2" t="s">
        <v>12585</v>
      </c>
      <c r="Q836" t="s">
        <v>11879</v>
      </c>
      <c r="R836">
        <v>0</v>
      </c>
    </row>
    <row r="837" spans="1:18" x14ac:dyDescent="0.25">
      <c r="A837" t="s">
        <v>11535</v>
      </c>
      <c r="C837" t="str">
        <f t="shared" si="78"/>
        <v>sz</v>
      </c>
      <c r="D837" t="str">
        <f t="shared" si="79"/>
        <v>sz002440</v>
      </c>
      <c r="E837" t="str">
        <f>VLOOKUP(A837,Table!B:C,2,0)</f>
        <v>闰土股份</v>
      </c>
      <c r="F837" t="str">
        <f>TRIM(VLOOKUP(A837,Table!B:O,14,0))</f>
        <v>化工行业</v>
      </c>
      <c r="G837" t="str">
        <f>VLOOKUP(F837,industry!A:C,2,0)</f>
        <v>化工</v>
      </c>
      <c r="H837" t="str">
        <f>VLOOKUP(F837,industry!A:C,3,0)</f>
        <v>化</v>
      </c>
      <c r="J837" s="2" t="s">
        <v>12585</v>
      </c>
      <c r="K837" t="str">
        <f t="shared" si="80"/>
        <v>sz002440</v>
      </c>
      <c r="L837" t="str">
        <f t="shared" si="81"/>
        <v>闰土股份</v>
      </c>
      <c r="M837" t="str">
        <f t="shared" si="82"/>
        <v>化工</v>
      </c>
      <c r="N837" t="str">
        <f t="shared" si="83"/>
        <v>化</v>
      </c>
      <c r="P837" s="2" t="s">
        <v>12585</v>
      </c>
      <c r="Q837" t="s">
        <v>12235</v>
      </c>
      <c r="R837">
        <v>0</v>
      </c>
    </row>
    <row r="838" spans="1:18" x14ac:dyDescent="0.25">
      <c r="A838" t="s">
        <v>11536</v>
      </c>
      <c r="C838" t="str">
        <f t="shared" si="78"/>
        <v>sh</v>
      </c>
      <c r="D838" t="str">
        <f t="shared" si="79"/>
        <v>sh603806</v>
      </c>
      <c r="E838" t="str">
        <f>VLOOKUP(A838,Table!B:C,2,0)</f>
        <v>福斯特</v>
      </c>
      <c r="F838" t="str">
        <f>TRIM(VLOOKUP(A838,Table!B:O,14,0))</f>
        <v>塑胶制品</v>
      </c>
      <c r="G838" t="str">
        <f>VLOOKUP(F838,industry!A:C,2,0)</f>
        <v>塑胶</v>
      </c>
      <c r="H838" t="str">
        <f>VLOOKUP(F838,industry!A:C,3,0)</f>
        <v>塑</v>
      </c>
      <c r="J838" s="2" t="s">
        <v>12585</v>
      </c>
      <c r="K838" t="str">
        <f t="shared" si="80"/>
        <v>sh603806</v>
      </c>
      <c r="L838" t="str">
        <f t="shared" si="81"/>
        <v>福斯特</v>
      </c>
      <c r="M838" t="str">
        <f t="shared" si="82"/>
        <v>塑胶</v>
      </c>
      <c r="N838" t="str">
        <f t="shared" si="83"/>
        <v>塑</v>
      </c>
      <c r="P838" s="2" t="s">
        <v>12585</v>
      </c>
      <c r="Q838" t="s">
        <v>11918</v>
      </c>
      <c r="R838">
        <v>0</v>
      </c>
    </row>
    <row r="839" spans="1:18" x14ac:dyDescent="0.25">
      <c r="A839" t="s">
        <v>11537</v>
      </c>
      <c r="C839" t="str">
        <f t="shared" si="78"/>
        <v>sh</v>
      </c>
      <c r="D839" t="str">
        <f t="shared" si="79"/>
        <v>sh600568</v>
      </c>
      <c r="E839" t="str">
        <f>VLOOKUP(A839,Table!B:C,2,0)</f>
        <v>中珠医疗</v>
      </c>
      <c r="F839" t="str">
        <f>TRIM(VLOOKUP(A839,Table!B:O,14,0))</f>
        <v>医药制造</v>
      </c>
      <c r="G839" t="str">
        <f>VLOOKUP(F839,industry!A:C,2,0)</f>
        <v>医药</v>
      </c>
      <c r="H839" t="str">
        <f>VLOOKUP(F839,industry!A:C,3,0)</f>
        <v>药</v>
      </c>
      <c r="J839" s="2" t="s">
        <v>12585</v>
      </c>
      <c r="K839" t="str">
        <f t="shared" si="80"/>
        <v>sh600568</v>
      </c>
      <c r="L839" t="str">
        <f t="shared" si="81"/>
        <v>中珠医疗</v>
      </c>
      <c r="M839" t="str">
        <f t="shared" si="82"/>
        <v>医药</v>
      </c>
      <c r="N839" t="str">
        <f t="shared" si="83"/>
        <v>药</v>
      </c>
      <c r="P839" s="2" t="s">
        <v>12585</v>
      </c>
      <c r="Q839" t="s">
        <v>12765</v>
      </c>
      <c r="R839">
        <v>0</v>
      </c>
    </row>
    <row r="840" spans="1:18" x14ac:dyDescent="0.25">
      <c r="A840" t="s">
        <v>11538</v>
      </c>
      <c r="C840" t="str">
        <f t="shared" si="78"/>
        <v>sz</v>
      </c>
      <c r="D840" t="str">
        <f t="shared" si="79"/>
        <v>sz000034</v>
      </c>
      <c r="E840" t="str">
        <f>VLOOKUP(A840,Table!B:C,2,0)</f>
        <v>神州数码</v>
      </c>
      <c r="F840" t="str">
        <f>TRIM(VLOOKUP(A840,Table!B:O,14,0))</f>
        <v>通讯行业</v>
      </c>
      <c r="G840" t="str">
        <f>VLOOKUP(F840,industry!A:C,2,0)</f>
        <v>通讯</v>
      </c>
      <c r="H840" t="str">
        <f>VLOOKUP(F840,industry!A:C,3,0)</f>
        <v>讯</v>
      </c>
      <c r="J840" s="2" t="s">
        <v>12585</v>
      </c>
      <c r="K840" t="str">
        <f t="shared" si="80"/>
        <v>sz000034</v>
      </c>
      <c r="L840" t="str">
        <f t="shared" si="81"/>
        <v>神州数码</v>
      </c>
      <c r="M840" t="str">
        <f t="shared" si="82"/>
        <v>通讯</v>
      </c>
      <c r="N840" t="str">
        <f t="shared" si="83"/>
        <v>讯</v>
      </c>
      <c r="P840" s="2" t="s">
        <v>12585</v>
      </c>
      <c r="Q840" t="s">
        <v>10688</v>
      </c>
      <c r="R840">
        <v>0</v>
      </c>
    </row>
    <row r="841" spans="1:18" x14ac:dyDescent="0.25">
      <c r="A841" t="s">
        <v>11539</v>
      </c>
      <c r="C841" t="str">
        <f t="shared" si="78"/>
        <v>sz</v>
      </c>
      <c r="D841" t="str">
        <f t="shared" si="79"/>
        <v>sz000831</v>
      </c>
      <c r="E841" t="str">
        <f>VLOOKUP(A841,Table!B:C,2,0)</f>
        <v>五矿稀土</v>
      </c>
      <c r="F841" t="str">
        <f>TRIM(VLOOKUP(A841,Table!B:O,14,0))</f>
        <v>有色金属</v>
      </c>
      <c r="G841" t="str">
        <f>VLOOKUP(F841,industry!A:C,2,0)</f>
        <v>有色</v>
      </c>
      <c r="H841" t="str">
        <f>VLOOKUP(F841,industry!A:C,3,0)</f>
        <v>色</v>
      </c>
      <c r="J841" s="2" t="s">
        <v>12585</v>
      </c>
      <c r="K841" t="str">
        <f t="shared" si="80"/>
        <v>sz000831</v>
      </c>
      <c r="L841" t="str">
        <f t="shared" si="81"/>
        <v>五矿稀土</v>
      </c>
      <c r="M841" t="str">
        <f t="shared" si="82"/>
        <v>有色</v>
      </c>
      <c r="N841" t="str">
        <f t="shared" si="83"/>
        <v>色</v>
      </c>
      <c r="P841" s="2" t="s">
        <v>12585</v>
      </c>
      <c r="Q841" t="s">
        <v>12766</v>
      </c>
      <c r="R841">
        <v>0</v>
      </c>
    </row>
    <row r="842" spans="1:18" x14ac:dyDescent="0.25">
      <c r="A842" t="s">
        <v>11540</v>
      </c>
      <c r="C842" t="str">
        <f t="shared" si="78"/>
        <v>sz</v>
      </c>
      <c r="D842" t="str">
        <f t="shared" si="79"/>
        <v>sz002489</v>
      </c>
      <c r="E842" t="str">
        <f>VLOOKUP(A842,Table!B:C,2,0)</f>
        <v>浙江永强</v>
      </c>
      <c r="F842" t="str">
        <f>TRIM(VLOOKUP(A842,Table!B:O,14,0))</f>
        <v>木业家具</v>
      </c>
      <c r="G842" t="str">
        <f>VLOOKUP(F842,industry!A:C,2,0)</f>
        <v>木业</v>
      </c>
      <c r="H842" t="str">
        <f>VLOOKUP(F842,industry!A:C,3,0)</f>
        <v>木</v>
      </c>
      <c r="J842" s="2" t="s">
        <v>12585</v>
      </c>
      <c r="K842" t="str">
        <f t="shared" si="80"/>
        <v>sz002489</v>
      </c>
      <c r="L842" t="str">
        <f t="shared" si="81"/>
        <v>浙江永强</v>
      </c>
      <c r="M842" t="str">
        <f t="shared" si="82"/>
        <v>木业</v>
      </c>
      <c r="N842" t="str">
        <f t="shared" si="83"/>
        <v>木</v>
      </c>
      <c r="P842" s="2" t="s">
        <v>12585</v>
      </c>
      <c r="Q842" t="s">
        <v>12496</v>
      </c>
      <c r="R842">
        <v>0</v>
      </c>
    </row>
    <row r="843" spans="1:18" x14ac:dyDescent="0.25">
      <c r="A843" t="s">
        <v>11541</v>
      </c>
      <c r="C843" t="str">
        <f t="shared" si="78"/>
        <v>sz</v>
      </c>
      <c r="D843" t="str">
        <f t="shared" si="79"/>
        <v>sz002191</v>
      </c>
      <c r="E843" t="str">
        <f>VLOOKUP(A843,Table!B:C,2,0)</f>
        <v>劲嘉股份</v>
      </c>
      <c r="F843" t="str">
        <f>TRIM(VLOOKUP(A843,Table!B:O,14,0))</f>
        <v>包装材料</v>
      </c>
      <c r="G843" t="str">
        <f>VLOOKUP(F843,industry!A:C,2,0)</f>
        <v>包装</v>
      </c>
      <c r="H843" t="str">
        <f>VLOOKUP(F843,industry!A:C,3,0)</f>
        <v>包</v>
      </c>
      <c r="J843" s="2" t="s">
        <v>12585</v>
      </c>
      <c r="K843" t="str">
        <f t="shared" si="80"/>
        <v>sz002191</v>
      </c>
      <c r="L843" t="str">
        <f t="shared" si="81"/>
        <v>劲嘉股份</v>
      </c>
      <c r="M843" t="str">
        <f t="shared" si="82"/>
        <v>包装</v>
      </c>
      <c r="N843" t="str">
        <f t="shared" si="83"/>
        <v>包</v>
      </c>
      <c r="P843" s="2" t="s">
        <v>12585</v>
      </c>
      <c r="Q843" t="s">
        <v>12085</v>
      </c>
      <c r="R843">
        <v>0</v>
      </c>
    </row>
    <row r="844" spans="1:18" x14ac:dyDescent="0.25">
      <c r="A844" t="s">
        <v>11542</v>
      </c>
      <c r="C844" t="str">
        <f t="shared" si="78"/>
        <v>sz</v>
      </c>
      <c r="D844" t="str">
        <f t="shared" si="79"/>
        <v>sz300134</v>
      </c>
      <c r="E844" t="str">
        <f>VLOOKUP(A844,Table!B:C,2,0)</f>
        <v>大富科技</v>
      </c>
      <c r="F844" t="str">
        <f>TRIM(VLOOKUP(A844,Table!B:O,14,0))</f>
        <v>通讯行业</v>
      </c>
      <c r="G844" t="str">
        <f>VLOOKUP(F844,industry!A:C,2,0)</f>
        <v>通讯</v>
      </c>
      <c r="H844" t="str">
        <f>VLOOKUP(F844,industry!A:C,3,0)</f>
        <v>讯</v>
      </c>
      <c r="J844" s="2" t="s">
        <v>12585</v>
      </c>
      <c r="K844" t="str">
        <f t="shared" si="80"/>
        <v>sz300134</v>
      </c>
      <c r="L844" t="str">
        <f t="shared" si="81"/>
        <v>大富科技</v>
      </c>
      <c r="M844" t="str">
        <f t="shared" si="82"/>
        <v>通讯</v>
      </c>
      <c r="N844" t="str">
        <f t="shared" si="83"/>
        <v>讯</v>
      </c>
      <c r="P844" s="2" t="s">
        <v>12585</v>
      </c>
      <c r="Q844" t="s">
        <v>10498</v>
      </c>
      <c r="R844">
        <v>0</v>
      </c>
    </row>
    <row r="845" spans="1:18" x14ac:dyDescent="0.25">
      <c r="A845" t="s">
        <v>11543</v>
      </c>
      <c r="C845" t="str">
        <f t="shared" si="78"/>
        <v>sz</v>
      </c>
      <c r="D845" t="str">
        <f t="shared" si="79"/>
        <v>sz002545</v>
      </c>
      <c r="E845" t="str">
        <f>VLOOKUP(A845,Table!B:C,2,0)</f>
        <v>东方铁塔</v>
      </c>
      <c r="F845" t="str">
        <f>TRIM(VLOOKUP(A845,Table!B:O,14,0))</f>
        <v>水泥建材</v>
      </c>
      <c r="G845" t="str">
        <f>VLOOKUP(F845,industry!A:C,2,0)</f>
        <v>水泥</v>
      </c>
      <c r="H845" t="str">
        <f>VLOOKUP(F845,industry!A:C,3,0)</f>
        <v>泥</v>
      </c>
      <c r="J845" s="2" t="s">
        <v>12585</v>
      </c>
      <c r="K845" t="str">
        <f t="shared" si="80"/>
        <v>sz002545</v>
      </c>
      <c r="L845" t="str">
        <f t="shared" si="81"/>
        <v>东方铁塔</v>
      </c>
      <c r="M845" t="str">
        <f t="shared" si="82"/>
        <v>水泥</v>
      </c>
      <c r="N845" t="str">
        <f t="shared" si="83"/>
        <v>泥</v>
      </c>
      <c r="P845" s="2" t="s">
        <v>12585</v>
      </c>
      <c r="Q845" t="s">
        <v>12767</v>
      </c>
      <c r="R845">
        <v>0</v>
      </c>
    </row>
    <row r="846" spans="1:18" x14ac:dyDescent="0.25">
      <c r="A846" t="s">
        <v>11544</v>
      </c>
      <c r="C846" t="str">
        <f t="shared" si="78"/>
        <v>sz</v>
      </c>
      <c r="D846" t="str">
        <f t="shared" si="79"/>
        <v>sz300090</v>
      </c>
      <c r="E846" t="str">
        <f>VLOOKUP(A846,Table!B:C,2,0)</f>
        <v>盛运环保</v>
      </c>
      <c r="F846" t="str">
        <f>TRIM(VLOOKUP(A846,Table!B:O,14,0))</f>
        <v>环保工程</v>
      </c>
      <c r="G846" t="str">
        <f>VLOOKUP(F846,industry!A:C,2,0)</f>
        <v>环保</v>
      </c>
      <c r="H846" t="str">
        <f>VLOOKUP(F846,industry!A:C,3,0)</f>
        <v>环</v>
      </c>
      <c r="J846" s="2" t="s">
        <v>12585</v>
      </c>
      <c r="K846" t="str">
        <f t="shared" si="80"/>
        <v>sz300090</v>
      </c>
      <c r="L846" t="str">
        <f t="shared" si="81"/>
        <v>盛运环保</v>
      </c>
      <c r="M846" t="str">
        <f t="shared" si="82"/>
        <v>环保</v>
      </c>
      <c r="N846" t="str">
        <f t="shared" si="83"/>
        <v>环</v>
      </c>
      <c r="P846" s="2" t="s">
        <v>12585</v>
      </c>
      <c r="Q846" t="s">
        <v>12768</v>
      </c>
      <c r="R846">
        <v>0</v>
      </c>
    </row>
    <row r="847" spans="1:18" x14ac:dyDescent="0.25">
      <c r="A847" t="s">
        <v>11545</v>
      </c>
      <c r="C847" t="str">
        <f t="shared" si="78"/>
        <v>sz</v>
      </c>
      <c r="D847" t="str">
        <f t="shared" si="79"/>
        <v>sz002482</v>
      </c>
      <c r="E847" t="str">
        <f>VLOOKUP(A847,Table!B:C,2,0)</f>
        <v>广田集团</v>
      </c>
      <c r="F847" t="str">
        <f>TRIM(VLOOKUP(A847,Table!B:O,14,0))</f>
        <v>装修装饰</v>
      </c>
      <c r="G847" t="str">
        <f>VLOOKUP(F847,industry!A:C,2,0)</f>
        <v>装修</v>
      </c>
      <c r="H847" t="str">
        <f>VLOOKUP(F847,industry!A:C,3,0)</f>
        <v>饰</v>
      </c>
      <c r="J847" s="2" t="s">
        <v>12585</v>
      </c>
      <c r="K847" t="str">
        <f t="shared" si="80"/>
        <v>sz002482</v>
      </c>
      <c r="L847" t="str">
        <f t="shared" si="81"/>
        <v>广田集团</v>
      </c>
      <c r="M847" t="str">
        <f t="shared" si="82"/>
        <v>装修</v>
      </c>
      <c r="N847" t="str">
        <f t="shared" si="83"/>
        <v>饰</v>
      </c>
      <c r="P847" s="2" t="s">
        <v>12585</v>
      </c>
      <c r="Q847" t="s">
        <v>11951</v>
      </c>
      <c r="R847">
        <v>0</v>
      </c>
    </row>
    <row r="848" spans="1:18" x14ac:dyDescent="0.25">
      <c r="A848" t="s">
        <v>11546</v>
      </c>
      <c r="C848" t="str">
        <f t="shared" si="78"/>
        <v>sz</v>
      </c>
      <c r="D848" t="str">
        <f t="shared" si="79"/>
        <v>sz000021</v>
      </c>
      <c r="E848" t="str">
        <f>VLOOKUP(A848,Table!B:C,2,0)</f>
        <v>深科技</v>
      </c>
      <c r="F848" t="str">
        <f>TRIM(VLOOKUP(A848,Table!B:O,14,0))</f>
        <v>电子信息</v>
      </c>
      <c r="G848" t="str">
        <f>VLOOKUP(F848,industry!A:C,2,0)</f>
        <v>信息</v>
      </c>
      <c r="H848" t="str">
        <f>VLOOKUP(F848,industry!A:C,3,0)</f>
        <v>咨</v>
      </c>
      <c r="J848" s="2" t="s">
        <v>12585</v>
      </c>
      <c r="K848" t="str">
        <f t="shared" si="80"/>
        <v>sz000021</v>
      </c>
      <c r="L848" t="str">
        <f t="shared" si="81"/>
        <v>深科技</v>
      </c>
      <c r="M848" t="str">
        <f t="shared" si="82"/>
        <v>信息</v>
      </c>
      <c r="N848" t="str">
        <f t="shared" si="83"/>
        <v>咨</v>
      </c>
      <c r="P848" s="2" t="s">
        <v>12585</v>
      </c>
      <c r="Q848" t="s">
        <v>12259</v>
      </c>
      <c r="R848">
        <v>0</v>
      </c>
    </row>
    <row r="849" spans="1:18" x14ac:dyDescent="0.25">
      <c r="A849" t="s">
        <v>11547</v>
      </c>
      <c r="C849" t="str">
        <f t="shared" si="78"/>
        <v>sz</v>
      </c>
      <c r="D849" t="str">
        <f t="shared" si="79"/>
        <v>sz300482</v>
      </c>
      <c r="E849" t="str">
        <f>VLOOKUP(A849,Table!B:C,2,0)</f>
        <v>万孚生物</v>
      </c>
      <c r="F849" t="str">
        <f>TRIM(VLOOKUP(A849,Table!B:O,14,0))</f>
        <v>医药制造</v>
      </c>
      <c r="G849" t="str">
        <f>VLOOKUP(F849,industry!A:C,2,0)</f>
        <v>医药</v>
      </c>
      <c r="H849" t="str">
        <f>VLOOKUP(F849,industry!A:C,3,0)</f>
        <v>药</v>
      </c>
      <c r="J849" s="2" t="s">
        <v>12585</v>
      </c>
      <c r="K849" t="str">
        <f t="shared" si="80"/>
        <v>sz300482</v>
      </c>
      <c r="L849" t="str">
        <f t="shared" si="81"/>
        <v>万孚生物</v>
      </c>
      <c r="M849" t="str">
        <f t="shared" si="82"/>
        <v>医药</v>
      </c>
      <c r="N849" t="str">
        <f t="shared" si="83"/>
        <v>药</v>
      </c>
      <c r="P849" s="2" t="s">
        <v>12585</v>
      </c>
      <c r="Q849" t="s">
        <v>12769</v>
      </c>
      <c r="R849">
        <v>0</v>
      </c>
    </row>
    <row r="850" spans="1:18" x14ac:dyDescent="0.25">
      <c r="A850" t="s">
        <v>11548</v>
      </c>
      <c r="C850" t="str">
        <f t="shared" si="78"/>
        <v>sh</v>
      </c>
      <c r="D850" t="str">
        <f t="shared" si="79"/>
        <v>sh600771</v>
      </c>
      <c r="E850" t="str">
        <f>VLOOKUP(A850,Table!B:C,2,0)</f>
        <v>广誉远</v>
      </c>
      <c r="F850" t="str">
        <f>TRIM(VLOOKUP(A850,Table!B:O,14,0))</f>
        <v>医药制造</v>
      </c>
      <c r="G850" t="str">
        <f>VLOOKUP(F850,industry!A:C,2,0)</f>
        <v>医药</v>
      </c>
      <c r="H850" t="str">
        <f>VLOOKUP(F850,industry!A:C,3,0)</f>
        <v>药</v>
      </c>
      <c r="J850" s="2" t="s">
        <v>12585</v>
      </c>
      <c r="K850" t="str">
        <f t="shared" si="80"/>
        <v>sh600771</v>
      </c>
      <c r="L850" t="str">
        <f t="shared" si="81"/>
        <v>广誉远</v>
      </c>
      <c r="M850" t="str">
        <f t="shared" si="82"/>
        <v>医药</v>
      </c>
      <c r="N850" t="str">
        <f t="shared" si="83"/>
        <v>药</v>
      </c>
      <c r="P850" s="2" t="s">
        <v>12585</v>
      </c>
      <c r="Q850" t="s">
        <v>12770</v>
      </c>
      <c r="R850">
        <v>0</v>
      </c>
    </row>
    <row r="851" spans="1:18" x14ac:dyDescent="0.25">
      <c r="A851" t="s">
        <v>11549</v>
      </c>
      <c r="C851" t="str">
        <f t="shared" si="78"/>
        <v>sz</v>
      </c>
      <c r="D851" t="str">
        <f t="shared" si="79"/>
        <v>sz000560</v>
      </c>
      <c r="E851" t="str">
        <f>VLOOKUP(A851,Table!B:C,2,0)</f>
        <v>昆百大Ａ</v>
      </c>
      <c r="F851" t="str">
        <f>TRIM(VLOOKUP(A851,Table!B:O,14,0))</f>
        <v>商业百货</v>
      </c>
      <c r="G851" t="str">
        <f>VLOOKUP(F851,industry!A:C,2,0)</f>
        <v>百货</v>
      </c>
      <c r="H851" t="str">
        <f>VLOOKUP(F851,industry!A:C,3,0)</f>
        <v>商</v>
      </c>
      <c r="J851" s="2" t="s">
        <v>12585</v>
      </c>
      <c r="K851" t="str">
        <f t="shared" si="80"/>
        <v>sz000560</v>
      </c>
      <c r="L851" t="str">
        <f t="shared" si="81"/>
        <v>昆百大Ａ</v>
      </c>
      <c r="M851" t="str">
        <f t="shared" si="82"/>
        <v>百货</v>
      </c>
      <c r="N851" t="str">
        <f t="shared" si="83"/>
        <v>商</v>
      </c>
      <c r="P851" s="2" t="s">
        <v>12585</v>
      </c>
      <c r="Q851" t="s">
        <v>12771</v>
      </c>
      <c r="R851">
        <v>0</v>
      </c>
    </row>
    <row r="852" spans="1:18" x14ac:dyDescent="0.25">
      <c r="A852" t="s">
        <v>11550</v>
      </c>
      <c r="C852" t="str">
        <f t="shared" si="78"/>
        <v>sh</v>
      </c>
      <c r="D852" t="str">
        <f t="shared" si="79"/>
        <v>sh600859</v>
      </c>
      <c r="E852" t="str">
        <f>VLOOKUP(A852,Table!B:C,2,0)</f>
        <v>王府井</v>
      </c>
      <c r="F852" t="str">
        <f>TRIM(VLOOKUP(A852,Table!B:O,14,0))</f>
        <v>商业百货</v>
      </c>
      <c r="G852" t="str">
        <f>VLOOKUP(F852,industry!A:C,2,0)</f>
        <v>百货</v>
      </c>
      <c r="H852" t="str">
        <f>VLOOKUP(F852,industry!A:C,3,0)</f>
        <v>商</v>
      </c>
      <c r="J852" s="2" t="s">
        <v>12585</v>
      </c>
      <c r="K852" t="str">
        <f t="shared" si="80"/>
        <v>sh600859</v>
      </c>
      <c r="L852" t="str">
        <f t="shared" si="81"/>
        <v>王府井</v>
      </c>
      <c r="M852" t="str">
        <f t="shared" si="82"/>
        <v>百货</v>
      </c>
      <c r="N852" t="str">
        <f t="shared" si="83"/>
        <v>商</v>
      </c>
      <c r="P852" s="2" t="s">
        <v>12585</v>
      </c>
      <c r="Q852" t="s">
        <v>12359</v>
      </c>
      <c r="R852">
        <v>0</v>
      </c>
    </row>
    <row r="853" spans="1:18" x14ac:dyDescent="0.25">
      <c r="A853" t="s">
        <v>11551</v>
      </c>
      <c r="C853" t="str">
        <f t="shared" si="78"/>
        <v>sh</v>
      </c>
      <c r="D853" t="str">
        <f t="shared" si="79"/>
        <v>sh603025</v>
      </c>
      <c r="E853" t="str">
        <f>VLOOKUP(A853,Table!B:C,2,0)</f>
        <v>大豪科技</v>
      </c>
      <c r="F853" t="str">
        <f>TRIM(VLOOKUP(A853,Table!B:O,14,0))</f>
        <v>专用设备</v>
      </c>
      <c r="G853" t="str">
        <f>VLOOKUP(F853,industry!A:C,2,0)</f>
        <v>专用</v>
      </c>
      <c r="H853" t="str">
        <f>VLOOKUP(F853,industry!A:C,3,0)</f>
        <v>专</v>
      </c>
      <c r="J853" s="2" t="s">
        <v>12585</v>
      </c>
      <c r="K853" t="str">
        <f t="shared" si="80"/>
        <v>sh603025</v>
      </c>
      <c r="L853" t="str">
        <f t="shared" si="81"/>
        <v>大豪科技</v>
      </c>
      <c r="M853" t="str">
        <f t="shared" si="82"/>
        <v>专用</v>
      </c>
      <c r="N853" t="str">
        <f t="shared" si="83"/>
        <v>专</v>
      </c>
      <c r="P853" s="2" t="s">
        <v>12585</v>
      </c>
      <c r="Q853" t="s">
        <v>11854</v>
      </c>
      <c r="R853">
        <v>0</v>
      </c>
    </row>
    <row r="854" spans="1:18" x14ac:dyDescent="0.25">
      <c r="A854" t="s">
        <v>11552</v>
      </c>
      <c r="C854" t="str">
        <f t="shared" si="78"/>
        <v>sz</v>
      </c>
      <c r="D854" t="str">
        <f t="shared" si="79"/>
        <v>sz000517</v>
      </c>
      <c r="E854" t="str">
        <f>VLOOKUP(A854,Table!B:C,2,0)</f>
        <v>荣安地产</v>
      </c>
      <c r="F854" t="str">
        <f>TRIM(VLOOKUP(A854,Table!B:O,14,0))</f>
        <v>房地产</v>
      </c>
      <c r="G854" t="str">
        <f>VLOOKUP(F854,industry!A:C,2,0)</f>
        <v>房产</v>
      </c>
      <c r="H854" t="str">
        <f>VLOOKUP(F854,industry!A:C,3,0)</f>
        <v>产</v>
      </c>
      <c r="J854" s="2" t="s">
        <v>12585</v>
      </c>
      <c r="K854" t="str">
        <f t="shared" si="80"/>
        <v>sz000517</v>
      </c>
      <c r="L854" t="str">
        <f t="shared" si="81"/>
        <v>荣安地产</v>
      </c>
      <c r="M854" t="str">
        <f t="shared" si="82"/>
        <v>房产</v>
      </c>
      <c r="N854" t="str">
        <f t="shared" si="83"/>
        <v>产</v>
      </c>
      <c r="P854" s="2" t="s">
        <v>12585</v>
      </c>
      <c r="Q854" t="s">
        <v>12227</v>
      </c>
      <c r="R854">
        <v>0</v>
      </c>
    </row>
    <row r="855" spans="1:18" x14ac:dyDescent="0.25">
      <c r="A855" t="s">
        <v>11553</v>
      </c>
      <c r="C855" t="str">
        <f t="shared" si="78"/>
        <v>sz</v>
      </c>
      <c r="D855" t="str">
        <f t="shared" si="79"/>
        <v>sz000662</v>
      </c>
      <c r="E855" t="str">
        <f>VLOOKUP(A855,Table!B:C,2,0)</f>
        <v>天夏智慧</v>
      </c>
      <c r="F855" t="str">
        <f>TRIM(VLOOKUP(A855,Table!B:O,14,0))</f>
        <v>安防设备</v>
      </c>
      <c r="G855" t="str">
        <f>VLOOKUP(F855,industry!A:C,2,0)</f>
        <v>安防</v>
      </c>
      <c r="H855" t="str">
        <f>VLOOKUP(F855,industry!A:C,3,0)</f>
        <v>防</v>
      </c>
      <c r="J855" s="2" t="s">
        <v>12585</v>
      </c>
      <c r="K855" t="str">
        <f t="shared" si="80"/>
        <v>sz000662</v>
      </c>
      <c r="L855" t="str">
        <f t="shared" si="81"/>
        <v>天夏智慧</v>
      </c>
      <c r="M855" t="str">
        <f t="shared" si="82"/>
        <v>安防</v>
      </c>
      <c r="N855" t="str">
        <f t="shared" si="83"/>
        <v>防</v>
      </c>
      <c r="P855" s="2" t="s">
        <v>12585</v>
      </c>
      <c r="Q855" t="s">
        <v>10624</v>
      </c>
      <c r="R855">
        <v>0</v>
      </c>
    </row>
    <row r="856" spans="1:18" x14ac:dyDescent="0.25">
      <c r="A856" t="s">
        <v>11554</v>
      </c>
      <c r="C856" t="str">
        <f t="shared" si="78"/>
        <v>sz</v>
      </c>
      <c r="D856" t="str">
        <f t="shared" si="79"/>
        <v>sz002653</v>
      </c>
      <c r="E856" t="str">
        <f>VLOOKUP(A856,Table!B:C,2,0)</f>
        <v>海思科</v>
      </c>
      <c r="F856" t="str">
        <f>TRIM(VLOOKUP(A856,Table!B:O,14,0))</f>
        <v>医药制造</v>
      </c>
      <c r="G856" t="str">
        <f>VLOOKUP(F856,industry!A:C,2,0)</f>
        <v>医药</v>
      </c>
      <c r="H856" t="str">
        <f>VLOOKUP(F856,industry!A:C,3,0)</f>
        <v>药</v>
      </c>
      <c r="J856" s="2" t="s">
        <v>12585</v>
      </c>
      <c r="K856" t="str">
        <f t="shared" si="80"/>
        <v>sz002653</v>
      </c>
      <c r="L856" t="str">
        <f t="shared" si="81"/>
        <v>海思科</v>
      </c>
      <c r="M856" t="str">
        <f t="shared" si="82"/>
        <v>医药</v>
      </c>
      <c r="N856" t="str">
        <f t="shared" si="83"/>
        <v>药</v>
      </c>
      <c r="P856" s="2" t="s">
        <v>12585</v>
      </c>
      <c r="Q856" t="s">
        <v>12772</v>
      </c>
      <c r="R856">
        <v>0</v>
      </c>
    </row>
    <row r="857" spans="1:18" x14ac:dyDescent="0.25">
      <c r="A857" t="s">
        <v>11555</v>
      </c>
      <c r="C857" t="str">
        <f t="shared" si="78"/>
        <v>sz</v>
      </c>
      <c r="D857" t="str">
        <f t="shared" si="79"/>
        <v>sz002168</v>
      </c>
      <c r="E857" t="str">
        <f>VLOOKUP(A857,Table!B:C,2,0)</f>
        <v>深圳惠程</v>
      </c>
      <c r="F857" t="str">
        <f>TRIM(VLOOKUP(A857,Table!B:O,14,0))</f>
        <v>输配电气</v>
      </c>
      <c r="G857" t="str">
        <f>VLOOKUP(F857,industry!A:C,2,0)</f>
        <v>配电</v>
      </c>
      <c r="H857" t="str">
        <f>VLOOKUP(F857,industry!A:C,3,0)</f>
        <v>输电</v>
      </c>
      <c r="J857" s="2" t="s">
        <v>12585</v>
      </c>
      <c r="K857" t="str">
        <f t="shared" si="80"/>
        <v>sz002168</v>
      </c>
      <c r="L857" t="str">
        <f t="shared" si="81"/>
        <v>深圳惠程</v>
      </c>
      <c r="M857" t="str">
        <f t="shared" si="82"/>
        <v>配电</v>
      </c>
      <c r="N857" t="str">
        <f t="shared" si="83"/>
        <v>输电</v>
      </c>
      <c r="P857" s="2" t="s">
        <v>12585</v>
      </c>
      <c r="Q857" t="s">
        <v>12263</v>
      </c>
      <c r="R857">
        <v>0</v>
      </c>
    </row>
    <row r="858" spans="1:18" x14ac:dyDescent="0.25">
      <c r="A858" t="s">
        <v>11556</v>
      </c>
      <c r="C858" t="str">
        <f t="shared" si="78"/>
        <v>sz</v>
      </c>
      <c r="D858" t="str">
        <f t="shared" si="79"/>
        <v>sz002815</v>
      </c>
      <c r="E858" t="str">
        <f>VLOOKUP(A858,Table!B:C,2,0)</f>
        <v>崇达技术</v>
      </c>
      <c r="F858" t="str">
        <f>TRIM(VLOOKUP(A858,Table!B:O,14,0))</f>
        <v>电子元件</v>
      </c>
      <c r="G858" t="str">
        <f>VLOOKUP(F858,industry!A:C,2,0)</f>
        <v>原件</v>
      </c>
      <c r="H858" t="str">
        <f>VLOOKUP(F858,industry!A:C,3,0)</f>
        <v>元件</v>
      </c>
      <c r="J858" s="2" t="s">
        <v>12585</v>
      </c>
      <c r="K858" t="str">
        <f t="shared" si="80"/>
        <v>sz002815</v>
      </c>
      <c r="L858" t="str">
        <f t="shared" si="81"/>
        <v>崇达技术</v>
      </c>
      <c r="M858" t="str">
        <f t="shared" si="82"/>
        <v>原件</v>
      </c>
      <c r="N858" t="str">
        <f t="shared" si="83"/>
        <v>元件</v>
      </c>
      <c r="P858" s="2" t="s">
        <v>12585</v>
      </c>
      <c r="Q858" t="s">
        <v>10400</v>
      </c>
      <c r="R858">
        <v>0</v>
      </c>
    </row>
    <row r="859" spans="1:18" x14ac:dyDescent="0.25">
      <c r="A859" t="s">
        <v>11557</v>
      </c>
      <c r="C859" t="str">
        <f t="shared" si="78"/>
        <v>sz</v>
      </c>
      <c r="D859" t="str">
        <f t="shared" si="79"/>
        <v>sz002028</v>
      </c>
      <c r="E859" t="str">
        <f>VLOOKUP(A859,Table!B:C,2,0)</f>
        <v>思源电气</v>
      </c>
      <c r="F859" t="str">
        <f>TRIM(VLOOKUP(A859,Table!B:O,14,0))</f>
        <v>输配电气</v>
      </c>
      <c r="G859" t="str">
        <f>VLOOKUP(F859,industry!A:C,2,0)</f>
        <v>配电</v>
      </c>
      <c r="H859" t="str">
        <f>VLOOKUP(F859,industry!A:C,3,0)</f>
        <v>输电</v>
      </c>
      <c r="J859" s="2" t="s">
        <v>12585</v>
      </c>
      <c r="K859" t="str">
        <f t="shared" si="80"/>
        <v>sz002028</v>
      </c>
      <c r="L859" t="str">
        <f t="shared" si="81"/>
        <v>思源电气</v>
      </c>
      <c r="M859" t="str">
        <f t="shared" si="82"/>
        <v>配电</v>
      </c>
      <c r="N859" t="str">
        <f t="shared" si="83"/>
        <v>输电</v>
      </c>
      <c r="P859" s="2" t="s">
        <v>12585</v>
      </c>
      <c r="Q859" t="s">
        <v>12297</v>
      </c>
      <c r="R859">
        <v>0</v>
      </c>
    </row>
    <row r="860" spans="1:18" x14ac:dyDescent="0.25">
      <c r="A860" t="s">
        <v>11558</v>
      </c>
      <c r="C860" t="str">
        <f t="shared" si="78"/>
        <v>sh</v>
      </c>
      <c r="D860" t="str">
        <f t="shared" si="79"/>
        <v>sh600335</v>
      </c>
      <c r="E860" t="str">
        <f>VLOOKUP(A860,Table!B:C,2,0)</f>
        <v>国机汽车</v>
      </c>
      <c r="F860" t="str">
        <f>TRIM(VLOOKUP(A860,Table!B:O,14,0))</f>
        <v>国际贸易</v>
      </c>
      <c r="G860" t="str">
        <f>VLOOKUP(F860,industry!A:C,2,0)</f>
        <v>国贸</v>
      </c>
      <c r="H860" t="str">
        <f>VLOOKUP(F860,industry!A:C,3,0)</f>
        <v>贸</v>
      </c>
      <c r="J860" s="2" t="s">
        <v>12585</v>
      </c>
      <c r="K860" t="str">
        <f t="shared" si="80"/>
        <v>sh600335</v>
      </c>
      <c r="L860" t="str">
        <f t="shared" si="81"/>
        <v>国机汽车</v>
      </c>
      <c r="M860" t="str">
        <f t="shared" si="82"/>
        <v>国贸</v>
      </c>
      <c r="N860" t="str">
        <f t="shared" si="83"/>
        <v>贸</v>
      </c>
      <c r="P860" s="2" t="s">
        <v>12585</v>
      </c>
      <c r="Q860" t="s">
        <v>11955</v>
      </c>
      <c r="R860">
        <v>0</v>
      </c>
    </row>
    <row r="861" spans="1:18" x14ac:dyDescent="0.25">
      <c r="A861" t="s">
        <v>11559</v>
      </c>
      <c r="C861" t="str">
        <f t="shared" si="78"/>
        <v>sh</v>
      </c>
      <c r="D861" t="str">
        <f t="shared" si="79"/>
        <v>sh600053</v>
      </c>
      <c r="E861" t="str">
        <f>VLOOKUP(A861,Table!B:C,2,0)</f>
        <v>九鼎投资</v>
      </c>
      <c r="F861" t="str">
        <f>TRIM(VLOOKUP(A861,Table!B:O,14,0))</f>
        <v>多元金融</v>
      </c>
      <c r="G861" t="str">
        <f>VLOOKUP(F861,industry!A:C,2,0)</f>
        <v>多元</v>
      </c>
      <c r="H861" t="str">
        <f>VLOOKUP(F861,industry!A:C,3,0)</f>
        <v>融</v>
      </c>
      <c r="J861" s="2" t="s">
        <v>12585</v>
      </c>
      <c r="K861" t="str">
        <f t="shared" si="80"/>
        <v>sh600053</v>
      </c>
      <c r="L861" t="str">
        <f t="shared" si="81"/>
        <v>九鼎投资</v>
      </c>
      <c r="M861" t="str">
        <f t="shared" si="82"/>
        <v>多元</v>
      </c>
      <c r="N861" t="str">
        <f t="shared" si="83"/>
        <v>融</v>
      </c>
      <c r="P861" s="2" t="s">
        <v>12585</v>
      </c>
      <c r="Q861" t="s">
        <v>10632</v>
      </c>
      <c r="R861">
        <v>0</v>
      </c>
    </row>
    <row r="862" spans="1:18" x14ac:dyDescent="0.25">
      <c r="A862" t="s">
        <v>11560</v>
      </c>
      <c r="C862" t="str">
        <f t="shared" si="78"/>
        <v>sh</v>
      </c>
      <c r="D862" t="str">
        <f t="shared" si="79"/>
        <v>sh601636</v>
      </c>
      <c r="E862" t="str">
        <f>VLOOKUP(A862,Table!B:C,2,0)</f>
        <v>旗滨集团</v>
      </c>
      <c r="F862" t="str">
        <f>TRIM(VLOOKUP(A862,Table!B:O,14,0))</f>
        <v>玻璃陶瓷</v>
      </c>
      <c r="G862" t="str">
        <f>VLOOKUP(F862,industry!A:C,2,0)</f>
        <v>玻璃</v>
      </c>
      <c r="H862" t="str">
        <f>VLOOKUP(F862,industry!A:C,3,0)</f>
        <v>瓷</v>
      </c>
      <c r="J862" s="2" t="s">
        <v>12585</v>
      </c>
      <c r="K862" t="str">
        <f t="shared" si="80"/>
        <v>sh601636</v>
      </c>
      <c r="L862" t="str">
        <f t="shared" si="81"/>
        <v>旗滨集团</v>
      </c>
      <c r="M862" t="str">
        <f t="shared" si="82"/>
        <v>玻璃</v>
      </c>
      <c r="N862" t="str">
        <f t="shared" si="83"/>
        <v>瓷</v>
      </c>
      <c r="P862" s="2" t="s">
        <v>12585</v>
      </c>
      <c r="Q862" t="s">
        <v>12773</v>
      </c>
      <c r="R862">
        <v>0</v>
      </c>
    </row>
    <row r="863" spans="1:18" x14ac:dyDescent="0.25">
      <c r="A863" t="s">
        <v>11561</v>
      </c>
      <c r="C863" t="str">
        <f t="shared" si="78"/>
        <v>sz</v>
      </c>
      <c r="D863" t="str">
        <f t="shared" si="79"/>
        <v>sz002867</v>
      </c>
      <c r="E863" t="str">
        <f>VLOOKUP(A863,Table!B:C,2,0)</f>
        <v>周大生</v>
      </c>
      <c r="F863" t="str">
        <f>TRIM(VLOOKUP(A863,Table!B:O,14,0))</f>
        <v>珠宝首饰</v>
      </c>
      <c r="G863" t="str">
        <f>VLOOKUP(F863,industry!A:C,2,0)</f>
        <v>珠宝</v>
      </c>
      <c r="H863" t="str">
        <f>VLOOKUP(F863,industry!A:C,3,0)</f>
        <v>珠</v>
      </c>
      <c r="J863" s="2" t="s">
        <v>12585</v>
      </c>
      <c r="K863" t="str">
        <f t="shared" si="80"/>
        <v>sz002867</v>
      </c>
      <c r="L863" t="str">
        <f t="shared" si="81"/>
        <v>周大生</v>
      </c>
      <c r="M863" t="str">
        <f t="shared" si="82"/>
        <v>珠宝</v>
      </c>
      <c r="N863" t="str">
        <f t="shared" si="83"/>
        <v>珠</v>
      </c>
      <c r="P863" s="2" t="s">
        <v>12585</v>
      </c>
      <c r="Q863" t="s">
        <v>12774</v>
      </c>
      <c r="R863">
        <v>0</v>
      </c>
    </row>
    <row r="864" spans="1:18" x14ac:dyDescent="0.25">
      <c r="A864" t="s">
        <v>11562</v>
      </c>
      <c r="C864" t="str">
        <f t="shared" si="78"/>
        <v>sh</v>
      </c>
      <c r="D864" t="str">
        <f t="shared" si="79"/>
        <v>sh600565</v>
      </c>
      <c r="E864" t="str">
        <f>VLOOKUP(A864,Table!B:C,2,0)</f>
        <v>迪马股份</v>
      </c>
      <c r="F864" t="str">
        <f>TRIM(VLOOKUP(A864,Table!B:O,14,0))</f>
        <v>房地产</v>
      </c>
      <c r="G864" t="str">
        <f>VLOOKUP(F864,industry!A:C,2,0)</f>
        <v>房产</v>
      </c>
      <c r="H864" t="str">
        <f>VLOOKUP(F864,industry!A:C,3,0)</f>
        <v>产</v>
      </c>
      <c r="J864" s="2" t="s">
        <v>12585</v>
      </c>
      <c r="K864" t="str">
        <f t="shared" si="80"/>
        <v>sh600565</v>
      </c>
      <c r="L864" t="str">
        <f t="shared" si="81"/>
        <v>迪马股份</v>
      </c>
      <c r="M864" t="str">
        <f t="shared" si="82"/>
        <v>房产</v>
      </c>
      <c r="N864" t="str">
        <f t="shared" si="83"/>
        <v>产</v>
      </c>
      <c r="P864" s="2" t="s">
        <v>12585</v>
      </c>
      <c r="Q864" t="s">
        <v>11875</v>
      </c>
      <c r="R864">
        <v>0</v>
      </c>
    </row>
    <row r="865" spans="1:18" x14ac:dyDescent="0.25">
      <c r="A865" t="s">
        <v>11563</v>
      </c>
      <c r="C865" t="str">
        <f t="shared" si="78"/>
        <v>sz</v>
      </c>
      <c r="D865" t="str">
        <f t="shared" si="79"/>
        <v>sz002048</v>
      </c>
      <c r="E865" t="str">
        <f>VLOOKUP(A865,Table!B:C,2,0)</f>
        <v>宁波华翔</v>
      </c>
      <c r="F865" t="str">
        <f>TRIM(VLOOKUP(A865,Table!B:O,14,0))</f>
        <v>汽车行业</v>
      </c>
      <c r="G865" t="str">
        <f>VLOOKUP(F865,industry!A:C,2,0)</f>
        <v>汽车</v>
      </c>
      <c r="H865" t="str">
        <f>VLOOKUP(F865,industry!A:C,3,0)</f>
        <v>车</v>
      </c>
      <c r="J865" s="2" t="s">
        <v>12585</v>
      </c>
      <c r="K865" t="str">
        <f t="shared" si="80"/>
        <v>sz002048</v>
      </c>
      <c r="L865" t="str">
        <f t="shared" si="81"/>
        <v>宁波华翔</v>
      </c>
      <c r="M865" t="str">
        <f t="shared" si="82"/>
        <v>汽车</v>
      </c>
      <c r="N865" t="str">
        <f t="shared" si="83"/>
        <v>车</v>
      </c>
      <c r="P865" s="2" t="s">
        <v>12585</v>
      </c>
      <c r="Q865" t="s">
        <v>12192</v>
      </c>
      <c r="R865">
        <v>0</v>
      </c>
    </row>
    <row r="866" spans="1:18" x14ac:dyDescent="0.25">
      <c r="A866" t="s">
        <v>11564</v>
      </c>
      <c r="C866" t="str">
        <f t="shared" si="78"/>
        <v>sh</v>
      </c>
      <c r="D866" t="str">
        <f t="shared" si="79"/>
        <v>sh600803</v>
      </c>
      <c r="E866" t="str">
        <f>VLOOKUP(A866,Table!B:C,2,0)</f>
        <v>新奥股份</v>
      </c>
      <c r="F866" t="str">
        <f>TRIM(VLOOKUP(A866,Table!B:O,14,0))</f>
        <v>化工行业</v>
      </c>
      <c r="G866" t="str">
        <f>VLOOKUP(F866,industry!A:C,2,0)</f>
        <v>化工</v>
      </c>
      <c r="H866" t="str">
        <f>VLOOKUP(F866,industry!A:C,3,0)</f>
        <v>化</v>
      </c>
      <c r="J866" s="2" t="s">
        <v>12585</v>
      </c>
      <c r="K866" t="str">
        <f t="shared" si="80"/>
        <v>sh600803</v>
      </c>
      <c r="L866" t="str">
        <f t="shared" si="81"/>
        <v>新奥股份</v>
      </c>
      <c r="M866" t="str">
        <f t="shared" si="82"/>
        <v>化工</v>
      </c>
      <c r="N866" t="str">
        <f t="shared" si="83"/>
        <v>化</v>
      </c>
      <c r="P866" s="2" t="s">
        <v>12585</v>
      </c>
      <c r="Q866" t="s">
        <v>12775</v>
      </c>
      <c r="R866">
        <v>0</v>
      </c>
    </row>
    <row r="867" spans="1:18" x14ac:dyDescent="0.25">
      <c r="A867" t="s">
        <v>11565</v>
      </c>
      <c r="C867" t="str">
        <f t="shared" si="78"/>
        <v>sh</v>
      </c>
      <c r="D867" t="str">
        <f t="shared" si="79"/>
        <v>sh601799</v>
      </c>
      <c r="E867" t="str">
        <f>VLOOKUP(A867,Table!B:C,2,0)</f>
        <v>星宇股份</v>
      </c>
      <c r="F867" t="str">
        <f>TRIM(VLOOKUP(A867,Table!B:O,14,0))</f>
        <v>汽车行业</v>
      </c>
      <c r="G867" t="str">
        <f>VLOOKUP(F867,industry!A:C,2,0)</f>
        <v>汽车</v>
      </c>
      <c r="H867" t="str">
        <f>VLOOKUP(F867,industry!A:C,3,0)</f>
        <v>车</v>
      </c>
      <c r="J867" s="2" t="s">
        <v>12585</v>
      </c>
      <c r="K867" t="str">
        <f t="shared" si="80"/>
        <v>sh601799</v>
      </c>
      <c r="L867" t="str">
        <f t="shared" si="81"/>
        <v>星宇股份</v>
      </c>
      <c r="M867" t="str">
        <f t="shared" si="82"/>
        <v>汽车</v>
      </c>
      <c r="N867" t="str">
        <f t="shared" si="83"/>
        <v>车</v>
      </c>
      <c r="P867" s="2" t="s">
        <v>12585</v>
      </c>
      <c r="Q867" t="s">
        <v>12776</v>
      </c>
      <c r="R867">
        <v>0</v>
      </c>
    </row>
    <row r="868" spans="1:18" x14ac:dyDescent="0.25">
      <c r="A868" t="s">
        <v>11566</v>
      </c>
      <c r="C868" t="str">
        <f t="shared" si="78"/>
        <v>sh</v>
      </c>
      <c r="D868" t="str">
        <f t="shared" si="79"/>
        <v>sh600550</v>
      </c>
      <c r="E868" t="str">
        <f>VLOOKUP(A868,Table!B:C,2,0)</f>
        <v>保变电气</v>
      </c>
      <c r="F868" t="str">
        <f>TRIM(VLOOKUP(A868,Table!B:O,14,0))</f>
        <v>输配电气</v>
      </c>
      <c r="G868" t="str">
        <f>VLOOKUP(F868,industry!A:C,2,0)</f>
        <v>配电</v>
      </c>
      <c r="H868" t="str">
        <f>VLOOKUP(F868,industry!A:C,3,0)</f>
        <v>输电</v>
      </c>
      <c r="J868" s="2" t="s">
        <v>12585</v>
      </c>
      <c r="K868" t="str">
        <f t="shared" si="80"/>
        <v>sh600550</v>
      </c>
      <c r="L868" t="str">
        <f t="shared" si="81"/>
        <v>保变电气</v>
      </c>
      <c r="M868" t="str">
        <f t="shared" si="82"/>
        <v>配电</v>
      </c>
      <c r="N868" t="str">
        <f t="shared" si="83"/>
        <v>输电</v>
      </c>
      <c r="P868" s="2" t="s">
        <v>12585</v>
      </c>
      <c r="Q868" t="s">
        <v>12777</v>
      </c>
      <c r="R868">
        <v>0</v>
      </c>
    </row>
    <row r="869" spans="1:18" x14ac:dyDescent="0.25">
      <c r="A869" t="s">
        <v>11567</v>
      </c>
      <c r="C869" t="str">
        <f t="shared" si="78"/>
        <v>sz</v>
      </c>
      <c r="D869" t="str">
        <f t="shared" si="79"/>
        <v>sz300285</v>
      </c>
      <c r="E869" t="str">
        <f>VLOOKUP(A869,Table!B:C,2,0)</f>
        <v>国瓷材料</v>
      </c>
      <c r="F869" t="str">
        <f>TRIM(VLOOKUP(A869,Table!B:O,14,0))</f>
        <v>化工行业</v>
      </c>
      <c r="G869" t="str">
        <f>VLOOKUP(F869,industry!A:C,2,0)</f>
        <v>化工</v>
      </c>
      <c r="H869" t="str">
        <f>VLOOKUP(F869,industry!A:C,3,0)</f>
        <v>化</v>
      </c>
      <c r="J869" s="2" t="s">
        <v>12585</v>
      </c>
      <c r="K869" t="str">
        <f t="shared" si="80"/>
        <v>sz300285</v>
      </c>
      <c r="L869" t="str">
        <f t="shared" si="81"/>
        <v>国瓷材料</v>
      </c>
      <c r="M869" t="str">
        <f t="shared" si="82"/>
        <v>化工</v>
      </c>
      <c r="N869" t="str">
        <f t="shared" si="83"/>
        <v>化</v>
      </c>
      <c r="P869" s="2" t="s">
        <v>12585</v>
      </c>
      <c r="Q869" t="s">
        <v>12778</v>
      </c>
      <c r="R869">
        <v>0</v>
      </c>
    </row>
    <row r="870" spans="1:18" x14ac:dyDescent="0.25">
      <c r="A870" t="s">
        <v>11568</v>
      </c>
      <c r="C870" t="str">
        <f t="shared" si="78"/>
        <v>sz</v>
      </c>
      <c r="D870" t="str">
        <f t="shared" si="79"/>
        <v>sz002461</v>
      </c>
      <c r="E870" t="str">
        <f>VLOOKUP(A870,Table!B:C,2,0)</f>
        <v>珠江啤酒</v>
      </c>
      <c r="F870" t="str">
        <f>TRIM(VLOOKUP(A870,Table!B:O,14,0))</f>
        <v>酿酒行业</v>
      </c>
      <c r="G870" t="str">
        <f>VLOOKUP(F870,industry!A:C,2,0)</f>
        <v>酿酒</v>
      </c>
      <c r="H870" t="str">
        <f>VLOOKUP(F870,industry!A:C,3,0)</f>
        <v>酒</v>
      </c>
      <c r="J870" s="2" t="s">
        <v>12585</v>
      </c>
      <c r="K870" t="str">
        <f t="shared" si="80"/>
        <v>sz002461</v>
      </c>
      <c r="L870" t="str">
        <f t="shared" si="81"/>
        <v>珠江啤酒</v>
      </c>
      <c r="M870" t="str">
        <f t="shared" si="82"/>
        <v>酿酒</v>
      </c>
      <c r="N870" t="str">
        <f t="shared" si="83"/>
        <v>酒</v>
      </c>
      <c r="P870" s="2" t="s">
        <v>12585</v>
      </c>
      <c r="Q870" t="s">
        <v>12779</v>
      </c>
      <c r="R870">
        <v>0</v>
      </c>
    </row>
    <row r="871" spans="1:18" x14ac:dyDescent="0.25">
      <c r="A871" t="s">
        <v>11569</v>
      </c>
      <c r="C871" t="str">
        <f t="shared" si="78"/>
        <v>sh</v>
      </c>
      <c r="D871" t="str">
        <f t="shared" si="79"/>
        <v>sh600172</v>
      </c>
      <c r="E871" t="str">
        <f>VLOOKUP(A871,Table!B:C,2,0)</f>
        <v>黄河旋风</v>
      </c>
      <c r="F871" t="str">
        <f>TRIM(VLOOKUP(A871,Table!B:O,14,0))</f>
        <v>材料行业</v>
      </c>
      <c r="G871" t="str">
        <f>VLOOKUP(F871,industry!A:C,2,0)</f>
        <v>材料</v>
      </c>
      <c r="H871" t="str">
        <f>VLOOKUP(F871,industry!A:C,3,0)</f>
        <v>材</v>
      </c>
      <c r="J871" s="2" t="s">
        <v>12585</v>
      </c>
      <c r="K871" t="str">
        <f t="shared" si="80"/>
        <v>sh600172</v>
      </c>
      <c r="L871" t="str">
        <f t="shared" si="81"/>
        <v>黄河旋风</v>
      </c>
      <c r="M871" t="str">
        <f t="shared" si="82"/>
        <v>材料</v>
      </c>
      <c r="N871" t="str">
        <f t="shared" si="83"/>
        <v>材</v>
      </c>
      <c r="P871" s="2" t="s">
        <v>12585</v>
      </c>
      <c r="Q871" t="s">
        <v>12780</v>
      </c>
      <c r="R871">
        <v>0</v>
      </c>
    </row>
    <row r="872" spans="1:18" x14ac:dyDescent="0.25">
      <c r="A872" t="s">
        <v>11570</v>
      </c>
      <c r="C872" t="str">
        <f t="shared" si="78"/>
        <v>sh</v>
      </c>
      <c r="D872" t="str">
        <f t="shared" si="79"/>
        <v>sh600006</v>
      </c>
      <c r="E872" t="str">
        <f>VLOOKUP(A872,Table!B:C,2,0)</f>
        <v>东风汽车</v>
      </c>
      <c r="F872" t="str">
        <f>TRIM(VLOOKUP(A872,Table!B:O,14,0))</f>
        <v>汽车行业</v>
      </c>
      <c r="G872" t="str">
        <f>VLOOKUP(F872,industry!A:C,2,0)</f>
        <v>汽车</v>
      </c>
      <c r="H872" t="str">
        <f>VLOOKUP(F872,industry!A:C,3,0)</f>
        <v>车</v>
      </c>
      <c r="J872" s="2" t="s">
        <v>12585</v>
      </c>
      <c r="K872" t="str">
        <f t="shared" si="80"/>
        <v>sh600006</v>
      </c>
      <c r="L872" t="str">
        <f t="shared" si="81"/>
        <v>东风汽车</v>
      </c>
      <c r="M872" t="str">
        <f t="shared" si="82"/>
        <v>汽车</v>
      </c>
      <c r="N872" t="str">
        <f t="shared" si="83"/>
        <v>车</v>
      </c>
      <c r="P872" s="2" t="s">
        <v>12585</v>
      </c>
      <c r="Q872" t="s">
        <v>11885</v>
      </c>
      <c r="R872">
        <v>0</v>
      </c>
    </row>
    <row r="873" spans="1:18" x14ac:dyDescent="0.25">
      <c r="A873" t="s">
        <v>11571</v>
      </c>
      <c r="C873" t="str">
        <f t="shared" si="78"/>
        <v>sz</v>
      </c>
      <c r="D873" t="str">
        <f t="shared" si="79"/>
        <v>sz002371</v>
      </c>
      <c r="E873" t="str">
        <f>VLOOKUP(A873,Table!B:C,2,0)</f>
        <v>北方华创</v>
      </c>
      <c r="F873" t="str">
        <f>TRIM(VLOOKUP(A873,Table!B:O,14,0))</f>
        <v>电子元件</v>
      </c>
      <c r="G873" t="str">
        <f>VLOOKUP(F873,industry!A:C,2,0)</f>
        <v>原件</v>
      </c>
      <c r="H873" t="str">
        <f>VLOOKUP(F873,industry!A:C,3,0)</f>
        <v>元件</v>
      </c>
      <c r="J873" s="2" t="s">
        <v>12585</v>
      </c>
      <c r="K873" t="str">
        <f t="shared" si="80"/>
        <v>sz002371</v>
      </c>
      <c r="L873" t="str">
        <f t="shared" si="81"/>
        <v>北方华创</v>
      </c>
      <c r="M873" t="str">
        <f t="shared" si="82"/>
        <v>原件</v>
      </c>
      <c r="N873" t="str">
        <f t="shared" si="83"/>
        <v>元件</v>
      </c>
      <c r="P873" s="2" t="s">
        <v>12585</v>
      </c>
      <c r="Q873" t="s">
        <v>11819</v>
      </c>
      <c r="R873">
        <v>0</v>
      </c>
    </row>
    <row r="874" spans="1:18" x14ac:dyDescent="0.25">
      <c r="A874" t="s">
        <v>11572</v>
      </c>
      <c r="C874" t="str">
        <f t="shared" si="78"/>
        <v>sz</v>
      </c>
      <c r="D874" t="str">
        <f t="shared" si="79"/>
        <v>sz000676</v>
      </c>
      <c r="E874" t="str">
        <f>VLOOKUP(A874,Table!B:C,2,0)</f>
        <v>智度股份</v>
      </c>
      <c r="F874" t="str">
        <f>TRIM(VLOOKUP(A874,Table!B:O,14,0))</f>
        <v>电子信息</v>
      </c>
      <c r="G874" t="str">
        <f>VLOOKUP(F874,industry!A:C,2,0)</f>
        <v>信息</v>
      </c>
      <c r="H874" t="str">
        <f>VLOOKUP(F874,industry!A:C,3,0)</f>
        <v>咨</v>
      </c>
      <c r="J874" s="2" t="s">
        <v>12585</v>
      </c>
      <c r="K874" t="str">
        <f t="shared" si="80"/>
        <v>sz000676</v>
      </c>
      <c r="L874" t="str">
        <f t="shared" si="81"/>
        <v>智度股份</v>
      </c>
      <c r="M874" t="str">
        <f t="shared" si="82"/>
        <v>信息</v>
      </c>
      <c r="N874" t="str">
        <f t="shared" si="83"/>
        <v>咨</v>
      </c>
      <c r="P874" s="2" t="s">
        <v>12585</v>
      </c>
      <c r="Q874" t="s">
        <v>12781</v>
      </c>
      <c r="R874">
        <v>0</v>
      </c>
    </row>
    <row r="875" spans="1:18" x14ac:dyDescent="0.25">
      <c r="A875" t="s">
        <v>11573</v>
      </c>
      <c r="C875" t="str">
        <f t="shared" si="78"/>
        <v>sz</v>
      </c>
      <c r="D875" t="str">
        <f t="shared" si="79"/>
        <v>sz000025</v>
      </c>
      <c r="E875" t="str">
        <f>VLOOKUP(A875,Table!B:C,2,0)</f>
        <v>特 力Ａ</v>
      </c>
      <c r="F875" t="str">
        <f>TRIM(VLOOKUP(A875,Table!B:O,14,0))</f>
        <v>汽车行业</v>
      </c>
      <c r="G875" t="str">
        <f>VLOOKUP(F875,industry!A:C,2,0)</f>
        <v>汽车</v>
      </c>
      <c r="H875" t="str">
        <f>VLOOKUP(F875,industry!A:C,3,0)</f>
        <v>车</v>
      </c>
      <c r="J875" s="2" t="s">
        <v>12585</v>
      </c>
      <c r="K875" t="str">
        <f t="shared" si="80"/>
        <v>sz000025</v>
      </c>
      <c r="L875" t="str">
        <f t="shared" si="81"/>
        <v>特 力Ａ</v>
      </c>
      <c r="M875" t="str">
        <f t="shared" si="82"/>
        <v>汽车</v>
      </c>
      <c r="N875" t="str">
        <f t="shared" si="83"/>
        <v>车</v>
      </c>
      <c r="P875" s="2" t="s">
        <v>12585</v>
      </c>
      <c r="Q875" t="s">
        <v>12324</v>
      </c>
      <c r="R875">
        <v>0</v>
      </c>
    </row>
    <row r="876" spans="1:18" x14ac:dyDescent="0.25">
      <c r="A876" t="s">
        <v>11574</v>
      </c>
      <c r="C876" t="str">
        <f t="shared" si="78"/>
        <v>sz</v>
      </c>
      <c r="D876" t="str">
        <f t="shared" si="79"/>
        <v>sz300679</v>
      </c>
      <c r="E876" t="str">
        <f>VLOOKUP(A876,Table!B:C,2,0)</f>
        <v>电连技术</v>
      </c>
      <c r="F876" t="str">
        <f>TRIM(VLOOKUP(A876,Table!B:O,14,0))</f>
        <v>电子元件</v>
      </c>
      <c r="G876" t="str">
        <f>VLOOKUP(F876,industry!A:C,2,0)</f>
        <v>原件</v>
      </c>
      <c r="H876" t="str">
        <f>VLOOKUP(F876,industry!A:C,3,0)</f>
        <v>元件</v>
      </c>
      <c r="J876" s="2" t="s">
        <v>12585</v>
      </c>
      <c r="K876" t="str">
        <f t="shared" si="80"/>
        <v>sz300679</v>
      </c>
      <c r="L876" t="str">
        <f t="shared" si="81"/>
        <v>电连技术</v>
      </c>
      <c r="M876" t="str">
        <f t="shared" si="82"/>
        <v>原件</v>
      </c>
      <c r="N876" t="str">
        <f t="shared" si="83"/>
        <v>元件</v>
      </c>
      <c r="P876" s="2" t="s">
        <v>12585</v>
      </c>
      <c r="Q876" t="s">
        <v>12782</v>
      </c>
      <c r="R876">
        <v>0</v>
      </c>
    </row>
    <row r="877" spans="1:18" x14ac:dyDescent="0.25">
      <c r="A877" t="s">
        <v>11575</v>
      </c>
      <c r="C877" t="str">
        <f t="shared" si="78"/>
        <v>sh</v>
      </c>
      <c r="D877" t="str">
        <f t="shared" si="79"/>
        <v>sh600845</v>
      </c>
      <c r="E877" t="str">
        <f>VLOOKUP(A877,Table!B:C,2,0)</f>
        <v>宝信软件</v>
      </c>
      <c r="F877" t="str">
        <f>TRIM(VLOOKUP(A877,Table!B:O,14,0))</f>
        <v>软件服务</v>
      </c>
      <c r="G877" t="str">
        <f>VLOOKUP(F877,industry!A:C,2,0)</f>
        <v>软件</v>
      </c>
      <c r="H877" t="str">
        <f>VLOOKUP(F877,industry!A:C,3,0)</f>
        <v>软</v>
      </c>
      <c r="J877" s="2" t="s">
        <v>12585</v>
      </c>
      <c r="K877" t="str">
        <f t="shared" si="80"/>
        <v>sh600845</v>
      </c>
      <c r="L877" t="str">
        <f t="shared" si="81"/>
        <v>宝信软件</v>
      </c>
      <c r="M877" t="str">
        <f t="shared" si="82"/>
        <v>软件</v>
      </c>
      <c r="N877" t="str">
        <f t="shared" si="83"/>
        <v>软</v>
      </c>
      <c r="P877" s="2" t="s">
        <v>12585</v>
      </c>
      <c r="Q877" t="s">
        <v>12783</v>
      </c>
      <c r="R877">
        <v>0</v>
      </c>
    </row>
    <row r="878" spans="1:18" x14ac:dyDescent="0.25">
      <c r="A878" t="s">
        <v>11576</v>
      </c>
      <c r="C878" t="str">
        <f t="shared" si="78"/>
        <v>sh</v>
      </c>
      <c r="D878" t="str">
        <f t="shared" si="79"/>
        <v>sh600198</v>
      </c>
      <c r="E878" t="str">
        <f>VLOOKUP(A878,Table!B:C,2,0)</f>
        <v>大唐电信</v>
      </c>
      <c r="F878" t="str">
        <f>TRIM(VLOOKUP(A878,Table!B:O,14,0))</f>
        <v>通讯行业</v>
      </c>
      <c r="G878" t="str">
        <f>VLOOKUP(F878,industry!A:C,2,0)</f>
        <v>通讯</v>
      </c>
      <c r="H878" t="str">
        <f>VLOOKUP(F878,industry!A:C,3,0)</f>
        <v>讯</v>
      </c>
      <c r="J878" s="2" t="s">
        <v>12585</v>
      </c>
      <c r="K878" t="str">
        <f t="shared" si="80"/>
        <v>sh600198</v>
      </c>
      <c r="L878" t="str">
        <f t="shared" si="81"/>
        <v>大唐电信</v>
      </c>
      <c r="M878" t="str">
        <f t="shared" si="82"/>
        <v>通讯</v>
      </c>
      <c r="N878" t="str">
        <f t="shared" si="83"/>
        <v>讯</v>
      </c>
      <c r="P878" s="2" t="s">
        <v>12585</v>
      </c>
      <c r="Q878" t="s">
        <v>11860</v>
      </c>
      <c r="R878">
        <v>0</v>
      </c>
    </row>
    <row r="879" spans="1:18" x14ac:dyDescent="0.25">
      <c r="A879" t="s">
        <v>11577</v>
      </c>
      <c r="C879" t="str">
        <f t="shared" si="78"/>
        <v>sh</v>
      </c>
      <c r="D879" t="str">
        <f t="shared" si="79"/>
        <v>sh600180</v>
      </c>
      <c r="E879" t="str">
        <f>VLOOKUP(A879,Table!B:C,2,0)</f>
        <v>瑞茂通</v>
      </c>
      <c r="F879" t="str">
        <f>TRIM(VLOOKUP(A879,Table!B:O,14,0))</f>
        <v>交运物流</v>
      </c>
      <c r="G879" t="str">
        <f>VLOOKUP(F879,industry!A:C,2,0)</f>
        <v>物流</v>
      </c>
      <c r="H879" t="str">
        <f>VLOOKUP(F879,industry!A:C,3,0)</f>
        <v>物</v>
      </c>
      <c r="J879" s="2" t="s">
        <v>12585</v>
      </c>
      <c r="K879" t="str">
        <f t="shared" si="80"/>
        <v>sh600180</v>
      </c>
      <c r="L879" t="str">
        <f t="shared" si="81"/>
        <v>瑞茂通</v>
      </c>
      <c r="M879" t="str">
        <f t="shared" si="82"/>
        <v>物流</v>
      </c>
      <c r="N879" t="str">
        <f t="shared" si="83"/>
        <v>物</v>
      </c>
      <c r="P879" s="2" t="s">
        <v>12585</v>
      </c>
      <c r="Q879" t="s">
        <v>12233</v>
      </c>
      <c r="R879">
        <v>0</v>
      </c>
    </row>
    <row r="880" spans="1:18" x14ac:dyDescent="0.25">
      <c r="A880" t="s">
        <v>11578</v>
      </c>
      <c r="C880" t="str">
        <f t="shared" si="78"/>
        <v>sh</v>
      </c>
      <c r="D880" t="str">
        <f t="shared" si="79"/>
        <v>sh600702</v>
      </c>
      <c r="E880" t="str">
        <f>VLOOKUP(A880,Table!B:C,2,0)</f>
        <v>沱牌舍得</v>
      </c>
      <c r="F880" t="str">
        <f>TRIM(VLOOKUP(A880,Table!B:O,14,0))</f>
        <v>酿酒行业</v>
      </c>
      <c r="G880" t="str">
        <f>VLOOKUP(F880,industry!A:C,2,0)</f>
        <v>酿酒</v>
      </c>
      <c r="H880" t="str">
        <f>VLOOKUP(F880,industry!A:C,3,0)</f>
        <v>酒</v>
      </c>
      <c r="J880" s="2" t="s">
        <v>12585</v>
      </c>
      <c r="K880" t="str">
        <f t="shared" si="80"/>
        <v>sh600702</v>
      </c>
      <c r="L880" t="str">
        <f t="shared" si="81"/>
        <v>沱牌舍得</v>
      </c>
      <c r="M880" t="str">
        <f t="shared" si="82"/>
        <v>酿酒</v>
      </c>
      <c r="N880" t="str">
        <f t="shared" si="83"/>
        <v>酒</v>
      </c>
      <c r="P880" s="2" t="s">
        <v>12585</v>
      </c>
      <c r="Q880" t="s">
        <v>12784</v>
      </c>
      <c r="R880">
        <v>0</v>
      </c>
    </row>
    <row r="881" spans="1:18" x14ac:dyDescent="0.25">
      <c r="A881" t="s">
        <v>11579</v>
      </c>
      <c r="C881" t="str">
        <f t="shared" si="78"/>
        <v>sh</v>
      </c>
      <c r="D881" t="str">
        <f t="shared" si="79"/>
        <v>sh603612</v>
      </c>
      <c r="E881" t="str">
        <f>VLOOKUP(A881,Table!B:C,2,0)</f>
        <v>索通发展</v>
      </c>
      <c r="F881" t="str">
        <f>TRIM(VLOOKUP(A881,Table!B:O,14,0))</f>
        <v>材料行业</v>
      </c>
      <c r="G881" t="str">
        <f>VLOOKUP(F881,industry!A:C,2,0)</f>
        <v>材料</v>
      </c>
      <c r="H881" t="str">
        <f>VLOOKUP(F881,industry!A:C,3,0)</f>
        <v>材</v>
      </c>
      <c r="J881" s="2" t="s">
        <v>12585</v>
      </c>
      <c r="K881" t="str">
        <f t="shared" si="80"/>
        <v>sh603612</v>
      </c>
      <c r="L881" t="str">
        <f t="shared" si="81"/>
        <v>索通发展</v>
      </c>
      <c r="M881" t="str">
        <f t="shared" si="82"/>
        <v>材料</v>
      </c>
      <c r="N881" t="str">
        <f t="shared" si="83"/>
        <v>材</v>
      </c>
      <c r="P881" s="2" t="s">
        <v>12585</v>
      </c>
      <c r="Q881" t="s">
        <v>12785</v>
      </c>
      <c r="R881">
        <v>0</v>
      </c>
    </row>
    <row r="882" spans="1:18" x14ac:dyDescent="0.25">
      <c r="A882" t="s">
        <v>11580</v>
      </c>
      <c r="C882" t="str">
        <f t="shared" si="78"/>
        <v>sh</v>
      </c>
      <c r="D882" t="str">
        <f t="shared" si="79"/>
        <v>sh600273</v>
      </c>
      <c r="E882" t="str">
        <f>VLOOKUP(A882,Table!B:C,2,0)</f>
        <v>嘉化能源</v>
      </c>
      <c r="F882" t="str">
        <f>TRIM(VLOOKUP(A882,Table!B:O,14,0))</f>
        <v>化工行业</v>
      </c>
      <c r="G882" t="str">
        <f>VLOOKUP(F882,industry!A:C,2,0)</f>
        <v>化工</v>
      </c>
      <c r="H882" t="str">
        <f>VLOOKUP(F882,industry!A:C,3,0)</f>
        <v>化</v>
      </c>
      <c r="J882" s="2" t="s">
        <v>12585</v>
      </c>
      <c r="K882" t="str">
        <f t="shared" si="80"/>
        <v>sh600273</v>
      </c>
      <c r="L882" t="str">
        <f t="shared" si="81"/>
        <v>嘉化能源</v>
      </c>
      <c r="M882" t="str">
        <f t="shared" si="82"/>
        <v>化工</v>
      </c>
      <c r="N882" t="str">
        <f t="shared" si="83"/>
        <v>化</v>
      </c>
      <c r="P882" s="2" t="s">
        <v>12585</v>
      </c>
      <c r="Q882" t="s">
        <v>12786</v>
      </c>
      <c r="R882">
        <v>0</v>
      </c>
    </row>
    <row r="883" spans="1:18" x14ac:dyDescent="0.25">
      <c r="A883" t="s">
        <v>11581</v>
      </c>
      <c r="C883" t="str">
        <f t="shared" si="78"/>
        <v>sz</v>
      </c>
      <c r="D883" t="str">
        <f t="shared" si="79"/>
        <v>sz300253</v>
      </c>
      <c r="E883" t="str">
        <f>VLOOKUP(A883,Table!B:C,2,0)</f>
        <v>卫宁健康</v>
      </c>
      <c r="F883" t="str">
        <f>TRIM(VLOOKUP(A883,Table!B:O,14,0))</f>
        <v>软件服务</v>
      </c>
      <c r="G883" t="str">
        <f>VLOOKUP(F883,industry!A:C,2,0)</f>
        <v>软件</v>
      </c>
      <c r="H883" t="str">
        <f>VLOOKUP(F883,industry!A:C,3,0)</f>
        <v>软</v>
      </c>
      <c r="J883" s="2" t="s">
        <v>12585</v>
      </c>
      <c r="K883" t="str">
        <f t="shared" si="80"/>
        <v>sz300253</v>
      </c>
      <c r="L883" t="str">
        <f t="shared" si="81"/>
        <v>卫宁健康</v>
      </c>
      <c r="M883" t="str">
        <f t="shared" si="82"/>
        <v>软件</v>
      </c>
      <c r="N883" t="str">
        <f t="shared" si="83"/>
        <v>软</v>
      </c>
      <c r="P883" s="2" t="s">
        <v>12585</v>
      </c>
      <c r="Q883" t="s">
        <v>12369</v>
      </c>
      <c r="R883">
        <v>0</v>
      </c>
    </row>
    <row r="884" spans="1:18" x14ac:dyDescent="0.25">
      <c r="A884" t="s">
        <v>11582</v>
      </c>
      <c r="C884" t="str">
        <f t="shared" si="78"/>
        <v>sh</v>
      </c>
      <c r="D884" t="str">
        <f t="shared" si="79"/>
        <v>sh603377</v>
      </c>
      <c r="E884" t="str">
        <f>VLOOKUP(A884,Table!B:C,2,0)</f>
        <v>东方时尚</v>
      </c>
      <c r="F884" t="str">
        <f>TRIM(VLOOKUP(A884,Table!B:O,14,0))</f>
        <v>交运物流</v>
      </c>
      <c r="G884" t="str">
        <f>VLOOKUP(F884,industry!A:C,2,0)</f>
        <v>物流</v>
      </c>
      <c r="H884" t="str">
        <f>VLOOKUP(F884,industry!A:C,3,0)</f>
        <v>物</v>
      </c>
      <c r="J884" s="2" t="s">
        <v>12585</v>
      </c>
      <c r="K884" t="str">
        <f t="shared" si="80"/>
        <v>sh603377</v>
      </c>
      <c r="L884" t="str">
        <f t="shared" si="81"/>
        <v>东方时尚</v>
      </c>
      <c r="M884" t="str">
        <f t="shared" si="82"/>
        <v>物流</v>
      </c>
      <c r="N884" t="str">
        <f t="shared" si="83"/>
        <v>物</v>
      </c>
      <c r="P884" s="2" t="s">
        <v>12585</v>
      </c>
      <c r="Q884" t="s">
        <v>11881</v>
      </c>
      <c r="R884">
        <v>0</v>
      </c>
    </row>
    <row r="885" spans="1:18" x14ac:dyDescent="0.25">
      <c r="A885" t="s">
        <v>11583</v>
      </c>
      <c r="C885" t="str">
        <f t="shared" si="78"/>
        <v>sh</v>
      </c>
      <c r="D885" t="str">
        <f t="shared" si="79"/>
        <v>sh603883</v>
      </c>
      <c r="E885" t="str">
        <f>VLOOKUP(A885,Table!B:C,2,0)</f>
        <v>老百姓</v>
      </c>
      <c r="F885" t="str">
        <f>TRIM(VLOOKUP(A885,Table!B:O,14,0))</f>
        <v>医药制造</v>
      </c>
      <c r="G885" t="str">
        <f>VLOOKUP(F885,industry!A:C,2,0)</f>
        <v>医药</v>
      </c>
      <c r="H885" t="str">
        <f>VLOOKUP(F885,industry!A:C,3,0)</f>
        <v>药</v>
      </c>
      <c r="J885" s="2" t="s">
        <v>12585</v>
      </c>
      <c r="K885" t="str">
        <f t="shared" si="80"/>
        <v>sh603883</v>
      </c>
      <c r="L885" t="str">
        <f t="shared" si="81"/>
        <v>老百姓</v>
      </c>
      <c r="M885" t="str">
        <f t="shared" si="82"/>
        <v>医药</v>
      </c>
      <c r="N885" t="str">
        <f t="shared" si="83"/>
        <v>药</v>
      </c>
      <c r="P885" s="2" t="s">
        <v>12585</v>
      </c>
      <c r="Q885" t="s">
        <v>12139</v>
      </c>
      <c r="R885">
        <v>0</v>
      </c>
    </row>
    <row r="886" spans="1:18" x14ac:dyDescent="0.25">
      <c r="A886" t="s">
        <v>11584</v>
      </c>
      <c r="C886" t="str">
        <f t="shared" si="78"/>
        <v>sh</v>
      </c>
      <c r="D886" t="str">
        <f t="shared" si="79"/>
        <v>sh600329</v>
      </c>
      <c r="E886" t="str">
        <f>VLOOKUP(A886,Table!B:C,2,0)</f>
        <v>中新药业</v>
      </c>
      <c r="F886" t="str">
        <f>TRIM(VLOOKUP(A886,Table!B:O,14,0))</f>
        <v>医药制造</v>
      </c>
      <c r="G886" t="str">
        <f>VLOOKUP(F886,industry!A:C,2,0)</f>
        <v>医药</v>
      </c>
      <c r="H886" t="str">
        <f>VLOOKUP(F886,industry!A:C,3,0)</f>
        <v>药</v>
      </c>
      <c r="J886" s="2" t="s">
        <v>12585</v>
      </c>
      <c r="K886" t="str">
        <f t="shared" si="80"/>
        <v>sh600329</v>
      </c>
      <c r="L886" t="str">
        <f t="shared" si="81"/>
        <v>中新药业</v>
      </c>
      <c r="M886" t="str">
        <f t="shared" si="82"/>
        <v>医药</v>
      </c>
      <c r="N886" t="str">
        <f t="shared" si="83"/>
        <v>药</v>
      </c>
      <c r="P886" s="2" t="s">
        <v>12585</v>
      </c>
      <c r="Q886" t="s">
        <v>12557</v>
      </c>
      <c r="R886">
        <v>0</v>
      </c>
    </row>
    <row r="887" spans="1:18" x14ac:dyDescent="0.25">
      <c r="A887" t="s">
        <v>11585</v>
      </c>
      <c r="C887" t="str">
        <f t="shared" si="78"/>
        <v>sh</v>
      </c>
      <c r="D887" t="str">
        <f t="shared" si="79"/>
        <v>sh603501</v>
      </c>
      <c r="E887" t="str">
        <f>VLOOKUP(A887,Table!B:C,2,0)</f>
        <v>韦尔股份</v>
      </c>
      <c r="F887" t="str">
        <f>TRIM(VLOOKUP(A887,Table!B:O,14,0))</f>
        <v>电子元件</v>
      </c>
      <c r="G887" t="str">
        <f>VLOOKUP(F887,industry!A:C,2,0)</f>
        <v>原件</v>
      </c>
      <c r="H887" t="str">
        <f>VLOOKUP(F887,industry!A:C,3,0)</f>
        <v>元件</v>
      </c>
      <c r="J887" s="2" t="s">
        <v>12585</v>
      </c>
      <c r="K887" t="str">
        <f t="shared" si="80"/>
        <v>sh603501</v>
      </c>
      <c r="L887" t="str">
        <f t="shared" si="81"/>
        <v>韦尔股份</v>
      </c>
      <c r="M887" t="str">
        <f t="shared" si="82"/>
        <v>原件</v>
      </c>
      <c r="N887" t="str">
        <f t="shared" si="83"/>
        <v>元件</v>
      </c>
      <c r="P887" s="2" t="s">
        <v>12585</v>
      </c>
      <c r="Q887" t="s">
        <v>12787</v>
      </c>
      <c r="R887">
        <v>0</v>
      </c>
    </row>
    <row r="888" spans="1:18" x14ac:dyDescent="0.25">
      <c r="A888" t="s">
        <v>11586</v>
      </c>
      <c r="C888" t="str">
        <f t="shared" si="78"/>
        <v>sz</v>
      </c>
      <c r="D888" t="str">
        <f t="shared" si="79"/>
        <v>sz300026</v>
      </c>
      <c r="E888" t="str">
        <f>VLOOKUP(A888,Table!B:C,2,0)</f>
        <v>红日药业</v>
      </c>
      <c r="F888" t="str">
        <f>TRIM(VLOOKUP(A888,Table!B:O,14,0))</f>
        <v>医药制造</v>
      </c>
      <c r="G888" t="str">
        <f>VLOOKUP(F888,industry!A:C,2,0)</f>
        <v>医药</v>
      </c>
      <c r="H888" t="str">
        <f>VLOOKUP(F888,industry!A:C,3,0)</f>
        <v>药</v>
      </c>
      <c r="J888" s="2" t="s">
        <v>12585</v>
      </c>
      <c r="K888" t="str">
        <f t="shared" si="80"/>
        <v>sz300026</v>
      </c>
      <c r="L888" t="str">
        <f t="shared" si="81"/>
        <v>红日药业</v>
      </c>
      <c r="M888" t="str">
        <f t="shared" si="82"/>
        <v>医药</v>
      </c>
      <c r="N888" t="str">
        <f t="shared" si="83"/>
        <v>药</v>
      </c>
      <c r="P888" s="2" t="s">
        <v>12585</v>
      </c>
      <c r="Q888" t="s">
        <v>12000</v>
      </c>
      <c r="R888">
        <v>0</v>
      </c>
    </row>
    <row r="889" spans="1:18" x14ac:dyDescent="0.25">
      <c r="A889" t="s">
        <v>11587</v>
      </c>
      <c r="C889" t="str">
        <f t="shared" si="78"/>
        <v>sz</v>
      </c>
      <c r="D889" t="str">
        <f t="shared" si="79"/>
        <v>sz002711</v>
      </c>
      <c r="E889" t="str">
        <f>VLOOKUP(A889,Table!B:C,2,0)</f>
        <v>欧浦智网</v>
      </c>
      <c r="F889" t="str">
        <f>TRIM(VLOOKUP(A889,Table!B:O,14,0))</f>
        <v>交运物流</v>
      </c>
      <c r="G889" t="str">
        <f>VLOOKUP(F889,industry!A:C,2,0)</f>
        <v>物流</v>
      </c>
      <c r="H889" t="str">
        <f>VLOOKUP(F889,industry!A:C,3,0)</f>
        <v>物</v>
      </c>
      <c r="J889" s="2" t="s">
        <v>12585</v>
      </c>
      <c r="K889" t="str">
        <f t="shared" si="80"/>
        <v>sz002711</v>
      </c>
      <c r="L889" t="str">
        <f t="shared" si="81"/>
        <v>欧浦智网</v>
      </c>
      <c r="M889" t="str">
        <f t="shared" si="82"/>
        <v>物流</v>
      </c>
      <c r="N889" t="str">
        <f t="shared" si="83"/>
        <v>物</v>
      </c>
      <c r="P889" s="2" t="s">
        <v>12585</v>
      </c>
      <c r="Q889" t="s">
        <v>12788</v>
      </c>
      <c r="R889">
        <v>0</v>
      </c>
    </row>
    <row r="890" spans="1:18" x14ac:dyDescent="0.25">
      <c r="A890" t="s">
        <v>11588</v>
      </c>
      <c r="C890" t="str">
        <f t="shared" si="78"/>
        <v>sz</v>
      </c>
      <c r="D890" t="str">
        <f t="shared" si="79"/>
        <v>sz000018</v>
      </c>
      <c r="E890" t="str">
        <f>VLOOKUP(A890,Table!B:C,2,0)</f>
        <v>神州长城</v>
      </c>
      <c r="F890" t="str">
        <f>TRIM(VLOOKUP(A890,Table!B:O,14,0))</f>
        <v>装修装饰</v>
      </c>
      <c r="G890" t="str">
        <f>VLOOKUP(F890,industry!A:C,2,0)</f>
        <v>装修</v>
      </c>
      <c r="H890" t="str">
        <f>VLOOKUP(F890,industry!A:C,3,0)</f>
        <v>饰</v>
      </c>
      <c r="J890" s="2" t="s">
        <v>12585</v>
      </c>
      <c r="K890" t="str">
        <f t="shared" si="80"/>
        <v>sz000018</v>
      </c>
      <c r="L890" t="str">
        <f t="shared" si="81"/>
        <v>神州长城</v>
      </c>
      <c r="M890" t="str">
        <f t="shared" si="82"/>
        <v>装修</v>
      </c>
      <c r="N890" t="str">
        <f t="shared" si="83"/>
        <v>饰</v>
      </c>
      <c r="P890" s="2" t="s">
        <v>12585</v>
      </c>
      <c r="Q890" t="s">
        <v>12789</v>
      </c>
      <c r="R890">
        <v>0</v>
      </c>
    </row>
    <row r="891" spans="1:18" x14ac:dyDescent="0.25">
      <c r="A891" t="s">
        <v>11589</v>
      </c>
      <c r="C891" t="str">
        <f t="shared" si="78"/>
        <v>sz</v>
      </c>
      <c r="D891" t="str">
        <f t="shared" si="79"/>
        <v>sz300287</v>
      </c>
      <c r="E891" t="str">
        <f>VLOOKUP(A891,Table!B:C,2,0)</f>
        <v>飞利信</v>
      </c>
      <c r="F891" t="str">
        <f>TRIM(VLOOKUP(A891,Table!B:O,14,0))</f>
        <v>软件服务</v>
      </c>
      <c r="G891" t="str">
        <f>VLOOKUP(F891,industry!A:C,2,0)</f>
        <v>软件</v>
      </c>
      <c r="H891" t="str">
        <f>VLOOKUP(F891,industry!A:C,3,0)</f>
        <v>软</v>
      </c>
      <c r="J891" s="2" t="s">
        <v>12585</v>
      </c>
      <c r="K891" t="str">
        <f t="shared" si="80"/>
        <v>sz300287</v>
      </c>
      <c r="L891" t="str">
        <f t="shared" si="81"/>
        <v>飞利信</v>
      </c>
      <c r="M891" t="str">
        <f t="shared" si="82"/>
        <v>软件</v>
      </c>
      <c r="N891" t="str">
        <f t="shared" si="83"/>
        <v>软</v>
      </c>
      <c r="P891" s="2" t="s">
        <v>12585</v>
      </c>
      <c r="Q891" t="s">
        <v>11906</v>
      </c>
      <c r="R891">
        <v>0</v>
      </c>
    </row>
    <row r="892" spans="1:18" x14ac:dyDescent="0.25">
      <c r="A892" t="s">
        <v>11590</v>
      </c>
      <c r="C892" t="str">
        <f t="shared" si="78"/>
        <v>sz</v>
      </c>
      <c r="D892" t="str">
        <f t="shared" si="79"/>
        <v>sz000766</v>
      </c>
      <c r="E892" t="str">
        <f>VLOOKUP(A892,Table!B:C,2,0)</f>
        <v>通化金马</v>
      </c>
      <c r="F892" t="str">
        <f>TRIM(VLOOKUP(A892,Table!B:O,14,0))</f>
        <v>医药制造</v>
      </c>
      <c r="G892" t="str">
        <f>VLOOKUP(F892,industry!A:C,2,0)</f>
        <v>医药</v>
      </c>
      <c r="H892" t="str">
        <f>VLOOKUP(F892,industry!A:C,3,0)</f>
        <v>药</v>
      </c>
      <c r="J892" s="2" t="s">
        <v>12585</v>
      </c>
      <c r="K892" t="str">
        <f t="shared" si="80"/>
        <v>sz000766</v>
      </c>
      <c r="L892" t="str">
        <f t="shared" si="81"/>
        <v>通化金马</v>
      </c>
      <c r="M892" t="str">
        <f t="shared" si="82"/>
        <v>医药</v>
      </c>
      <c r="N892" t="str">
        <f t="shared" si="83"/>
        <v>药</v>
      </c>
      <c r="P892" s="2" t="s">
        <v>12585</v>
      </c>
      <c r="Q892" t="s">
        <v>12790</v>
      </c>
      <c r="R892">
        <v>0</v>
      </c>
    </row>
    <row r="893" spans="1:18" x14ac:dyDescent="0.25">
      <c r="A893" t="s">
        <v>11591</v>
      </c>
      <c r="C893" t="str">
        <f t="shared" si="78"/>
        <v>sz</v>
      </c>
      <c r="D893" t="str">
        <f t="shared" si="79"/>
        <v>sz002303</v>
      </c>
      <c r="E893" t="str">
        <f>VLOOKUP(A893,Table!B:C,2,0)</f>
        <v>美盈森</v>
      </c>
      <c r="F893" t="str">
        <f>TRIM(VLOOKUP(A893,Table!B:O,14,0))</f>
        <v>包装材料</v>
      </c>
      <c r="G893" t="str">
        <f>VLOOKUP(F893,industry!A:C,2,0)</f>
        <v>包装</v>
      </c>
      <c r="H893" t="str">
        <f>VLOOKUP(F893,industry!A:C,3,0)</f>
        <v>包</v>
      </c>
      <c r="J893" s="2" t="s">
        <v>12585</v>
      </c>
      <c r="K893" t="str">
        <f t="shared" si="80"/>
        <v>sz002303</v>
      </c>
      <c r="L893" t="str">
        <f t="shared" si="81"/>
        <v>美盈森</v>
      </c>
      <c r="M893" t="str">
        <f t="shared" si="82"/>
        <v>包装</v>
      </c>
      <c r="N893" t="str">
        <f t="shared" si="83"/>
        <v>包</v>
      </c>
      <c r="P893" s="2" t="s">
        <v>12585</v>
      </c>
      <c r="Q893" t="s">
        <v>12791</v>
      </c>
      <c r="R893">
        <v>0</v>
      </c>
    </row>
    <row r="894" spans="1:18" x14ac:dyDescent="0.25">
      <c r="A894" t="s">
        <v>11592</v>
      </c>
      <c r="C894" t="str">
        <f t="shared" si="78"/>
        <v>sh</v>
      </c>
      <c r="D894" t="str">
        <f t="shared" si="79"/>
        <v>sh600072</v>
      </c>
      <c r="E894" t="str">
        <f>VLOOKUP(A894,Table!B:C,2,0)</f>
        <v>中船科技</v>
      </c>
      <c r="F894" t="str">
        <f>TRIM(VLOOKUP(A894,Table!B:O,14,0))</f>
        <v>船舶制造</v>
      </c>
      <c r="G894" t="str">
        <f>VLOOKUP(F894,industry!A:C,2,0)</f>
        <v>船舶</v>
      </c>
      <c r="H894" t="str">
        <f>VLOOKUP(F894,industry!A:C,3,0)</f>
        <v>船</v>
      </c>
      <c r="J894" s="2" t="s">
        <v>12585</v>
      </c>
      <c r="K894" t="str">
        <f t="shared" si="80"/>
        <v>sh600072</v>
      </c>
      <c r="L894" t="str">
        <f t="shared" si="81"/>
        <v>中船科技</v>
      </c>
      <c r="M894" t="str">
        <f t="shared" si="82"/>
        <v>船舶</v>
      </c>
      <c r="N894" t="str">
        <f t="shared" si="83"/>
        <v>船</v>
      </c>
      <c r="P894" s="2" t="s">
        <v>12585</v>
      </c>
      <c r="Q894" t="s">
        <v>12792</v>
      </c>
      <c r="R894">
        <v>0</v>
      </c>
    </row>
    <row r="895" spans="1:18" x14ac:dyDescent="0.25">
      <c r="A895" t="s">
        <v>11593</v>
      </c>
      <c r="C895" t="str">
        <f t="shared" si="78"/>
        <v>sz</v>
      </c>
      <c r="D895" t="str">
        <f t="shared" si="79"/>
        <v>sz000727</v>
      </c>
      <c r="E895" t="str">
        <f>VLOOKUP(A895,Table!B:C,2,0)</f>
        <v>华东科技</v>
      </c>
      <c r="F895" t="str">
        <f>TRIM(VLOOKUP(A895,Table!B:O,14,0))</f>
        <v>电子元件</v>
      </c>
      <c r="G895" t="str">
        <f>VLOOKUP(F895,industry!A:C,2,0)</f>
        <v>原件</v>
      </c>
      <c r="H895" t="str">
        <f>VLOOKUP(F895,industry!A:C,3,0)</f>
        <v>元件</v>
      </c>
      <c r="J895" s="2" t="s">
        <v>12585</v>
      </c>
      <c r="K895" t="str">
        <f t="shared" si="80"/>
        <v>sz000727</v>
      </c>
      <c r="L895" t="str">
        <f t="shared" si="81"/>
        <v>华东科技</v>
      </c>
      <c r="M895" t="str">
        <f t="shared" si="82"/>
        <v>原件</v>
      </c>
      <c r="N895" t="str">
        <f t="shared" si="83"/>
        <v>元件</v>
      </c>
      <c r="P895" s="2" t="s">
        <v>12585</v>
      </c>
      <c r="Q895" t="s">
        <v>12018</v>
      </c>
      <c r="R895">
        <v>0</v>
      </c>
    </row>
    <row r="896" spans="1:18" x14ac:dyDescent="0.25">
      <c r="A896" t="s">
        <v>11594</v>
      </c>
      <c r="C896" t="str">
        <f t="shared" si="78"/>
        <v>sh</v>
      </c>
      <c r="D896" t="str">
        <f t="shared" si="79"/>
        <v>sh600331</v>
      </c>
      <c r="E896" t="str">
        <f>VLOOKUP(A896,Table!B:C,2,0)</f>
        <v>宏达股份</v>
      </c>
      <c r="F896" t="str">
        <f>TRIM(VLOOKUP(A896,Table!B:O,14,0))</f>
        <v>有色金属</v>
      </c>
      <c r="G896" t="str">
        <f>VLOOKUP(F896,industry!A:C,2,0)</f>
        <v>有色</v>
      </c>
      <c r="H896" t="str">
        <f>VLOOKUP(F896,industry!A:C,3,0)</f>
        <v>色</v>
      </c>
      <c r="J896" s="2" t="s">
        <v>12585</v>
      </c>
      <c r="K896" t="str">
        <f t="shared" si="80"/>
        <v>sh600331</v>
      </c>
      <c r="L896" t="str">
        <f t="shared" si="81"/>
        <v>宏达股份</v>
      </c>
      <c r="M896" t="str">
        <f t="shared" si="82"/>
        <v>有色</v>
      </c>
      <c r="N896" t="str">
        <f t="shared" si="83"/>
        <v>色</v>
      </c>
      <c r="P896" s="2" t="s">
        <v>12585</v>
      </c>
      <c r="Q896" t="s">
        <v>12793</v>
      </c>
      <c r="R896">
        <v>0</v>
      </c>
    </row>
    <row r="897" spans="1:18" x14ac:dyDescent="0.25">
      <c r="A897" t="s">
        <v>11595</v>
      </c>
      <c r="C897" t="str">
        <f t="shared" si="78"/>
        <v>sh</v>
      </c>
      <c r="D897" t="str">
        <f t="shared" si="79"/>
        <v>sh603939</v>
      </c>
      <c r="E897" t="str">
        <f>VLOOKUP(A897,Table!B:C,2,0)</f>
        <v>益丰药房</v>
      </c>
      <c r="F897" t="str">
        <f>TRIM(VLOOKUP(A897,Table!B:O,14,0))</f>
        <v>医药制造</v>
      </c>
      <c r="G897" t="str">
        <f>VLOOKUP(F897,industry!A:C,2,0)</f>
        <v>医药</v>
      </c>
      <c r="H897" t="str">
        <f>VLOOKUP(F897,industry!A:C,3,0)</f>
        <v>药</v>
      </c>
      <c r="J897" s="2" t="s">
        <v>12585</v>
      </c>
      <c r="K897" t="str">
        <f t="shared" si="80"/>
        <v>sh603939</v>
      </c>
      <c r="L897" t="str">
        <f t="shared" si="81"/>
        <v>益丰药房</v>
      </c>
      <c r="M897" t="str">
        <f t="shared" si="82"/>
        <v>医药</v>
      </c>
      <c r="N897" t="str">
        <f t="shared" si="83"/>
        <v>药</v>
      </c>
      <c r="P897" s="2" t="s">
        <v>12585</v>
      </c>
      <c r="Q897" t="s">
        <v>12794</v>
      </c>
      <c r="R897">
        <v>0</v>
      </c>
    </row>
    <row r="898" spans="1:18" x14ac:dyDescent="0.25">
      <c r="A898" t="s">
        <v>11596</v>
      </c>
      <c r="C898" t="str">
        <f t="shared" si="78"/>
        <v>sz</v>
      </c>
      <c r="D898" t="str">
        <f t="shared" si="79"/>
        <v>sz002568</v>
      </c>
      <c r="E898" t="str">
        <f>VLOOKUP(A898,Table!B:C,2,0)</f>
        <v>百润股份</v>
      </c>
      <c r="F898" t="str">
        <f>TRIM(VLOOKUP(A898,Table!B:O,14,0))</f>
        <v>食品饮料</v>
      </c>
      <c r="G898" t="str">
        <f>VLOOKUP(F898,industry!A:C,2,0)</f>
        <v>食品</v>
      </c>
      <c r="H898" t="str">
        <f>VLOOKUP(F898,industry!A:C,3,0)</f>
        <v>食</v>
      </c>
      <c r="J898" s="2" t="s">
        <v>12585</v>
      </c>
      <c r="K898" t="str">
        <f t="shared" si="80"/>
        <v>sz002568</v>
      </c>
      <c r="L898" t="str">
        <f t="shared" si="81"/>
        <v>百润股份</v>
      </c>
      <c r="M898" t="str">
        <f t="shared" si="82"/>
        <v>食品</v>
      </c>
      <c r="N898" t="str">
        <f t="shared" si="83"/>
        <v>食</v>
      </c>
      <c r="P898" s="2" t="s">
        <v>12585</v>
      </c>
      <c r="Q898" t="s">
        <v>10628</v>
      </c>
      <c r="R898">
        <v>0</v>
      </c>
    </row>
    <row r="899" spans="1:18" x14ac:dyDescent="0.25">
      <c r="A899" t="s">
        <v>11597</v>
      </c>
      <c r="C899" t="str">
        <f t="shared" ref="C899:C962" si="84">IF(LEFT(A899,1)="6","sh","sz")</f>
        <v>sz</v>
      </c>
      <c r="D899" t="str">
        <f t="shared" ref="D899:D962" si="85">C899 &amp; A899</f>
        <v>sz002647</v>
      </c>
      <c r="E899" t="str">
        <f>VLOOKUP(A899,Table!B:C,2,0)</f>
        <v>民盛金科</v>
      </c>
      <c r="F899" t="str">
        <f>TRIM(VLOOKUP(A899,Table!B:O,14,0))</f>
        <v>电子信息</v>
      </c>
      <c r="G899" t="str">
        <f>VLOOKUP(F899,industry!A:C,2,0)</f>
        <v>信息</v>
      </c>
      <c r="H899" t="str">
        <f>VLOOKUP(F899,industry!A:C,3,0)</f>
        <v>咨</v>
      </c>
      <c r="J899" s="2" t="s">
        <v>12585</v>
      </c>
      <c r="K899" t="str">
        <f t="shared" ref="K899:K962" si="86">D899</f>
        <v>sz002647</v>
      </c>
      <c r="L899" t="str">
        <f t="shared" ref="L899:L962" si="87">E899</f>
        <v>民盛金科</v>
      </c>
      <c r="M899" t="str">
        <f t="shared" ref="M899:M962" si="88">G899</f>
        <v>信息</v>
      </c>
      <c r="N899" t="str">
        <f t="shared" ref="N899:N962" si="89">H899</f>
        <v>咨</v>
      </c>
      <c r="P899" s="2" t="s">
        <v>12585</v>
      </c>
      <c r="Q899" t="s">
        <v>12795</v>
      </c>
      <c r="R899">
        <v>0</v>
      </c>
    </row>
    <row r="900" spans="1:18" x14ac:dyDescent="0.25">
      <c r="A900" t="s">
        <v>11598</v>
      </c>
      <c r="C900" t="str">
        <f t="shared" si="84"/>
        <v>sh</v>
      </c>
      <c r="D900" t="str">
        <f t="shared" si="85"/>
        <v>sh600996</v>
      </c>
      <c r="E900" t="str">
        <f>VLOOKUP(A900,Table!B:C,2,0)</f>
        <v>贵广网络</v>
      </c>
      <c r="F900" t="str">
        <f>TRIM(VLOOKUP(A900,Table!B:O,14,0))</f>
        <v>文化传媒</v>
      </c>
      <c r="G900" t="str">
        <f>VLOOKUP(F900,industry!A:C,2,0)</f>
        <v>传媒</v>
      </c>
      <c r="H900" t="str">
        <f>VLOOKUP(F900,industry!A:C,3,0)</f>
        <v>传</v>
      </c>
      <c r="J900" s="2" t="s">
        <v>12585</v>
      </c>
      <c r="K900" t="str">
        <f t="shared" si="86"/>
        <v>sh600996</v>
      </c>
      <c r="L900" t="str">
        <f t="shared" si="87"/>
        <v>贵广网络</v>
      </c>
      <c r="M900" t="str">
        <f t="shared" si="88"/>
        <v>传媒</v>
      </c>
      <c r="N900" t="str">
        <f t="shared" si="89"/>
        <v>传</v>
      </c>
      <c r="P900" s="2" t="s">
        <v>12585</v>
      </c>
      <c r="Q900" t="s">
        <v>12796</v>
      </c>
      <c r="R900">
        <v>0</v>
      </c>
    </row>
    <row r="901" spans="1:18" x14ac:dyDescent="0.25">
      <c r="A901" t="s">
        <v>11599</v>
      </c>
      <c r="C901" t="str">
        <f t="shared" si="84"/>
        <v>sz</v>
      </c>
      <c r="D901" t="str">
        <f t="shared" si="85"/>
        <v>sz002501</v>
      </c>
      <c r="E901" t="str">
        <f>VLOOKUP(A901,Table!B:C,2,0)</f>
        <v>利源精制</v>
      </c>
      <c r="F901" t="str">
        <f>TRIM(VLOOKUP(A901,Table!B:O,14,0))</f>
        <v>有色金属</v>
      </c>
      <c r="G901" t="str">
        <f>VLOOKUP(F901,industry!A:C,2,0)</f>
        <v>有色</v>
      </c>
      <c r="H901" t="str">
        <f>VLOOKUP(F901,industry!A:C,3,0)</f>
        <v>色</v>
      </c>
      <c r="J901" s="2" t="s">
        <v>12585</v>
      </c>
      <c r="K901" t="str">
        <f t="shared" si="86"/>
        <v>sz002501</v>
      </c>
      <c r="L901" t="str">
        <f t="shared" si="87"/>
        <v>利源精制</v>
      </c>
      <c r="M901" t="str">
        <f t="shared" si="88"/>
        <v>有色</v>
      </c>
      <c r="N901" t="str">
        <f t="shared" si="89"/>
        <v>色</v>
      </c>
      <c r="P901" s="2" t="s">
        <v>12585</v>
      </c>
      <c r="Q901" t="s">
        <v>12797</v>
      </c>
      <c r="R901">
        <v>0</v>
      </c>
    </row>
    <row r="902" spans="1:18" x14ac:dyDescent="0.25">
      <c r="A902" t="s">
        <v>11600</v>
      </c>
      <c r="C902" t="str">
        <f t="shared" si="84"/>
        <v>sh</v>
      </c>
      <c r="D902" t="str">
        <f t="shared" si="85"/>
        <v>sh600619</v>
      </c>
      <c r="E902" t="str">
        <f>VLOOKUP(A902,Table!B:C,2,0)</f>
        <v>海立股份</v>
      </c>
      <c r="F902" t="str">
        <f>TRIM(VLOOKUP(A902,Table!B:O,14,0))</f>
        <v>机械行业</v>
      </c>
      <c r="G902" t="str">
        <f>VLOOKUP(F902,industry!A:C,2,0)</f>
        <v>机械</v>
      </c>
      <c r="H902" t="str">
        <f>VLOOKUP(F902,industry!A:C,3,0)</f>
        <v>械</v>
      </c>
      <c r="J902" s="2" t="s">
        <v>12585</v>
      </c>
      <c r="K902" t="str">
        <f t="shared" si="86"/>
        <v>sh600619</v>
      </c>
      <c r="L902" t="str">
        <f t="shared" si="87"/>
        <v>海立股份</v>
      </c>
      <c r="M902" t="str">
        <f t="shared" si="88"/>
        <v>机械</v>
      </c>
      <c r="N902" t="str">
        <f t="shared" si="89"/>
        <v>械</v>
      </c>
      <c r="P902" s="2" t="s">
        <v>12585</v>
      </c>
      <c r="Q902" t="s">
        <v>12798</v>
      </c>
      <c r="R902">
        <v>0</v>
      </c>
    </row>
    <row r="903" spans="1:18" x14ac:dyDescent="0.25">
      <c r="A903" t="s">
        <v>11601</v>
      </c>
      <c r="C903" t="str">
        <f t="shared" si="84"/>
        <v>sh</v>
      </c>
      <c r="D903" t="str">
        <f t="shared" si="85"/>
        <v>sh603555</v>
      </c>
      <c r="E903" t="str">
        <f>VLOOKUP(A903,Table!B:C,2,0)</f>
        <v>贵人鸟</v>
      </c>
      <c r="F903" t="str">
        <f>TRIM(VLOOKUP(A903,Table!B:O,14,0))</f>
        <v>纺织服装</v>
      </c>
      <c r="G903" t="str">
        <f>VLOOKUP(F903,industry!A:C,2,0)</f>
        <v>纺织</v>
      </c>
      <c r="H903" t="str">
        <f>VLOOKUP(F903,industry!A:C,3,0)</f>
        <v>纺</v>
      </c>
      <c r="J903" s="2" t="s">
        <v>12585</v>
      </c>
      <c r="K903" t="str">
        <f t="shared" si="86"/>
        <v>sh603555</v>
      </c>
      <c r="L903" t="str">
        <f t="shared" si="87"/>
        <v>贵人鸟</v>
      </c>
      <c r="M903" t="str">
        <f t="shared" si="88"/>
        <v>纺织</v>
      </c>
      <c r="N903" t="str">
        <f t="shared" si="89"/>
        <v>纺</v>
      </c>
      <c r="P903" s="2" t="s">
        <v>12585</v>
      </c>
      <c r="Q903" t="s">
        <v>11953</v>
      </c>
      <c r="R903">
        <v>0</v>
      </c>
    </row>
    <row r="904" spans="1:18" x14ac:dyDescent="0.25">
      <c r="A904" t="s">
        <v>11602</v>
      </c>
      <c r="C904" t="str">
        <f t="shared" si="84"/>
        <v>sz</v>
      </c>
      <c r="D904" t="str">
        <f t="shared" si="85"/>
        <v>sz002157</v>
      </c>
      <c r="E904" t="str">
        <f>VLOOKUP(A904,Table!B:C,2,0)</f>
        <v>正邦科技</v>
      </c>
      <c r="F904" t="str">
        <f>TRIM(VLOOKUP(A904,Table!B:O,14,0))</f>
        <v>农牧饲渔</v>
      </c>
      <c r="G904" t="str">
        <f>VLOOKUP(F904,industry!A:C,2,0)</f>
        <v>农渔</v>
      </c>
      <c r="H904" t="str">
        <f>VLOOKUP(F904,industry!A:C,3,0)</f>
        <v>渔</v>
      </c>
      <c r="J904" s="2" t="s">
        <v>12585</v>
      </c>
      <c r="K904" t="str">
        <f t="shared" si="86"/>
        <v>sz002157</v>
      </c>
      <c r="L904" t="str">
        <f t="shared" si="87"/>
        <v>正邦科技</v>
      </c>
      <c r="M904" t="str">
        <f t="shared" si="88"/>
        <v>农渔</v>
      </c>
      <c r="N904" t="str">
        <f t="shared" si="89"/>
        <v>渔</v>
      </c>
      <c r="P904" s="2" t="s">
        <v>12585</v>
      </c>
      <c r="Q904" t="s">
        <v>12799</v>
      </c>
      <c r="R904">
        <v>0</v>
      </c>
    </row>
    <row r="905" spans="1:18" x14ac:dyDescent="0.25">
      <c r="A905" t="s">
        <v>11603</v>
      </c>
      <c r="C905" t="str">
        <f t="shared" si="84"/>
        <v>sz</v>
      </c>
      <c r="D905" t="str">
        <f t="shared" si="85"/>
        <v>sz000090</v>
      </c>
      <c r="E905" t="str">
        <f>VLOOKUP(A905,Table!B:C,2,0)</f>
        <v>天健集团</v>
      </c>
      <c r="F905" t="str">
        <f>TRIM(VLOOKUP(A905,Table!B:O,14,0))</f>
        <v>工程建设</v>
      </c>
      <c r="G905" t="str">
        <f>VLOOKUP(F905,industry!A:C,2,0)</f>
        <v>工建</v>
      </c>
      <c r="H905" t="str">
        <f>VLOOKUP(F905,industry!A:C,3,0)</f>
        <v>建</v>
      </c>
      <c r="J905" s="2" t="s">
        <v>12585</v>
      </c>
      <c r="K905" t="str">
        <f t="shared" si="86"/>
        <v>sz000090</v>
      </c>
      <c r="L905" t="str">
        <f t="shared" si="87"/>
        <v>天健集团</v>
      </c>
      <c r="M905" t="str">
        <f t="shared" si="88"/>
        <v>工建</v>
      </c>
      <c r="N905" t="str">
        <f t="shared" si="89"/>
        <v>建</v>
      </c>
      <c r="P905" s="2" t="s">
        <v>12585</v>
      </c>
      <c r="Q905" t="s">
        <v>12330</v>
      </c>
      <c r="R905">
        <v>0</v>
      </c>
    </row>
    <row r="906" spans="1:18" x14ac:dyDescent="0.25">
      <c r="A906" t="s">
        <v>11604</v>
      </c>
      <c r="C906" t="str">
        <f t="shared" si="84"/>
        <v>sz</v>
      </c>
      <c r="D906" t="str">
        <f t="shared" si="85"/>
        <v>sz300297</v>
      </c>
      <c r="E906" t="str">
        <f>VLOOKUP(A906,Table!B:C,2,0)</f>
        <v>蓝盾股份</v>
      </c>
      <c r="F906" t="str">
        <f>TRIM(VLOOKUP(A906,Table!B:O,14,0))</f>
        <v>软件服务</v>
      </c>
      <c r="G906" t="str">
        <f>VLOOKUP(F906,industry!A:C,2,0)</f>
        <v>软件</v>
      </c>
      <c r="H906" t="str">
        <f>VLOOKUP(F906,industry!A:C,3,0)</f>
        <v>软</v>
      </c>
      <c r="J906" s="2" t="s">
        <v>12585</v>
      </c>
      <c r="K906" t="str">
        <f t="shared" si="86"/>
        <v>sz300297</v>
      </c>
      <c r="L906" t="str">
        <f t="shared" si="87"/>
        <v>蓝盾股份</v>
      </c>
      <c r="M906" t="str">
        <f t="shared" si="88"/>
        <v>软件</v>
      </c>
      <c r="N906" t="str">
        <f t="shared" si="89"/>
        <v>软</v>
      </c>
      <c r="P906" s="2" t="s">
        <v>12585</v>
      </c>
      <c r="Q906" t="s">
        <v>12135</v>
      </c>
      <c r="R906">
        <v>0</v>
      </c>
    </row>
    <row r="907" spans="1:18" x14ac:dyDescent="0.25">
      <c r="A907" t="s">
        <v>11605</v>
      </c>
      <c r="C907" t="str">
        <f t="shared" si="84"/>
        <v>sz</v>
      </c>
      <c r="D907" t="str">
        <f t="shared" si="85"/>
        <v>sz000930</v>
      </c>
      <c r="E907" t="str">
        <f>VLOOKUP(A907,Table!B:C,2,0)</f>
        <v>中粮生化</v>
      </c>
      <c r="F907" t="str">
        <f>TRIM(VLOOKUP(A907,Table!B:O,14,0))</f>
        <v>农牧饲渔</v>
      </c>
      <c r="G907" t="str">
        <f>VLOOKUP(F907,industry!A:C,2,0)</f>
        <v>农渔</v>
      </c>
      <c r="H907" t="str">
        <f>VLOOKUP(F907,industry!A:C,3,0)</f>
        <v>渔</v>
      </c>
      <c r="J907" s="2" t="s">
        <v>12585</v>
      </c>
      <c r="K907" t="str">
        <f t="shared" si="86"/>
        <v>sz000930</v>
      </c>
      <c r="L907" t="str">
        <f t="shared" si="87"/>
        <v>中粮生化</v>
      </c>
      <c r="M907" t="str">
        <f t="shared" si="88"/>
        <v>农渔</v>
      </c>
      <c r="N907" t="str">
        <f t="shared" si="89"/>
        <v>渔</v>
      </c>
      <c r="P907" s="2" t="s">
        <v>12585</v>
      </c>
      <c r="Q907" t="s">
        <v>12541</v>
      </c>
      <c r="R907">
        <v>0</v>
      </c>
    </row>
    <row r="908" spans="1:18" x14ac:dyDescent="0.25">
      <c r="A908" t="s">
        <v>11606</v>
      </c>
      <c r="C908" t="str">
        <f t="shared" si="84"/>
        <v>sh</v>
      </c>
      <c r="D908" t="str">
        <f t="shared" si="85"/>
        <v>sh601069</v>
      </c>
      <c r="E908" t="str">
        <f>VLOOKUP(A908,Table!B:C,2,0)</f>
        <v>西部黄金</v>
      </c>
      <c r="F908" t="str">
        <f>TRIM(VLOOKUP(A908,Table!B:O,14,0))</f>
        <v>贵金属</v>
      </c>
      <c r="G908" t="str">
        <f>VLOOKUP(F908,industry!A:C,2,0)</f>
        <v>贵金</v>
      </c>
      <c r="H908" t="str">
        <f>VLOOKUP(F908,industry!A:C,3,0)</f>
        <v>贵</v>
      </c>
      <c r="J908" s="2" t="s">
        <v>12585</v>
      </c>
      <c r="K908" t="str">
        <f t="shared" si="86"/>
        <v>sh601069</v>
      </c>
      <c r="L908" t="str">
        <f t="shared" si="87"/>
        <v>西部黄金</v>
      </c>
      <c r="M908" t="str">
        <f t="shared" si="88"/>
        <v>贵金</v>
      </c>
      <c r="N908" t="str">
        <f t="shared" si="89"/>
        <v>贵</v>
      </c>
      <c r="P908" s="2" t="s">
        <v>12585</v>
      </c>
      <c r="Q908" t="s">
        <v>12800</v>
      </c>
      <c r="R908">
        <v>0</v>
      </c>
    </row>
    <row r="909" spans="1:18" x14ac:dyDescent="0.25">
      <c r="A909" t="s">
        <v>11607</v>
      </c>
      <c r="C909" t="str">
        <f t="shared" si="84"/>
        <v>sz</v>
      </c>
      <c r="D909" t="str">
        <f t="shared" si="85"/>
        <v>sz000006</v>
      </c>
      <c r="E909" t="str">
        <f>VLOOKUP(A909,Table!B:C,2,0)</f>
        <v>深振业Ａ</v>
      </c>
      <c r="F909" t="str">
        <f>TRIM(VLOOKUP(A909,Table!B:O,14,0))</f>
        <v>房地产</v>
      </c>
      <c r="G909" t="str">
        <f>VLOOKUP(F909,industry!A:C,2,0)</f>
        <v>房产</v>
      </c>
      <c r="H909" t="str">
        <f>VLOOKUP(F909,industry!A:C,3,0)</f>
        <v>产</v>
      </c>
      <c r="J909" s="2" t="s">
        <v>12585</v>
      </c>
      <c r="K909" t="str">
        <f t="shared" si="86"/>
        <v>sz000006</v>
      </c>
      <c r="L909" t="str">
        <f t="shared" si="87"/>
        <v>深振业Ａ</v>
      </c>
      <c r="M909" t="str">
        <f t="shared" si="88"/>
        <v>房产</v>
      </c>
      <c r="N909" t="str">
        <f t="shared" si="89"/>
        <v>产</v>
      </c>
      <c r="P909" s="2" t="s">
        <v>12585</v>
      </c>
      <c r="Q909" t="s">
        <v>12265</v>
      </c>
      <c r="R909">
        <v>0</v>
      </c>
    </row>
    <row r="910" spans="1:18" x14ac:dyDescent="0.25">
      <c r="A910" t="s">
        <v>11608</v>
      </c>
      <c r="C910" t="str">
        <f t="shared" si="84"/>
        <v>sh</v>
      </c>
      <c r="D910" t="str">
        <f t="shared" si="85"/>
        <v>sh600093</v>
      </c>
      <c r="E910" t="str">
        <f>VLOOKUP(A910,Table!B:C,2,0)</f>
        <v>易见股份</v>
      </c>
      <c r="F910" t="str">
        <f>TRIM(VLOOKUP(A910,Table!B:O,14,0))</f>
        <v>多元金融</v>
      </c>
      <c r="G910" t="str">
        <f>VLOOKUP(F910,industry!A:C,2,0)</f>
        <v>多元</v>
      </c>
      <c r="H910" t="str">
        <f>VLOOKUP(F910,industry!A:C,3,0)</f>
        <v>融</v>
      </c>
      <c r="J910" s="2" t="s">
        <v>12585</v>
      </c>
      <c r="K910" t="str">
        <f t="shared" si="86"/>
        <v>sh600093</v>
      </c>
      <c r="L910" t="str">
        <f t="shared" si="87"/>
        <v>易见股份</v>
      </c>
      <c r="M910" t="str">
        <f t="shared" si="88"/>
        <v>多元</v>
      </c>
      <c r="N910" t="str">
        <f t="shared" si="89"/>
        <v>融</v>
      </c>
      <c r="P910" s="2" t="s">
        <v>12585</v>
      </c>
      <c r="Q910" t="s">
        <v>12801</v>
      </c>
      <c r="R910">
        <v>0</v>
      </c>
    </row>
    <row r="911" spans="1:18" x14ac:dyDescent="0.25">
      <c r="A911" t="s">
        <v>11609</v>
      </c>
      <c r="C911" t="str">
        <f t="shared" si="84"/>
        <v>sz</v>
      </c>
      <c r="D911" t="str">
        <f t="shared" si="85"/>
        <v>sz002668</v>
      </c>
      <c r="E911" t="str">
        <f>VLOOKUP(A911,Table!B:C,2,0)</f>
        <v>奥马电器</v>
      </c>
      <c r="F911" t="str">
        <f>TRIM(VLOOKUP(A911,Table!B:O,14,0))</f>
        <v>家电行业</v>
      </c>
      <c r="G911" t="str">
        <f>VLOOKUP(F911,industry!A:C,2,0)</f>
        <v>家电</v>
      </c>
      <c r="H911" t="str">
        <f>VLOOKUP(F911,industry!A:C,3,0)</f>
        <v>家</v>
      </c>
      <c r="J911" s="2" t="s">
        <v>12585</v>
      </c>
      <c r="K911" t="str">
        <f t="shared" si="86"/>
        <v>sz002668</v>
      </c>
      <c r="L911" t="str">
        <f t="shared" si="87"/>
        <v>奥马电器</v>
      </c>
      <c r="M911" t="str">
        <f t="shared" si="88"/>
        <v>家电</v>
      </c>
      <c r="N911" t="str">
        <f t="shared" si="89"/>
        <v>家</v>
      </c>
      <c r="P911" s="2" t="s">
        <v>12585</v>
      </c>
      <c r="Q911" t="s">
        <v>12802</v>
      </c>
      <c r="R911">
        <v>0</v>
      </c>
    </row>
    <row r="912" spans="1:18" x14ac:dyDescent="0.25">
      <c r="A912" t="s">
        <v>11610</v>
      </c>
      <c r="C912" t="str">
        <f t="shared" si="84"/>
        <v>sh</v>
      </c>
      <c r="D912" t="str">
        <f t="shared" si="85"/>
        <v>sh600017</v>
      </c>
      <c r="E912" t="str">
        <f>VLOOKUP(A912,Table!B:C,2,0)</f>
        <v>日照港</v>
      </c>
      <c r="F912" t="str">
        <f>TRIM(VLOOKUP(A912,Table!B:O,14,0))</f>
        <v>港口水运</v>
      </c>
      <c r="G912" t="str">
        <f>VLOOKUP(F912,industry!A:C,2,0)</f>
        <v>港口</v>
      </c>
      <c r="H912" t="str">
        <f>VLOOKUP(F912,industry!A:C,3,0)</f>
        <v>港</v>
      </c>
      <c r="J912" s="2" t="s">
        <v>12585</v>
      </c>
      <c r="K912" t="str">
        <f t="shared" si="86"/>
        <v>sh600017</v>
      </c>
      <c r="L912" t="str">
        <f t="shared" si="87"/>
        <v>日照港</v>
      </c>
      <c r="M912" t="str">
        <f t="shared" si="88"/>
        <v>港口</v>
      </c>
      <c r="N912" t="str">
        <f t="shared" si="89"/>
        <v>港</v>
      </c>
      <c r="P912" s="2" t="s">
        <v>12585</v>
      </c>
      <c r="Q912" t="s">
        <v>12225</v>
      </c>
      <c r="R912">
        <v>0</v>
      </c>
    </row>
    <row r="913" spans="1:18" x14ac:dyDescent="0.25">
      <c r="A913" t="s">
        <v>11611</v>
      </c>
      <c r="C913" t="str">
        <f t="shared" si="84"/>
        <v>sh</v>
      </c>
      <c r="D913" t="str">
        <f t="shared" si="85"/>
        <v>sh601717</v>
      </c>
      <c r="E913" t="str">
        <f>VLOOKUP(A913,Table!B:C,2,0)</f>
        <v>郑煤机</v>
      </c>
      <c r="F913" t="str">
        <f>TRIM(VLOOKUP(A913,Table!B:O,14,0))</f>
        <v>机械行业</v>
      </c>
      <c r="G913" t="str">
        <f>VLOOKUP(F913,industry!A:C,2,0)</f>
        <v>机械</v>
      </c>
      <c r="H913" t="str">
        <f>VLOOKUP(F913,industry!A:C,3,0)</f>
        <v>械</v>
      </c>
      <c r="J913" s="2" t="s">
        <v>12585</v>
      </c>
      <c r="K913" t="str">
        <f t="shared" si="86"/>
        <v>sh601717</v>
      </c>
      <c r="L913" t="str">
        <f t="shared" si="87"/>
        <v>郑煤机</v>
      </c>
      <c r="M913" t="str">
        <f t="shared" si="88"/>
        <v>机械</v>
      </c>
      <c r="N913" t="str">
        <f t="shared" si="89"/>
        <v>械</v>
      </c>
      <c r="P913" s="2" t="s">
        <v>12585</v>
      </c>
      <c r="Q913" t="s">
        <v>12502</v>
      </c>
      <c r="R913">
        <v>0</v>
      </c>
    </row>
    <row r="914" spans="1:18" x14ac:dyDescent="0.25">
      <c r="A914" t="s">
        <v>11612</v>
      </c>
      <c r="C914" t="str">
        <f t="shared" si="84"/>
        <v>sh</v>
      </c>
      <c r="D914" t="str">
        <f t="shared" si="85"/>
        <v>sh600486</v>
      </c>
      <c r="E914" t="str">
        <f>VLOOKUP(A914,Table!B:C,2,0)</f>
        <v>扬农化工</v>
      </c>
      <c r="F914" t="str">
        <f>TRIM(VLOOKUP(A914,Table!B:O,14,0))</f>
        <v>农药兽药</v>
      </c>
      <c r="G914" t="str">
        <f>VLOOKUP(F914,industry!A:C,2,0)</f>
        <v>农药</v>
      </c>
      <c r="H914" t="str">
        <f>VLOOKUP(F914,industry!A:C,3,0)</f>
        <v>兽</v>
      </c>
      <c r="J914" s="2" t="s">
        <v>12585</v>
      </c>
      <c r="K914" t="str">
        <f t="shared" si="86"/>
        <v>sh600486</v>
      </c>
      <c r="L914" t="str">
        <f t="shared" si="87"/>
        <v>扬农化工</v>
      </c>
      <c r="M914" t="str">
        <f t="shared" si="88"/>
        <v>农药</v>
      </c>
      <c r="N914" t="str">
        <f t="shared" si="89"/>
        <v>兽</v>
      </c>
      <c r="P914" s="2" t="s">
        <v>12585</v>
      </c>
      <c r="Q914" t="s">
        <v>12803</v>
      </c>
      <c r="R914">
        <v>0</v>
      </c>
    </row>
    <row r="915" spans="1:18" x14ac:dyDescent="0.25">
      <c r="A915" t="s">
        <v>11613</v>
      </c>
      <c r="C915" t="str">
        <f t="shared" si="84"/>
        <v>sh</v>
      </c>
      <c r="D915" t="str">
        <f t="shared" si="85"/>
        <v>sh600936</v>
      </c>
      <c r="E915" t="str">
        <f>VLOOKUP(A915,Table!B:C,2,0)</f>
        <v>广西广电</v>
      </c>
      <c r="F915" t="str">
        <f>TRIM(VLOOKUP(A915,Table!B:O,14,0))</f>
        <v>文化传媒</v>
      </c>
      <c r="G915" t="str">
        <f>VLOOKUP(F915,industry!A:C,2,0)</f>
        <v>传媒</v>
      </c>
      <c r="H915" t="str">
        <f>VLOOKUP(F915,industry!A:C,3,0)</f>
        <v>传</v>
      </c>
      <c r="J915" s="2" t="s">
        <v>12585</v>
      </c>
      <c r="K915" t="str">
        <f t="shared" si="86"/>
        <v>sh600936</v>
      </c>
      <c r="L915" t="str">
        <f t="shared" si="87"/>
        <v>广西广电</v>
      </c>
      <c r="M915" t="str">
        <f t="shared" si="88"/>
        <v>传媒</v>
      </c>
      <c r="N915" t="str">
        <f t="shared" si="89"/>
        <v>传</v>
      </c>
      <c r="P915" s="2" t="s">
        <v>12585</v>
      </c>
      <c r="Q915" t="s">
        <v>10412</v>
      </c>
      <c r="R915">
        <v>0</v>
      </c>
    </row>
    <row r="916" spans="1:18" x14ac:dyDescent="0.25">
      <c r="A916" t="s">
        <v>11614</v>
      </c>
      <c r="C916" t="str">
        <f t="shared" si="84"/>
        <v>sh</v>
      </c>
      <c r="D916" t="str">
        <f t="shared" si="85"/>
        <v>sh600400</v>
      </c>
      <c r="E916" t="str">
        <f>VLOOKUP(A916,Table!B:C,2,0)</f>
        <v>红豆股份</v>
      </c>
      <c r="F916" t="str">
        <f>TRIM(VLOOKUP(A916,Table!B:O,14,0))</f>
        <v>纺织服装</v>
      </c>
      <c r="G916" t="str">
        <f>VLOOKUP(F916,industry!A:C,2,0)</f>
        <v>纺织</v>
      </c>
      <c r="H916" t="str">
        <f>VLOOKUP(F916,industry!A:C,3,0)</f>
        <v>纺</v>
      </c>
      <c r="J916" s="2" t="s">
        <v>12585</v>
      </c>
      <c r="K916" t="str">
        <f t="shared" si="86"/>
        <v>sh600400</v>
      </c>
      <c r="L916" t="str">
        <f t="shared" si="87"/>
        <v>红豆股份</v>
      </c>
      <c r="M916" t="str">
        <f t="shared" si="88"/>
        <v>纺织</v>
      </c>
      <c r="N916" t="str">
        <f t="shared" si="89"/>
        <v>纺</v>
      </c>
      <c r="P916" s="2" t="s">
        <v>12585</v>
      </c>
      <c r="Q916" t="s">
        <v>12804</v>
      </c>
      <c r="R916">
        <v>0</v>
      </c>
    </row>
    <row r="917" spans="1:18" x14ac:dyDescent="0.25">
      <c r="A917" t="s">
        <v>11615</v>
      </c>
      <c r="C917" t="str">
        <f t="shared" si="84"/>
        <v>sh</v>
      </c>
      <c r="D917" t="str">
        <f t="shared" si="85"/>
        <v>sh600783</v>
      </c>
      <c r="E917" t="str">
        <f>VLOOKUP(A917,Table!B:C,2,0)</f>
        <v>鲁信创投</v>
      </c>
      <c r="F917" t="str">
        <f>TRIM(VLOOKUP(A917,Table!B:O,14,0))</f>
        <v>综合行业</v>
      </c>
      <c r="G917" t="str">
        <f>VLOOKUP(F917,industry!A:C,2,0)</f>
        <v>综合</v>
      </c>
      <c r="H917" t="str">
        <f>VLOOKUP(F917,industry!A:C,3,0)</f>
        <v>综</v>
      </c>
      <c r="J917" s="2" t="s">
        <v>12585</v>
      </c>
      <c r="K917" t="str">
        <f t="shared" si="86"/>
        <v>sh600783</v>
      </c>
      <c r="L917" t="str">
        <f t="shared" si="87"/>
        <v>鲁信创投</v>
      </c>
      <c r="M917" t="str">
        <f t="shared" si="88"/>
        <v>综合</v>
      </c>
      <c r="N917" t="str">
        <f t="shared" si="89"/>
        <v>综</v>
      </c>
      <c r="P917" s="2" t="s">
        <v>12585</v>
      </c>
      <c r="Q917" t="s">
        <v>12159</v>
      </c>
      <c r="R917">
        <v>0</v>
      </c>
    </row>
    <row r="918" spans="1:18" x14ac:dyDescent="0.25">
      <c r="A918" t="s">
        <v>11616</v>
      </c>
      <c r="C918" t="str">
        <f t="shared" si="84"/>
        <v>sz</v>
      </c>
      <c r="D918" t="str">
        <f t="shared" si="85"/>
        <v>sz000620</v>
      </c>
      <c r="E918" t="str">
        <f>VLOOKUP(A918,Table!B:C,2,0)</f>
        <v>新华联</v>
      </c>
      <c r="F918" t="str">
        <f>TRIM(VLOOKUP(A918,Table!B:O,14,0))</f>
        <v>房地产</v>
      </c>
      <c r="G918" t="str">
        <f>VLOOKUP(F918,industry!A:C,2,0)</f>
        <v>房产</v>
      </c>
      <c r="H918" t="str">
        <f>VLOOKUP(F918,industry!A:C,3,0)</f>
        <v>产</v>
      </c>
      <c r="J918" s="2" t="s">
        <v>12585</v>
      </c>
      <c r="K918" t="str">
        <f t="shared" si="86"/>
        <v>sz000620</v>
      </c>
      <c r="L918" t="str">
        <f t="shared" si="87"/>
        <v>新华联</v>
      </c>
      <c r="M918" t="str">
        <f t="shared" si="88"/>
        <v>房产</v>
      </c>
      <c r="N918" t="str">
        <f t="shared" si="89"/>
        <v>产</v>
      </c>
      <c r="P918" s="2" t="s">
        <v>12585</v>
      </c>
      <c r="Q918" t="s">
        <v>12398</v>
      </c>
      <c r="R918">
        <v>0</v>
      </c>
    </row>
    <row r="919" spans="1:18" x14ac:dyDescent="0.25">
      <c r="A919" t="s">
        <v>11617</v>
      </c>
      <c r="C919" t="str">
        <f t="shared" si="84"/>
        <v>sz</v>
      </c>
      <c r="D919" t="str">
        <f t="shared" si="85"/>
        <v>sz000828</v>
      </c>
      <c r="E919" t="str">
        <f>VLOOKUP(A919,Table!B:C,2,0)</f>
        <v>东莞控股</v>
      </c>
      <c r="F919" t="str">
        <f>TRIM(VLOOKUP(A919,Table!B:O,14,0))</f>
        <v>高速公路</v>
      </c>
      <c r="G919" t="str">
        <f>VLOOKUP(F919,industry!A:C,2,0)</f>
        <v>高速</v>
      </c>
      <c r="H919" t="str">
        <f>VLOOKUP(F919,industry!A:C,3,0)</f>
        <v>速</v>
      </c>
      <c r="J919" s="2" t="s">
        <v>12585</v>
      </c>
      <c r="K919" t="str">
        <f t="shared" si="86"/>
        <v>sz000828</v>
      </c>
      <c r="L919" t="str">
        <f t="shared" si="87"/>
        <v>东莞控股</v>
      </c>
      <c r="M919" t="str">
        <f t="shared" si="88"/>
        <v>高速</v>
      </c>
      <c r="N919" t="str">
        <f t="shared" si="89"/>
        <v>速</v>
      </c>
      <c r="P919" s="2" t="s">
        <v>12585</v>
      </c>
      <c r="Q919" t="s">
        <v>12805</v>
      </c>
      <c r="R919">
        <v>0</v>
      </c>
    </row>
    <row r="920" spans="1:18" x14ac:dyDescent="0.25">
      <c r="A920" t="s">
        <v>11618</v>
      </c>
      <c r="C920" t="str">
        <f t="shared" si="84"/>
        <v>sh</v>
      </c>
      <c r="D920" t="str">
        <f t="shared" si="85"/>
        <v>sh600395</v>
      </c>
      <c r="E920" t="str">
        <f>VLOOKUP(A920,Table!B:C,2,0)</f>
        <v>盘江股份</v>
      </c>
      <c r="F920" t="str">
        <f>TRIM(VLOOKUP(A920,Table!B:O,14,0))</f>
        <v>煤炭采选</v>
      </c>
      <c r="G920" t="str">
        <f>VLOOKUP(F920,industry!A:C,2,0)</f>
        <v>煤炭</v>
      </c>
      <c r="H920" t="str">
        <f>VLOOKUP(F920,industry!A:C,3,0)</f>
        <v>煤</v>
      </c>
      <c r="J920" s="2" t="s">
        <v>12585</v>
      </c>
      <c r="K920" t="str">
        <f t="shared" si="86"/>
        <v>sh600395</v>
      </c>
      <c r="L920" t="str">
        <f t="shared" si="87"/>
        <v>盘江股份</v>
      </c>
      <c r="M920" t="str">
        <f t="shared" si="88"/>
        <v>煤炭</v>
      </c>
      <c r="N920" t="str">
        <f t="shared" si="89"/>
        <v>煤</v>
      </c>
      <c r="P920" s="2" t="s">
        <v>12585</v>
      </c>
      <c r="Q920" t="s">
        <v>12195</v>
      </c>
      <c r="R920">
        <v>0</v>
      </c>
    </row>
    <row r="921" spans="1:18" x14ac:dyDescent="0.25">
      <c r="A921" t="s">
        <v>11619</v>
      </c>
      <c r="C921" t="str">
        <f t="shared" si="84"/>
        <v>sz</v>
      </c>
      <c r="D921" t="str">
        <f t="shared" si="85"/>
        <v>sz002413</v>
      </c>
      <c r="E921" t="str">
        <f>VLOOKUP(A921,Table!B:C,2,0)</f>
        <v>雷科防务</v>
      </c>
      <c r="F921" t="str">
        <f>TRIM(VLOOKUP(A921,Table!B:O,14,0))</f>
        <v>电子信息</v>
      </c>
      <c r="G921" t="str">
        <f>VLOOKUP(F921,industry!A:C,2,0)</f>
        <v>信息</v>
      </c>
      <c r="H921" t="str">
        <f>VLOOKUP(F921,industry!A:C,3,0)</f>
        <v>咨</v>
      </c>
      <c r="J921" s="2" t="s">
        <v>12585</v>
      </c>
      <c r="K921" t="str">
        <f t="shared" si="86"/>
        <v>sz002413</v>
      </c>
      <c r="L921" t="str">
        <f t="shared" si="87"/>
        <v>雷科防务</v>
      </c>
      <c r="M921" t="str">
        <f t="shared" si="88"/>
        <v>信息</v>
      </c>
      <c r="N921" t="str">
        <f t="shared" si="89"/>
        <v>咨</v>
      </c>
      <c r="P921" s="2" t="s">
        <v>12585</v>
      </c>
      <c r="Q921" t="s">
        <v>12806</v>
      </c>
      <c r="R921">
        <v>0</v>
      </c>
    </row>
    <row r="922" spans="1:18" x14ac:dyDescent="0.25">
      <c r="A922" t="s">
        <v>11620</v>
      </c>
      <c r="C922" t="str">
        <f t="shared" si="84"/>
        <v>sz</v>
      </c>
      <c r="D922" t="str">
        <f t="shared" si="85"/>
        <v>sz000902</v>
      </c>
      <c r="E922" t="str">
        <f>VLOOKUP(A922,Table!B:C,2,0)</f>
        <v>新洋丰</v>
      </c>
      <c r="F922" t="str">
        <f>TRIM(VLOOKUP(A922,Table!B:O,14,0))</f>
        <v>化肥行业</v>
      </c>
      <c r="G922" t="str">
        <f>VLOOKUP(F922,industry!A:C,2,0)</f>
        <v>化肥</v>
      </c>
      <c r="H922" t="str">
        <f>VLOOKUP(F922,industry!A:C,3,0)</f>
        <v>肥</v>
      </c>
      <c r="J922" s="2" t="s">
        <v>12585</v>
      </c>
      <c r="K922" t="str">
        <f t="shared" si="86"/>
        <v>sz000902</v>
      </c>
      <c r="L922" t="str">
        <f t="shared" si="87"/>
        <v>新洋丰</v>
      </c>
      <c r="M922" t="str">
        <f t="shared" si="88"/>
        <v>化肥</v>
      </c>
      <c r="N922" t="str">
        <f t="shared" si="89"/>
        <v>肥</v>
      </c>
      <c r="P922" s="2" t="s">
        <v>12585</v>
      </c>
      <c r="Q922" t="s">
        <v>12807</v>
      </c>
      <c r="R922">
        <v>0</v>
      </c>
    </row>
    <row r="923" spans="1:18" x14ac:dyDescent="0.25">
      <c r="A923" t="s">
        <v>11621</v>
      </c>
      <c r="C923" t="str">
        <f t="shared" si="84"/>
        <v>sh</v>
      </c>
      <c r="D923" t="str">
        <f t="shared" si="85"/>
        <v>sh603678</v>
      </c>
      <c r="E923" t="str">
        <f>VLOOKUP(A923,Table!B:C,2,0)</f>
        <v>火炬电子</v>
      </c>
      <c r="F923" t="str">
        <f>TRIM(VLOOKUP(A923,Table!B:O,14,0))</f>
        <v>电子元件</v>
      </c>
      <c r="G923" t="str">
        <f>VLOOKUP(F923,industry!A:C,2,0)</f>
        <v>原件</v>
      </c>
      <c r="H923" t="str">
        <f>VLOOKUP(F923,industry!A:C,3,0)</f>
        <v>元件</v>
      </c>
      <c r="J923" s="2" t="s">
        <v>12585</v>
      </c>
      <c r="K923" t="str">
        <f t="shared" si="86"/>
        <v>sh603678</v>
      </c>
      <c r="L923" t="str">
        <f t="shared" si="87"/>
        <v>火炬电子</v>
      </c>
      <c r="M923" t="str">
        <f t="shared" si="88"/>
        <v>原件</v>
      </c>
      <c r="N923" t="str">
        <f t="shared" si="89"/>
        <v>元件</v>
      </c>
      <c r="P923" s="2" t="s">
        <v>12585</v>
      </c>
      <c r="Q923" t="s">
        <v>12808</v>
      </c>
      <c r="R923">
        <v>0</v>
      </c>
    </row>
    <row r="924" spans="1:18" x14ac:dyDescent="0.25">
      <c r="A924" t="s">
        <v>11622</v>
      </c>
      <c r="C924" t="str">
        <f t="shared" si="84"/>
        <v>sh</v>
      </c>
      <c r="D924" t="str">
        <f t="shared" si="85"/>
        <v>sh600090</v>
      </c>
      <c r="E924" t="str">
        <f>VLOOKUP(A924,Table!B:C,2,0)</f>
        <v>同济堂</v>
      </c>
      <c r="F924" t="str">
        <f>TRIM(VLOOKUP(A924,Table!B:O,14,0))</f>
        <v>医疗行业</v>
      </c>
      <c r="G924" t="str">
        <f>VLOOKUP(F924,industry!A:C,2,0)</f>
        <v>医疗</v>
      </c>
      <c r="H924" t="str">
        <f>VLOOKUP(F924,industry!A:C,3,0)</f>
        <v>疗</v>
      </c>
      <c r="J924" s="2" t="s">
        <v>12585</v>
      </c>
      <c r="K924" t="str">
        <f t="shared" si="86"/>
        <v>sh600090</v>
      </c>
      <c r="L924" t="str">
        <f t="shared" si="87"/>
        <v>同济堂</v>
      </c>
      <c r="M924" t="str">
        <f t="shared" si="88"/>
        <v>医疗</v>
      </c>
      <c r="N924" t="str">
        <f t="shared" si="89"/>
        <v>疗</v>
      </c>
      <c r="P924" s="2" t="s">
        <v>12585</v>
      </c>
      <c r="Q924" t="s">
        <v>12809</v>
      </c>
      <c r="R924">
        <v>0</v>
      </c>
    </row>
    <row r="925" spans="1:18" x14ac:dyDescent="0.25">
      <c r="A925" t="s">
        <v>11623</v>
      </c>
      <c r="C925" t="str">
        <f t="shared" si="84"/>
        <v>sz</v>
      </c>
      <c r="D925" t="str">
        <f t="shared" si="85"/>
        <v>sz002522</v>
      </c>
      <c r="E925" t="str">
        <f>VLOOKUP(A925,Table!B:C,2,0)</f>
        <v>浙江众成</v>
      </c>
      <c r="F925" t="str">
        <f>TRIM(VLOOKUP(A925,Table!B:O,14,0))</f>
        <v>包装材料</v>
      </c>
      <c r="G925" t="str">
        <f>VLOOKUP(F925,industry!A:C,2,0)</f>
        <v>包装</v>
      </c>
      <c r="H925" t="str">
        <f>VLOOKUP(F925,industry!A:C,3,0)</f>
        <v>包</v>
      </c>
      <c r="J925" s="2" t="s">
        <v>12585</v>
      </c>
      <c r="K925" t="str">
        <f t="shared" si="86"/>
        <v>sz002522</v>
      </c>
      <c r="L925" t="str">
        <f t="shared" si="87"/>
        <v>浙江众成</v>
      </c>
      <c r="M925" t="str">
        <f t="shared" si="88"/>
        <v>包装</v>
      </c>
      <c r="N925" t="str">
        <f t="shared" si="89"/>
        <v>包</v>
      </c>
      <c r="P925" s="2" t="s">
        <v>12585</v>
      </c>
      <c r="Q925" t="s">
        <v>12810</v>
      </c>
      <c r="R925">
        <v>0</v>
      </c>
    </row>
    <row r="926" spans="1:18" x14ac:dyDescent="0.25">
      <c r="A926" t="s">
        <v>11624</v>
      </c>
      <c r="C926" t="str">
        <f t="shared" si="84"/>
        <v>sh</v>
      </c>
      <c r="D926" t="str">
        <f t="shared" si="85"/>
        <v>sh600611</v>
      </c>
      <c r="E926" t="str">
        <f>VLOOKUP(A926,Table!B:C,2,0)</f>
        <v>大众交通</v>
      </c>
      <c r="F926" t="str">
        <f>TRIM(VLOOKUP(A926,Table!B:O,14,0))</f>
        <v>交运物流</v>
      </c>
      <c r="G926" t="str">
        <f>VLOOKUP(F926,industry!A:C,2,0)</f>
        <v>物流</v>
      </c>
      <c r="H926" t="str">
        <f>VLOOKUP(F926,industry!A:C,3,0)</f>
        <v>物</v>
      </c>
      <c r="J926" s="2" t="s">
        <v>12585</v>
      </c>
      <c r="K926" t="str">
        <f t="shared" si="86"/>
        <v>sh600611</v>
      </c>
      <c r="L926" t="str">
        <f t="shared" si="87"/>
        <v>大众交通</v>
      </c>
      <c r="M926" t="str">
        <f t="shared" si="88"/>
        <v>物流</v>
      </c>
      <c r="N926" t="str">
        <f t="shared" si="89"/>
        <v>物</v>
      </c>
      <c r="P926" s="2" t="s">
        <v>12585</v>
      </c>
      <c r="Q926" t="s">
        <v>11865</v>
      </c>
      <c r="R926">
        <v>0</v>
      </c>
    </row>
    <row r="927" spans="1:18" x14ac:dyDescent="0.25">
      <c r="A927" t="s">
        <v>11625</v>
      </c>
      <c r="C927" t="str">
        <f t="shared" si="84"/>
        <v>sh</v>
      </c>
      <c r="D927" t="str">
        <f t="shared" si="85"/>
        <v>sh600876</v>
      </c>
      <c r="E927" t="str">
        <f>VLOOKUP(A927,Table!B:C,2,0)</f>
        <v>洛阳玻璃</v>
      </c>
      <c r="F927" t="str">
        <f>TRIM(VLOOKUP(A927,Table!B:O,14,0))</f>
        <v>玻璃陶瓷</v>
      </c>
      <c r="G927" t="str">
        <f>VLOOKUP(F927,industry!A:C,2,0)</f>
        <v>玻璃</v>
      </c>
      <c r="H927" t="str">
        <f>VLOOKUP(F927,industry!A:C,3,0)</f>
        <v>瓷</v>
      </c>
      <c r="J927" s="2" t="s">
        <v>12585</v>
      </c>
      <c r="K927" t="str">
        <f t="shared" si="86"/>
        <v>sh600876</v>
      </c>
      <c r="L927" t="str">
        <f t="shared" si="87"/>
        <v>洛阳玻璃</v>
      </c>
      <c r="M927" t="str">
        <f t="shared" si="88"/>
        <v>玻璃</v>
      </c>
      <c r="N927" t="str">
        <f t="shared" si="89"/>
        <v>瓷</v>
      </c>
      <c r="P927" s="2" t="s">
        <v>12585</v>
      </c>
      <c r="Q927" t="s">
        <v>12811</v>
      </c>
      <c r="R927">
        <v>0</v>
      </c>
    </row>
    <row r="928" spans="1:18" x14ac:dyDescent="0.25">
      <c r="A928" t="s">
        <v>11626</v>
      </c>
      <c r="C928" t="str">
        <f t="shared" si="84"/>
        <v>sz</v>
      </c>
      <c r="D928" t="str">
        <f t="shared" si="85"/>
        <v>sz002451</v>
      </c>
      <c r="E928" t="str">
        <f>VLOOKUP(A928,Table!B:C,2,0)</f>
        <v>摩恩电气</v>
      </c>
      <c r="F928" t="str">
        <f>TRIM(VLOOKUP(A928,Table!B:O,14,0))</f>
        <v>输配电气</v>
      </c>
      <c r="G928" t="str">
        <f>VLOOKUP(F928,industry!A:C,2,0)</f>
        <v>配电</v>
      </c>
      <c r="H928" t="str">
        <f>VLOOKUP(F928,industry!A:C,3,0)</f>
        <v>输电</v>
      </c>
      <c r="J928" s="2" t="s">
        <v>12585</v>
      </c>
      <c r="K928" t="str">
        <f t="shared" si="86"/>
        <v>sz002451</v>
      </c>
      <c r="L928" t="str">
        <f t="shared" si="87"/>
        <v>摩恩电气</v>
      </c>
      <c r="M928" t="str">
        <f t="shared" si="88"/>
        <v>配电</v>
      </c>
      <c r="N928" t="str">
        <f t="shared" si="89"/>
        <v>输电</v>
      </c>
      <c r="P928" s="2" t="s">
        <v>12585</v>
      </c>
      <c r="Q928" t="s">
        <v>12812</v>
      </c>
      <c r="R928">
        <v>0</v>
      </c>
    </row>
    <row r="929" spans="1:18" x14ac:dyDescent="0.25">
      <c r="A929" t="s">
        <v>11627</v>
      </c>
      <c r="C929" t="str">
        <f t="shared" si="84"/>
        <v>sz</v>
      </c>
      <c r="D929" t="str">
        <f t="shared" si="85"/>
        <v>sz000155</v>
      </c>
      <c r="E929" t="str">
        <f>VLOOKUP(A929,Table!B:C,2,0)</f>
        <v>*ST川化</v>
      </c>
      <c r="F929" t="str">
        <f>TRIM(VLOOKUP(A929,Table!B:O,14,0))</f>
        <v>化肥行业</v>
      </c>
      <c r="G929" t="str">
        <f>VLOOKUP(F929,industry!A:C,2,0)</f>
        <v>化肥</v>
      </c>
      <c r="H929" t="str">
        <f>VLOOKUP(F929,industry!A:C,3,0)</f>
        <v>肥</v>
      </c>
      <c r="J929" s="2" t="s">
        <v>12585</v>
      </c>
      <c r="K929" t="str">
        <f t="shared" si="86"/>
        <v>sz000155</v>
      </c>
      <c r="L929" t="str">
        <f t="shared" si="87"/>
        <v>*ST川化</v>
      </c>
      <c r="M929" t="str">
        <f t="shared" si="88"/>
        <v>化肥</v>
      </c>
      <c r="N929" t="str">
        <f t="shared" si="89"/>
        <v>肥</v>
      </c>
      <c r="P929" s="2" t="s">
        <v>12585</v>
      </c>
      <c r="Q929" t="s">
        <v>12813</v>
      </c>
      <c r="R929">
        <v>0</v>
      </c>
    </row>
    <row r="930" spans="1:18" x14ac:dyDescent="0.25">
      <c r="A930" t="s">
        <v>11628</v>
      </c>
      <c r="C930" t="str">
        <f t="shared" si="84"/>
        <v>sh</v>
      </c>
      <c r="D930" t="str">
        <f t="shared" si="85"/>
        <v>sh600478</v>
      </c>
      <c r="E930" t="str">
        <f>VLOOKUP(A930,Table!B:C,2,0)</f>
        <v>科力远</v>
      </c>
      <c r="F930" t="str">
        <f>TRIM(VLOOKUP(A930,Table!B:O,14,0))</f>
        <v>电子元件</v>
      </c>
      <c r="G930" t="str">
        <f>VLOOKUP(F930,industry!A:C,2,0)</f>
        <v>原件</v>
      </c>
      <c r="H930" t="str">
        <f>VLOOKUP(F930,industry!A:C,3,0)</f>
        <v>元件</v>
      </c>
      <c r="J930" s="2" t="s">
        <v>12585</v>
      </c>
      <c r="K930" t="str">
        <f t="shared" si="86"/>
        <v>sh600478</v>
      </c>
      <c r="L930" t="str">
        <f t="shared" si="87"/>
        <v>科力远</v>
      </c>
      <c r="M930" t="str">
        <f t="shared" si="88"/>
        <v>原件</v>
      </c>
      <c r="N930" t="str">
        <f t="shared" si="89"/>
        <v>元件</v>
      </c>
      <c r="P930" s="2" t="s">
        <v>12585</v>
      </c>
      <c r="Q930" t="s">
        <v>12123</v>
      </c>
      <c r="R930">
        <v>0</v>
      </c>
    </row>
    <row r="931" spans="1:18" x14ac:dyDescent="0.25">
      <c r="A931" t="s">
        <v>11629</v>
      </c>
      <c r="C931" t="str">
        <f t="shared" si="84"/>
        <v>sz</v>
      </c>
      <c r="D931" t="str">
        <f t="shared" si="85"/>
        <v>sz002694</v>
      </c>
      <c r="E931" t="str">
        <f>VLOOKUP(A931,Table!B:C,2,0)</f>
        <v>顾地科技</v>
      </c>
      <c r="F931" t="str">
        <f>TRIM(VLOOKUP(A931,Table!B:O,14,0))</f>
        <v>塑胶制品</v>
      </c>
      <c r="G931" t="str">
        <f>VLOOKUP(F931,industry!A:C,2,0)</f>
        <v>塑胶</v>
      </c>
      <c r="H931" t="str">
        <f>VLOOKUP(F931,industry!A:C,3,0)</f>
        <v>塑</v>
      </c>
      <c r="J931" s="2" t="s">
        <v>12585</v>
      </c>
      <c r="K931" t="str">
        <f t="shared" si="86"/>
        <v>sz002694</v>
      </c>
      <c r="L931" t="str">
        <f t="shared" si="87"/>
        <v>顾地科技</v>
      </c>
      <c r="M931" t="str">
        <f t="shared" si="88"/>
        <v>塑胶</v>
      </c>
      <c r="N931" t="str">
        <f t="shared" si="89"/>
        <v>塑</v>
      </c>
      <c r="P931" s="2" t="s">
        <v>12585</v>
      </c>
      <c r="Q931" t="s">
        <v>12814</v>
      </c>
      <c r="R931">
        <v>0</v>
      </c>
    </row>
    <row r="932" spans="1:18" x14ac:dyDescent="0.25">
      <c r="A932" t="s">
        <v>11630</v>
      </c>
      <c r="C932" t="str">
        <f t="shared" si="84"/>
        <v>sz</v>
      </c>
      <c r="D932" t="str">
        <f t="shared" si="85"/>
        <v>sz300009</v>
      </c>
      <c r="E932" t="str">
        <f>VLOOKUP(A932,Table!B:C,2,0)</f>
        <v>安科生物</v>
      </c>
      <c r="F932" t="str">
        <f>TRIM(VLOOKUP(A932,Table!B:O,14,0))</f>
        <v>医药制造</v>
      </c>
      <c r="G932" t="str">
        <f>VLOOKUP(F932,industry!A:C,2,0)</f>
        <v>医药</v>
      </c>
      <c r="H932" t="str">
        <f>VLOOKUP(F932,industry!A:C,3,0)</f>
        <v>药</v>
      </c>
      <c r="J932" s="2" t="s">
        <v>12585</v>
      </c>
      <c r="K932" t="str">
        <f t="shared" si="86"/>
        <v>sz300009</v>
      </c>
      <c r="L932" t="str">
        <f t="shared" si="87"/>
        <v>安科生物</v>
      </c>
      <c r="M932" t="str">
        <f t="shared" si="88"/>
        <v>医药</v>
      </c>
      <c r="N932" t="str">
        <f t="shared" si="89"/>
        <v>药</v>
      </c>
      <c r="P932" s="2" t="s">
        <v>12585</v>
      </c>
      <c r="Q932" t="s">
        <v>12815</v>
      </c>
      <c r="R932">
        <v>0</v>
      </c>
    </row>
    <row r="933" spans="1:18" x14ac:dyDescent="0.25">
      <c r="A933" t="s">
        <v>11631</v>
      </c>
      <c r="C933" t="str">
        <f t="shared" si="84"/>
        <v>sz</v>
      </c>
      <c r="D933" t="str">
        <f t="shared" si="85"/>
        <v>sz300237</v>
      </c>
      <c r="E933" t="str">
        <f>VLOOKUP(A933,Table!B:C,2,0)</f>
        <v>美晨科技</v>
      </c>
      <c r="F933" t="str">
        <f>TRIM(VLOOKUP(A933,Table!B:O,14,0))</f>
        <v>园林工程</v>
      </c>
      <c r="G933" t="str">
        <f>VLOOKUP(F933,industry!A:C,2,0)</f>
        <v>园林</v>
      </c>
      <c r="H933" t="str">
        <f>VLOOKUP(F933,industry!A:C,3,0)</f>
        <v>园</v>
      </c>
      <c r="J933" s="2" t="s">
        <v>12585</v>
      </c>
      <c r="K933" t="str">
        <f t="shared" si="86"/>
        <v>sz300237</v>
      </c>
      <c r="L933" t="str">
        <f t="shared" si="87"/>
        <v>美晨科技</v>
      </c>
      <c r="M933" t="str">
        <f t="shared" si="88"/>
        <v>园林</v>
      </c>
      <c r="N933" t="str">
        <f t="shared" si="89"/>
        <v>园</v>
      </c>
      <c r="P933" s="2" t="s">
        <v>12585</v>
      </c>
      <c r="Q933" t="s">
        <v>12816</v>
      </c>
      <c r="R933">
        <v>0</v>
      </c>
    </row>
    <row r="934" spans="1:18" x14ac:dyDescent="0.25">
      <c r="A934" t="s">
        <v>11632</v>
      </c>
      <c r="C934" t="str">
        <f t="shared" si="84"/>
        <v>sh</v>
      </c>
      <c r="D934" t="str">
        <f t="shared" si="85"/>
        <v>sh600748</v>
      </c>
      <c r="E934" t="str">
        <f>VLOOKUP(A934,Table!B:C,2,0)</f>
        <v>上实发展</v>
      </c>
      <c r="F934" t="str">
        <f>TRIM(VLOOKUP(A934,Table!B:O,14,0))</f>
        <v>房地产</v>
      </c>
      <c r="G934" t="str">
        <f>VLOOKUP(F934,industry!A:C,2,0)</f>
        <v>房产</v>
      </c>
      <c r="H934" t="str">
        <f>VLOOKUP(F934,industry!A:C,3,0)</f>
        <v>产</v>
      </c>
      <c r="J934" s="2" t="s">
        <v>12585</v>
      </c>
      <c r="K934" t="str">
        <f t="shared" si="86"/>
        <v>sh600748</v>
      </c>
      <c r="L934" t="str">
        <f t="shared" si="87"/>
        <v>上实发展</v>
      </c>
      <c r="M934" t="str">
        <f t="shared" si="88"/>
        <v>房产</v>
      </c>
      <c r="N934" t="str">
        <f t="shared" si="89"/>
        <v>产</v>
      </c>
      <c r="P934" s="2" t="s">
        <v>12585</v>
      </c>
      <c r="Q934" t="s">
        <v>12255</v>
      </c>
      <c r="R934">
        <v>0</v>
      </c>
    </row>
    <row r="935" spans="1:18" x14ac:dyDescent="0.25">
      <c r="A935" t="s">
        <v>11633</v>
      </c>
      <c r="C935" t="str">
        <f t="shared" si="84"/>
        <v>sh</v>
      </c>
      <c r="D935" t="str">
        <f t="shared" si="85"/>
        <v>sh603569</v>
      </c>
      <c r="E935" t="str">
        <f>VLOOKUP(A935,Table!B:C,2,0)</f>
        <v>长久物流</v>
      </c>
      <c r="F935" t="str">
        <f>TRIM(VLOOKUP(A935,Table!B:O,14,0))</f>
        <v>交运物流</v>
      </c>
      <c r="G935" t="str">
        <f>VLOOKUP(F935,industry!A:C,2,0)</f>
        <v>物流</v>
      </c>
      <c r="H935" t="str">
        <f>VLOOKUP(F935,industry!A:C,3,0)</f>
        <v>物</v>
      </c>
      <c r="J935" s="2" t="s">
        <v>12585</v>
      </c>
      <c r="K935" t="str">
        <f t="shared" si="86"/>
        <v>sh603569</v>
      </c>
      <c r="L935" t="str">
        <f t="shared" si="87"/>
        <v>长久物流</v>
      </c>
      <c r="M935" t="str">
        <f t="shared" si="88"/>
        <v>物流</v>
      </c>
      <c r="N935" t="str">
        <f t="shared" si="89"/>
        <v>物</v>
      </c>
      <c r="P935" s="2" t="s">
        <v>12585</v>
      </c>
      <c r="Q935" t="s">
        <v>10692</v>
      </c>
      <c r="R935">
        <v>0</v>
      </c>
    </row>
    <row r="936" spans="1:18" x14ac:dyDescent="0.25">
      <c r="A936" t="s">
        <v>11634</v>
      </c>
      <c r="C936" t="str">
        <f t="shared" si="84"/>
        <v>sz</v>
      </c>
      <c r="D936" t="str">
        <f t="shared" si="85"/>
        <v>sz002419</v>
      </c>
      <c r="E936" t="str">
        <f>VLOOKUP(A936,Table!B:C,2,0)</f>
        <v>天虹股份</v>
      </c>
      <c r="F936" t="str">
        <f>TRIM(VLOOKUP(A936,Table!B:O,14,0))</f>
        <v>商业百货</v>
      </c>
      <c r="G936" t="str">
        <f>VLOOKUP(F936,industry!A:C,2,0)</f>
        <v>百货</v>
      </c>
      <c r="H936" t="str">
        <f>VLOOKUP(F936,industry!A:C,3,0)</f>
        <v>商</v>
      </c>
      <c r="J936" s="2" t="s">
        <v>12585</v>
      </c>
      <c r="K936" t="str">
        <f t="shared" si="86"/>
        <v>sz002419</v>
      </c>
      <c r="L936" t="str">
        <f t="shared" si="87"/>
        <v>天虹股份</v>
      </c>
      <c r="M936" t="str">
        <f t="shared" si="88"/>
        <v>百货</v>
      </c>
      <c r="N936" t="str">
        <f t="shared" si="89"/>
        <v>商</v>
      </c>
      <c r="P936" s="2" t="s">
        <v>12585</v>
      </c>
      <c r="Q936" t="s">
        <v>12817</v>
      </c>
      <c r="R936">
        <v>0</v>
      </c>
    </row>
    <row r="937" spans="1:18" x14ac:dyDescent="0.25">
      <c r="A937" t="s">
        <v>11635</v>
      </c>
      <c r="C937" t="str">
        <f t="shared" si="84"/>
        <v>sh</v>
      </c>
      <c r="D937" t="str">
        <f t="shared" si="85"/>
        <v>sh600562</v>
      </c>
      <c r="E937" t="str">
        <f>VLOOKUP(A937,Table!B:C,2,0)</f>
        <v>国睿科技</v>
      </c>
      <c r="F937" t="str">
        <f>TRIM(VLOOKUP(A937,Table!B:O,14,0))</f>
        <v>机械行业</v>
      </c>
      <c r="G937" t="str">
        <f>VLOOKUP(F937,industry!A:C,2,0)</f>
        <v>机械</v>
      </c>
      <c r="H937" t="str">
        <f>VLOOKUP(F937,industry!A:C,3,0)</f>
        <v>械</v>
      </c>
      <c r="J937" s="2" t="s">
        <v>12585</v>
      </c>
      <c r="K937" t="str">
        <f t="shared" si="86"/>
        <v>sh600562</v>
      </c>
      <c r="L937" t="str">
        <f t="shared" si="87"/>
        <v>国睿科技</v>
      </c>
      <c r="M937" t="str">
        <f t="shared" si="88"/>
        <v>机械</v>
      </c>
      <c r="N937" t="str">
        <f t="shared" si="89"/>
        <v>械</v>
      </c>
      <c r="P937" s="2" t="s">
        <v>12585</v>
      </c>
      <c r="Q937" t="s">
        <v>12818</v>
      </c>
      <c r="R937">
        <v>0</v>
      </c>
    </row>
    <row r="938" spans="1:18" x14ac:dyDescent="0.25">
      <c r="A938" t="s">
        <v>11636</v>
      </c>
      <c r="C938" t="str">
        <f t="shared" si="84"/>
        <v>sz</v>
      </c>
      <c r="D938" t="str">
        <f t="shared" si="85"/>
        <v>sz000918</v>
      </c>
      <c r="E938" t="str">
        <f>VLOOKUP(A938,Table!B:C,2,0)</f>
        <v>嘉凯城</v>
      </c>
      <c r="F938" t="str">
        <f>TRIM(VLOOKUP(A938,Table!B:O,14,0))</f>
        <v>房地产</v>
      </c>
      <c r="G938" t="str">
        <f>VLOOKUP(F938,industry!A:C,2,0)</f>
        <v>房产</v>
      </c>
      <c r="H938" t="str">
        <f>VLOOKUP(F938,industry!A:C,3,0)</f>
        <v>产</v>
      </c>
      <c r="J938" s="2" t="s">
        <v>12585</v>
      </c>
      <c r="K938" t="str">
        <f t="shared" si="86"/>
        <v>sz000918</v>
      </c>
      <c r="L938" t="str">
        <f t="shared" si="87"/>
        <v>嘉凯城</v>
      </c>
      <c r="M938" t="str">
        <f t="shared" si="88"/>
        <v>房产</v>
      </c>
      <c r="N938" t="str">
        <f t="shared" si="89"/>
        <v>产</v>
      </c>
      <c r="P938" s="2" t="s">
        <v>12585</v>
      </c>
      <c r="Q938" t="s">
        <v>12819</v>
      </c>
      <c r="R938">
        <v>0</v>
      </c>
    </row>
    <row r="939" spans="1:18" x14ac:dyDescent="0.25">
      <c r="A939" t="s">
        <v>11637</v>
      </c>
      <c r="C939" t="str">
        <f t="shared" si="84"/>
        <v>sh</v>
      </c>
      <c r="D939" t="str">
        <f t="shared" si="85"/>
        <v>sh600701</v>
      </c>
      <c r="E939" t="str">
        <f>VLOOKUP(A939,Table!B:C,2,0)</f>
        <v>工大高新</v>
      </c>
      <c r="F939" t="str">
        <f>TRIM(VLOOKUP(A939,Table!B:O,14,0))</f>
        <v>综合行业</v>
      </c>
      <c r="G939" t="str">
        <f>VLOOKUP(F939,industry!A:C,2,0)</f>
        <v>综合</v>
      </c>
      <c r="H939" t="str">
        <f>VLOOKUP(F939,industry!A:C,3,0)</f>
        <v>综</v>
      </c>
      <c r="J939" s="2" t="s">
        <v>12585</v>
      </c>
      <c r="K939" t="str">
        <f t="shared" si="86"/>
        <v>sh600701</v>
      </c>
      <c r="L939" t="str">
        <f t="shared" si="87"/>
        <v>工大高新</v>
      </c>
      <c r="M939" t="str">
        <f t="shared" si="88"/>
        <v>综合</v>
      </c>
      <c r="N939" t="str">
        <f t="shared" si="89"/>
        <v>综</v>
      </c>
      <c r="P939" s="2" t="s">
        <v>12585</v>
      </c>
      <c r="Q939" t="s">
        <v>12820</v>
      </c>
      <c r="R939">
        <v>0</v>
      </c>
    </row>
    <row r="940" spans="1:18" x14ac:dyDescent="0.25">
      <c r="A940" t="s">
        <v>11638</v>
      </c>
      <c r="C940" t="str">
        <f t="shared" si="84"/>
        <v>sz</v>
      </c>
      <c r="D940" t="str">
        <f t="shared" si="85"/>
        <v>sz300083</v>
      </c>
      <c r="E940" t="str">
        <f>VLOOKUP(A940,Table!B:C,2,0)</f>
        <v>劲胜智能</v>
      </c>
      <c r="F940" t="str">
        <f>TRIM(VLOOKUP(A940,Table!B:O,14,0))</f>
        <v>金属制品</v>
      </c>
      <c r="G940" t="str">
        <f>VLOOKUP(F940,industry!A:C,2,0)</f>
        <v>金属</v>
      </c>
      <c r="H940" t="str">
        <f>VLOOKUP(F940,industry!A:C,3,0)</f>
        <v>金</v>
      </c>
      <c r="J940" s="2" t="s">
        <v>12585</v>
      </c>
      <c r="K940" t="str">
        <f t="shared" si="86"/>
        <v>sz300083</v>
      </c>
      <c r="L940" t="str">
        <f t="shared" si="87"/>
        <v>劲胜智能</v>
      </c>
      <c r="M940" t="str">
        <f t="shared" si="88"/>
        <v>金属</v>
      </c>
      <c r="N940" t="str">
        <f t="shared" si="89"/>
        <v>金</v>
      </c>
      <c r="P940" s="2" t="s">
        <v>12585</v>
      </c>
      <c r="Q940" t="s">
        <v>12821</v>
      </c>
      <c r="R940">
        <v>0</v>
      </c>
    </row>
    <row r="941" spans="1:18" x14ac:dyDescent="0.25">
      <c r="A941" t="s">
        <v>11639</v>
      </c>
      <c r="C941" t="str">
        <f t="shared" si="84"/>
        <v>sh</v>
      </c>
      <c r="D941" t="str">
        <f t="shared" si="85"/>
        <v>sh600185</v>
      </c>
      <c r="E941" t="str">
        <f>VLOOKUP(A941,Table!B:C,2,0)</f>
        <v>格力地产</v>
      </c>
      <c r="F941" t="str">
        <f>TRIM(VLOOKUP(A941,Table!B:O,14,0))</f>
        <v>房地产</v>
      </c>
      <c r="G941" t="str">
        <f>VLOOKUP(F941,industry!A:C,2,0)</f>
        <v>房产</v>
      </c>
      <c r="H941" t="str">
        <f>VLOOKUP(F941,industry!A:C,3,0)</f>
        <v>产</v>
      </c>
      <c r="J941" s="2" t="s">
        <v>12585</v>
      </c>
      <c r="K941" t="str">
        <f t="shared" si="86"/>
        <v>sh600185</v>
      </c>
      <c r="L941" t="str">
        <f t="shared" si="87"/>
        <v>格力地产</v>
      </c>
      <c r="M941" t="str">
        <f t="shared" si="88"/>
        <v>房产</v>
      </c>
      <c r="N941" t="str">
        <f t="shared" si="89"/>
        <v>产</v>
      </c>
      <c r="P941" s="2" t="s">
        <v>12585</v>
      </c>
      <c r="Q941" t="s">
        <v>12822</v>
      </c>
      <c r="R941">
        <v>0</v>
      </c>
    </row>
    <row r="942" spans="1:18" x14ac:dyDescent="0.25">
      <c r="A942" t="s">
        <v>11640</v>
      </c>
      <c r="C942" t="str">
        <f t="shared" si="84"/>
        <v>sz</v>
      </c>
      <c r="D942" t="str">
        <f t="shared" si="85"/>
        <v>sz300474</v>
      </c>
      <c r="E942" t="str">
        <f>VLOOKUP(A942,Table!B:C,2,0)</f>
        <v>景嘉微</v>
      </c>
      <c r="F942" t="str">
        <f>TRIM(VLOOKUP(A942,Table!B:O,14,0))</f>
        <v>电子信息</v>
      </c>
      <c r="G942" t="str">
        <f>VLOOKUP(F942,industry!A:C,2,0)</f>
        <v>信息</v>
      </c>
      <c r="H942" t="str">
        <f>VLOOKUP(F942,industry!A:C,3,0)</f>
        <v>咨</v>
      </c>
      <c r="J942" s="2" t="s">
        <v>12585</v>
      </c>
      <c r="K942" t="str">
        <f t="shared" si="86"/>
        <v>sz300474</v>
      </c>
      <c r="L942" t="str">
        <f t="shared" si="87"/>
        <v>景嘉微</v>
      </c>
      <c r="M942" t="str">
        <f t="shared" si="88"/>
        <v>信息</v>
      </c>
      <c r="N942" t="str">
        <f t="shared" si="89"/>
        <v>咨</v>
      </c>
      <c r="P942" s="2" t="s">
        <v>12585</v>
      </c>
      <c r="Q942" t="s">
        <v>12823</v>
      </c>
      <c r="R942">
        <v>0</v>
      </c>
    </row>
    <row r="943" spans="1:18" x14ac:dyDescent="0.25">
      <c r="A943" t="s">
        <v>11641</v>
      </c>
      <c r="C943" t="str">
        <f t="shared" si="84"/>
        <v>sh</v>
      </c>
      <c r="D943" t="str">
        <f t="shared" si="85"/>
        <v>sh600621</v>
      </c>
      <c r="E943" t="str">
        <f>VLOOKUP(A943,Table!B:C,2,0)</f>
        <v>华鑫股份</v>
      </c>
      <c r="F943" t="str">
        <f>TRIM(VLOOKUP(A943,Table!B:O,14,0))</f>
        <v>券商信托</v>
      </c>
      <c r="G943" t="str">
        <f>VLOOKUP(F943,industry!A:C,2,0)</f>
        <v>券商</v>
      </c>
      <c r="H943" t="str">
        <f>VLOOKUP(F943,industry!A:C,3,0)</f>
        <v>券</v>
      </c>
      <c r="J943" s="2" t="s">
        <v>12585</v>
      </c>
      <c r="K943" t="str">
        <f t="shared" si="86"/>
        <v>sh600621</v>
      </c>
      <c r="L943" t="str">
        <f t="shared" si="87"/>
        <v>华鑫股份</v>
      </c>
      <c r="M943" t="str">
        <f t="shared" si="88"/>
        <v>券商</v>
      </c>
      <c r="N943" t="str">
        <f t="shared" si="89"/>
        <v>券</v>
      </c>
      <c r="P943" s="2" t="s">
        <v>12585</v>
      </c>
      <c r="Q943" t="s">
        <v>12824</v>
      </c>
      <c r="R943">
        <v>0</v>
      </c>
    </row>
    <row r="944" spans="1:18" x14ac:dyDescent="0.25">
      <c r="A944" t="s">
        <v>11642</v>
      </c>
      <c r="C944" t="str">
        <f t="shared" si="84"/>
        <v>sh</v>
      </c>
      <c r="D944" t="str">
        <f t="shared" si="85"/>
        <v>sh600259</v>
      </c>
      <c r="E944" t="str">
        <f>VLOOKUP(A944,Table!B:C,2,0)</f>
        <v>广晟有色</v>
      </c>
      <c r="F944" t="str">
        <f>TRIM(VLOOKUP(A944,Table!B:O,14,0))</f>
        <v>有色金属</v>
      </c>
      <c r="G944" t="str">
        <f>VLOOKUP(F944,industry!A:C,2,0)</f>
        <v>有色</v>
      </c>
      <c r="H944" t="str">
        <f>VLOOKUP(F944,industry!A:C,3,0)</f>
        <v>色</v>
      </c>
      <c r="J944" s="2" t="s">
        <v>12585</v>
      </c>
      <c r="K944" t="str">
        <f t="shared" si="86"/>
        <v>sh600259</v>
      </c>
      <c r="L944" t="str">
        <f t="shared" si="87"/>
        <v>广晟有色</v>
      </c>
      <c r="M944" t="str">
        <f t="shared" si="88"/>
        <v>有色</v>
      </c>
      <c r="N944" t="str">
        <f t="shared" si="89"/>
        <v>色</v>
      </c>
      <c r="P944" s="2" t="s">
        <v>12585</v>
      </c>
      <c r="Q944" t="s">
        <v>11949</v>
      </c>
      <c r="R944">
        <v>0</v>
      </c>
    </row>
    <row r="945" spans="1:18" x14ac:dyDescent="0.25">
      <c r="A945" t="s">
        <v>11643</v>
      </c>
      <c r="C945" t="str">
        <f t="shared" si="84"/>
        <v>sh</v>
      </c>
      <c r="D945" t="str">
        <f t="shared" si="85"/>
        <v>sh601311</v>
      </c>
      <c r="E945" t="str">
        <f>VLOOKUP(A945,Table!B:C,2,0)</f>
        <v>骆驼股份</v>
      </c>
      <c r="F945" t="str">
        <f>TRIM(VLOOKUP(A945,Table!B:O,14,0))</f>
        <v>输配电气</v>
      </c>
      <c r="G945" t="str">
        <f>VLOOKUP(F945,industry!A:C,2,0)</f>
        <v>配电</v>
      </c>
      <c r="H945" t="str">
        <f>VLOOKUP(F945,industry!A:C,3,0)</f>
        <v>输电</v>
      </c>
      <c r="J945" s="2" t="s">
        <v>12585</v>
      </c>
      <c r="K945" t="str">
        <f t="shared" si="86"/>
        <v>sh601311</v>
      </c>
      <c r="L945" t="str">
        <f t="shared" si="87"/>
        <v>骆驼股份</v>
      </c>
      <c r="M945" t="str">
        <f t="shared" si="88"/>
        <v>配电</v>
      </c>
      <c r="N945" t="str">
        <f t="shared" si="89"/>
        <v>输电</v>
      </c>
      <c r="P945" s="2" t="s">
        <v>12585</v>
      </c>
      <c r="Q945" t="s">
        <v>12163</v>
      </c>
      <c r="R945">
        <v>0</v>
      </c>
    </row>
    <row r="946" spans="1:18" x14ac:dyDescent="0.25">
      <c r="A946" t="s">
        <v>11644</v>
      </c>
      <c r="C946" t="str">
        <f t="shared" si="84"/>
        <v>sz</v>
      </c>
      <c r="D946" t="str">
        <f t="shared" si="85"/>
        <v>sz002597</v>
      </c>
      <c r="E946" t="str">
        <f>VLOOKUP(A946,Table!B:C,2,0)</f>
        <v>金禾实业</v>
      </c>
      <c r="F946" t="str">
        <f>TRIM(VLOOKUP(A946,Table!B:O,14,0))</f>
        <v>化工行业</v>
      </c>
      <c r="G946" t="str">
        <f>VLOOKUP(F946,industry!A:C,2,0)</f>
        <v>化工</v>
      </c>
      <c r="H946" t="str">
        <f>VLOOKUP(F946,industry!A:C,3,0)</f>
        <v>化</v>
      </c>
      <c r="J946" s="2" t="s">
        <v>12585</v>
      </c>
      <c r="K946" t="str">
        <f t="shared" si="86"/>
        <v>sz002597</v>
      </c>
      <c r="L946" t="str">
        <f t="shared" si="87"/>
        <v>金禾实业</v>
      </c>
      <c r="M946" t="str">
        <f t="shared" si="88"/>
        <v>化工</v>
      </c>
      <c r="N946" t="str">
        <f t="shared" si="89"/>
        <v>化</v>
      </c>
      <c r="P946" s="2" t="s">
        <v>12585</v>
      </c>
      <c r="Q946" t="s">
        <v>12825</v>
      </c>
      <c r="R946">
        <v>0</v>
      </c>
    </row>
    <row r="947" spans="1:18" x14ac:dyDescent="0.25">
      <c r="A947" t="s">
        <v>11645</v>
      </c>
      <c r="C947" t="str">
        <f t="shared" si="84"/>
        <v>sz</v>
      </c>
      <c r="D947" t="str">
        <f t="shared" si="85"/>
        <v>sz002421</v>
      </c>
      <c r="E947" t="str">
        <f>VLOOKUP(A947,Table!B:C,2,0)</f>
        <v>达实智能</v>
      </c>
      <c r="F947" t="str">
        <f>TRIM(VLOOKUP(A947,Table!B:O,14,0))</f>
        <v>软件服务</v>
      </c>
      <c r="G947" t="str">
        <f>VLOOKUP(F947,industry!A:C,2,0)</f>
        <v>软件</v>
      </c>
      <c r="H947" t="str">
        <f>VLOOKUP(F947,industry!A:C,3,0)</f>
        <v>软</v>
      </c>
      <c r="J947" s="2" t="s">
        <v>12585</v>
      </c>
      <c r="K947" t="str">
        <f t="shared" si="86"/>
        <v>sz002421</v>
      </c>
      <c r="L947" t="str">
        <f t="shared" si="87"/>
        <v>达实智能</v>
      </c>
      <c r="M947" t="str">
        <f t="shared" si="88"/>
        <v>软件</v>
      </c>
      <c r="N947" t="str">
        <f t="shared" si="89"/>
        <v>软</v>
      </c>
      <c r="P947" s="2" t="s">
        <v>12585</v>
      </c>
      <c r="Q947" t="s">
        <v>12826</v>
      </c>
      <c r="R947">
        <v>0</v>
      </c>
    </row>
    <row r="948" spans="1:18" x14ac:dyDescent="0.25">
      <c r="A948" t="s">
        <v>11646</v>
      </c>
      <c r="C948" t="str">
        <f t="shared" si="84"/>
        <v>sh</v>
      </c>
      <c r="D948" t="str">
        <f t="shared" si="85"/>
        <v>sh603298</v>
      </c>
      <c r="E948" t="str">
        <f>VLOOKUP(A948,Table!B:C,2,0)</f>
        <v>杭叉集团</v>
      </c>
      <c r="F948" t="str">
        <f>TRIM(VLOOKUP(A948,Table!B:O,14,0))</f>
        <v>机械行业</v>
      </c>
      <c r="G948" t="str">
        <f>VLOOKUP(F948,industry!A:C,2,0)</f>
        <v>机械</v>
      </c>
      <c r="H948" t="str">
        <f>VLOOKUP(F948,industry!A:C,3,0)</f>
        <v>械</v>
      </c>
      <c r="J948" s="2" t="s">
        <v>12585</v>
      </c>
      <c r="K948" t="str">
        <f t="shared" si="86"/>
        <v>sh603298</v>
      </c>
      <c r="L948" t="str">
        <f t="shared" si="87"/>
        <v>杭叉集团</v>
      </c>
      <c r="M948" t="str">
        <f t="shared" si="88"/>
        <v>机械</v>
      </c>
      <c r="N948" t="str">
        <f t="shared" si="89"/>
        <v>械</v>
      </c>
      <c r="P948" s="2" t="s">
        <v>12585</v>
      </c>
      <c r="Q948" t="s">
        <v>12827</v>
      </c>
      <c r="R948">
        <v>0</v>
      </c>
    </row>
    <row r="949" spans="1:18" x14ac:dyDescent="0.25">
      <c r="A949" t="s">
        <v>11647</v>
      </c>
      <c r="C949" t="str">
        <f t="shared" si="84"/>
        <v>sh</v>
      </c>
      <c r="D949" t="str">
        <f t="shared" si="85"/>
        <v>sh600563</v>
      </c>
      <c r="E949" t="str">
        <f>VLOOKUP(A949,Table!B:C,2,0)</f>
        <v>法拉电子</v>
      </c>
      <c r="F949" t="str">
        <f>TRIM(VLOOKUP(A949,Table!B:O,14,0))</f>
        <v>电子元件</v>
      </c>
      <c r="G949" t="str">
        <f>VLOOKUP(F949,industry!A:C,2,0)</f>
        <v>原件</v>
      </c>
      <c r="H949" t="str">
        <f>VLOOKUP(F949,industry!A:C,3,0)</f>
        <v>元件</v>
      </c>
      <c r="J949" s="2" t="s">
        <v>12585</v>
      </c>
      <c r="K949" t="str">
        <f t="shared" si="86"/>
        <v>sh600563</v>
      </c>
      <c r="L949" t="str">
        <f t="shared" si="87"/>
        <v>法拉电子</v>
      </c>
      <c r="M949" t="str">
        <f t="shared" si="88"/>
        <v>原件</v>
      </c>
      <c r="N949" t="str">
        <f t="shared" si="89"/>
        <v>元件</v>
      </c>
      <c r="P949" s="2" t="s">
        <v>12585</v>
      </c>
      <c r="Q949" t="s">
        <v>11899</v>
      </c>
      <c r="R949">
        <v>0</v>
      </c>
    </row>
    <row r="950" spans="1:18" x14ac:dyDescent="0.25">
      <c r="A950" t="s">
        <v>11648</v>
      </c>
      <c r="C950" t="str">
        <f t="shared" si="84"/>
        <v>sh</v>
      </c>
      <c r="D950" t="str">
        <f t="shared" si="85"/>
        <v>sh603055</v>
      </c>
      <c r="E950" t="str">
        <f>VLOOKUP(A950,Table!B:C,2,0)</f>
        <v>台华新材</v>
      </c>
      <c r="F950" t="str">
        <f>TRIM(VLOOKUP(A950,Table!B:O,14,0))</f>
        <v>纺织服装</v>
      </c>
      <c r="G950" t="str">
        <f>VLOOKUP(F950,industry!A:C,2,0)</f>
        <v>纺织</v>
      </c>
      <c r="H950" t="str">
        <f>VLOOKUP(F950,industry!A:C,3,0)</f>
        <v>纺</v>
      </c>
      <c r="J950" s="2" t="s">
        <v>12585</v>
      </c>
      <c r="K950" t="str">
        <f t="shared" si="86"/>
        <v>sh603055</v>
      </c>
      <c r="L950" t="str">
        <f t="shared" si="87"/>
        <v>台华新材</v>
      </c>
      <c r="M950" t="str">
        <f t="shared" si="88"/>
        <v>纺织</v>
      </c>
      <c r="N950" t="str">
        <f t="shared" si="89"/>
        <v>纺</v>
      </c>
      <c r="P950" s="2" t="s">
        <v>12585</v>
      </c>
      <c r="Q950" t="s">
        <v>12828</v>
      </c>
      <c r="R950">
        <v>0</v>
      </c>
    </row>
    <row r="951" spans="1:18" x14ac:dyDescent="0.25">
      <c r="A951" t="s">
        <v>11649</v>
      </c>
      <c r="C951" t="str">
        <f t="shared" si="84"/>
        <v>sz</v>
      </c>
      <c r="D951" t="str">
        <f t="shared" si="85"/>
        <v>sz000525</v>
      </c>
      <c r="E951" t="str">
        <f>VLOOKUP(A951,Table!B:C,2,0)</f>
        <v>红 太 阳</v>
      </c>
      <c r="F951" t="str">
        <f>TRIM(VLOOKUP(A951,Table!B:O,14,0))</f>
        <v>化肥行业</v>
      </c>
      <c r="G951" t="str">
        <f>VLOOKUP(F951,industry!A:C,2,0)</f>
        <v>化肥</v>
      </c>
      <c r="H951" t="str">
        <f>VLOOKUP(F951,industry!A:C,3,0)</f>
        <v>肥</v>
      </c>
      <c r="J951" s="2" t="s">
        <v>12585</v>
      </c>
      <c r="K951" t="str">
        <f t="shared" si="86"/>
        <v>sz000525</v>
      </c>
      <c r="L951" t="str">
        <f t="shared" si="87"/>
        <v>红 太 阳</v>
      </c>
      <c r="M951" t="str">
        <f t="shared" si="88"/>
        <v>化肥</v>
      </c>
      <c r="N951" t="str">
        <f t="shared" si="89"/>
        <v>肥</v>
      </c>
      <c r="P951" s="2" t="s">
        <v>12585</v>
      </c>
      <c r="Q951" t="s">
        <v>12829</v>
      </c>
      <c r="R951">
        <v>0</v>
      </c>
    </row>
    <row r="952" spans="1:18" x14ac:dyDescent="0.25">
      <c r="A952" t="s">
        <v>11650</v>
      </c>
      <c r="C952" t="str">
        <f t="shared" si="84"/>
        <v>sh</v>
      </c>
      <c r="D952" t="str">
        <f t="shared" si="85"/>
        <v>sh603626</v>
      </c>
      <c r="E952" t="str">
        <f>VLOOKUP(A952,Table!B:C,2,0)</f>
        <v>科森科技</v>
      </c>
      <c r="F952" t="str">
        <f>TRIM(VLOOKUP(A952,Table!B:O,14,0))</f>
        <v>金属制品</v>
      </c>
      <c r="G952" t="str">
        <f>VLOOKUP(F952,industry!A:C,2,0)</f>
        <v>金属</v>
      </c>
      <c r="H952" t="str">
        <f>VLOOKUP(F952,industry!A:C,3,0)</f>
        <v>金</v>
      </c>
      <c r="J952" s="2" t="s">
        <v>12585</v>
      </c>
      <c r="K952" t="str">
        <f t="shared" si="86"/>
        <v>sh603626</v>
      </c>
      <c r="L952" t="str">
        <f t="shared" si="87"/>
        <v>科森科技</v>
      </c>
      <c r="M952" t="str">
        <f t="shared" si="88"/>
        <v>金属</v>
      </c>
      <c r="N952" t="str">
        <f t="shared" si="89"/>
        <v>金</v>
      </c>
      <c r="P952" s="2" t="s">
        <v>12585</v>
      </c>
      <c r="Q952" t="s">
        <v>12830</v>
      </c>
      <c r="R952">
        <v>0</v>
      </c>
    </row>
    <row r="953" spans="1:18" x14ac:dyDescent="0.25">
      <c r="A953" t="s">
        <v>11651</v>
      </c>
      <c r="C953" t="str">
        <f t="shared" si="84"/>
        <v>sz</v>
      </c>
      <c r="D953" t="str">
        <f t="shared" si="85"/>
        <v>sz002251</v>
      </c>
      <c r="E953" t="str">
        <f>VLOOKUP(A953,Table!B:C,2,0)</f>
        <v>步 步 高</v>
      </c>
      <c r="F953" t="str">
        <f>TRIM(VLOOKUP(A953,Table!B:O,14,0))</f>
        <v>商业百货</v>
      </c>
      <c r="G953" t="str">
        <f>VLOOKUP(F953,industry!A:C,2,0)</f>
        <v>百货</v>
      </c>
      <c r="H953" t="str">
        <f>VLOOKUP(F953,industry!A:C,3,0)</f>
        <v>商</v>
      </c>
      <c r="J953" s="2" t="s">
        <v>12585</v>
      </c>
      <c r="K953" t="str">
        <f t="shared" si="86"/>
        <v>sz002251</v>
      </c>
      <c r="L953" t="str">
        <f t="shared" si="87"/>
        <v>步 步 高</v>
      </c>
      <c r="M953" t="str">
        <f t="shared" si="88"/>
        <v>百货</v>
      </c>
      <c r="N953" t="str">
        <f t="shared" si="89"/>
        <v>商</v>
      </c>
      <c r="P953" s="2" t="s">
        <v>12585</v>
      </c>
      <c r="Q953" t="s">
        <v>11833</v>
      </c>
      <c r="R953">
        <v>0</v>
      </c>
    </row>
    <row r="954" spans="1:18" x14ac:dyDescent="0.25">
      <c r="A954" t="s">
        <v>11652</v>
      </c>
      <c r="C954" t="str">
        <f t="shared" si="84"/>
        <v>sz</v>
      </c>
      <c r="D954" t="str">
        <f t="shared" si="85"/>
        <v>sz002759</v>
      </c>
      <c r="E954" t="str">
        <f>VLOOKUP(A954,Table!B:C,2,0)</f>
        <v>天际股份</v>
      </c>
      <c r="F954" t="str">
        <f>TRIM(VLOOKUP(A954,Table!B:O,14,0))</f>
        <v>家电行业</v>
      </c>
      <c r="G954" t="str">
        <f>VLOOKUP(F954,industry!A:C,2,0)</f>
        <v>家电</v>
      </c>
      <c r="H954" t="str">
        <f>VLOOKUP(F954,industry!A:C,3,0)</f>
        <v>家</v>
      </c>
      <c r="J954" s="2" t="s">
        <v>12585</v>
      </c>
      <c r="K954" t="str">
        <f t="shared" si="86"/>
        <v>sz002759</v>
      </c>
      <c r="L954" t="str">
        <f t="shared" si="87"/>
        <v>天际股份</v>
      </c>
      <c r="M954" t="str">
        <f t="shared" si="88"/>
        <v>家电</v>
      </c>
      <c r="N954" t="str">
        <f t="shared" si="89"/>
        <v>家</v>
      </c>
      <c r="P954" s="2" t="s">
        <v>12585</v>
      </c>
      <c r="Q954" t="s">
        <v>12831</v>
      </c>
      <c r="R954">
        <v>0</v>
      </c>
    </row>
    <row r="955" spans="1:18" x14ac:dyDescent="0.25">
      <c r="A955" t="s">
        <v>11653</v>
      </c>
      <c r="C955" t="str">
        <f t="shared" si="84"/>
        <v>sh</v>
      </c>
      <c r="D955" t="str">
        <f t="shared" si="85"/>
        <v>sh600316</v>
      </c>
      <c r="E955" t="str">
        <f>VLOOKUP(A955,Table!B:C,2,0)</f>
        <v>洪都航空</v>
      </c>
      <c r="F955" t="str">
        <f>TRIM(VLOOKUP(A955,Table!B:O,14,0))</f>
        <v>航天航空</v>
      </c>
      <c r="G955" t="str">
        <f>VLOOKUP(F955,industry!A:C,2,0)</f>
        <v>航空</v>
      </c>
      <c r="H955" t="str">
        <f>VLOOKUP(F955,industry!A:C,3,0)</f>
        <v>航</v>
      </c>
      <c r="J955" s="2" t="s">
        <v>12585</v>
      </c>
      <c r="K955" t="str">
        <f t="shared" si="86"/>
        <v>sh600316</v>
      </c>
      <c r="L955" t="str">
        <f t="shared" si="87"/>
        <v>洪都航空</v>
      </c>
      <c r="M955" t="str">
        <f t="shared" si="88"/>
        <v>航空</v>
      </c>
      <c r="N955" t="str">
        <f t="shared" si="89"/>
        <v>航</v>
      </c>
      <c r="P955" s="2" t="s">
        <v>12585</v>
      </c>
      <c r="Q955" t="s">
        <v>12004</v>
      </c>
      <c r="R955">
        <v>0</v>
      </c>
    </row>
    <row r="956" spans="1:18" x14ac:dyDescent="0.25">
      <c r="A956" t="s">
        <v>11654</v>
      </c>
      <c r="C956" t="str">
        <f t="shared" si="84"/>
        <v>sz</v>
      </c>
      <c r="D956" t="str">
        <f t="shared" si="85"/>
        <v>sz000797</v>
      </c>
      <c r="E956" t="str">
        <f>VLOOKUP(A956,Table!B:C,2,0)</f>
        <v>中国武夷</v>
      </c>
      <c r="F956" t="str">
        <f>TRIM(VLOOKUP(A956,Table!B:O,14,0))</f>
        <v>房地产</v>
      </c>
      <c r="G956" t="str">
        <f>VLOOKUP(F956,industry!A:C,2,0)</f>
        <v>房产</v>
      </c>
      <c r="H956" t="str">
        <f>VLOOKUP(F956,industry!A:C,3,0)</f>
        <v>产</v>
      </c>
      <c r="J956" s="2" t="s">
        <v>12585</v>
      </c>
      <c r="K956" t="str">
        <f t="shared" si="86"/>
        <v>sz000797</v>
      </c>
      <c r="L956" t="str">
        <f t="shared" si="87"/>
        <v>中国武夷</v>
      </c>
      <c r="M956" t="str">
        <f t="shared" si="88"/>
        <v>房产</v>
      </c>
      <c r="N956" t="str">
        <f t="shared" si="89"/>
        <v>产</v>
      </c>
      <c r="P956" s="2" t="s">
        <v>12585</v>
      </c>
      <c r="Q956" t="s">
        <v>12832</v>
      </c>
      <c r="R956">
        <v>0</v>
      </c>
    </row>
    <row r="957" spans="1:18" x14ac:dyDescent="0.25">
      <c r="A957" t="s">
        <v>11655</v>
      </c>
      <c r="C957" t="str">
        <f t="shared" si="84"/>
        <v>sh</v>
      </c>
      <c r="D957" t="str">
        <f t="shared" si="85"/>
        <v>sh600963</v>
      </c>
      <c r="E957" t="str">
        <f>VLOOKUP(A957,Table!B:C,2,0)</f>
        <v>岳阳林纸</v>
      </c>
      <c r="F957" t="str">
        <f>TRIM(VLOOKUP(A957,Table!B:O,14,0))</f>
        <v>造纸印刷</v>
      </c>
      <c r="G957" t="str">
        <f>VLOOKUP(F957,industry!A:C,2,0)</f>
        <v>造纸</v>
      </c>
      <c r="H957" t="str">
        <f>VLOOKUP(F957,industry!A:C,3,0)</f>
        <v>纸</v>
      </c>
      <c r="J957" s="2" t="s">
        <v>12585</v>
      </c>
      <c r="K957" t="str">
        <f t="shared" si="86"/>
        <v>sh600963</v>
      </c>
      <c r="L957" t="str">
        <f t="shared" si="87"/>
        <v>岳阳林纸</v>
      </c>
      <c r="M957" t="str">
        <f t="shared" si="88"/>
        <v>造纸</v>
      </c>
      <c r="N957" t="str">
        <f t="shared" si="89"/>
        <v>纸</v>
      </c>
      <c r="P957" s="2" t="s">
        <v>12585</v>
      </c>
      <c r="Q957" t="s">
        <v>12833</v>
      </c>
      <c r="R957">
        <v>0</v>
      </c>
    </row>
    <row r="958" spans="1:18" x14ac:dyDescent="0.25">
      <c r="A958" t="s">
        <v>11656</v>
      </c>
      <c r="C958" t="str">
        <f t="shared" si="84"/>
        <v>sh</v>
      </c>
      <c r="D958" t="str">
        <f t="shared" si="85"/>
        <v>sh601020</v>
      </c>
      <c r="E958" t="str">
        <f>VLOOKUP(A958,Table!B:C,2,0)</f>
        <v>华钰矿业</v>
      </c>
      <c r="F958" t="str">
        <f>TRIM(VLOOKUP(A958,Table!B:O,14,0))</f>
        <v>有色金属</v>
      </c>
      <c r="G958" t="str">
        <f>VLOOKUP(F958,industry!A:C,2,0)</f>
        <v>有色</v>
      </c>
      <c r="H958" t="str">
        <f>VLOOKUP(F958,industry!A:C,3,0)</f>
        <v>色</v>
      </c>
      <c r="J958" s="2" t="s">
        <v>12585</v>
      </c>
      <c r="K958" t="str">
        <f t="shared" si="86"/>
        <v>sh601020</v>
      </c>
      <c r="L958" t="str">
        <f t="shared" si="87"/>
        <v>华钰矿业</v>
      </c>
      <c r="M958" t="str">
        <f t="shared" si="88"/>
        <v>有色</v>
      </c>
      <c r="N958" t="str">
        <f t="shared" si="89"/>
        <v>色</v>
      </c>
      <c r="P958" s="2" t="s">
        <v>12585</v>
      </c>
      <c r="Q958" t="s">
        <v>12834</v>
      </c>
      <c r="R958">
        <v>0</v>
      </c>
    </row>
    <row r="959" spans="1:18" x14ac:dyDescent="0.25">
      <c r="A959" t="s">
        <v>11657</v>
      </c>
      <c r="C959" t="str">
        <f t="shared" si="84"/>
        <v>sz</v>
      </c>
      <c r="D959" t="str">
        <f t="shared" si="85"/>
        <v>sz002690</v>
      </c>
      <c r="E959" t="str">
        <f>VLOOKUP(A959,Table!B:C,2,0)</f>
        <v>美亚光电</v>
      </c>
      <c r="F959" t="str">
        <f>TRIM(VLOOKUP(A959,Table!B:O,14,0))</f>
        <v>专用设备</v>
      </c>
      <c r="G959" t="str">
        <f>VLOOKUP(F959,industry!A:C,2,0)</f>
        <v>专用</v>
      </c>
      <c r="H959" t="str">
        <f>VLOOKUP(F959,industry!A:C,3,0)</f>
        <v>专</v>
      </c>
      <c r="J959" s="2" t="s">
        <v>12585</v>
      </c>
      <c r="K959" t="str">
        <f t="shared" si="86"/>
        <v>sz002690</v>
      </c>
      <c r="L959" t="str">
        <f t="shared" si="87"/>
        <v>美亚光电</v>
      </c>
      <c r="M959" t="str">
        <f t="shared" si="88"/>
        <v>专用</v>
      </c>
      <c r="N959" t="str">
        <f t="shared" si="89"/>
        <v>专</v>
      </c>
      <c r="P959" s="2" t="s">
        <v>12585</v>
      </c>
      <c r="Q959" t="s">
        <v>12180</v>
      </c>
      <c r="R959">
        <v>0</v>
      </c>
    </row>
    <row r="960" spans="1:18" x14ac:dyDescent="0.25">
      <c r="A960" t="s">
        <v>11658</v>
      </c>
      <c r="C960" t="str">
        <f t="shared" si="84"/>
        <v>sz</v>
      </c>
      <c r="D960" t="str">
        <f t="shared" si="85"/>
        <v>sz300271</v>
      </c>
      <c r="E960" t="str">
        <f>VLOOKUP(A960,Table!B:C,2,0)</f>
        <v>华宇软件</v>
      </c>
      <c r="F960" t="str">
        <f>TRIM(VLOOKUP(A960,Table!B:O,14,0))</f>
        <v>软件服务</v>
      </c>
      <c r="G960" t="str">
        <f>VLOOKUP(F960,industry!A:C,2,0)</f>
        <v>软件</v>
      </c>
      <c r="H960" t="str">
        <f>VLOOKUP(F960,industry!A:C,3,0)</f>
        <v>软</v>
      </c>
      <c r="J960" s="2" t="s">
        <v>12585</v>
      </c>
      <c r="K960" t="str">
        <f t="shared" si="86"/>
        <v>sz300271</v>
      </c>
      <c r="L960" t="str">
        <f t="shared" si="87"/>
        <v>华宇软件</v>
      </c>
      <c r="M960" t="str">
        <f t="shared" si="88"/>
        <v>软件</v>
      </c>
      <c r="N960" t="str">
        <f t="shared" si="89"/>
        <v>软</v>
      </c>
      <c r="P960" s="2" t="s">
        <v>12585</v>
      </c>
      <c r="Q960" t="s">
        <v>12835</v>
      </c>
      <c r="R960">
        <v>0</v>
      </c>
    </row>
    <row r="961" spans="1:18" x14ac:dyDescent="0.25">
      <c r="A961" t="s">
        <v>11659</v>
      </c>
      <c r="C961" t="str">
        <f t="shared" si="84"/>
        <v>sz</v>
      </c>
      <c r="D961" t="str">
        <f t="shared" si="85"/>
        <v>sz300118</v>
      </c>
      <c r="E961" t="str">
        <f>VLOOKUP(A961,Table!B:C,2,0)</f>
        <v>东方日升</v>
      </c>
      <c r="F961" t="str">
        <f>TRIM(VLOOKUP(A961,Table!B:O,14,0))</f>
        <v>输配电气</v>
      </c>
      <c r="G961" t="str">
        <f>VLOOKUP(F961,industry!A:C,2,0)</f>
        <v>配电</v>
      </c>
      <c r="H961" t="str">
        <f>VLOOKUP(F961,industry!A:C,3,0)</f>
        <v>输电</v>
      </c>
      <c r="J961" s="2" t="s">
        <v>12585</v>
      </c>
      <c r="K961" t="str">
        <f t="shared" si="86"/>
        <v>sz300118</v>
      </c>
      <c r="L961" t="str">
        <f t="shared" si="87"/>
        <v>东方日升</v>
      </c>
      <c r="M961" t="str">
        <f t="shared" si="88"/>
        <v>配电</v>
      </c>
      <c r="N961" t="str">
        <f t="shared" si="89"/>
        <v>输电</v>
      </c>
      <c r="P961" s="2" t="s">
        <v>12585</v>
      </c>
      <c r="Q961" t="s">
        <v>12836</v>
      </c>
      <c r="R961">
        <v>0</v>
      </c>
    </row>
    <row r="962" spans="1:18" x14ac:dyDescent="0.25">
      <c r="A962" t="s">
        <v>11660</v>
      </c>
      <c r="C962" t="str">
        <f t="shared" si="84"/>
        <v>sz</v>
      </c>
      <c r="D962" t="str">
        <f t="shared" si="85"/>
        <v>sz002041</v>
      </c>
      <c r="E962" t="str">
        <f>VLOOKUP(A962,Table!B:C,2,0)</f>
        <v>登海种业</v>
      </c>
      <c r="F962" t="str">
        <f>TRIM(VLOOKUP(A962,Table!B:O,14,0))</f>
        <v>农牧饲渔</v>
      </c>
      <c r="G962" t="str">
        <f>VLOOKUP(F962,industry!A:C,2,0)</f>
        <v>农渔</v>
      </c>
      <c r="H962" t="str">
        <f>VLOOKUP(F962,industry!A:C,3,0)</f>
        <v>渔</v>
      </c>
      <c r="J962" s="2" t="s">
        <v>12585</v>
      </c>
      <c r="K962" t="str">
        <f t="shared" si="86"/>
        <v>sz002041</v>
      </c>
      <c r="L962" t="str">
        <f t="shared" si="87"/>
        <v>登海种业</v>
      </c>
      <c r="M962" t="str">
        <f t="shared" si="88"/>
        <v>农渔</v>
      </c>
      <c r="N962" t="str">
        <f t="shared" si="89"/>
        <v>渔</v>
      </c>
      <c r="P962" s="2" t="s">
        <v>12585</v>
      </c>
      <c r="Q962" t="s">
        <v>11871</v>
      </c>
      <c r="R962">
        <v>0</v>
      </c>
    </row>
    <row r="963" spans="1:18" x14ac:dyDescent="0.25">
      <c r="A963" t="s">
        <v>11661</v>
      </c>
      <c r="C963" t="str">
        <f t="shared" ref="C963:C1001" si="90">IF(LEFT(A963,1)="6","sh","sz")</f>
        <v>sz</v>
      </c>
      <c r="D963" t="str">
        <f t="shared" ref="D963:D1001" si="91">C963 &amp; A963</f>
        <v>sz002308</v>
      </c>
      <c r="E963" t="str">
        <f>VLOOKUP(A963,Table!B:C,2,0)</f>
        <v>威创股份</v>
      </c>
      <c r="F963" t="str">
        <f>TRIM(VLOOKUP(A963,Table!B:O,14,0))</f>
        <v>电子元件</v>
      </c>
      <c r="G963" t="str">
        <f>VLOOKUP(F963,industry!A:C,2,0)</f>
        <v>原件</v>
      </c>
      <c r="H963" t="str">
        <f>VLOOKUP(F963,industry!A:C,3,0)</f>
        <v>元件</v>
      </c>
      <c r="J963" s="2" t="s">
        <v>12585</v>
      </c>
      <c r="K963" t="str">
        <f t="shared" ref="K963:K1001" si="92">D963</f>
        <v>sz002308</v>
      </c>
      <c r="L963" t="str">
        <f t="shared" ref="L963:L1001" si="93">E963</f>
        <v>威创股份</v>
      </c>
      <c r="M963" t="str">
        <f t="shared" ref="M963:M1001" si="94">G963</f>
        <v>原件</v>
      </c>
      <c r="N963" t="str">
        <f t="shared" ref="N963:N1001" si="95">H963</f>
        <v>元件</v>
      </c>
      <c r="P963" s="2" t="s">
        <v>12585</v>
      </c>
      <c r="Q963" t="s">
        <v>12361</v>
      </c>
      <c r="R963">
        <v>0</v>
      </c>
    </row>
    <row r="964" spans="1:18" x14ac:dyDescent="0.25">
      <c r="A964" t="s">
        <v>11662</v>
      </c>
      <c r="C964" t="str">
        <f t="shared" si="90"/>
        <v>sz</v>
      </c>
      <c r="D964" t="str">
        <f t="shared" si="91"/>
        <v>sz000683</v>
      </c>
      <c r="E964" t="str">
        <f>VLOOKUP(A964,Table!B:C,2,0)</f>
        <v>远兴能源</v>
      </c>
      <c r="F964" t="str">
        <f>TRIM(VLOOKUP(A964,Table!B:O,14,0))</f>
        <v>化工行业</v>
      </c>
      <c r="G964" t="str">
        <f>VLOOKUP(F964,industry!A:C,2,0)</f>
        <v>化工</v>
      </c>
      <c r="H964" t="str">
        <f>VLOOKUP(F964,industry!A:C,3,0)</f>
        <v>化</v>
      </c>
      <c r="J964" s="2" t="s">
        <v>12585</v>
      </c>
      <c r="K964" t="str">
        <f t="shared" si="92"/>
        <v>sz000683</v>
      </c>
      <c r="L964" t="str">
        <f t="shared" si="93"/>
        <v>远兴能源</v>
      </c>
      <c r="M964" t="str">
        <f t="shared" si="94"/>
        <v>化工</v>
      </c>
      <c r="N964" t="str">
        <f t="shared" si="95"/>
        <v>化</v>
      </c>
      <c r="P964" s="2" t="s">
        <v>12585</v>
      </c>
      <c r="Q964" t="s">
        <v>12837</v>
      </c>
      <c r="R964">
        <v>0</v>
      </c>
    </row>
    <row r="965" spans="1:18" x14ac:dyDescent="0.25">
      <c r="A965" t="s">
        <v>11663</v>
      </c>
      <c r="C965" t="str">
        <f t="shared" si="90"/>
        <v>sh</v>
      </c>
      <c r="D965" t="str">
        <f t="shared" si="91"/>
        <v>sh603218</v>
      </c>
      <c r="E965" t="str">
        <f>VLOOKUP(A965,Table!B:C,2,0)</f>
        <v>日月股份</v>
      </c>
      <c r="F965" t="str">
        <f>TRIM(VLOOKUP(A965,Table!B:O,14,0))</f>
        <v>机械行业</v>
      </c>
      <c r="G965" t="str">
        <f>VLOOKUP(F965,industry!A:C,2,0)</f>
        <v>机械</v>
      </c>
      <c r="H965" t="str">
        <f>VLOOKUP(F965,industry!A:C,3,0)</f>
        <v>械</v>
      </c>
      <c r="J965" s="2" t="s">
        <v>12585</v>
      </c>
      <c r="K965" t="str">
        <f t="shared" si="92"/>
        <v>sh603218</v>
      </c>
      <c r="L965" t="str">
        <f t="shared" si="93"/>
        <v>日月股份</v>
      </c>
      <c r="M965" t="str">
        <f t="shared" si="94"/>
        <v>机械</v>
      </c>
      <c r="N965" t="str">
        <f t="shared" si="95"/>
        <v>械</v>
      </c>
      <c r="P965" s="2" t="s">
        <v>12585</v>
      </c>
      <c r="Q965" t="s">
        <v>12838</v>
      </c>
      <c r="R965">
        <v>0</v>
      </c>
    </row>
    <row r="966" spans="1:18" x14ac:dyDescent="0.25">
      <c r="A966" t="s">
        <v>11664</v>
      </c>
      <c r="C966" t="str">
        <f t="shared" si="90"/>
        <v>sz</v>
      </c>
      <c r="D966" t="str">
        <f t="shared" si="91"/>
        <v>sz002396</v>
      </c>
      <c r="E966" t="str">
        <f>VLOOKUP(A966,Table!B:C,2,0)</f>
        <v>星网锐捷</v>
      </c>
      <c r="F966" t="str">
        <f>TRIM(VLOOKUP(A966,Table!B:O,14,0))</f>
        <v>通讯行业</v>
      </c>
      <c r="G966" t="str">
        <f>VLOOKUP(F966,industry!A:C,2,0)</f>
        <v>通讯</v>
      </c>
      <c r="H966" t="str">
        <f>VLOOKUP(F966,industry!A:C,3,0)</f>
        <v>讯</v>
      </c>
      <c r="J966" s="2" t="s">
        <v>12585</v>
      </c>
      <c r="K966" t="str">
        <f t="shared" si="92"/>
        <v>sz002396</v>
      </c>
      <c r="L966" t="str">
        <f t="shared" si="93"/>
        <v>星网锐捷</v>
      </c>
      <c r="M966" t="str">
        <f t="shared" si="94"/>
        <v>通讯</v>
      </c>
      <c r="N966" t="str">
        <f t="shared" si="95"/>
        <v>讯</v>
      </c>
      <c r="P966" s="2" t="s">
        <v>12585</v>
      </c>
      <c r="Q966" t="s">
        <v>12412</v>
      </c>
      <c r="R966">
        <v>0</v>
      </c>
    </row>
    <row r="967" spans="1:18" x14ac:dyDescent="0.25">
      <c r="A967" t="s">
        <v>11665</v>
      </c>
      <c r="C967" t="str">
        <f t="shared" si="90"/>
        <v>sz</v>
      </c>
      <c r="D967" t="str">
        <f t="shared" si="91"/>
        <v>sz002717</v>
      </c>
      <c r="E967" t="str">
        <f>VLOOKUP(A967,Table!B:C,2,0)</f>
        <v>岭南园林</v>
      </c>
      <c r="F967" t="str">
        <f>TRIM(VLOOKUP(A967,Table!B:O,14,0))</f>
        <v>园林工程</v>
      </c>
      <c r="G967" t="str">
        <f>VLOOKUP(F967,industry!A:C,2,0)</f>
        <v>园林</v>
      </c>
      <c r="H967" t="str">
        <f>VLOOKUP(F967,industry!A:C,3,0)</f>
        <v>园</v>
      </c>
      <c r="J967" s="2" t="s">
        <v>12585</v>
      </c>
      <c r="K967" t="str">
        <f t="shared" si="92"/>
        <v>sz002717</v>
      </c>
      <c r="L967" t="str">
        <f t="shared" si="93"/>
        <v>岭南园林</v>
      </c>
      <c r="M967" t="str">
        <f t="shared" si="94"/>
        <v>园林</v>
      </c>
      <c r="N967" t="str">
        <f t="shared" si="95"/>
        <v>园</v>
      </c>
      <c r="P967" s="2" t="s">
        <v>12585</v>
      </c>
      <c r="Q967" t="s">
        <v>12839</v>
      </c>
      <c r="R967">
        <v>0</v>
      </c>
    </row>
    <row r="968" spans="1:18" x14ac:dyDescent="0.25">
      <c r="A968" t="s">
        <v>11666</v>
      </c>
      <c r="C968" t="str">
        <f t="shared" si="90"/>
        <v>sz</v>
      </c>
      <c r="D968" t="str">
        <f t="shared" si="91"/>
        <v>sz002678</v>
      </c>
      <c r="E968" t="str">
        <f>VLOOKUP(A968,Table!B:C,2,0)</f>
        <v>珠江钢琴</v>
      </c>
      <c r="F968" t="str">
        <f>TRIM(VLOOKUP(A968,Table!B:O,14,0))</f>
        <v>文教休闲</v>
      </c>
      <c r="G968" t="str">
        <f>VLOOKUP(F968,industry!A:C,2,0)</f>
        <v>文教</v>
      </c>
      <c r="H968" t="str">
        <f>VLOOKUP(F968,industry!A:C,3,0)</f>
        <v>文</v>
      </c>
      <c r="J968" s="2" t="s">
        <v>12585</v>
      </c>
      <c r="K968" t="str">
        <f t="shared" si="92"/>
        <v>sz002678</v>
      </c>
      <c r="L968" t="str">
        <f t="shared" si="93"/>
        <v>珠江钢琴</v>
      </c>
      <c r="M968" t="str">
        <f t="shared" si="94"/>
        <v>文教</v>
      </c>
      <c r="N968" t="str">
        <f t="shared" si="95"/>
        <v>文</v>
      </c>
      <c r="P968" s="2" t="s">
        <v>12585</v>
      </c>
      <c r="Q968" t="s">
        <v>12840</v>
      </c>
      <c r="R968">
        <v>0</v>
      </c>
    </row>
    <row r="969" spans="1:18" x14ac:dyDescent="0.25">
      <c r="A969" t="s">
        <v>11667</v>
      </c>
      <c r="C969" t="str">
        <f t="shared" si="90"/>
        <v>sz</v>
      </c>
      <c r="D969" t="str">
        <f t="shared" si="91"/>
        <v>sz002247</v>
      </c>
      <c r="E969" t="str">
        <f>VLOOKUP(A969,Table!B:C,2,0)</f>
        <v>帝龙文化</v>
      </c>
      <c r="F969" t="str">
        <f>TRIM(VLOOKUP(A969,Table!B:O,14,0))</f>
        <v>文化传媒</v>
      </c>
      <c r="G969" t="str">
        <f>VLOOKUP(F969,industry!A:C,2,0)</f>
        <v>传媒</v>
      </c>
      <c r="H969" t="str">
        <f>VLOOKUP(F969,industry!A:C,3,0)</f>
        <v>传</v>
      </c>
      <c r="J969" s="2" t="s">
        <v>12585</v>
      </c>
      <c r="K969" t="str">
        <f t="shared" si="92"/>
        <v>sz002247</v>
      </c>
      <c r="L969" t="str">
        <f t="shared" si="93"/>
        <v>帝龙文化</v>
      </c>
      <c r="M969" t="str">
        <f t="shared" si="94"/>
        <v>传媒</v>
      </c>
      <c r="N969" t="str">
        <f t="shared" si="95"/>
        <v>传</v>
      </c>
      <c r="P969" s="2" t="s">
        <v>12585</v>
      </c>
      <c r="Q969" t="s">
        <v>12841</v>
      </c>
      <c r="R969">
        <v>0</v>
      </c>
    </row>
    <row r="970" spans="1:18" x14ac:dyDescent="0.25">
      <c r="A970" t="s">
        <v>11668</v>
      </c>
      <c r="C970" t="str">
        <f t="shared" si="90"/>
        <v>sz</v>
      </c>
      <c r="D970" t="str">
        <f t="shared" si="91"/>
        <v>sz000951</v>
      </c>
      <c r="E970" t="str">
        <f>VLOOKUP(A970,Table!B:C,2,0)</f>
        <v>中国重汽</v>
      </c>
      <c r="F970" t="str">
        <f>TRIM(VLOOKUP(A970,Table!B:O,14,0))</f>
        <v>汽车行业</v>
      </c>
      <c r="G970" t="str">
        <f>VLOOKUP(F970,industry!A:C,2,0)</f>
        <v>汽车</v>
      </c>
      <c r="H970" t="str">
        <f>VLOOKUP(F970,industry!A:C,3,0)</f>
        <v>车</v>
      </c>
      <c r="J970" s="2" t="s">
        <v>12585</v>
      </c>
      <c r="K970" t="str">
        <f t="shared" si="92"/>
        <v>sz000951</v>
      </c>
      <c r="L970" t="str">
        <f t="shared" si="93"/>
        <v>中国重汽</v>
      </c>
      <c r="M970" t="str">
        <f t="shared" si="94"/>
        <v>汽车</v>
      </c>
      <c r="N970" t="str">
        <f t="shared" si="95"/>
        <v>车</v>
      </c>
      <c r="P970" s="2" t="s">
        <v>12585</v>
      </c>
      <c r="Q970" t="s">
        <v>12842</v>
      </c>
      <c r="R970">
        <v>0</v>
      </c>
    </row>
    <row r="971" spans="1:18" x14ac:dyDescent="0.25">
      <c r="A971" t="s">
        <v>11669</v>
      </c>
      <c r="C971" t="str">
        <f t="shared" si="90"/>
        <v>sh</v>
      </c>
      <c r="D971" t="str">
        <f t="shared" si="91"/>
        <v>sh600759</v>
      </c>
      <c r="E971" t="str">
        <f>VLOOKUP(A971,Table!B:C,2,0)</f>
        <v>洲际油气</v>
      </c>
      <c r="F971" t="str">
        <f>TRIM(VLOOKUP(A971,Table!B:O,14,0))</f>
        <v>石油行业</v>
      </c>
      <c r="G971" t="str">
        <f>VLOOKUP(F971,industry!A:C,2,0)</f>
        <v>石油</v>
      </c>
      <c r="H971" t="str">
        <f>VLOOKUP(F971,industry!A:C,3,0)</f>
        <v>油</v>
      </c>
      <c r="J971" s="2" t="s">
        <v>12585</v>
      </c>
      <c r="K971" t="str">
        <f t="shared" si="92"/>
        <v>sh600759</v>
      </c>
      <c r="L971" t="str">
        <f t="shared" si="93"/>
        <v>洲际油气</v>
      </c>
      <c r="M971" t="str">
        <f t="shared" si="94"/>
        <v>石油</v>
      </c>
      <c r="N971" t="str">
        <f t="shared" si="95"/>
        <v>油</v>
      </c>
      <c r="P971" s="2" t="s">
        <v>12585</v>
      </c>
      <c r="Q971" t="s">
        <v>12572</v>
      </c>
      <c r="R971">
        <v>0</v>
      </c>
    </row>
    <row r="972" spans="1:18" x14ac:dyDescent="0.25">
      <c r="A972" t="s">
        <v>11670</v>
      </c>
      <c r="C972" t="str">
        <f t="shared" si="90"/>
        <v>sz</v>
      </c>
      <c r="D972" t="str">
        <f t="shared" si="91"/>
        <v>sz300291</v>
      </c>
      <c r="E972" t="str">
        <f>VLOOKUP(A972,Table!B:C,2,0)</f>
        <v>华录百纳</v>
      </c>
      <c r="F972" t="str">
        <f>TRIM(VLOOKUP(A972,Table!B:O,14,0))</f>
        <v>文化传媒</v>
      </c>
      <c r="G972" t="str">
        <f>VLOOKUP(F972,industry!A:C,2,0)</f>
        <v>传媒</v>
      </c>
      <c r="H972" t="str">
        <f>VLOOKUP(F972,industry!A:C,3,0)</f>
        <v>传</v>
      </c>
      <c r="J972" s="2" t="s">
        <v>12585</v>
      </c>
      <c r="K972" t="str">
        <f t="shared" si="92"/>
        <v>sz300291</v>
      </c>
      <c r="L972" t="str">
        <f t="shared" si="93"/>
        <v>华录百纳</v>
      </c>
      <c r="M972" t="str">
        <f t="shared" si="94"/>
        <v>传媒</v>
      </c>
      <c r="N972" t="str">
        <f t="shared" si="95"/>
        <v>传</v>
      </c>
      <c r="P972" s="2" t="s">
        <v>12585</v>
      </c>
      <c r="Q972" t="s">
        <v>12029</v>
      </c>
      <c r="R972">
        <v>0</v>
      </c>
    </row>
    <row r="973" spans="1:18" x14ac:dyDescent="0.25">
      <c r="A973" t="s">
        <v>11671</v>
      </c>
      <c r="C973" t="str">
        <f t="shared" si="90"/>
        <v>sz</v>
      </c>
      <c r="D973" t="str">
        <f t="shared" si="91"/>
        <v>sz002622</v>
      </c>
      <c r="E973" t="str">
        <f>VLOOKUP(A973,Table!B:C,2,0)</f>
        <v>融钰集团</v>
      </c>
      <c r="F973" t="str">
        <f>TRIM(VLOOKUP(A973,Table!B:O,14,0))</f>
        <v>输配电气</v>
      </c>
      <c r="G973" t="str">
        <f>VLOOKUP(F973,industry!A:C,2,0)</f>
        <v>配电</v>
      </c>
      <c r="H973" t="str">
        <f>VLOOKUP(F973,industry!A:C,3,0)</f>
        <v>输电</v>
      </c>
      <c r="J973" s="2" t="s">
        <v>12585</v>
      </c>
      <c r="K973" t="str">
        <f t="shared" si="92"/>
        <v>sz002622</v>
      </c>
      <c r="L973" t="str">
        <f t="shared" si="93"/>
        <v>融钰集团</v>
      </c>
      <c r="M973" t="str">
        <f t="shared" si="94"/>
        <v>配电</v>
      </c>
      <c r="N973" t="str">
        <f t="shared" si="95"/>
        <v>输电</v>
      </c>
      <c r="P973" s="2" t="s">
        <v>12585</v>
      </c>
      <c r="Q973" t="s">
        <v>12843</v>
      </c>
      <c r="R973">
        <v>0</v>
      </c>
    </row>
    <row r="974" spans="1:18" x14ac:dyDescent="0.25">
      <c r="A974" t="s">
        <v>11672</v>
      </c>
      <c r="C974" t="str">
        <f t="shared" si="90"/>
        <v>sz</v>
      </c>
      <c r="D974" t="str">
        <f t="shared" si="91"/>
        <v>sz002643</v>
      </c>
      <c r="E974" t="str">
        <f>VLOOKUP(A974,Table!B:C,2,0)</f>
        <v>万润股份</v>
      </c>
      <c r="F974" t="str">
        <f>TRIM(VLOOKUP(A974,Table!B:O,14,0))</f>
        <v>化工行业</v>
      </c>
      <c r="G974" t="str">
        <f>VLOOKUP(F974,industry!A:C,2,0)</f>
        <v>化工</v>
      </c>
      <c r="H974" t="str">
        <f>VLOOKUP(F974,industry!A:C,3,0)</f>
        <v>化</v>
      </c>
      <c r="J974" s="2" t="s">
        <v>12585</v>
      </c>
      <c r="K974" t="str">
        <f t="shared" si="92"/>
        <v>sz002643</v>
      </c>
      <c r="L974" t="str">
        <f t="shared" si="93"/>
        <v>万润股份</v>
      </c>
      <c r="M974" t="str">
        <f t="shared" si="94"/>
        <v>化工</v>
      </c>
      <c r="N974" t="str">
        <f t="shared" si="95"/>
        <v>化</v>
      </c>
      <c r="P974" s="2" t="s">
        <v>12585</v>
      </c>
      <c r="Q974" t="s">
        <v>12844</v>
      </c>
      <c r="R974">
        <v>0</v>
      </c>
    </row>
    <row r="975" spans="1:18" x14ac:dyDescent="0.25">
      <c r="A975" t="s">
        <v>11673</v>
      </c>
      <c r="C975" t="str">
        <f t="shared" si="90"/>
        <v>sh</v>
      </c>
      <c r="D975" t="str">
        <f t="shared" si="91"/>
        <v>sh600267</v>
      </c>
      <c r="E975" t="str">
        <f>VLOOKUP(A975,Table!B:C,2,0)</f>
        <v>海正药业</v>
      </c>
      <c r="F975" t="str">
        <f>TRIM(VLOOKUP(A975,Table!B:O,14,0))</f>
        <v>医药制造</v>
      </c>
      <c r="G975" t="str">
        <f>VLOOKUP(F975,industry!A:C,2,0)</f>
        <v>医药</v>
      </c>
      <c r="H975" t="str">
        <f>VLOOKUP(F975,industry!A:C,3,0)</f>
        <v>药</v>
      </c>
      <c r="J975" s="2" t="s">
        <v>12585</v>
      </c>
      <c r="K975" t="str">
        <f t="shared" si="92"/>
        <v>sh600267</v>
      </c>
      <c r="L975" t="str">
        <f t="shared" si="93"/>
        <v>海正药业</v>
      </c>
      <c r="M975" t="str">
        <f t="shared" si="94"/>
        <v>医药</v>
      </c>
      <c r="N975" t="str">
        <f t="shared" si="95"/>
        <v>药</v>
      </c>
      <c r="P975" s="2" t="s">
        <v>12585</v>
      </c>
      <c r="Q975" t="s">
        <v>11975</v>
      </c>
      <c r="R975">
        <v>0</v>
      </c>
    </row>
    <row r="976" spans="1:18" x14ac:dyDescent="0.25">
      <c r="A976" t="s">
        <v>11674</v>
      </c>
      <c r="C976" t="str">
        <f t="shared" si="90"/>
        <v>sh</v>
      </c>
      <c r="D976" t="str">
        <f t="shared" si="91"/>
        <v>sh600158</v>
      </c>
      <c r="E976" t="str">
        <f>VLOOKUP(A976,Table!B:C,2,0)</f>
        <v>中体产业</v>
      </c>
      <c r="F976" t="str">
        <f>TRIM(VLOOKUP(A976,Table!B:O,14,0))</f>
        <v>文教休闲</v>
      </c>
      <c r="G976" t="str">
        <f>VLOOKUP(F976,industry!A:C,2,0)</f>
        <v>文教</v>
      </c>
      <c r="H976" t="str">
        <f>VLOOKUP(F976,industry!A:C,3,0)</f>
        <v>文</v>
      </c>
      <c r="J976" s="2" t="s">
        <v>12585</v>
      </c>
      <c r="K976" t="str">
        <f t="shared" si="92"/>
        <v>sh600158</v>
      </c>
      <c r="L976" t="str">
        <f t="shared" si="93"/>
        <v>中体产业</v>
      </c>
      <c r="M976" t="str">
        <f t="shared" si="94"/>
        <v>文教</v>
      </c>
      <c r="N976" t="str">
        <f t="shared" si="95"/>
        <v>文</v>
      </c>
      <c r="P976" s="2" t="s">
        <v>12585</v>
      </c>
      <c r="Q976" t="s">
        <v>12553</v>
      </c>
      <c r="R976">
        <v>0</v>
      </c>
    </row>
    <row r="977" spans="1:18" x14ac:dyDescent="0.25">
      <c r="A977" t="s">
        <v>11675</v>
      </c>
      <c r="C977" t="str">
        <f t="shared" si="90"/>
        <v>sh</v>
      </c>
      <c r="D977" t="str">
        <f t="shared" si="91"/>
        <v>sh600708</v>
      </c>
      <c r="E977" t="str">
        <f>VLOOKUP(A977,Table!B:C,2,0)</f>
        <v>光明地产</v>
      </c>
      <c r="F977" t="str">
        <f>TRIM(VLOOKUP(A977,Table!B:O,14,0))</f>
        <v>房地产</v>
      </c>
      <c r="G977" t="str">
        <f>VLOOKUP(F977,industry!A:C,2,0)</f>
        <v>房产</v>
      </c>
      <c r="H977" t="str">
        <f>VLOOKUP(F977,industry!A:C,3,0)</f>
        <v>产</v>
      </c>
      <c r="J977" s="2" t="s">
        <v>12585</v>
      </c>
      <c r="K977" t="str">
        <f t="shared" si="92"/>
        <v>sh600708</v>
      </c>
      <c r="L977" t="str">
        <f t="shared" si="93"/>
        <v>光明地产</v>
      </c>
      <c r="M977" t="str">
        <f t="shared" si="94"/>
        <v>房产</v>
      </c>
      <c r="N977" t="str">
        <f t="shared" si="95"/>
        <v>产</v>
      </c>
      <c r="P977" s="2" t="s">
        <v>12585</v>
      </c>
      <c r="Q977" t="s">
        <v>12845</v>
      </c>
      <c r="R977">
        <v>0</v>
      </c>
    </row>
    <row r="978" spans="1:18" x14ac:dyDescent="0.25">
      <c r="A978" t="s">
        <v>11676</v>
      </c>
      <c r="C978" t="str">
        <f t="shared" si="90"/>
        <v>sh</v>
      </c>
      <c r="D978" t="str">
        <f t="shared" si="91"/>
        <v>sh600269</v>
      </c>
      <c r="E978" t="str">
        <f>VLOOKUP(A978,Table!B:C,2,0)</f>
        <v>赣粤高速</v>
      </c>
      <c r="F978" t="str">
        <f>TRIM(VLOOKUP(A978,Table!B:O,14,0))</f>
        <v>高速公路</v>
      </c>
      <c r="G978" t="str">
        <f>VLOOKUP(F978,industry!A:C,2,0)</f>
        <v>高速</v>
      </c>
      <c r="H978" t="str">
        <f>VLOOKUP(F978,industry!A:C,3,0)</f>
        <v>速</v>
      </c>
      <c r="J978" s="2" t="s">
        <v>12585</v>
      </c>
      <c r="K978" t="str">
        <f t="shared" si="92"/>
        <v>sh600269</v>
      </c>
      <c r="L978" t="str">
        <f t="shared" si="93"/>
        <v>赣粤高速</v>
      </c>
      <c r="M978" t="str">
        <f t="shared" si="94"/>
        <v>高速</v>
      </c>
      <c r="N978" t="str">
        <f t="shared" si="95"/>
        <v>速</v>
      </c>
      <c r="P978" s="2" t="s">
        <v>12585</v>
      </c>
      <c r="Q978" t="s">
        <v>12846</v>
      </c>
      <c r="R978">
        <v>0</v>
      </c>
    </row>
    <row r="979" spans="1:18" x14ac:dyDescent="0.25">
      <c r="A979" t="s">
        <v>11677</v>
      </c>
      <c r="C979" t="str">
        <f t="shared" si="90"/>
        <v>sh</v>
      </c>
      <c r="D979" t="str">
        <f t="shared" si="91"/>
        <v>sh601886</v>
      </c>
      <c r="E979" t="str">
        <f>VLOOKUP(A979,Table!B:C,2,0)</f>
        <v>江河集团</v>
      </c>
      <c r="F979" t="str">
        <f>TRIM(VLOOKUP(A979,Table!B:O,14,0))</f>
        <v>装修装饰</v>
      </c>
      <c r="G979" t="str">
        <f>VLOOKUP(F979,industry!A:C,2,0)</f>
        <v>装修</v>
      </c>
      <c r="H979" t="str">
        <f>VLOOKUP(F979,industry!A:C,3,0)</f>
        <v>饰</v>
      </c>
      <c r="J979" s="2" t="s">
        <v>12585</v>
      </c>
      <c r="K979" t="str">
        <f t="shared" si="92"/>
        <v>sh601886</v>
      </c>
      <c r="L979" t="str">
        <f t="shared" si="93"/>
        <v>江河集团</v>
      </c>
      <c r="M979" t="str">
        <f t="shared" si="94"/>
        <v>装修</v>
      </c>
      <c r="N979" t="str">
        <f t="shared" si="95"/>
        <v>饰</v>
      </c>
      <c r="P979" s="2" t="s">
        <v>12585</v>
      </c>
      <c r="Q979" t="s">
        <v>12050</v>
      </c>
      <c r="R979">
        <v>0</v>
      </c>
    </row>
    <row r="980" spans="1:18" x14ac:dyDescent="0.25">
      <c r="A980" t="s">
        <v>11678</v>
      </c>
      <c r="C980" t="str">
        <f t="shared" si="90"/>
        <v>sh</v>
      </c>
      <c r="D980" t="str">
        <f t="shared" si="91"/>
        <v>sh600337</v>
      </c>
      <c r="E980" t="str">
        <f>VLOOKUP(A980,Table!B:C,2,0)</f>
        <v>美克家居</v>
      </c>
      <c r="F980" t="str">
        <f>TRIM(VLOOKUP(A980,Table!B:O,14,0))</f>
        <v>木业家具</v>
      </c>
      <c r="G980" t="str">
        <f>VLOOKUP(F980,industry!A:C,2,0)</f>
        <v>木业</v>
      </c>
      <c r="H980" t="str">
        <f>VLOOKUP(F980,industry!A:C,3,0)</f>
        <v>木</v>
      </c>
      <c r="J980" s="2" t="s">
        <v>12585</v>
      </c>
      <c r="K980" t="str">
        <f t="shared" si="92"/>
        <v>sh600337</v>
      </c>
      <c r="L980" t="str">
        <f t="shared" si="93"/>
        <v>美克家居</v>
      </c>
      <c r="M980" t="str">
        <f t="shared" si="94"/>
        <v>木业</v>
      </c>
      <c r="N980" t="str">
        <f t="shared" si="95"/>
        <v>木</v>
      </c>
      <c r="P980" s="2" t="s">
        <v>12585</v>
      </c>
      <c r="Q980" t="s">
        <v>12847</v>
      </c>
      <c r="R980">
        <v>0</v>
      </c>
    </row>
    <row r="981" spans="1:18" x14ac:dyDescent="0.25">
      <c r="A981" t="s">
        <v>11679</v>
      </c>
      <c r="C981" t="str">
        <f t="shared" si="90"/>
        <v>sz</v>
      </c>
      <c r="D981" t="str">
        <f t="shared" si="91"/>
        <v>sz002498</v>
      </c>
      <c r="E981" t="str">
        <f>VLOOKUP(A981,Table!B:C,2,0)</f>
        <v>汉缆股份</v>
      </c>
      <c r="F981" t="str">
        <f>TRIM(VLOOKUP(A981,Table!B:O,14,0))</f>
        <v>输配电气</v>
      </c>
      <c r="G981" t="str">
        <f>VLOOKUP(F981,industry!A:C,2,0)</f>
        <v>配电</v>
      </c>
      <c r="H981" t="str">
        <f>VLOOKUP(F981,industry!A:C,3,0)</f>
        <v>输电</v>
      </c>
      <c r="J981" s="2" t="s">
        <v>12585</v>
      </c>
      <c r="K981" t="str">
        <f t="shared" si="92"/>
        <v>sz002498</v>
      </c>
      <c r="L981" t="str">
        <f t="shared" si="93"/>
        <v>汉缆股份</v>
      </c>
      <c r="M981" t="str">
        <f t="shared" si="94"/>
        <v>配电</v>
      </c>
      <c r="N981" t="str">
        <f t="shared" si="95"/>
        <v>输电</v>
      </c>
      <c r="P981" s="2" t="s">
        <v>12585</v>
      </c>
      <c r="Q981" t="s">
        <v>11977</v>
      </c>
      <c r="R981">
        <v>0</v>
      </c>
    </row>
    <row r="982" spans="1:18" x14ac:dyDescent="0.25">
      <c r="A982" t="s">
        <v>11680</v>
      </c>
      <c r="C982" t="str">
        <f t="shared" si="90"/>
        <v>sz</v>
      </c>
      <c r="D982" t="str">
        <f t="shared" si="91"/>
        <v>sz300432</v>
      </c>
      <c r="E982" t="str">
        <f>VLOOKUP(A982,Table!B:C,2,0)</f>
        <v>富临精工</v>
      </c>
      <c r="F982" t="str">
        <f>TRIM(VLOOKUP(A982,Table!B:O,14,0))</f>
        <v>汽车行业</v>
      </c>
      <c r="G982" t="str">
        <f>VLOOKUP(F982,industry!A:C,2,0)</f>
        <v>汽车</v>
      </c>
      <c r="H982" t="str">
        <f>VLOOKUP(F982,industry!A:C,3,0)</f>
        <v>车</v>
      </c>
      <c r="J982" s="2" t="s">
        <v>12585</v>
      </c>
      <c r="K982" t="str">
        <f t="shared" si="92"/>
        <v>sz300432</v>
      </c>
      <c r="L982" t="str">
        <f t="shared" si="93"/>
        <v>富临精工</v>
      </c>
      <c r="M982" t="str">
        <f t="shared" si="94"/>
        <v>汽车</v>
      </c>
      <c r="N982" t="str">
        <f t="shared" si="95"/>
        <v>车</v>
      </c>
      <c r="P982" s="2" t="s">
        <v>12585</v>
      </c>
      <c r="Q982" t="s">
        <v>12848</v>
      </c>
      <c r="R982">
        <v>0</v>
      </c>
    </row>
    <row r="983" spans="1:18" x14ac:dyDescent="0.25">
      <c r="A983" t="s">
        <v>11681</v>
      </c>
      <c r="C983" t="str">
        <f t="shared" si="90"/>
        <v>sz</v>
      </c>
      <c r="D983" t="str">
        <f t="shared" si="91"/>
        <v>sz000688</v>
      </c>
      <c r="E983" t="str">
        <f>VLOOKUP(A983,Table!B:C,2,0)</f>
        <v>建新矿业</v>
      </c>
      <c r="F983" t="str">
        <f>TRIM(VLOOKUP(A983,Table!B:O,14,0))</f>
        <v>有色金属</v>
      </c>
      <c r="G983" t="str">
        <f>VLOOKUP(F983,industry!A:C,2,0)</f>
        <v>有色</v>
      </c>
      <c r="H983" t="str">
        <f>VLOOKUP(F983,industry!A:C,3,0)</f>
        <v>色</v>
      </c>
      <c r="J983" s="2" t="s">
        <v>12585</v>
      </c>
      <c r="K983" t="str">
        <f t="shared" si="92"/>
        <v>sz000688</v>
      </c>
      <c r="L983" t="str">
        <f t="shared" si="93"/>
        <v>建新矿业</v>
      </c>
      <c r="M983" t="str">
        <f t="shared" si="94"/>
        <v>有色</v>
      </c>
      <c r="N983" t="str">
        <f t="shared" si="95"/>
        <v>色</v>
      </c>
      <c r="P983" s="2" t="s">
        <v>12585</v>
      </c>
      <c r="Q983" t="s">
        <v>12849</v>
      </c>
      <c r="R983">
        <v>0</v>
      </c>
    </row>
    <row r="984" spans="1:18" x14ac:dyDescent="0.25">
      <c r="A984" t="s">
        <v>11682</v>
      </c>
      <c r="C984" t="str">
        <f t="shared" si="90"/>
        <v>sh</v>
      </c>
      <c r="D984" t="str">
        <f t="shared" si="91"/>
        <v>sh603699</v>
      </c>
      <c r="E984" t="str">
        <f>VLOOKUP(A984,Table!B:C,2,0)</f>
        <v>纽威股份</v>
      </c>
      <c r="F984" t="str">
        <f>TRIM(VLOOKUP(A984,Table!B:O,14,0))</f>
        <v>机械行业</v>
      </c>
      <c r="G984" t="str">
        <f>VLOOKUP(F984,industry!A:C,2,0)</f>
        <v>机械</v>
      </c>
      <c r="H984" t="str">
        <f>VLOOKUP(F984,industry!A:C,3,0)</f>
        <v>械</v>
      </c>
      <c r="J984" s="2" t="s">
        <v>12585</v>
      </c>
      <c r="K984" t="str">
        <f t="shared" si="92"/>
        <v>sh603699</v>
      </c>
      <c r="L984" t="str">
        <f t="shared" si="93"/>
        <v>纽威股份</v>
      </c>
      <c r="M984" t="str">
        <f t="shared" si="94"/>
        <v>机械</v>
      </c>
      <c r="N984" t="str">
        <f t="shared" si="95"/>
        <v>械</v>
      </c>
      <c r="P984" s="2" t="s">
        <v>12585</v>
      </c>
      <c r="Q984" t="s">
        <v>12850</v>
      </c>
      <c r="R984">
        <v>0</v>
      </c>
    </row>
    <row r="985" spans="1:18" x14ac:dyDescent="0.25">
      <c r="A985" t="s">
        <v>11683</v>
      </c>
      <c r="C985" t="str">
        <f t="shared" si="90"/>
        <v>sh</v>
      </c>
      <c r="D985" t="str">
        <f t="shared" si="91"/>
        <v>sh600841</v>
      </c>
      <c r="E985" t="str">
        <f>VLOOKUP(A985,Table!B:C,2,0)</f>
        <v>上柴股份</v>
      </c>
      <c r="F985" t="str">
        <f>TRIM(VLOOKUP(A985,Table!B:O,14,0))</f>
        <v>机械行业</v>
      </c>
      <c r="G985" t="str">
        <f>VLOOKUP(F985,industry!A:C,2,0)</f>
        <v>机械</v>
      </c>
      <c r="H985" t="str">
        <f>VLOOKUP(F985,industry!A:C,3,0)</f>
        <v>械</v>
      </c>
      <c r="J985" s="2" t="s">
        <v>12585</v>
      </c>
      <c r="K985" t="str">
        <f t="shared" si="92"/>
        <v>sh600841</v>
      </c>
      <c r="L985" t="str">
        <f t="shared" si="93"/>
        <v>上柴股份</v>
      </c>
      <c r="M985" t="str">
        <f t="shared" si="94"/>
        <v>机械</v>
      </c>
      <c r="N985" t="str">
        <f t="shared" si="95"/>
        <v>械</v>
      </c>
      <c r="P985" s="2" t="s">
        <v>12585</v>
      </c>
      <c r="Q985" t="s">
        <v>12851</v>
      </c>
      <c r="R985">
        <v>0</v>
      </c>
    </row>
    <row r="986" spans="1:18" x14ac:dyDescent="0.25">
      <c r="A986" t="s">
        <v>11684</v>
      </c>
      <c r="C986" t="str">
        <f t="shared" si="90"/>
        <v>sz</v>
      </c>
      <c r="D986" t="str">
        <f t="shared" si="91"/>
        <v>sz000612</v>
      </c>
      <c r="E986" t="str">
        <f>VLOOKUP(A986,Table!B:C,2,0)</f>
        <v>焦作万方</v>
      </c>
      <c r="F986" t="str">
        <f>TRIM(VLOOKUP(A986,Table!B:O,14,0))</f>
        <v>有色金属</v>
      </c>
      <c r="G986" t="str">
        <f>VLOOKUP(F986,industry!A:C,2,0)</f>
        <v>有色</v>
      </c>
      <c r="H986" t="str">
        <f>VLOOKUP(F986,industry!A:C,3,0)</f>
        <v>色</v>
      </c>
      <c r="J986" s="2" t="s">
        <v>12585</v>
      </c>
      <c r="K986" t="str">
        <f t="shared" si="92"/>
        <v>sz000612</v>
      </c>
      <c r="L986" t="str">
        <f t="shared" si="93"/>
        <v>焦作万方</v>
      </c>
      <c r="M986" t="str">
        <f t="shared" si="94"/>
        <v>有色</v>
      </c>
      <c r="N986" t="str">
        <f t="shared" si="95"/>
        <v>色</v>
      </c>
      <c r="P986" s="2" t="s">
        <v>12585</v>
      </c>
      <c r="Q986" t="s">
        <v>12061</v>
      </c>
      <c r="R986">
        <v>0</v>
      </c>
    </row>
    <row r="987" spans="1:18" x14ac:dyDescent="0.25">
      <c r="A987" t="s">
        <v>11685</v>
      </c>
      <c r="C987" t="str">
        <f t="shared" si="90"/>
        <v>sz</v>
      </c>
      <c r="D987" t="str">
        <f t="shared" si="91"/>
        <v>sz002445</v>
      </c>
      <c r="E987" t="str">
        <f>VLOOKUP(A987,Table!B:C,2,0)</f>
        <v>中南文化</v>
      </c>
      <c r="F987" t="str">
        <f>TRIM(VLOOKUP(A987,Table!B:O,14,0))</f>
        <v>机械行业</v>
      </c>
      <c r="G987" t="str">
        <f>VLOOKUP(F987,industry!A:C,2,0)</f>
        <v>机械</v>
      </c>
      <c r="H987" t="str">
        <f>VLOOKUP(F987,industry!A:C,3,0)</f>
        <v>械</v>
      </c>
      <c r="J987" s="2" t="s">
        <v>12585</v>
      </c>
      <c r="K987" t="str">
        <f t="shared" si="92"/>
        <v>sz002445</v>
      </c>
      <c r="L987" t="str">
        <f t="shared" si="93"/>
        <v>中南文化</v>
      </c>
      <c r="M987" t="str">
        <f t="shared" si="94"/>
        <v>机械</v>
      </c>
      <c r="N987" t="str">
        <f t="shared" si="95"/>
        <v>械</v>
      </c>
      <c r="P987" s="2" t="s">
        <v>12585</v>
      </c>
      <c r="Q987" t="s">
        <v>12852</v>
      </c>
      <c r="R987">
        <v>0</v>
      </c>
    </row>
    <row r="988" spans="1:18" x14ac:dyDescent="0.25">
      <c r="A988" t="s">
        <v>11686</v>
      </c>
      <c r="C988" t="str">
        <f t="shared" si="90"/>
        <v>sh</v>
      </c>
      <c r="D988" t="str">
        <f t="shared" si="91"/>
        <v>sh601515</v>
      </c>
      <c r="E988" t="str">
        <f>VLOOKUP(A988,Table!B:C,2,0)</f>
        <v>东风股份</v>
      </c>
      <c r="F988" t="str">
        <f>TRIM(VLOOKUP(A988,Table!B:O,14,0))</f>
        <v>包装材料</v>
      </c>
      <c r="G988" t="str">
        <f>VLOOKUP(F988,industry!A:C,2,0)</f>
        <v>包装</v>
      </c>
      <c r="H988" t="str">
        <f>VLOOKUP(F988,industry!A:C,3,0)</f>
        <v>包</v>
      </c>
      <c r="J988" s="2" t="s">
        <v>12585</v>
      </c>
      <c r="K988" t="str">
        <f t="shared" si="92"/>
        <v>sh601515</v>
      </c>
      <c r="L988" t="str">
        <f t="shared" si="93"/>
        <v>东风股份</v>
      </c>
      <c r="M988" t="str">
        <f t="shared" si="94"/>
        <v>包装</v>
      </c>
      <c r="N988" t="str">
        <f t="shared" si="95"/>
        <v>包</v>
      </c>
      <c r="P988" s="2" t="s">
        <v>12585</v>
      </c>
      <c r="Q988" t="s">
        <v>12853</v>
      </c>
      <c r="R988">
        <v>0</v>
      </c>
    </row>
    <row r="989" spans="1:18" x14ac:dyDescent="0.25">
      <c r="A989" t="s">
        <v>11687</v>
      </c>
      <c r="C989" t="str">
        <f t="shared" si="90"/>
        <v>sh</v>
      </c>
      <c r="D989" t="str">
        <f t="shared" si="91"/>
        <v>sh600403</v>
      </c>
      <c r="E989" t="str">
        <f>VLOOKUP(A989,Table!B:C,2,0)</f>
        <v>*ST大有</v>
      </c>
      <c r="F989" t="str">
        <f>TRIM(VLOOKUP(A989,Table!B:O,14,0))</f>
        <v>煤炭采选</v>
      </c>
      <c r="G989" t="str">
        <f>VLOOKUP(F989,industry!A:C,2,0)</f>
        <v>煤炭</v>
      </c>
      <c r="H989" t="str">
        <f>VLOOKUP(F989,industry!A:C,3,0)</f>
        <v>煤</v>
      </c>
      <c r="J989" s="2" t="s">
        <v>12585</v>
      </c>
      <c r="K989" t="str">
        <f t="shared" si="92"/>
        <v>sh600403</v>
      </c>
      <c r="L989" t="str">
        <f t="shared" si="93"/>
        <v>*ST大有</v>
      </c>
      <c r="M989" t="str">
        <f t="shared" si="94"/>
        <v>煤炭</v>
      </c>
      <c r="N989" t="str">
        <f t="shared" si="95"/>
        <v>煤</v>
      </c>
      <c r="P989" s="2" t="s">
        <v>12585</v>
      </c>
      <c r="Q989" t="s">
        <v>12854</v>
      </c>
      <c r="R989">
        <v>0</v>
      </c>
    </row>
    <row r="990" spans="1:18" x14ac:dyDescent="0.25">
      <c r="A990" t="s">
        <v>11688</v>
      </c>
      <c r="C990" t="str">
        <f t="shared" si="90"/>
        <v>sz</v>
      </c>
      <c r="D990" t="str">
        <f t="shared" si="91"/>
        <v>sz000901</v>
      </c>
      <c r="E990" t="str">
        <f>VLOOKUP(A990,Table!B:C,2,0)</f>
        <v>航天科技</v>
      </c>
      <c r="F990" t="str">
        <f>TRIM(VLOOKUP(A990,Table!B:O,14,0))</f>
        <v>航天航空</v>
      </c>
      <c r="G990" t="str">
        <f>VLOOKUP(F990,industry!A:C,2,0)</f>
        <v>航空</v>
      </c>
      <c r="H990" t="str">
        <f>VLOOKUP(F990,industry!A:C,3,0)</f>
        <v>航</v>
      </c>
      <c r="J990" s="2" t="s">
        <v>12585</v>
      </c>
      <c r="K990" t="str">
        <f t="shared" si="92"/>
        <v>sz000901</v>
      </c>
      <c r="L990" t="str">
        <f t="shared" si="93"/>
        <v>航天科技</v>
      </c>
      <c r="M990" t="str">
        <f t="shared" si="94"/>
        <v>航空</v>
      </c>
      <c r="N990" t="str">
        <f t="shared" si="95"/>
        <v>航</v>
      </c>
      <c r="P990" s="2" t="s">
        <v>12585</v>
      </c>
      <c r="Q990" t="s">
        <v>12855</v>
      </c>
      <c r="R990">
        <v>0</v>
      </c>
    </row>
    <row r="991" spans="1:18" x14ac:dyDescent="0.25">
      <c r="A991" t="s">
        <v>11689</v>
      </c>
      <c r="C991" t="str">
        <f t="shared" si="90"/>
        <v>sz</v>
      </c>
      <c r="D991" t="str">
        <f t="shared" si="91"/>
        <v>sz002638</v>
      </c>
      <c r="E991" t="str">
        <f>VLOOKUP(A991,Table!B:C,2,0)</f>
        <v>勤上股份</v>
      </c>
      <c r="F991" t="str">
        <f>TRIM(VLOOKUP(A991,Table!B:O,14,0))</f>
        <v>电子元件</v>
      </c>
      <c r="G991" t="str">
        <f>VLOOKUP(F991,industry!A:C,2,0)</f>
        <v>原件</v>
      </c>
      <c r="H991" t="str">
        <f>VLOOKUP(F991,industry!A:C,3,0)</f>
        <v>元件</v>
      </c>
      <c r="J991" s="2" t="s">
        <v>12585</v>
      </c>
      <c r="K991" t="str">
        <f t="shared" si="92"/>
        <v>sz002638</v>
      </c>
      <c r="L991" t="str">
        <f t="shared" si="93"/>
        <v>勤上股份</v>
      </c>
      <c r="M991" t="str">
        <f t="shared" si="94"/>
        <v>原件</v>
      </c>
      <c r="N991" t="str">
        <f t="shared" si="95"/>
        <v>元件</v>
      </c>
      <c r="P991" s="2" t="s">
        <v>12585</v>
      </c>
      <c r="Q991" t="s">
        <v>12856</v>
      </c>
      <c r="R991">
        <v>0</v>
      </c>
    </row>
    <row r="992" spans="1:18" x14ac:dyDescent="0.25">
      <c r="A992" t="s">
        <v>11690</v>
      </c>
      <c r="C992" t="str">
        <f t="shared" si="90"/>
        <v>sh</v>
      </c>
      <c r="D992" t="str">
        <f t="shared" si="91"/>
        <v>sh600503</v>
      </c>
      <c r="E992" t="str">
        <f>VLOOKUP(A992,Table!B:C,2,0)</f>
        <v>华丽家族</v>
      </c>
      <c r="F992" t="str">
        <f>TRIM(VLOOKUP(A992,Table!B:O,14,0))</f>
        <v>房地产</v>
      </c>
      <c r="G992" t="str">
        <f>VLOOKUP(F992,industry!A:C,2,0)</f>
        <v>房产</v>
      </c>
      <c r="H992" t="str">
        <f>VLOOKUP(F992,industry!A:C,3,0)</f>
        <v>产</v>
      </c>
      <c r="J992" s="2" t="s">
        <v>12585</v>
      </c>
      <c r="K992" t="str">
        <f t="shared" si="92"/>
        <v>sh600503</v>
      </c>
      <c r="L992" t="str">
        <f t="shared" si="93"/>
        <v>华丽家族</v>
      </c>
      <c r="M992" t="str">
        <f t="shared" si="94"/>
        <v>房产</v>
      </c>
      <c r="N992" t="str">
        <f t="shared" si="95"/>
        <v>产</v>
      </c>
      <c r="P992" s="2" t="s">
        <v>12585</v>
      </c>
      <c r="Q992" t="s">
        <v>12025</v>
      </c>
      <c r="R992">
        <v>0</v>
      </c>
    </row>
    <row r="993" spans="1:18" x14ac:dyDescent="0.25">
      <c r="A993" t="s">
        <v>11691</v>
      </c>
      <c r="C993" t="str">
        <f t="shared" si="90"/>
        <v>sz</v>
      </c>
      <c r="D993" t="str">
        <f t="shared" si="91"/>
        <v>sz002414</v>
      </c>
      <c r="E993" t="str">
        <f>VLOOKUP(A993,Table!B:C,2,0)</f>
        <v>高德红外</v>
      </c>
      <c r="F993" t="str">
        <f>TRIM(VLOOKUP(A993,Table!B:O,14,0))</f>
        <v>安防设备</v>
      </c>
      <c r="G993" t="str">
        <f>VLOOKUP(F993,industry!A:C,2,0)</f>
        <v>安防</v>
      </c>
      <c r="H993" t="str">
        <f>VLOOKUP(F993,industry!A:C,3,0)</f>
        <v>防</v>
      </c>
      <c r="J993" s="2" t="s">
        <v>12585</v>
      </c>
      <c r="K993" t="str">
        <f t="shared" si="92"/>
        <v>sz002414</v>
      </c>
      <c r="L993" t="str">
        <f t="shared" si="93"/>
        <v>高德红外</v>
      </c>
      <c r="M993" t="str">
        <f t="shared" si="94"/>
        <v>安防</v>
      </c>
      <c r="N993" t="str">
        <f t="shared" si="95"/>
        <v>防</v>
      </c>
      <c r="P993" s="2" t="s">
        <v>12585</v>
      </c>
      <c r="Q993" t="s">
        <v>11928</v>
      </c>
      <c r="R993">
        <v>0</v>
      </c>
    </row>
    <row r="994" spans="1:18" x14ac:dyDescent="0.25">
      <c r="A994" t="s">
        <v>11692</v>
      </c>
      <c r="C994" t="str">
        <f t="shared" si="90"/>
        <v>sh</v>
      </c>
      <c r="D994" t="str">
        <f t="shared" si="91"/>
        <v>sh600460</v>
      </c>
      <c r="E994" t="str">
        <f>VLOOKUP(A994,Table!B:C,2,0)</f>
        <v>士兰微</v>
      </c>
      <c r="F994" t="str">
        <f>TRIM(VLOOKUP(A994,Table!B:O,14,0))</f>
        <v>电子元件</v>
      </c>
      <c r="G994" t="str">
        <f>VLOOKUP(F994,industry!A:C,2,0)</f>
        <v>原件</v>
      </c>
      <c r="H994" t="str">
        <f>VLOOKUP(F994,industry!A:C,3,0)</f>
        <v>元件</v>
      </c>
      <c r="J994" s="2" t="s">
        <v>12585</v>
      </c>
      <c r="K994" t="str">
        <f t="shared" si="92"/>
        <v>sh600460</v>
      </c>
      <c r="L994" t="str">
        <f t="shared" si="93"/>
        <v>士兰微</v>
      </c>
      <c r="M994" t="str">
        <f t="shared" si="94"/>
        <v>原件</v>
      </c>
      <c r="N994" t="str">
        <f t="shared" si="95"/>
        <v>元件</v>
      </c>
      <c r="P994" s="2" t="s">
        <v>12585</v>
      </c>
      <c r="Q994" t="s">
        <v>12281</v>
      </c>
      <c r="R994">
        <v>0</v>
      </c>
    </row>
    <row r="995" spans="1:18" x14ac:dyDescent="0.25">
      <c r="A995" t="s">
        <v>11693</v>
      </c>
      <c r="C995" t="str">
        <f t="shared" si="90"/>
        <v>sz</v>
      </c>
      <c r="D995" t="str">
        <f t="shared" si="91"/>
        <v>sz002400</v>
      </c>
      <c r="E995" t="str">
        <f>VLOOKUP(A995,Table!B:C,2,0)</f>
        <v>省广股份</v>
      </c>
      <c r="F995" t="str">
        <f>TRIM(VLOOKUP(A995,Table!B:O,14,0))</f>
        <v>文化传媒</v>
      </c>
      <c r="G995" t="str">
        <f>VLOOKUP(F995,industry!A:C,2,0)</f>
        <v>传媒</v>
      </c>
      <c r="H995" t="str">
        <f>VLOOKUP(F995,industry!A:C,3,0)</f>
        <v>传</v>
      </c>
      <c r="J995" s="2" t="s">
        <v>12585</v>
      </c>
      <c r="K995" t="str">
        <f t="shared" si="92"/>
        <v>sz002400</v>
      </c>
      <c r="L995" t="str">
        <f t="shared" si="93"/>
        <v>省广股份</v>
      </c>
      <c r="M995" t="str">
        <f t="shared" si="94"/>
        <v>传媒</v>
      </c>
      <c r="N995" t="str">
        <f t="shared" si="95"/>
        <v>传</v>
      </c>
      <c r="P995" s="2" t="s">
        <v>12585</v>
      </c>
      <c r="Q995" t="s">
        <v>12271</v>
      </c>
      <c r="R995">
        <v>0</v>
      </c>
    </row>
    <row r="996" spans="1:18" x14ac:dyDescent="0.25">
      <c r="A996" t="s">
        <v>11694</v>
      </c>
      <c r="C996" t="str">
        <f t="shared" si="90"/>
        <v>sz</v>
      </c>
      <c r="D996" t="str">
        <f t="shared" si="91"/>
        <v>sz300208</v>
      </c>
      <c r="E996" t="str">
        <f>VLOOKUP(A996,Table!B:C,2,0)</f>
        <v>恒顺众昇</v>
      </c>
      <c r="F996" t="str">
        <f>TRIM(VLOOKUP(A996,Table!B:O,14,0))</f>
        <v>输配电气</v>
      </c>
      <c r="G996" t="str">
        <f>VLOOKUP(F996,industry!A:C,2,0)</f>
        <v>配电</v>
      </c>
      <c r="H996" t="str">
        <f>VLOOKUP(F996,industry!A:C,3,0)</f>
        <v>输电</v>
      </c>
      <c r="J996" s="2" t="s">
        <v>12585</v>
      </c>
      <c r="K996" t="str">
        <f t="shared" si="92"/>
        <v>sz300208</v>
      </c>
      <c r="L996" t="str">
        <f t="shared" si="93"/>
        <v>恒顺众昇</v>
      </c>
      <c r="M996" t="str">
        <f t="shared" si="94"/>
        <v>配电</v>
      </c>
      <c r="N996" t="str">
        <f t="shared" si="95"/>
        <v>输电</v>
      </c>
      <c r="P996" s="2" t="s">
        <v>12585</v>
      </c>
      <c r="Q996" t="s">
        <v>12857</v>
      </c>
      <c r="R996">
        <v>0</v>
      </c>
    </row>
    <row r="997" spans="1:18" x14ac:dyDescent="0.25">
      <c r="A997" t="s">
        <v>11695</v>
      </c>
      <c r="C997" t="str">
        <f t="shared" si="90"/>
        <v>sh</v>
      </c>
      <c r="D997" t="str">
        <f t="shared" si="91"/>
        <v>sh600828</v>
      </c>
      <c r="E997" t="str">
        <f>VLOOKUP(A997,Table!B:C,2,0)</f>
        <v>茂业商业</v>
      </c>
      <c r="F997" t="str">
        <f>TRIM(VLOOKUP(A997,Table!B:O,14,0))</f>
        <v>商业百货</v>
      </c>
      <c r="G997" t="str">
        <f>VLOOKUP(F997,industry!A:C,2,0)</f>
        <v>百货</v>
      </c>
      <c r="H997" t="str">
        <f>VLOOKUP(F997,industry!A:C,3,0)</f>
        <v>商</v>
      </c>
      <c r="J997" s="2" t="s">
        <v>12585</v>
      </c>
      <c r="K997" t="str">
        <f t="shared" si="92"/>
        <v>sh600828</v>
      </c>
      <c r="L997" t="str">
        <f t="shared" si="93"/>
        <v>茂业商业</v>
      </c>
      <c r="M997" t="str">
        <f t="shared" si="94"/>
        <v>百货</v>
      </c>
      <c r="N997" t="str">
        <f t="shared" si="95"/>
        <v>商</v>
      </c>
      <c r="P997" s="2" t="s">
        <v>12585</v>
      </c>
      <c r="Q997" t="s">
        <v>12858</v>
      </c>
      <c r="R997">
        <v>0</v>
      </c>
    </row>
    <row r="998" spans="1:18" x14ac:dyDescent="0.25">
      <c r="A998" t="s">
        <v>11696</v>
      </c>
      <c r="C998" t="str">
        <f t="shared" si="90"/>
        <v>sh</v>
      </c>
      <c r="D998" t="str">
        <f t="shared" si="91"/>
        <v>sh600057</v>
      </c>
      <c r="E998" t="str">
        <f>VLOOKUP(A998,Table!B:C,2,0)</f>
        <v>象屿股份</v>
      </c>
      <c r="F998" t="str">
        <f>TRIM(VLOOKUP(A998,Table!B:O,14,0))</f>
        <v>交运物流</v>
      </c>
      <c r="G998" t="str">
        <f>VLOOKUP(F998,industry!A:C,2,0)</f>
        <v>物流</v>
      </c>
      <c r="H998" t="str">
        <f>VLOOKUP(F998,industry!A:C,3,0)</f>
        <v>物</v>
      </c>
      <c r="J998" s="2" t="s">
        <v>12585</v>
      </c>
      <c r="K998" t="str">
        <f t="shared" si="92"/>
        <v>sh600057</v>
      </c>
      <c r="L998" t="str">
        <f t="shared" si="93"/>
        <v>象屿股份</v>
      </c>
      <c r="M998" t="str">
        <f t="shared" si="94"/>
        <v>物流</v>
      </c>
      <c r="N998" t="str">
        <f t="shared" si="95"/>
        <v>物</v>
      </c>
      <c r="P998" s="2" t="s">
        <v>12585</v>
      </c>
      <c r="Q998" t="s">
        <v>12859</v>
      </c>
      <c r="R998">
        <v>0</v>
      </c>
    </row>
    <row r="999" spans="1:18" x14ac:dyDescent="0.25">
      <c r="A999" t="s">
        <v>11697</v>
      </c>
      <c r="C999" t="str">
        <f t="shared" si="90"/>
        <v>sh</v>
      </c>
      <c r="D999" t="str">
        <f t="shared" si="91"/>
        <v>sh600675</v>
      </c>
      <c r="E999" t="str">
        <f>VLOOKUP(A999,Table!B:C,2,0)</f>
        <v>中华企业</v>
      </c>
      <c r="F999" t="str">
        <f>TRIM(VLOOKUP(A999,Table!B:O,14,0))</f>
        <v>房地产</v>
      </c>
      <c r="G999" t="str">
        <f>VLOOKUP(F999,industry!A:C,2,0)</f>
        <v>房产</v>
      </c>
      <c r="H999" t="str">
        <f>VLOOKUP(F999,industry!A:C,3,0)</f>
        <v>产</v>
      </c>
      <c r="J999" s="2" t="s">
        <v>12585</v>
      </c>
      <c r="K999" t="str">
        <f t="shared" si="92"/>
        <v>sh600675</v>
      </c>
      <c r="L999" t="str">
        <f t="shared" si="93"/>
        <v>中华企业</v>
      </c>
      <c r="M999" t="str">
        <f t="shared" si="94"/>
        <v>房产</v>
      </c>
      <c r="N999" t="str">
        <f t="shared" si="95"/>
        <v>产</v>
      </c>
      <c r="P999" s="2" t="s">
        <v>12585</v>
      </c>
      <c r="Q999" t="s">
        <v>12860</v>
      </c>
      <c r="R999">
        <v>0</v>
      </c>
    </row>
    <row r="1000" spans="1:18" x14ac:dyDescent="0.25">
      <c r="A1000" t="s">
        <v>11698</v>
      </c>
      <c r="C1000" t="str">
        <f t="shared" si="90"/>
        <v>sz</v>
      </c>
      <c r="D1000" t="str">
        <f t="shared" si="91"/>
        <v>sz000150</v>
      </c>
      <c r="E1000" t="str">
        <f>VLOOKUP(A1000,Table!B:C,2,0)</f>
        <v>宜华健康</v>
      </c>
      <c r="F1000" t="str">
        <f>TRIM(VLOOKUP(A1000,Table!B:O,14,0))</f>
        <v>医疗行业</v>
      </c>
      <c r="G1000" t="str">
        <f>VLOOKUP(F1000,industry!A:C,2,0)</f>
        <v>医疗</v>
      </c>
      <c r="H1000" t="str">
        <f>VLOOKUP(F1000,industry!A:C,3,0)</f>
        <v>疗</v>
      </c>
      <c r="J1000" s="2" t="s">
        <v>12585</v>
      </c>
      <c r="K1000" t="str">
        <f t="shared" si="92"/>
        <v>sz000150</v>
      </c>
      <c r="L1000" t="str">
        <f t="shared" si="93"/>
        <v>宜华健康</v>
      </c>
      <c r="M1000" t="str">
        <f t="shared" si="94"/>
        <v>医疗</v>
      </c>
      <c r="N1000" t="str">
        <f t="shared" si="95"/>
        <v>疗</v>
      </c>
      <c r="P1000" s="2" t="s">
        <v>12585</v>
      </c>
      <c r="Q1000" t="s">
        <v>12861</v>
      </c>
      <c r="R1000">
        <v>0</v>
      </c>
    </row>
    <row r="1001" spans="1:18" x14ac:dyDescent="0.25">
      <c r="A1001" t="s">
        <v>11699</v>
      </c>
      <c r="C1001" t="str">
        <f t="shared" si="90"/>
        <v>sz</v>
      </c>
      <c r="D1001" t="str">
        <f t="shared" si="91"/>
        <v>sz002375</v>
      </c>
      <c r="E1001" t="str">
        <f>VLOOKUP(A1001,Table!B:C,2,0)</f>
        <v>亚厦股份</v>
      </c>
      <c r="F1001" t="str">
        <f>TRIM(VLOOKUP(A1001,Table!B:O,14,0))</f>
        <v>装修装饰</v>
      </c>
      <c r="G1001" t="str">
        <f>VLOOKUP(F1001,industry!A:C,2,0)</f>
        <v>装修</v>
      </c>
      <c r="H1001" t="str">
        <f>VLOOKUP(F1001,industry!A:C,3,0)</f>
        <v>饰</v>
      </c>
      <c r="J1001" s="2" t="s">
        <v>12585</v>
      </c>
      <c r="K1001" t="str">
        <f t="shared" si="92"/>
        <v>sz002375</v>
      </c>
      <c r="L1001" t="str">
        <f t="shared" si="93"/>
        <v>亚厦股份</v>
      </c>
      <c r="M1001" t="str">
        <f t="shared" si="94"/>
        <v>装修</v>
      </c>
      <c r="N1001" t="str">
        <f t="shared" si="95"/>
        <v>饰</v>
      </c>
      <c r="P1001" s="2" t="s">
        <v>12585</v>
      </c>
      <c r="Q1001" t="s">
        <v>12426</v>
      </c>
      <c r="R1001">
        <v>0</v>
      </c>
    </row>
    <row r="1002" spans="1:18" x14ac:dyDescent="0.25">
      <c r="K1002" t="s">
        <v>9561</v>
      </c>
      <c r="L1002" t="s">
        <v>9562</v>
      </c>
      <c r="M1002" t="s">
        <v>9563</v>
      </c>
      <c r="N1002" t="s">
        <v>9565</v>
      </c>
      <c r="Q1002" t="s">
        <v>9561</v>
      </c>
      <c r="R1002">
        <v>0</v>
      </c>
    </row>
    <row r="1003" spans="1:18" x14ac:dyDescent="0.25">
      <c r="K1003" t="s">
        <v>9566</v>
      </c>
      <c r="L1003" t="s">
        <v>9567</v>
      </c>
      <c r="M1003" t="s">
        <v>9563</v>
      </c>
      <c r="N1003" t="s">
        <v>9565</v>
      </c>
      <c r="Q1003" t="s">
        <v>9566</v>
      </c>
      <c r="R1003">
        <v>0</v>
      </c>
    </row>
    <row r="1004" spans="1:18" x14ac:dyDescent="0.25">
      <c r="K1004" t="s">
        <v>9569</v>
      </c>
      <c r="L1004" t="s">
        <v>9570</v>
      </c>
      <c r="M1004" t="s">
        <v>9563</v>
      </c>
      <c r="N1004" t="s">
        <v>9565</v>
      </c>
      <c r="Q1004" t="s">
        <v>9569</v>
      </c>
      <c r="R1004">
        <v>0</v>
      </c>
    </row>
    <row r="1005" spans="1:18" x14ac:dyDescent="0.25">
      <c r="K1005" t="s">
        <v>9572</v>
      </c>
      <c r="L1005" t="s">
        <v>9573</v>
      </c>
      <c r="M1005" t="s">
        <v>9563</v>
      </c>
      <c r="N1005" t="s">
        <v>9565</v>
      </c>
      <c r="Q1005" t="s">
        <v>9572</v>
      </c>
      <c r="R1005">
        <v>0</v>
      </c>
    </row>
    <row r="1006" spans="1:18" x14ac:dyDescent="0.25">
      <c r="K1006" t="s">
        <v>9575</v>
      </c>
      <c r="L1006" t="s">
        <v>9576</v>
      </c>
      <c r="M1006" t="s">
        <v>9563</v>
      </c>
      <c r="N1006" t="s">
        <v>9565</v>
      </c>
      <c r="Q1006" t="s">
        <v>9575</v>
      </c>
      <c r="R1006">
        <v>0</v>
      </c>
    </row>
    <row r="1007" spans="1:18" x14ac:dyDescent="0.25">
      <c r="K1007" t="s">
        <v>9578</v>
      </c>
      <c r="L1007" t="s">
        <v>9579</v>
      </c>
      <c r="M1007" t="s">
        <v>9563</v>
      </c>
      <c r="N1007" t="s">
        <v>9565</v>
      </c>
      <c r="Q1007" t="s">
        <v>9578</v>
      </c>
      <c r="R1007">
        <v>0</v>
      </c>
    </row>
    <row r="1008" spans="1:18" x14ac:dyDescent="0.25">
      <c r="K1008" t="s">
        <v>11787</v>
      </c>
      <c r="L1008" t="s">
        <v>11788</v>
      </c>
      <c r="M1008" t="s">
        <v>11789</v>
      </c>
      <c r="N1008" t="s">
        <v>11791</v>
      </c>
      <c r="Q1008" t="s">
        <v>9589</v>
      </c>
      <c r="R1008">
        <v>0</v>
      </c>
    </row>
    <row r="1009" spans="11:18" x14ac:dyDescent="0.25">
      <c r="K1009" t="s">
        <v>9581</v>
      </c>
      <c r="L1009" t="s">
        <v>9582</v>
      </c>
      <c r="M1009" t="s">
        <v>9583</v>
      </c>
      <c r="N1009" t="s">
        <v>9585</v>
      </c>
      <c r="Q1009" t="s">
        <v>11787</v>
      </c>
      <c r="R1009">
        <v>0</v>
      </c>
    </row>
    <row r="1010" spans="11:18" x14ac:dyDescent="0.25">
      <c r="K1010" t="s">
        <v>9586</v>
      </c>
      <c r="L1010" t="s">
        <v>9587</v>
      </c>
      <c r="M1010" t="s">
        <v>9583</v>
      </c>
      <c r="N1010" t="s">
        <v>9585</v>
      </c>
      <c r="Q1010" t="s">
        <v>9581</v>
      </c>
      <c r="R1010">
        <v>0</v>
      </c>
    </row>
    <row r="1011" spans="11:18" x14ac:dyDescent="0.25">
      <c r="K1011" t="s">
        <v>9589</v>
      </c>
      <c r="L1011" t="s">
        <v>9590</v>
      </c>
      <c r="M1011" t="s">
        <v>9591</v>
      </c>
      <c r="N1011" t="s">
        <v>9593</v>
      </c>
      <c r="Q1011" t="s">
        <v>9586</v>
      </c>
      <c r="R1011">
        <v>0</v>
      </c>
    </row>
    <row r="1012" spans="11:18" x14ac:dyDescent="0.25">
      <c r="K1012" t="s">
        <v>9595</v>
      </c>
      <c r="L1012" t="s">
        <v>9595</v>
      </c>
      <c r="M1012" t="s">
        <v>10698</v>
      </c>
      <c r="N1012" t="s">
        <v>10699</v>
      </c>
    </row>
    <row r="1013" spans="11:18" x14ac:dyDescent="0.25">
      <c r="K1013" t="s">
        <v>9599</v>
      </c>
      <c r="L1013" t="s">
        <v>9599</v>
      </c>
      <c r="M1013" t="s">
        <v>10698</v>
      </c>
      <c r="N1013" t="s">
        <v>10699</v>
      </c>
    </row>
    <row r="1014" spans="11:18" x14ac:dyDescent="0.25">
      <c r="K1014" t="s">
        <v>9609</v>
      </c>
      <c r="L1014" t="s">
        <v>9609</v>
      </c>
      <c r="M1014" t="s">
        <v>10698</v>
      </c>
      <c r="N1014" t="s">
        <v>10699</v>
      </c>
    </row>
    <row r="1015" spans="11:18" x14ac:dyDescent="0.25">
      <c r="K1015" t="s">
        <v>9621</v>
      </c>
      <c r="L1015" t="s">
        <v>9621</v>
      </c>
      <c r="M1015" t="s">
        <v>10698</v>
      </c>
      <c r="N1015" t="s">
        <v>10699</v>
      </c>
    </row>
    <row r="1016" spans="11:18" x14ac:dyDescent="0.25">
      <c r="K1016" t="s">
        <v>9629</v>
      </c>
      <c r="L1016" t="s">
        <v>9629</v>
      </c>
      <c r="M1016" t="s">
        <v>10698</v>
      </c>
      <c r="N1016" t="s">
        <v>10699</v>
      </c>
    </row>
    <row r="1017" spans="11:18" x14ac:dyDescent="0.25">
      <c r="K1017" t="s">
        <v>9637</v>
      </c>
      <c r="L1017" t="s">
        <v>9637</v>
      </c>
      <c r="M1017" t="s">
        <v>10698</v>
      </c>
      <c r="N1017" t="s">
        <v>10699</v>
      </c>
    </row>
    <row r="1018" spans="11:18" x14ac:dyDescent="0.25">
      <c r="K1018" t="s">
        <v>9640</v>
      </c>
      <c r="L1018" t="s">
        <v>9640</v>
      </c>
      <c r="M1018" t="s">
        <v>10698</v>
      </c>
      <c r="N1018" t="s">
        <v>10699</v>
      </c>
    </row>
    <row r="1019" spans="11:18" x14ac:dyDescent="0.25">
      <c r="K1019" t="s">
        <v>9646</v>
      </c>
      <c r="L1019" t="s">
        <v>9646</v>
      </c>
      <c r="M1019" t="s">
        <v>10698</v>
      </c>
      <c r="N1019" t="s">
        <v>10699</v>
      </c>
    </row>
    <row r="1020" spans="11:18" x14ac:dyDescent="0.25">
      <c r="K1020" t="s">
        <v>9650</v>
      </c>
      <c r="L1020" t="s">
        <v>9650</v>
      </c>
      <c r="M1020" t="s">
        <v>10698</v>
      </c>
      <c r="N1020" t="s">
        <v>10699</v>
      </c>
    </row>
    <row r="1021" spans="11:18" x14ac:dyDescent="0.25">
      <c r="K1021" t="s">
        <v>9654</v>
      </c>
      <c r="L1021" t="s">
        <v>9654</v>
      </c>
      <c r="M1021" t="s">
        <v>10698</v>
      </c>
      <c r="N1021" t="s">
        <v>10699</v>
      </c>
    </row>
    <row r="1022" spans="11:18" x14ac:dyDescent="0.25">
      <c r="K1022" t="s">
        <v>9660</v>
      </c>
      <c r="L1022" t="s">
        <v>9660</v>
      </c>
      <c r="M1022" t="s">
        <v>10698</v>
      </c>
      <c r="N1022" t="s">
        <v>10699</v>
      </c>
    </row>
    <row r="1023" spans="11:18" x14ac:dyDescent="0.25">
      <c r="K1023" t="s">
        <v>9669</v>
      </c>
      <c r="L1023" t="s">
        <v>9669</v>
      </c>
      <c r="M1023" t="s">
        <v>10698</v>
      </c>
      <c r="N1023" t="s">
        <v>10699</v>
      </c>
    </row>
    <row r="1024" spans="11:18" x14ac:dyDescent="0.25">
      <c r="K1024" t="s">
        <v>9675</v>
      </c>
      <c r="L1024" t="s">
        <v>9675</v>
      </c>
      <c r="M1024" t="s">
        <v>10698</v>
      </c>
      <c r="N1024" t="s">
        <v>10699</v>
      </c>
    </row>
    <row r="1025" spans="11:14" x14ac:dyDescent="0.25">
      <c r="K1025" t="s">
        <v>9681</v>
      </c>
      <c r="L1025" t="s">
        <v>9681</v>
      </c>
      <c r="M1025" t="s">
        <v>10698</v>
      </c>
      <c r="N1025" t="s">
        <v>10699</v>
      </c>
    </row>
    <row r="1026" spans="11:14" x14ac:dyDescent="0.25">
      <c r="K1026" t="s">
        <v>9691</v>
      </c>
      <c r="L1026" t="s">
        <v>9691</v>
      </c>
      <c r="M1026" t="s">
        <v>10698</v>
      </c>
      <c r="N1026" t="s">
        <v>10699</v>
      </c>
    </row>
    <row r="1027" spans="11:14" x14ac:dyDescent="0.25">
      <c r="K1027" t="s">
        <v>9713</v>
      </c>
      <c r="L1027" t="s">
        <v>9713</v>
      </c>
      <c r="M1027" t="s">
        <v>10698</v>
      </c>
      <c r="N1027" t="s">
        <v>10699</v>
      </c>
    </row>
    <row r="1028" spans="11:14" x14ac:dyDescent="0.25">
      <c r="K1028" t="s">
        <v>9717</v>
      </c>
      <c r="L1028" t="s">
        <v>9717</v>
      </c>
      <c r="M1028" t="s">
        <v>10698</v>
      </c>
      <c r="N1028" t="s">
        <v>10699</v>
      </c>
    </row>
    <row r="1029" spans="11:14" x14ac:dyDescent="0.25">
      <c r="K1029" t="s">
        <v>9723</v>
      </c>
      <c r="L1029" t="s">
        <v>9723</v>
      </c>
      <c r="M1029" t="s">
        <v>10698</v>
      </c>
      <c r="N1029" t="s">
        <v>10699</v>
      </c>
    </row>
    <row r="1030" spans="11:14" x14ac:dyDescent="0.25">
      <c r="K1030" t="s">
        <v>9735</v>
      </c>
      <c r="L1030" t="s">
        <v>9735</v>
      </c>
      <c r="M1030" t="s">
        <v>10698</v>
      </c>
      <c r="N1030" t="s">
        <v>10699</v>
      </c>
    </row>
    <row r="1031" spans="11:14" x14ac:dyDescent="0.25">
      <c r="K1031" t="s">
        <v>9738</v>
      </c>
      <c r="L1031" t="s">
        <v>9738</v>
      </c>
      <c r="M1031" t="s">
        <v>10698</v>
      </c>
      <c r="N1031" t="s">
        <v>10699</v>
      </c>
    </row>
    <row r="1032" spans="11:14" x14ac:dyDescent="0.25">
      <c r="K1032" t="s">
        <v>9744</v>
      </c>
      <c r="L1032" t="s">
        <v>9744</v>
      </c>
      <c r="M1032" t="s">
        <v>10698</v>
      </c>
      <c r="N1032" t="s">
        <v>10699</v>
      </c>
    </row>
    <row r="1033" spans="11:14" x14ac:dyDescent="0.25">
      <c r="K1033" t="s">
        <v>9748</v>
      </c>
      <c r="L1033" t="s">
        <v>9748</v>
      </c>
      <c r="M1033" t="s">
        <v>10698</v>
      </c>
      <c r="N1033" t="s">
        <v>10699</v>
      </c>
    </row>
    <row r="1034" spans="11:14" x14ac:dyDescent="0.25">
      <c r="K1034" t="s">
        <v>9754</v>
      </c>
      <c r="L1034" t="s">
        <v>9754</v>
      </c>
      <c r="M1034" t="s">
        <v>10698</v>
      </c>
      <c r="N1034" t="s">
        <v>10699</v>
      </c>
    </row>
    <row r="1035" spans="11:14" x14ac:dyDescent="0.25">
      <c r="K1035" t="s">
        <v>9758</v>
      </c>
      <c r="L1035" t="s">
        <v>9758</v>
      </c>
      <c r="M1035" t="s">
        <v>10698</v>
      </c>
      <c r="N1035" t="s">
        <v>10699</v>
      </c>
    </row>
    <row r="1036" spans="11:14" x14ac:dyDescent="0.25">
      <c r="K1036" t="s">
        <v>9764</v>
      </c>
      <c r="L1036" t="s">
        <v>9764</v>
      </c>
      <c r="M1036" t="s">
        <v>10698</v>
      </c>
      <c r="N1036" t="s">
        <v>10699</v>
      </c>
    </row>
    <row r="1037" spans="11:14" x14ac:dyDescent="0.25">
      <c r="K1037" t="s">
        <v>9774</v>
      </c>
      <c r="L1037" t="s">
        <v>9774</v>
      </c>
      <c r="M1037" t="s">
        <v>10698</v>
      </c>
      <c r="N1037" t="s">
        <v>10699</v>
      </c>
    </row>
    <row r="1038" spans="11:14" x14ac:dyDescent="0.25">
      <c r="K1038" t="s">
        <v>9782</v>
      </c>
      <c r="L1038" t="s">
        <v>9782</v>
      </c>
      <c r="M1038" t="s">
        <v>10698</v>
      </c>
      <c r="N1038" t="s">
        <v>10699</v>
      </c>
    </row>
    <row r="1039" spans="11:14" x14ac:dyDescent="0.25">
      <c r="K1039" t="s">
        <v>9788</v>
      </c>
      <c r="L1039" t="s">
        <v>9788</v>
      </c>
      <c r="M1039" t="s">
        <v>10698</v>
      </c>
      <c r="N1039" t="s">
        <v>10699</v>
      </c>
    </row>
    <row r="1040" spans="11:14" x14ac:dyDescent="0.25">
      <c r="K1040" t="s">
        <v>9792</v>
      </c>
      <c r="L1040" t="s">
        <v>9792</v>
      </c>
      <c r="M1040" t="s">
        <v>10698</v>
      </c>
      <c r="N1040" t="s">
        <v>10699</v>
      </c>
    </row>
    <row r="1041" spans="11:14" x14ac:dyDescent="0.25">
      <c r="K1041" t="s">
        <v>9800</v>
      </c>
      <c r="L1041" t="s">
        <v>9800</v>
      </c>
      <c r="M1041" t="s">
        <v>10698</v>
      </c>
      <c r="N1041" t="s">
        <v>10699</v>
      </c>
    </row>
    <row r="1042" spans="11:14" x14ac:dyDescent="0.25">
      <c r="K1042" t="s">
        <v>9820</v>
      </c>
      <c r="L1042" t="s">
        <v>9820</v>
      </c>
      <c r="M1042" t="s">
        <v>10698</v>
      </c>
      <c r="N1042" t="s">
        <v>10699</v>
      </c>
    </row>
    <row r="1043" spans="11:14" x14ac:dyDescent="0.25">
      <c r="K1043" t="s">
        <v>9836</v>
      </c>
      <c r="L1043" t="s">
        <v>9836</v>
      </c>
      <c r="M1043" t="s">
        <v>10698</v>
      </c>
      <c r="N1043" t="s">
        <v>10699</v>
      </c>
    </row>
    <row r="1044" spans="11:14" x14ac:dyDescent="0.25">
      <c r="K1044" t="s">
        <v>9848</v>
      </c>
      <c r="L1044" t="s">
        <v>9848</v>
      </c>
      <c r="M1044" t="s">
        <v>10698</v>
      </c>
      <c r="N1044" t="s">
        <v>10699</v>
      </c>
    </row>
    <row r="1045" spans="11:14" x14ac:dyDescent="0.25">
      <c r="K1045" t="s">
        <v>9852</v>
      </c>
      <c r="L1045" t="s">
        <v>9852</v>
      </c>
      <c r="M1045" t="s">
        <v>10698</v>
      </c>
      <c r="N1045" t="s">
        <v>10699</v>
      </c>
    </row>
    <row r="1046" spans="11:14" x14ac:dyDescent="0.25">
      <c r="K1046" t="s">
        <v>9856</v>
      </c>
      <c r="L1046" t="s">
        <v>9856</v>
      </c>
      <c r="M1046" t="s">
        <v>10698</v>
      </c>
      <c r="N1046" t="s">
        <v>10699</v>
      </c>
    </row>
    <row r="1047" spans="11:14" x14ac:dyDescent="0.25">
      <c r="K1047" t="s">
        <v>9872</v>
      </c>
      <c r="L1047" t="s">
        <v>9872</v>
      </c>
      <c r="M1047" t="s">
        <v>10698</v>
      </c>
      <c r="N1047" t="s">
        <v>10699</v>
      </c>
    </row>
    <row r="1048" spans="11:14" x14ac:dyDescent="0.25">
      <c r="K1048" t="s">
        <v>9884</v>
      </c>
      <c r="L1048" t="s">
        <v>9884</v>
      </c>
      <c r="M1048" t="s">
        <v>10698</v>
      </c>
      <c r="N1048" t="s">
        <v>10699</v>
      </c>
    </row>
    <row r="1049" spans="11:14" x14ac:dyDescent="0.25">
      <c r="K1049" t="s">
        <v>9898</v>
      </c>
      <c r="L1049" t="s">
        <v>9898</v>
      </c>
      <c r="M1049" t="s">
        <v>10698</v>
      </c>
      <c r="N1049" t="s">
        <v>10699</v>
      </c>
    </row>
    <row r="1050" spans="11:14" x14ac:dyDescent="0.25">
      <c r="K1050" t="s">
        <v>9948</v>
      </c>
      <c r="L1050" t="s">
        <v>9948</v>
      </c>
      <c r="M1050" t="s">
        <v>10698</v>
      </c>
      <c r="N1050" t="s">
        <v>10699</v>
      </c>
    </row>
    <row r="1051" spans="11:14" x14ac:dyDescent="0.25">
      <c r="K1051" t="s">
        <v>9972</v>
      </c>
      <c r="L1051" t="s">
        <v>9972</v>
      </c>
      <c r="M1051" t="s">
        <v>10698</v>
      </c>
      <c r="N1051" t="s">
        <v>10699</v>
      </c>
    </row>
    <row r="1052" spans="11:14" x14ac:dyDescent="0.25">
      <c r="K1052" t="s">
        <v>9992</v>
      </c>
      <c r="L1052" t="s">
        <v>9992</v>
      </c>
      <c r="M1052" t="s">
        <v>10698</v>
      </c>
      <c r="N1052" t="s">
        <v>10699</v>
      </c>
    </row>
    <row r="1053" spans="11:14" x14ac:dyDescent="0.25">
      <c r="K1053" t="s">
        <v>9996</v>
      </c>
      <c r="L1053" t="s">
        <v>9996</v>
      </c>
      <c r="M1053" t="s">
        <v>10698</v>
      </c>
      <c r="N1053" t="s">
        <v>10699</v>
      </c>
    </row>
    <row r="1054" spans="11:14" x14ac:dyDescent="0.25">
      <c r="K1054" t="s">
        <v>10024</v>
      </c>
      <c r="L1054" t="s">
        <v>10024</v>
      </c>
      <c r="M1054" t="s">
        <v>10698</v>
      </c>
      <c r="N1054" t="s">
        <v>10699</v>
      </c>
    </row>
    <row r="1055" spans="11:14" x14ac:dyDescent="0.25">
      <c r="K1055" t="s">
        <v>10080</v>
      </c>
      <c r="L1055" t="s">
        <v>10080</v>
      </c>
      <c r="M1055" t="s">
        <v>10698</v>
      </c>
      <c r="N1055" t="s">
        <v>10699</v>
      </c>
    </row>
    <row r="1056" spans="11:14" x14ac:dyDescent="0.25">
      <c r="K1056" t="s">
        <v>10090</v>
      </c>
      <c r="L1056" t="s">
        <v>10090</v>
      </c>
      <c r="M1056" t="s">
        <v>10698</v>
      </c>
      <c r="N1056" t="s">
        <v>10699</v>
      </c>
    </row>
    <row r="1057" spans="11:14" x14ac:dyDescent="0.25">
      <c r="K1057" t="s">
        <v>10098</v>
      </c>
      <c r="L1057" t="s">
        <v>10098</v>
      </c>
      <c r="M1057" t="s">
        <v>10698</v>
      </c>
      <c r="N1057" t="s">
        <v>10699</v>
      </c>
    </row>
    <row r="1058" spans="11:14" x14ac:dyDescent="0.25">
      <c r="K1058" t="s">
        <v>10102</v>
      </c>
      <c r="L1058" t="s">
        <v>10102</v>
      </c>
      <c r="M1058" t="s">
        <v>10698</v>
      </c>
      <c r="N1058" t="s">
        <v>10699</v>
      </c>
    </row>
    <row r="1059" spans="11:14" x14ac:dyDescent="0.25">
      <c r="K1059" t="s">
        <v>10134</v>
      </c>
      <c r="L1059" t="s">
        <v>10134</v>
      </c>
      <c r="M1059" t="s">
        <v>10698</v>
      </c>
      <c r="N1059" t="s">
        <v>10699</v>
      </c>
    </row>
    <row r="1060" spans="11:14" x14ac:dyDescent="0.25">
      <c r="K1060" t="s">
        <v>10172</v>
      </c>
      <c r="L1060" t="s">
        <v>10172</v>
      </c>
      <c r="M1060" t="s">
        <v>10698</v>
      </c>
      <c r="N1060" t="s">
        <v>10699</v>
      </c>
    </row>
    <row r="1061" spans="11:14" x14ac:dyDescent="0.25">
      <c r="K1061" t="s">
        <v>10182</v>
      </c>
      <c r="L1061" t="s">
        <v>10182</v>
      </c>
      <c r="M1061" t="s">
        <v>10698</v>
      </c>
      <c r="N1061" t="s">
        <v>10699</v>
      </c>
    </row>
    <row r="1062" spans="11:14" x14ac:dyDescent="0.25">
      <c r="K1062" t="s">
        <v>10190</v>
      </c>
      <c r="L1062" t="s">
        <v>10190</v>
      </c>
      <c r="M1062" t="s">
        <v>10698</v>
      </c>
      <c r="N1062" t="s">
        <v>10699</v>
      </c>
    </row>
    <row r="1063" spans="11:14" x14ac:dyDescent="0.25">
      <c r="K1063" t="s">
        <v>10245</v>
      </c>
      <c r="L1063" t="s">
        <v>10245</v>
      </c>
      <c r="M1063" t="s">
        <v>10698</v>
      </c>
      <c r="N1063" t="s">
        <v>10699</v>
      </c>
    </row>
    <row r="1064" spans="11:14" x14ac:dyDescent="0.25">
      <c r="K1064" t="s">
        <v>10257</v>
      </c>
      <c r="L1064" t="s">
        <v>10257</v>
      </c>
      <c r="M1064" t="s">
        <v>10698</v>
      </c>
      <c r="N1064" t="s">
        <v>10699</v>
      </c>
    </row>
    <row r="1065" spans="11:14" x14ac:dyDescent="0.25">
      <c r="K1065" t="s">
        <v>10323</v>
      </c>
      <c r="L1065" t="s">
        <v>10323</v>
      </c>
      <c r="M1065" t="s">
        <v>10698</v>
      </c>
      <c r="N1065" t="s">
        <v>10699</v>
      </c>
    </row>
    <row r="1066" spans="11:14" x14ac:dyDescent="0.25">
      <c r="K1066" t="s">
        <v>10613</v>
      </c>
      <c r="L1066" t="s">
        <v>10613</v>
      </c>
      <c r="M1066" t="s">
        <v>10698</v>
      </c>
      <c r="N1066" t="s">
        <v>10699</v>
      </c>
    </row>
    <row r="1067" spans="11:14" x14ac:dyDescent="0.25">
      <c r="K1067" t="s">
        <v>10685</v>
      </c>
      <c r="L1067" t="s">
        <v>10685</v>
      </c>
      <c r="M1067" t="s">
        <v>10698</v>
      </c>
      <c r="N1067" t="s">
        <v>10699</v>
      </c>
    </row>
    <row r="1068" spans="11:14" x14ac:dyDescent="0.25">
      <c r="K1068" t="s">
        <v>9563</v>
      </c>
      <c r="L1068" t="s">
        <v>9563</v>
      </c>
      <c r="M1068" t="s">
        <v>10698</v>
      </c>
      <c r="N1068" t="s">
        <v>10699</v>
      </c>
    </row>
    <row r="1069" spans="11:14" x14ac:dyDescent="0.25">
      <c r="K1069" t="s">
        <v>9583</v>
      </c>
      <c r="L1069" t="s">
        <v>9583</v>
      </c>
      <c r="M1069" t="s">
        <v>10698</v>
      </c>
      <c r="N1069" t="s">
        <v>10699</v>
      </c>
    </row>
    <row r="1070" spans="11:14" x14ac:dyDescent="0.25">
      <c r="K1070" t="s">
        <v>11789</v>
      </c>
      <c r="L1070" t="s">
        <v>11789</v>
      </c>
      <c r="M1070" t="s">
        <v>10698</v>
      </c>
      <c r="N1070" t="s">
        <v>10699</v>
      </c>
    </row>
    <row r="1071" spans="11:14" x14ac:dyDescent="0.25">
      <c r="K1071" t="s">
        <v>9591</v>
      </c>
      <c r="L1071" t="s">
        <v>9591</v>
      </c>
      <c r="M1071" t="s">
        <v>10698</v>
      </c>
      <c r="N1071" t="s">
        <v>10699</v>
      </c>
    </row>
    <row r="1072" spans="11:14" x14ac:dyDescent="0.25">
      <c r="K1072" t="s">
        <v>11764</v>
      </c>
      <c r="L1072" t="s">
        <v>11764</v>
      </c>
      <c r="M1072" t="s">
        <v>10698</v>
      </c>
      <c r="N1072" t="s">
        <v>10699</v>
      </c>
    </row>
    <row r="1073" spans="11:14" x14ac:dyDescent="0.25">
      <c r="K1073" t="s">
        <v>11761</v>
      </c>
      <c r="L1073" t="s">
        <v>11761</v>
      </c>
      <c r="M1073" t="s">
        <v>10698</v>
      </c>
      <c r="N1073" t="s">
        <v>10699</v>
      </c>
    </row>
    <row r="1074" spans="11:14" x14ac:dyDescent="0.25">
      <c r="K1074" t="s">
        <v>11766</v>
      </c>
      <c r="L1074" t="s">
        <v>11766</v>
      </c>
      <c r="M1074" t="s">
        <v>10698</v>
      </c>
      <c r="N1074" t="s">
        <v>10699</v>
      </c>
    </row>
    <row r="1075" spans="11:14" x14ac:dyDescent="0.25">
      <c r="K1075" t="s">
        <v>11782</v>
      </c>
      <c r="L1075" t="s">
        <v>11782</v>
      </c>
      <c r="M1075" t="s">
        <v>10698</v>
      </c>
      <c r="N1075" t="s">
        <v>10699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Table</vt:lpstr>
      <vt:lpstr>Sheet1</vt:lpstr>
      <vt:lpstr>industry</vt:lpstr>
      <vt:lpstr>current</vt:lpstr>
      <vt:lpstr>constant additions</vt:lpstr>
      <vt:lpstr>selected names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Shi</dc:creator>
  <cp:lastModifiedBy>Windows User</cp:lastModifiedBy>
  <dcterms:created xsi:type="dcterms:W3CDTF">2017-10-15T01:38:00Z</dcterms:created>
  <dcterms:modified xsi:type="dcterms:W3CDTF">2017-10-15T14:34:13Z</dcterms:modified>
</cp:coreProperties>
</file>